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1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Licitação 2\"/>
    </mc:Choice>
  </mc:AlternateContent>
  <xr:revisionPtr revIDLastSave="0" documentId="13_ncr:1_{DCBED1DB-A338-4FD3-A3DE-7C2213E62F98}" xr6:coauthVersionLast="47" xr6:coauthVersionMax="47" xr10:uidLastSave="{00000000-0000-0000-0000-000000000000}"/>
  <bookViews>
    <workbookView xWindow="-120" yWindow="-120" windowWidth="29040" windowHeight="15840" tabRatio="810" firstSheet="3" activeTab="10" xr2:uid="{00000000-000D-0000-FFFF-FFFF00000000}"/>
  </bookViews>
  <sheets>
    <sheet name="Atual" sheetId="2" state="hidden" r:id="rId1"/>
    <sheet name="Gráf1" sheetId="6" state="hidden" r:id="rId2"/>
    <sheet name="População" sheetId="17" r:id="rId3"/>
    <sheet name="Imóveis" sheetId="18" r:id="rId4"/>
    <sheet name="Atendimento " sheetId="19" r:id="rId5"/>
    <sheet name="Economais e Ligações Água" sheetId="21" r:id="rId6"/>
    <sheet name="Economais e Ligações Esgoto" sheetId="22" r:id="rId7"/>
    <sheet name="Cota per capita e por economia " sheetId="24" r:id="rId8"/>
    <sheet name="Perdas e Vazões de Água" sheetId="25" r:id="rId9"/>
    <sheet name="Vazões de Esgoto" sheetId="26" r:id="rId10"/>
    <sheet name="Redes e Reservasão" sheetId="27" r:id="rId11"/>
    <sheet name="Dados de Entrada EVTE" sheetId="28" r:id="rId12"/>
    <sheet name="Conf pré Correção" sheetId="13" state="hidden" r:id="rId13"/>
    <sheet name="Conf pós Correção SJB" sheetId="15" state="hidden" r:id="rId14"/>
    <sheet name="Planilha1" sheetId="9" state="hidden" r:id="rId15"/>
  </sheets>
  <definedNames>
    <definedName name="__123Graph_A" hidden="1">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X" hidden="1">#REF!</definedName>
    <definedName name="_Hlk121662434" localSheetId="14">Planilha1!$L$57</definedName>
    <definedName name="solver_adj" localSheetId="2" hidden="1">#REF!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2</definedName>
    <definedName name="solver_nod" localSheetId="2" hidden="1">2147483647</definedName>
    <definedName name="solver_num" localSheetId="2" hidden="1">0</definedName>
    <definedName name="solver_nwt" localSheetId="2" hidden="1">1</definedName>
    <definedName name="solver_opt" localSheetId="2" hidden="1">#REF!</definedName>
    <definedName name="solver_pre" localSheetId="2" hidden="1">0.000001</definedName>
    <definedName name="solver_rbv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" i="27" l="1"/>
  <c r="L46" i="27"/>
  <c r="L45" i="27"/>
  <c r="L44" i="27"/>
  <c r="L43" i="27"/>
  <c r="L42" i="27"/>
  <c r="L41" i="27"/>
  <c r="L40" i="27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J46" i="17"/>
  <c r="J9" i="17"/>
  <c r="D22" i="28"/>
  <c r="D33" i="28" l="1" a="1"/>
  <c r="D33" i="28" s="1"/>
  <c r="D32" i="28" a="1"/>
  <c r="D32" i="28" s="1"/>
  <c r="D29" i="28" a="1"/>
  <c r="D29" i="28" s="1"/>
  <c r="D28" i="28" a="1"/>
  <c r="D28" i="28" s="1"/>
  <c r="D21" i="28" a="1"/>
  <c r="D21" i="28" s="1"/>
  <c r="D19" i="28" a="1"/>
  <c r="D19" i="28" s="1"/>
  <c r="D8" i="28" a="1"/>
  <c r="D8" i="28" s="1"/>
  <c r="D7" i="28" a="1"/>
  <c r="D7" i="28" s="1"/>
  <c r="D4" i="28" a="1"/>
  <c r="D4" i="28" s="1"/>
  <c r="D1" i="28" a="1"/>
  <c r="D1" i="28" s="1"/>
  <c r="AC46" i="25" l="1"/>
  <c r="AC47" i="25"/>
  <c r="AC45" i="25"/>
  <c r="AC44" i="25"/>
  <c r="AC43" i="25"/>
  <c r="AC42" i="25"/>
  <c r="AC41" i="25"/>
  <c r="AC40" i="25"/>
  <c r="AC39" i="25"/>
  <c r="AC38" i="25"/>
  <c r="AC37" i="25"/>
  <c r="AC36" i="25"/>
  <c r="AC35" i="25"/>
  <c r="AC34" i="25"/>
  <c r="AC33" i="25"/>
  <c r="AC32" i="25"/>
  <c r="AC31" i="25"/>
  <c r="AC30" i="25"/>
  <c r="AC29" i="25"/>
  <c r="AC28" i="25"/>
  <c r="AC27" i="25"/>
  <c r="AC26" i="25"/>
  <c r="AC25" i="25"/>
  <c r="AC24" i="25"/>
  <c r="AC23" i="25"/>
  <c r="AC22" i="25"/>
  <c r="AC21" i="25"/>
  <c r="AC20" i="25"/>
  <c r="AC19" i="25"/>
  <c r="AC18" i="25"/>
  <c r="AC17" i="25"/>
  <c r="AC16" i="25"/>
  <c r="AC15" i="25"/>
  <c r="AC14" i="25"/>
  <c r="AC13" i="25"/>
  <c r="AC12" i="25"/>
  <c r="AC11" i="25"/>
  <c r="AC10" i="25"/>
  <c r="AC9" i="25"/>
  <c r="AC8" i="25"/>
  <c r="N9" i="26"/>
  <c r="N10" i="26"/>
  <c r="N11" i="26"/>
  <c r="N12" i="26"/>
  <c r="N13" i="26"/>
  <c r="N14" i="26"/>
  <c r="N15" i="26"/>
  <c r="N16" i="26"/>
  <c r="N17" i="26"/>
  <c r="N18" i="26"/>
  <c r="N19" i="26"/>
  <c r="N20" i="26"/>
  <c r="N21" i="26"/>
  <c r="N22" i="26"/>
  <c r="N23" i="26"/>
  <c r="N24" i="26"/>
  <c r="N25" i="26"/>
  <c r="N26" i="26"/>
  <c r="N27" i="26"/>
  <c r="N28" i="26"/>
  <c r="N29" i="26"/>
  <c r="N30" i="26"/>
  <c r="N31" i="26"/>
  <c r="N32" i="26"/>
  <c r="N33" i="26"/>
  <c r="N34" i="26"/>
  <c r="N35" i="26"/>
  <c r="N36" i="26"/>
  <c r="N37" i="26"/>
  <c r="N38" i="26"/>
  <c r="N39" i="26"/>
  <c r="N40" i="26"/>
  <c r="N41" i="26"/>
  <c r="N42" i="26"/>
  <c r="N43" i="26"/>
  <c r="N44" i="26"/>
  <c r="N45" i="26"/>
  <c r="N46" i="26"/>
  <c r="N47" i="26"/>
  <c r="N8" i="26"/>
  <c r="E22" i="28" l="1"/>
  <c r="F22" i="28" s="1"/>
  <c r="G22" i="28" s="1"/>
  <c r="H22" i="28" s="1"/>
  <c r="I22" i="28" s="1"/>
  <c r="J22" i="28" s="1"/>
  <c r="K22" i="28" s="1"/>
  <c r="L22" i="28" s="1"/>
  <c r="M22" i="28" s="1"/>
  <c r="N22" i="28" s="1"/>
  <c r="O22" i="28" s="1"/>
  <c r="P22" i="28" s="1"/>
  <c r="Q22" i="28" s="1"/>
  <c r="R22" i="28" s="1"/>
  <c r="S22" i="28" s="1"/>
  <c r="T22" i="28" s="1"/>
  <c r="U22" i="28" s="1"/>
  <c r="V22" i="28" s="1"/>
  <c r="W22" i="28" s="1"/>
  <c r="X22" i="28" s="1"/>
  <c r="Y22" i="28" s="1"/>
  <c r="Z22" i="28" s="1"/>
  <c r="AA22" i="28" s="1"/>
  <c r="AB22" i="28" s="1"/>
  <c r="AC22" i="28" s="1"/>
  <c r="AD22" i="28" s="1"/>
  <c r="AE22" i="28" s="1"/>
  <c r="AF22" i="28" s="1"/>
  <c r="AG22" i="28" s="1"/>
  <c r="AH22" i="28" s="1"/>
  <c r="AI22" i="28" s="1"/>
  <c r="AJ22" i="28" s="1"/>
  <c r="AK22" i="28" s="1"/>
  <c r="AL22" i="28" s="1"/>
  <c r="AM22" i="28" s="1"/>
  <c r="AN22" i="28" s="1"/>
  <c r="AU3" i="27"/>
  <c r="AI3" i="27"/>
  <c r="F8" i="21"/>
  <c r="E13" i="22"/>
  <c r="E12" i="22"/>
  <c r="C46" i="27"/>
  <c r="Z46" i="27" s="1"/>
  <c r="AL46" i="27" s="1"/>
  <c r="C47" i="27"/>
  <c r="Z47" i="27" s="1"/>
  <c r="AL47" i="27" s="1"/>
  <c r="C46" i="26"/>
  <c r="C47" i="26"/>
  <c r="C46" i="25"/>
  <c r="I46" i="25"/>
  <c r="C47" i="25"/>
  <c r="I47" i="25"/>
  <c r="C46" i="24"/>
  <c r="M46" i="24"/>
  <c r="C47" i="24"/>
  <c r="M47" i="24"/>
  <c r="C46" i="22"/>
  <c r="D46" i="22"/>
  <c r="G46" i="22"/>
  <c r="J46" i="22"/>
  <c r="M46" i="22"/>
  <c r="P46" i="22"/>
  <c r="C47" i="22"/>
  <c r="D47" i="22"/>
  <c r="G47" i="22"/>
  <c r="J47" i="22"/>
  <c r="M47" i="22"/>
  <c r="P47" i="22"/>
  <c r="C46" i="21"/>
  <c r="D46" i="21"/>
  <c r="E46" i="21" s="1"/>
  <c r="H46" i="21"/>
  <c r="K46" i="21"/>
  <c r="N46" i="21"/>
  <c r="N47" i="21" s="1"/>
  <c r="U46" i="21"/>
  <c r="V46" i="21"/>
  <c r="C47" i="21"/>
  <c r="D47" i="21"/>
  <c r="E47" i="21"/>
  <c r="F47" i="21" s="1"/>
  <c r="H47" i="21"/>
  <c r="K47" i="21"/>
  <c r="U47" i="21"/>
  <c r="V47" i="21"/>
  <c r="C46" i="18"/>
  <c r="F46" i="18"/>
  <c r="T46" i="18"/>
  <c r="U46" i="18"/>
  <c r="C47" i="18"/>
  <c r="F47" i="18"/>
  <c r="T47" i="18"/>
  <c r="U47" i="18"/>
  <c r="F46" i="17"/>
  <c r="H46" i="17"/>
  <c r="I46" i="17"/>
  <c r="F47" i="17"/>
  <c r="H47" i="17"/>
  <c r="I47" i="17"/>
  <c r="J47" i="17"/>
  <c r="C46" i="19"/>
  <c r="D46" i="19"/>
  <c r="H46" i="19"/>
  <c r="I46" i="19"/>
  <c r="C47" i="19"/>
  <c r="D47" i="19"/>
  <c r="H47" i="19" s="1"/>
  <c r="I47" i="19"/>
  <c r="C45" i="27"/>
  <c r="Z45" i="27" s="1"/>
  <c r="AL45" i="27" s="1"/>
  <c r="C44" i="27"/>
  <c r="Z44" i="27" s="1"/>
  <c r="AL44" i="27" s="1"/>
  <c r="C43" i="27"/>
  <c r="Z43" i="27" s="1"/>
  <c r="AL43" i="27" s="1"/>
  <c r="C42" i="27"/>
  <c r="Z42" i="27" s="1"/>
  <c r="AL42" i="27" s="1"/>
  <c r="C41" i="27"/>
  <c r="Z41" i="27" s="1"/>
  <c r="AL41" i="27" s="1"/>
  <c r="C40" i="27"/>
  <c r="Z40" i="27" s="1"/>
  <c r="AL40" i="27" s="1"/>
  <c r="C39" i="27"/>
  <c r="Z39" i="27" s="1"/>
  <c r="AL39" i="27" s="1"/>
  <c r="C38" i="27"/>
  <c r="Z38" i="27" s="1"/>
  <c r="AL38" i="27" s="1"/>
  <c r="C37" i="27"/>
  <c r="Z37" i="27" s="1"/>
  <c r="AL37" i="27" s="1"/>
  <c r="C36" i="27"/>
  <c r="Z36" i="27" s="1"/>
  <c r="AL36" i="27" s="1"/>
  <c r="C35" i="27"/>
  <c r="Z35" i="27" s="1"/>
  <c r="AL35" i="27" s="1"/>
  <c r="C34" i="27"/>
  <c r="Z34" i="27" s="1"/>
  <c r="AL34" i="27" s="1"/>
  <c r="C33" i="27"/>
  <c r="Z33" i="27" s="1"/>
  <c r="AL33" i="27" s="1"/>
  <c r="C32" i="27"/>
  <c r="Z32" i="27" s="1"/>
  <c r="AL32" i="27" s="1"/>
  <c r="C31" i="27"/>
  <c r="Z31" i="27" s="1"/>
  <c r="AL31" i="27" s="1"/>
  <c r="C30" i="27"/>
  <c r="Z30" i="27" s="1"/>
  <c r="AL30" i="27" s="1"/>
  <c r="C29" i="27"/>
  <c r="Z29" i="27" s="1"/>
  <c r="AL29" i="27" s="1"/>
  <c r="C28" i="27"/>
  <c r="Z28" i="27" s="1"/>
  <c r="AL28" i="27" s="1"/>
  <c r="C27" i="27"/>
  <c r="Z27" i="27" s="1"/>
  <c r="AL27" i="27" s="1"/>
  <c r="C26" i="27"/>
  <c r="Z26" i="27" s="1"/>
  <c r="AL26" i="27" s="1"/>
  <c r="C25" i="27"/>
  <c r="Z25" i="27" s="1"/>
  <c r="AL25" i="27" s="1"/>
  <c r="C24" i="27"/>
  <c r="Z24" i="27" s="1"/>
  <c r="AL24" i="27" s="1"/>
  <c r="C23" i="27"/>
  <c r="Z23" i="27" s="1"/>
  <c r="AL23" i="27" s="1"/>
  <c r="C22" i="27"/>
  <c r="Z22" i="27" s="1"/>
  <c r="AL22" i="27" s="1"/>
  <c r="C21" i="27"/>
  <c r="Z21" i="27" s="1"/>
  <c r="AL21" i="27" s="1"/>
  <c r="C20" i="27"/>
  <c r="Z20" i="27" s="1"/>
  <c r="AL20" i="27" s="1"/>
  <c r="C19" i="27"/>
  <c r="Z19" i="27" s="1"/>
  <c r="AL19" i="27" s="1"/>
  <c r="C18" i="27"/>
  <c r="Z18" i="27" s="1"/>
  <c r="AL18" i="27" s="1"/>
  <c r="C17" i="27"/>
  <c r="Z17" i="27" s="1"/>
  <c r="AL17" i="27" s="1"/>
  <c r="C16" i="27"/>
  <c r="Z16" i="27" s="1"/>
  <c r="AL16" i="27" s="1"/>
  <c r="C15" i="27"/>
  <c r="Z15" i="27" s="1"/>
  <c r="AL15" i="27" s="1"/>
  <c r="C14" i="27"/>
  <c r="Z14" i="27" s="1"/>
  <c r="AL14" i="27" s="1"/>
  <c r="C13" i="27"/>
  <c r="Z13" i="27" s="1"/>
  <c r="AL13" i="27" s="1"/>
  <c r="C12" i="27"/>
  <c r="Z12" i="27" s="1"/>
  <c r="AL12" i="27" s="1"/>
  <c r="C11" i="27"/>
  <c r="Z11" i="27" s="1"/>
  <c r="AL11" i="27" s="1"/>
  <c r="C10" i="27"/>
  <c r="Z10" i="27" s="1"/>
  <c r="AL10" i="27" s="1"/>
  <c r="B10" i="27"/>
  <c r="Y10" i="27" s="1"/>
  <c r="AK10" i="27" s="1"/>
  <c r="H9" i="27"/>
  <c r="H10" i="27" s="1"/>
  <c r="G9" i="27"/>
  <c r="G10" i="27" s="1"/>
  <c r="G11" i="27" s="1"/>
  <c r="C9" i="27"/>
  <c r="Z9" i="27" s="1"/>
  <c r="AL9" i="27" s="1"/>
  <c r="B9" i="27"/>
  <c r="Y9" i="27" s="1"/>
  <c r="AK9" i="27" s="1"/>
  <c r="T8" i="27"/>
  <c r="T38" i="27" s="1"/>
  <c r="P8" i="27"/>
  <c r="P9" i="27" s="1"/>
  <c r="P10" i="27" s="1"/>
  <c r="P11" i="27" s="1"/>
  <c r="P12" i="27" s="1"/>
  <c r="P13" i="27" s="1"/>
  <c r="P14" i="27" s="1"/>
  <c r="P15" i="27" s="1"/>
  <c r="P16" i="27" s="1"/>
  <c r="P17" i="27" s="1"/>
  <c r="P18" i="27" s="1"/>
  <c r="P19" i="27" s="1"/>
  <c r="P20" i="27" s="1"/>
  <c r="P21" i="27" s="1"/>
  <c r="P22" i="27" s="1"/>
  <c r="P23" i="27" s="1"/>
  <c r="P24" i="27" s="1"/>
  <c r="P25" i="27" s="1"/>
  <c r="P26" i="27" s="1"/>
  <c r="P27" i="27" s="1"/>
  <c r="P28" i="27" s="1"/>
  <c r="P29" i="27" s="1"/>
  <c r="P30" i="27" s="1"/>
  <c r="P31" i="27" s="1"/>
  <c r="P32" i="27" s="1"/>
  <c r="P33" i="27" s="1"/>
  <c r="P34" i="27" s="1"/>
  <c r="P35" i="27" s="1"/>
  <c r="P36" i="27" s="1"/>
  <c r="P37" i="27" s="1"/>
  <c r="P38" i="27" s="1"/>
  <c r="P39" i="27" s="1"/>
  <c r="P40" i="27" s="1"/>
  <c r="P41" i="27" s="1"/>
  <c r="P42" i="27" s="1"/>
  <c r="P43" i="27" s="1"/>
  <c r="P44" i="27" s="1"/>
  <c r="P45" i="27" s="1"/>
  <c r="P46" i="27" s="1"/>
  <c r="P47" i="27" s="1"/>
  <c r="L8" i="27"/>
  <c r="I9" i="27" s="1"/>
  <c r="C8" i="27"/>
  <c r="Z8" i="27" s="1"/>
  <c r="AL8" i="27" s="1"/>
  <c r="B8" i="27"/>
  <c r="Y8" i="27" s="1"/>
  <c r="AK8" i="27" s="1"/>
  <c r="B6" i="27"/>
  <c r="Y6" i="27" s="1"/>
  <c r="AK6" i="27" s="1"/>
  <c r="C45" i="26"/>
  <c r="C44" i="26"/>
  <c r="C43" i="26"/>
  <c r="C42" i="26"/>
  <c r="C41" i="26"/>
  <c r="C40" i="26"/>
  <c r="C39" i="26"/>
  <c r="C38" i="26"/>
  <c r="C37" i="26"/>
  <c r="C36" i="26"/>
  <c r="C35" i="26"/>
  <c r="C34" i="26"/>
  <c r="C33" i="26"/>
  <c r="C32" i="26"/>
  <c r="C31" i="26"/>
  <c r="C30" i="26"/>
  <c r="C29" i="26"/>
  <c r="C28" i="26"/>
  <c r="C27" i="26"/>
  <c r="C26" i="26"/>
  <c r="C25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B10" i="26"/>
  <c r="C9" i="26"/>
  <c r="B9" i="26"/>
  <c r="C8" i="26"/>
  <c r="B8" i="26"/>
  <c r="B6" i="26"/>
  <c r="I45" i="25"/>
  <c r="C45" i="25"/>
  <c r="I44" i="25"/>
  <c r="C44" i="25"/>
  <c r="I43" i="25"/>
  <c r="C43" i="25"/>
  <c r="I42" i="25"/>
  <c r="C42" i="25"/>
  <c r="I41" i="25"/>
  <c r="C41" i="25"/>
  <c r="I40" i="25"/>
  <c r="C40" i="25"/>
  <c r="I39" i="25"/>
  <c r="C39" i="25"/>
  <c r="I38" i="25"/>
  <c r="C38" i="25"/>
  <c r="I37" i="25"/>
  <c r="C37" i="25"/>
  <c r="I36" i="25"/>
  <c r="C36" i="25"/>
  <c r="I35" i="25"/>
  <c r="C35" i="25"/>
  <c r="I34" i="25"/>
  <c r="C34" i="25"/>
  <c r="I33" i="25"/>
  <c r="C33" i="25"/>
  <c r="I32" i="25"/>
  <c r="C32" i="25"/>
  <c r="I31" i="25"/>
  <c r="C31" i="25"/>
  <c r="I30" i="25"/>
  <c r="C30" i="25"/>
  <c r="I29" i="25"/>
  <c r="C29" i="25"/>
  <c r="I28" i="25"/>
  <c r="C28" i="25"/>
  <c r="I27" i="25"/>
  <c r="C27" i="25"/>
  <c r="I26" i="25"/>
  <c r="C26" i="25"/>
  <c r="I25" i="25"/>
  <c r="C25" i="25"/>
  <c r="I24" i="25"/>
  <c r="C24" i="25"/>
  <c r="I23" i="25"/>
  <c r="C23" i="25"/>
  <c r="I22" i="25"/>
  <c r="C22" i="25"/>
  <c r="I21" i="25"/>
  <c r="C21" i="25"/>
  <c r="I20" i="25"/>
  <c r="C20" i="25"/>
  <c r="I19" i="25"/>
  <c r="C19" i="25"/>
  <c r="I18" i="25"/>
  <c r="C18" i="25"/>
  <c r="I17" i="25"/>
  <c r="C17" i="25"/>
  <c r="I16" i="25"/>
  <c r="E19" i="25"/>
  <c r="E20" i="25" s="1"/>
  <c r="E21" i="25" s="1"/>
  <c r="E22" i="25" s="1"/>
  <c r="E23" i="25" s="1"/>
  <c r="E24" i="25" s="1"/>
  <c r="E25" i="25" s="1"/>
  <c r="E26" i="25" s="1"/>
  <c r="E27" i="25" s="1"/>
  <c r="E28" i="25" s="1"/>
  <c r="E29" i="25" s="1"/>
  <c r="E30" i="25" s="1"/>
  <c r="E31" i="25" s="1"/>
  <c r="E32" i="25" s="1"/>
  <c r="E33" i="25" s="1"/>
  <c r="E34" i="25" s="1"/>
  <c r="E35" i="25" s="1"/>
  <c r="E36" i="25" s="1"/>
  <c r="E37" i="25" s="1"/>
  <c r="E38" i="25" s="1"/>
  <c r="E39" i="25" s="1"/>
  <c r="E40" i="25" s="1"/>
  <c r="E41" i="25" s="1"/>
  <c r="E42" i="25" s="1"/>
  <c r="E43" i="25" s="1"/>
  <c r="E44" i="25" s="1"/>
  <c r="E45" i="25" s="1"/>
  <c r="E46" i="25" s="1"/>
  <c r="E47" i="25" s="1"/>
  <c r="C16" i="25"/>
  <c r="I15" i="25"/>
  <c r="C15" i="25"/>
  <c r="I14" i="25"/>
  <c r="C14" i="25"/>
  <c r="I13" i="25"/>
  <c r="C13" i="25"/>
  <c r="I12" i="25"/>
  <c r="C12" i="25"/>
  <c r="I11" i="25"/>
  <c r="C11" i="25"/>
  <c r="I10" i="25"/>
  <c r="H10" i="25"/>
  <c r="C10" i="25"/>
  <c r="B10" i="25"/>
  <c r="I9" i="25"/>
  <c r="H9" i="25"/>
  <c r="C9" i="25"/>
  <c r="B9" i="25"/>
  <c r="I8" i="25"/>
  <c r="H8" i="25"/>
  <c r="F8" i="25"/>
  <c r="D8" i="24" s="1"/>
  <c r="E8" i="24" s="1"/>
  <c r="E9" i="24" s="1"/>
  <c r="C8" i="25"/>
  <c r="B8" i="25"/>
  <c r="H6" i="25"/>
  <c r="B6" i="25"/>
  <c r="M45" i="24"/>
  <c r="C45" i="24"/>
  <c r="M44" i="24"/>
  <c r="C44" i="24"/>
  <c r="M43" i="24"/>
  <c r="C43" i="24"/>
  <c r="M42" i="24"/>
  <c r="C42" i="24"/>
  <c r="M41" i="24"/>
  <c r="C41" i="24"/>
  <c r="M40" i="24"/>
  <c r="C40" i="24"/>
  <c r="M39" i="24"/>
  <c r="C39" i="24"/>
  <c r="M38" i="24"/>
  <c r="C38" i="24"/>
  <c r="M37" i="24"/>
  <c r="C37" i="24"/>
  <c r="M36" i="24"/>
  <c r="C36" i="24"/>
  <c r="M35" i="24"/>
  <c r="C35" i="24"/>
  <c r="M34" i="24"/>
  <c r="C34" i="24"/>
  <c r="M33" i="24"/>
  <c r="C33" i="24"/>
  <c r="M32" i="24"/>
  <c r="C32" i="24"/>
  <c r="M31" i="24"/>
  <c r="C31" i="24"/>
  <c r="M30" i="24"/>
  <c r="C30" i="24"/>
  <c r="M29" i="24"/>
  <c r="C29" i="24"/>
  <c r="M28" i="24"/>
  <c r="C28" i="24"/>
  <c r="M27" i="24"/>
  <c r="C27" i="24"/>
  <c r="M26" i="24"/>
  <c r="C26" i="24"/>
  <c r="M25" i="24"/>
  <c r="C25" i="24"/>
  <c r="M24" i="24"/>
  <c r="C24" i="24"/>
  <c r="M23" i="24"/>
  <c r="C23" i="24"/>
  <c r="M22" i="24"/>
  <c r="C22" i="24"/>
  <c r="M21" i="24"/>
  <c r="C21" i="24"/>
  <c r="M20" i="24"/>
  <c r="C20" i="24"/>
  <c r="M19" i="24"/>
  <c r="C19" i="24"/>
  <c r="M18" i="24"/>
  <c r="C18" i="24"/>
  <c r="M17" i="24"/>
  <c r="C17" i="24"/>
  <c r="M16" i="24"/>
  <c r="C16" i="24"/>
  <c r="M15" i="24"/>
  <c r="C15" i="24"/>
  <c r="M14" i="24"/>
  <c r="C14" i="24"/>
  <c r="M13" i="24"/>
  <c r="C13" i="24"/>
  <c r="M12" i="24"/>
  <c r="C12" i="24"/>
  <c r="M11" i="24"/>
  <c r="C11" i="24"/>
  <c r="M10" i="24"/>
  <c r="L10" i="24"/>
  <c r="C10" i="24"/>
  <c r="B10" i="24"/>
  <c r="M9" i="24"/>
  <c r="L9" i="24"/>
  <c r="C9" i="24"/>
  <c r="B9" i="24"/>
  <c r="Z8" i="24"/>
  <c r="AA8" i="24" s="1"/>
  <c r="W8" i="24"/>
  <c r="X8" i="24" s="1"/>
  <c r="T8" i="24"/>
  <c r="Q8" i="24"/>
  <c r="M8" i="24"/>
  <c r="L8" i="24"/>
  <c r="C8" i="24"/>
  <c r="B8" i="24"/>
  <c r="L6" i="24"/>
  <c r="B6" i="24"/>
  <c r="P45" i="22"/>
  <c r="C45" i="22"/>
  <c r="P44" i="22"/>
  <c r="C44" i="22"/>
  <c r="P43" i="22"/>
  <c r="C43" i="22"/>
  <c r="P42" i="22"/>
  <c r="C42" i="22"/>
  <c r="P41" i="22"/>
  <c r="C41" i="22"/>
  <c r="P40" i="22"/>
  <c r="C40" i="22"/>
  <c r="P39" i="22"/>
  <c r="C39" i="22"/>
  <c r="P38" i="22"/>
  <c r="C38" i="22"/>
  <c r="P37" i="22"/>
  <c r="C37" i="22"/>
  <c r="P36" i="22"/>
  <c r="C36" i="22"/>
  <c r="P35" i="22"/>
  <c r="C35" i="22"/>
  <c r="P34" i="22"/>
  <c r="C34" i="22"/>
  <c r="P33" i="22"/>
  <c r="C33" i="22"/>
  <c r="P32" i="22"/>
  <c r="C32" i="22"/>
  <c r="P31" i="22"/>
  <c r="C31" i="22"/>
  <c r="P30" i="22"/>
  <c r="C30" i="22"/>
  <c r="P29" i="22"/>
  <c r="C29" i="22"/>
  <c r="P28" i="22"/>
  <c r="C28" i="22"/>
  <c r="P27" i="22"/>
  <c r="C27" i="22"/>
  <c r="P26" i="22"/>
  <c r="C26" i="22"/>
  <c r="P25" i="22"/>
  <c r="C25" i="22"/>
  <c r="P24" i="22"/>
  <c r="C24" i="22"/>
  <c r="P23" i="22"/>
  <c r="C23" i="22"/>
  <c r="P22" i="22"/>
  <c r="C22" i="22"/>
  <c r="P21" i="22"/>
  <c r="C21" i="22"/>
  <c r="P20" i="22"/>
  <c r="C20" i="22"/>
  <c r="P19" i="22"/>
  <c r="C19" i="22"/>
  <c r="P18" i="22"/>
  <c r="C18" i="22"/>
  <c r="P17" i="22"/>
  <c r="C17" i="22"/>
  <c r="P16" i="22"/>
  <c r="G16" i="22"/>
  <c r="C16" i="22"/>
  <c r="P15" i="22"/>
  <c r="C15" i="22"/>
  <c r="P14" i="22"/>
  <c r="C14" i="22"/>
  <c r="P13" i="22"/>
  <c r="C13" i="22"/>
  <c r="P12" i="22"/>
  <c r="C12" i="22"/>
  <c r="P11" i="22"/>
  <c r="C11" i="22"/>
  <c r="P10" i="22"/>
  <c r="C10" i="22"/>
  <c r="B10" i="22"/>
  <c r="P9" i="22"/>
  <c r="C9" i="22"/>
  <c r="B9" i="22"/>
  <c r="P8" i="22"/>
  <c r="M8" i="22"/>
  <c r="J8" i="22"/>
  <c r="G8" i="22"/>
  <c r="C8" i="22"/>
  <c r="B8" i="22"/>
  <c r="B6" i="22"/>
  <c r="C45" i="21"/>
  <c r="C44" i="21"/>
  <c r="C43" i="21"/>
  <c r="C42" i="21"/>
  <c r="C41" i="21"/>
  <c r="C40" i="21"/>
  <c r="C39" i="21"/>
  <c r="C38" i="21"/>
  <c r="C37" i="21"/>
  <c r="C36" i="21"/>
  <c r="C35" i="21"/>
  <c r="C34" i="21"/>
  <c r="C33" i="21"/>
  <c r="C32" i="21"/>
  <c r="C31" i="21"/>
  <c r="C30" i="21"/>
  <c r="C29" i="21"/>
  <c r="C28" i="21"/>
  <c r="C27" i="21"/>
  <c r="C26" i="21"/>
  <c r="C25" i="21"/>
  <c r="C24" i="21"/>
  <c r="C23" i="21"/>
  <c r="C22" i="21"/>
  <c r="C21" i="21"/>
  <c r="C20" i="21"/>
  <c r="C19" i="21"/>
  <c r="C18" i="21"/>
  <c r="C17" i="21"/>
  <c r="C16" i="21"/>
  <c r="C15" i="21"/>
  <c r="C14" i="21"/>
  <c r="C13" i="21"/>
  <c r="C12" i="21"/>
  <c r="C11" i="21"/>
  <c r="C10" i="21"/>
  <c r="B10" i="21"/>
  <c r="N9" i="21"/>
  <c r="M9" i="22" s="1"/>
  <c r="K9" i="21"/>
  <c r="J9" i="22" s="1"/>
  <c r="H9" i="21"/>
  <c r="H10" i="21" s="1"/>
  <c r="H11" i="21" s="1"/>
  <c r="H12" i="21" s="1"/>
  <c r="H13" i="21" s="1"/>
  <c r="H14" i="21" s="1"/>
  <c r="H15" i="21" s="1"/>
  <c r="H16" i="21" s="1"/>
  <c r="H17" i="21" s="1"/>
  <c r="H18" i="21" s="1"/>
  <c r="H19" i="21" s="1"/>
  <c r="H20" i="21" s="1"/>
  <c r="H21" i="21" s="1"/>
  <c r="H22" i="21" s="1"/>
  <c r="H23" i="21" s="1"/>
  <c r="H24" i="21" s="1"/>
  <c r="H25" i="21" s="1"/>
  <c r="H26" i="21" s="1"/>
  <c r="H27" i="21" s="1"/>
  <c r="H28" i="21" s="1"/>
  <c r="H29" i="21" s="1"/>
  <c r="H30" i="21" s="1"/>
  <c r="H31" i="21" s="1"/>
  <c r="H32" i="21" s="1"/>
  <c r="H33" i="21" s="1"/>
  <c r="H34" i="21" s="1"/>
  <c r="H35" i="21" s="1"/>
  <c r="H36" i="21" s="1"/>
  <c r="H37" i="21" s="1"/>
  <c r="H38" i="21" s="1"/>
  <c r="H39" i="21" s="1"/>
  <c r="H40" i="21" s="1"/>
  <c r="H41" i="21" s="1"/>
  <c r="H42" i="21" s="1"/>
  <c r="H43" i="21" s="1"/>
  <c r="H44" i="21" s="1"/>
  <c r="H45" i="21" s="1"/>
  <c r="G45" i="22" s="1"/>
  <c r="C9" i="21"/>
  <c r="B9" i="21"/>
  <c r="C8" i="21"/>
  <c r="B8" i="21"/>
  <c r="B6" i="21"/>
  <c r="I45" i="19"/>
  <c r="C45" i="19"/>
  <c r="I44" i="19"/>
  <c r="C44" i="19"/>
  <c r="I43" i="19"/>
  <c r="C43" i="19"/>
  <c r="I42" i="19"/>
  <c r="C42" i="19"/>
  <c r="I41" i="19"/>
  <c r="C41" i="19"/>
  <c r="I40" i="19"/>
  <c r="C40" i="19"/>
  <c r="I39" i="19"/>
  <c r="C39" i="19"/>
  <c r="I38" i="19"/>
  <c r="C38" i="19"/>
  <c r="I37" i="19"/>
  <c r="C37" i="19"/>
  <c r="I36" i="19"/>
  <c r="C36" i="19"/>
  <c r="I35" i="19"/>
  <c r="C35" i="19"/>
  <c r="I34" i="19"/>
  <c r="C34" i="19"/>
  <c r="I33" i="19"/>
  <c r="C33" i="19"/>
  <c r="I32" i="19"/>
  <c r="C32" i="19"/>
  <c r="I31" i="19"/>
  <c r="C31" i="19"/>
  <c r="I30" i="19"/>
  <c r="C30" i="19"/>
  <c r="I29" i="19"/>
  <c r="C29" i="19"/>
  <c r="I28" i="19"/>
  <c r="C28" i="19"/>
  <c r="I27" i="19"/>
  <c r="C27" i="19"/>
  <c r="I26" i="19"/>
  <c r="C26" i="19"/>
  <c r="I25" i="19"/>
  <c r="C25" i="19"/>
  <c r="I24" i="19"/>
  <c r="C24" i="19"/>
  <c r="I23" i="19"/>
  <c r="C23" i="19"/>
  <c r="I22" i="19"/>
  <c r="C22" i="19"/>
  <c r="I21" i="19"/>
  <c r="C21" i="19"/>
  <c r="I20" i="19"/>
  <c r="C20" i="19"/>
  <c r="I19" i="19"/>
  <c r="C19" i="19"/>
  <c r="I18" i="19"/>
  <c r="C18" i="19"/>
  <c r="I17" i="19"/>
  <c r="C17" i="19"/>
  <c r="I16" i="19"/>
  <c r="D16" i="19"/>
  <c r="C16" i="19"/>
  <c r="I15" i="19"/>
  <c r="H15" i="19"/>
  <c r="C15" i="19"/>
  <c r="I14" i="19"/>
  <c r="H14" i="19"/>
  <c r="C14" i="19"/>
  <c r="I13" i="19"/>
  <c r="H13" i="19"/>
  <c r="C13" i="19"/>
  <c r="I12" i="19"/>
  <c r="H12" i="19"/>
  <c r="C12" i="19"/>
  <c r="I11" i="19"/>
  <c r="H11" i="19"/>
  <c r="G11" i="19"/>
  <c r="C11" i="19"/>
  <c r="I10" i="19"/>
  <c r="H10" i="19"/>
  <c r="G10" i="19"/>
  <c r="C10" i="19"/>
  <c r="B10" i="19"/>
  <c r="I9" i="19"/>
  <c r="G9" i="19"/>
  <c r="D9" i="19"/>
  <c r="H9" i="19" s="1"/>
  <c r="C9" i="19"/>
  <c r="B9" i="19"/>
  <c r="I8" i="19"/>
  <c r="H8" i="19"/>
  <c r="G8" i="19"/>
  <c r="C8" i="19"/>
  <c r="B8" i="19"/>
  <c r="B6" i="19"/>
  <c r="U45" i="18"/>
  <c r="T45" i="18"/>
  <c r="F45" i="18"/>
  <c r="C45" i="18"/>
  <c r="U44" i="18"/>
  <c r="T44" i="18"/>
  <c r="F44" i="18"/>
  <c r="C44" i="18"/>
  <c r="U43" i="18"/>
  <c r="T43" i="18"/>
  <c r="F43" i="18"/>
  <c r="C43" i="18"/>
  <c r="U42" i="18"/>
  <c r="T42" i="18"/>
  <c r="F42" i="18"/>
  <c r="C42" i="18"/>
  <c r="U41" i="18"/>
  <c r="T41" i="18"/>
  <c r="F41" i="18"/>
  <c r="C41" i="18"/>
  <c r="U40" i="18"/>
  <c r="T40" i="18"/>
  <c r="F40" i="18"/>
  <c r="C40" i="18"/>
  <c r="U39" i="18"/>
  <c r="T39" i="18"/>
  <c r="F39" i="18"/>
  <c r="C39" i="18"/>
  <c r="U38" i="18"/>
  <c r="T38" i="18"/>
  <c r="F38" i="18"/>
  <c r="C38" i="18"/>
  <c r="U37" i="18"/>
  <c r="T37" i="18"/>
  <c r="F37" i="18"/>
  <c r="C37" i="18"/>
  <c r="U36" i="18"/>
  <c r="T36" i="18"/>
  <c r="F36" i="18"/>
  <c r="C36" i="18"/>
  <c r="U35" i="18"/>
  <c r="T35" i="18"/>
  <c r="F35" i="18"/>
  <c r="C35" i="18"/>
  <c r="U34" i="18"/>
  <c r="T34" i="18"/>
  <c r="F34" i="18"/>
  <c r="C34" i="18"/>
  <c r="U33" i="18"/>
  <c r="T33" i="18"/>
  <c r="F33" i="18"/>
  <c r="C33" i="18"/>
  <c r="U32" i="18"/>
  <c r="T32" i="18"/>
  <c r="F32" i="18"/>
  <c r="C32" i="18"/>
  <c r="U31" i="18"/>
  <c r="T31" i="18"/>
  <c r="F31" i="18"/>
  <c r="C31" i="18"/>
  <c r="U30" i="18"/>
  <c r="T30" i="18"/>
  <c r="F30" i="18"/>
  <c r="C30" i="18"/>
  <c r="U29" i="18"/>
  <c r="T29" i="18"/>
  <c r="F29" i="18"/>
  <c r="C29" i="18"/>
  <c r="U28" i="18"/>
  <c r="T28" i="18"/>
  <c r="F28" i="18"/>
  <c r="C28" i="18"/>
  <c r="U27" i="18"/>
  <c r="T27" i="18"/>
  <c r="F27" i="18"/>
  <c r="C27" i="18"/>
  <c r="U26" i="18"/>
  <c r="T26" i="18"/>
  <c r="F26" i="18"/>
  <c r="C26" i="18"/>
  <c r="U25" i="18"/>
  <c r="T25" i="18"/>
  <c r="F25" i="18"/>
  <c r="C25" i="18"/>
  <c r="U24" i="18"/>
  <c r="T24" i="18"/>
  <c r="F24" i="18"/>
  <c r="C24" i="18"/>
  <c r="U23" i="18"/>
  <c r="T23" i="18"/>
  <c r="F23" i="18"/>
  <c r="C23" i="18"/>
  <c r="U22" i="18"/>
  <c r="T22" i="18"/>
  <c r="F22" i="18"/>
  <c r="C22" i="18"/>
  <c r="U21" i="18"/>
  <c r="T21" i="18"/>
  <c r="F21" i="18"/>
  <c r="C21" i="18"/>
  <c r="U20" i="18"/>
  <c r="T20" i="18"/>
  <c r="F20" i="18"/>
  <c r="C20" i="18"/>
  <c r="U19" i="18"/>
  <c r="T19" i="18"/>
  <c r="F19" i="18"/>
  <c r="C19" i="18"/>
  <c r="U18" i="18"/>
  <c r="T18" i="18"/>
  <c r="F18" i="18"/>
  <c r="C18" i="18"/>
  <c r="U17" i="18"/>
  <c r="T17" i="18"/>
  <c r="F17" i="18"/>
  <c r="C17" i="18"/>
  <c r="U16" i="18"/>
  <c r="T16" i="18"/>
  <c r="F16" i="18"/>
  <c r="C16" i="18"/>
  <c r="U15" i="18"/>
  <c r="T15" i="18"/>
  <c r="F15" i="18"/>
  <c r="C15" i="18"/>
  <c r="U14" i="18"/>
  <c r="T14" i="18"/>
  <c r="F14" i="18"/>
  <c r="C14" i="18"/>
  <c r="U13" i="18"/>
  <c r="T13" i="18"/>
  <c r="F13" i="18"/>
  <c r="C13" i="18"/>
  <c r="U12" i="18"/>
  <c r="T12" i="18"/>
  <c r="F12" i="18"/>
  <c r="C12" i="18"/>
  <c r="U11" i="18"/>
  <c r="T11" i="18"/>
  <c r="F11" i="18"/>
  <c r="C11" i="18"/>
  <c r="U10" i="18"/>
  <c r="T10" i="18"/>
  <c r="S10" i="18"/>
  <c r="F10" i="18"/>
  <c r="C10" i="18"/>
  <c r="B10" i="18"/>
  <c r="U9" i="18"/>
  <c r="T9" i="18"/>
  <c r="S9" i="18"/>
  <c r="G9" i="18"/>
  <c r="G10" i="18" s="1"/>
  <c r="I10" i="18" s="1"/>
  <c r="F9" i="18"/>
  <c r="E9" i="19" s="1"/>
  <c r="E10" i="19" s="1"/>
  <c r="E11" i="19" s="1"/>
  <c r="E12" i="19" s="1"/>
  <c r="C9" i="18"/>
  <c r="B9" i="18"/>
  <c r="W8" i="18"/>
  <c r="U8" i="18"/>
  <c r="T8" i="18"/>
  <c r="S8" i="18"/>
  <c r="I8" i="18"/>
  <c r="V8" i="18" s="1"/>
  <c r="C8" i="18"/>
  <c r="B8" i="18"/>
  <c r="S6" i="18"/>
  <c r="B6" i="18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E12" i="25" l="1"/>
  <c r="E13" i="25" s="1"/>
  <c r="E14" i="25" s="1"/>
  <c r="T18" i="27"/>
  <c r="T9" i="27"/>
  <c r="T46" i="27"/>
  <c r="T16" i="27"/>
  <c r="T11" i="27"/>
  <c r="T47" i="27"/>
  <c r="F46" i="21"/>
  <c r="W9" i="18"/>
  <c r="E10" i="22"/>
  <c r="D10" i="22"/>
  <c r="D10" i="21"/>
  <c r="E10" i="21" s="1"/>
  <c r="F10" i="21" s="1"/>
  <c r="D8" i="22"/>
  <c r="J8" i="18"/>
  <c r="K37" i="18" s="1"/>
  <c r="E8" i="22"/>
  <c r="G34" i="22"/>
  <c r="P8" i="18"/>
  <c r="I9" i="18"/>
  <c r="V9" i="18" s="1"/>
  <c r="D8" i="21"/>
  <c r="E8" i="21" s="1"/>
  <c r="G25" i="22"/>
  <c r="G40" i="22"/>
  <c r="G15" i="22"/>
  <c r="D9" i="21"/>
  <c r="E9" i="21" s="1"/>
  <c r="G24" i="22"/>
  <c r="G33" i="22"/>
  <c r="G17" i="22"/>
  <c r="N10" i="21"/>
  <c r="N11" i="21" s="1"/>
  <c r="N12" i="21" s="1"/>
  <c r="N13" i="21" s="1"/>
  <c r="N14" i="21" s="1"/>
  <c r="N15" i="21" s="1"/>
  <c r="N16" i="21" s="1"/>
  <c r="N17" i="21" s="1"/>
  <c r="N18" i="21" s="1"/>
  <c r="N19" i="21" s="1"/>
  <c r="N20" i="21" s="1"/>
  <c r="N21" i="21" s="1"/>
  <c r="N22" i="21" s="1"/>
  <c r="N23" i="21" s="1"/>
  <c r="N24" i="21" s="1"/>
  <c r="N25" i="21" s="1"/>
  <c r="N26" i="21" s="1"/>
  <c r="N27" i="21" s="1"/>
  <c r="N28" i="21" s="1"/>
  <c r="N29" i="21" s="1"/>
  <c r="N30" i="21" s="1"/>
  <c r="N31" i="21" s="1"/>
  <c r="N32" i="21" s="1"/>
  <c r="N33" i="21" s="1"/>
  <c r="N34" i="21" s="1"/>
  <c r="N35" i="21" s="1"/>
  <c r="N36" i="21" s="1"/>
  <c r="N37" i="21" s="1"/>
  <c r="N38" i="21" s="1"/>
  <c r="N39" i="21" s="1"/>
  <c r="N40" i="21" s="1"/>
  <c r="N41" i="21" s="1"/>
  <c r="N42" i="21" s="1"/>
  <c r="N43" i="21" s="1"/>
  <c r="N44" i="21" s="1"/>
  <c r="N45" i="21" s="1"/>
  <c r="M45" i="22" s="1"/>
  <c r="G23" i="22"/>
  <c r="G26" i="22"/>
  <c r="G32" i="22"/>
  <c r="G41" i="22"/>
  <c r="K10" i="21"/>
  <c r="G42" i="22"/>
  <c r="M44" i="22"/>
  <c r="M42" i="22"/>
  <c r="G14" i="22"/>
  <c r="G22" i="22"/>
  <c r="G31" i="22"/>
  <c r="G39" i="22"/>
  <c r="G13" i="22"/>
  <c r="G21" i="22"/>
  <c r="G30" i="22"/>
  <c r="M32" i="22"/>
  <c r="G38" i="22"/>
  <c r="G12" i="22"/>
  <c r="G20" i="22"/>
  <c r="G29" i="22"/>
  <c r="M31" i="22"/>
  <c r="G37" i="22"/>
  <c r="G9" i="22"/>
  <c r="G10" i="22"/>
  <c r="G11" i="22"/>
  <c r="G19" i="22"/>
  <c r="G28" i="22"/>
  <c r="G36" i="22"/>
  <c r="G44" i="22"/>
  <c r="G18" i="22"/>
  <c r="G27" i="22"/>
  <c r="G35" i="22"/>
  <c r="M37" i="22"/>
  <c r="G43" i="22"/>
  <c r="S8" i="24"/>
  <c r="V8" i="24"/>
  <c r="F9" i="25"/>
  <c r="F10" i="25" s="1"/>
  <c r="F11" i="25" s="1"/>
  <c r="F12" i="25" s="1"/>
  <c r="F13" i="25" s="1"/>
  <c r="F14" i="25" s="1"/>
  <c r="F15" i="25" s="1"/>
  <c r="F16" i="25" s="1"/>
  <c r="F17" i="25" s="1"/>
  <c r="F18" i="25" s="1"/>
  <c r="F19" i="25" s="1"/>
  <c r="I10" i="27"/>
  <c r="I11" i="27" s="1"/>
  <c r="I12" i="27" s="1"/>
  <c r="I13" i="27" s="1"/>
  <c r="I14" i="27" s="1"/>
  <c r="I15" i="27" s="1"/>
  <c r="I16" i="27" s="1"/>
  <c r="I17" i="27" s="1"/>
  <c r="I18" i="27" s="1"/>
  <c r="I19" i="27" s="1"/>
  <c r="I20" i="27" s="1"/>
  <c r="I21" i="27" s="1"/>
  <c r="I22" i="27" s="1"/>
  <c r="I23" i="27" s="1"/>
  <c r="I24" i="27" s="1"/>
  <c r="I25" i="27" s="1"/>
  <c r="I26" i="27" s="1"/>
  <c r="I27" i="27" s="1"/>
  <c r="I28" i="27" s="1"/>
  <c r="I29" i="27" s="1"/>
  <c r="I30" i="27" s="1"/>
  <c r="I31" i="27" s="1"/>
  <c r="I32" i="27" s="1"/>
  <c r="I33" i="27" s="1"/>
  <c r="I34" i="27" s="1"/>
  <c r="I35" i="27" s="1"/>
  <c r="I36" i="27" s="1"/>
  <c r="I37" i="27" s="1"/>
  <c r="I38" i="27" s="1"/>
  <c r="I39" i="27" s="1"/>
  <c r="I40" i="27" s="1"/>
  <c r="I41" i="27" s="1"/>
  <c r="I42" i="27" s="1"/>
  <c r="I43" i="27" s="1"/>
  <c r="I44" i="27" s="1"/>
  <c r="I45" i="27" s="1"/>
  <c r="I46" i="27" s="1"/>
  <c r="I47" i="27" s="1"/>
  <c r="T26" i="27"/>
  <c r="T34" i="27"/>
  <c r="T32" i="27"/>
  <c r="T42" i="27"/>
  <c r="T24" i="27"/>
  <c r="T40" i="27"/>
  <c r="G12" i="27"/>
  <c r="H11" i="27"/>
  <c r="T12" i="27"/>
  <c r="T20" i="27"/>
  <c r="T28" i="27"/>
  <c r="T36" i="27"/>
  <c r="T44" i="27"/>
  <c r="T10" i="27"/>
  <c r="T14" i="27"/>
  <c r="T22" i="27"/>
  <c r="T30" i="27"/>
  <c r="T45" i="27"/>
  <c r="T43" i="27"/>
  <c r="T41" i="27"/>
  <c r="T39" i="27"/>
  <c r="T37" i="27"/>
  <c r="T35" i="27"/>
  <c r="T33" i="27"/>
  <c r="T31" i="27"/>
  <c r="T29" i="27"/>
  <c r="T27" i="27"/>
  <c r="T25" i="27"/>
  <c r="T23" i="27"/>
  <c r="T21" i="27"/>
  <c r="T19" i="27"/>
  <c r="T17" i="27"/>
  <c r="T15" i="27"/>
  <c r="T13" i="27"/>
  <c r="AB8" i="24"/>
  <c r="U8" i="24"/>
  <c r="Y8" i="24"/>
  <c r="E10" i="24"/>
  <c r="R8" i="24"/>
  <c r="E13" i="19"/>
  <c r="G12" i="19"/>
  <c r="D17" i="19"/>
  <c r="H16" i="19"/>
  <c r="K30" i="18"/>
  <c r="N30" i="18" s="1"/>
  <c r="J9" i="18"/>
  <c r="K32" i="18"/>
  <c r="J10" i="18"/>
  <c r="V10" i="18"/>
  <c r="G11" i="18"/>
  <c r="W10" i="18"/>
  <c r="D9" i="25" l="1"/>
  <c r="D9" i="24" s="1"/>
  <c r="F9" i="24" s="1"/>
  <c r="K41" i="18"/>
  <c r="K34" i="18"/>
  <c r="K13" i="18"/>
  <c r="K44" i="18"/>
  <c r="K9" i="18"/>
  <c r="N9" i="18" s="1"/>
  <c r="K47" i="18"/>
  <c r="K46" i="18"/>
  <c r="K14" i="18"/>
  <c r="K10" i="18"/>
  <c r="O10" i="18" s="1"/>
  <c r="K20" i="18"/>
  <c r="K16" i="18"/>
  <c r="N16" i="18" s="1"/>
  <c r="K27" i="18"/>
  <c r="M27" i="18" s="1"/>
  <c r="K12" i="18"/>
  <c r="K31" i="18"/>
  <c r="K39" i="18"/>
  <c r="K35" i="18"/>
  <c r="U8" i="21"/>
  <c r="V8" i="21"/>
  <c r="K28" i="18"/>
  <c r="L28" i="18" s="1"/>
  <c r="K43" i="18"/>
  <c r="L43" i="18" s="1"/>
  <c r="K36" i="18"/>
  <c r="N36" i="18" s="1"/>
  <c r="K25" i="18"/>
  <c r="L25" i="18" s="1"/>
  <c r="K8" i="18"/>
  <c r="N8" i="18" s="1"/>
  <c r="M8" i="21" s="1"/>
  <c r="K19" i="18"/>
  <c r="O19" i="18" s="1"/>
  <c r="N8" i="24"/>
  <c r="M12" i="22"/>
  <c r="M40" i="22"/>
  <c r="M34" i="22"/>
  <c r="M22" i="22"/>
  <c r="K42" i="18"/>
  <c r="M42" i="18" s="1"/>
  <c r="K11" i="18"/>
  <c r="L11" i="18" s="1"/>
  <c r="M13" i="22"/>
  <c r="M41" i="22"/>
  <c r="M10" i="22"/>
  <c r="K33" i="18"/>
  <c r="L33" i="18" s="1"/>
  <c r="K29" i="18"/>
  <c r="N29" i="18" s="1"/>
  <c r="K15" i="18"/>
  <c r="L15" i="18" s="1"/>
  <c r="K22" i="18"/>
  <c r="M22" i="18" s="1"/>
  <c r="K26" i="18"/>
  <c r="N26" i="18" s="1"/>
  <c r="K45" i="18"/>
  <c r="N45" i="18" s="1"/>
  <c r="K21" i="18"/>
  <c r="O21" i="18" s="1"/>
  <c r="K40" i="18"/>
  <c r="O40" i="18" s="1"/>
  <c r="O40" i="22" s="1"/>
  <c r="Q40" i="22" s="1"/>
  <c r="K18" i="18"/>
  <c r="N18" i="18" s="1"/>
  <c r="K24" i="18"/>
  <c r="L24" i="18" s="1"/>
  <c r="K38" i="18"/>
  <c r="O38" i="18" s="1"/>
  <c r="K17" i="18"/>
  <c r="O17" i="18" s="1"/>
  <c r="K23" i="18"/>
  <c r="M23" i="18" s="1"/>
  <c r="M26" i="22"/>
  <c r="P9" i="18"/>
  <c r="E9" i="22"/>
  <c r="D9" i="22"/>
  <c r="M29" i="22"/>
  <c r="M14" i="22"/>
  <c r="M24" i="22"/>
  <c r="M36" i="22"/>
  <c r="M27" i="22"/>
  <c r="M38" i="22"/>
  <c r="M35" i="22"/>
  <c r="F9" i="21"/>
  <c r="M30" i="22"/>
  <c r="M23" i="22"/>
  <c r="M25" i="22"/>
  <c r="M28" i="22"/>
  <c r="M18" i="22"/>
  <c r="M20" i="22"/>
  <c r="M39" i="22"/>
  <c r="M17" i="22"/>
  <c r="M19" i="22"/>
  <c r="M33" i="22"/>
  <c r="M21" i="22"/>
  <c r="M43" i="22"/>
  <c r="M15" i="22"/>
  <c r="M16" i="22"/>
  <c r="M11" i="22"/>
  <c r="K11" i="21"/>
  <c r="J10" i="22"/>
  <c r="H12" i="27"/>
  <c r="G13" i="27"/>
  <c r="D11" i="25"/>
  <c r="D10" i="25"/>
  <c r="D10" i="24" s="1"/>
  <c r="N10" i="24" s="1"/>
  <c r="E11" i="24"/>
  <c r="L30" i="22"/>
  <c r="M9" i="21"/>
  <c r="L9" i="22"/>
  <c r="N9" i="22" s="1"/>
  <c r="O30" i="18"/>
  <c r="M9" i="18"/>
  <c r="N40" i="18"/>
  <c r="L30" i="18"/>
  <c r="D18" i="19"/>
  <c r="H17" i="19"/>
  <c r="L9" i="18"/>
  <c r="F9" i="22" s="1"/>
  <c r="M30" i="18"/>
  <c r="O9" i="18"/>
  <c r="G13" i="19"/>
  <c r="E14" i="19"/>
  <c r="N28" i="18"/>
  <c r="N35" i="18"/>
  <c r="L35" i="18"/>
  <c r="O35" i="18"/>
  <c r="M35" i="18"/>
  <c r="W11" i="18"/>
  <c r="G12" i="18"/>
  <c r="I11" i="18"/>
  <c r="L37" i="18"/>
  <c r="O37" i="18"/>
  <c r="N37" i="18"/>
  <c r="M37" i="18"/>
  <c r="M29" i="18"/>
  <c r="N43" i="18"/>
  <c r="L27" i="18"/>
  <c r="L41" i="18"/>
  <c r="O41" i="18"/>
  <c r="N41" i="18"/>
  <c r="M41" i="18"/>
  <c r="M33" i="18"/>
  <c r="L21" i="18"/>
  <c r="N39" i="18"/>
  <c r="L39" i="18"/>
  <c r="O39" i="18"/>
  <c r="M39" i="18"/>
  <c r="L13" i="18"/>
  <c r="O13" i="18"/>
  <c r="N13" i="18"/>
  <c r="M13" i="18"/>
  <c r="N14" i="18"/>
  <c r="M14" i="18"/>
  <c r="L14" i="18"/>
  <c r="O14" i="18"/>
  <c r="N10" i="18"/>
  <c r="M10" i="18"/>
  <c r="L10" i="18"/>
  <c r="F10" i="22" s="1"/>
  <c r="N32" i="18"/>
  <c r="L32" i="18"/>
  <c r="O32" i="18"/>
  <c r="M32" i="18"/>
  <c r="N44" i="18"/>
  <c r="L44" i="18"/>
  <c r="O44" i="18"/>
  <c r="M44" i="18"/>
  <c r="N31" i="18"/>
  <c r="L31" i="18"/>
  <c r="O31" i="18"/>
  <c r="M31" i="18"/>
  <c r="N20" i="18"/>
  <c r="L20" i="18"/>
  <c r="M20" i="18"/>
  <c r="O20" i="18"/>
  <c r="N12" i="18"/>
  <c r="L12" i="18"/>
  <c r="M12" i="18"/>
  <c r="O12" i="18"/>
  <c r="N34" i="18"/>
  <c r="M34" i="18"/>
  <c r="L34" i="18"/>
  <c r="O34" i="18"/>
  <c r="Z9" i="24" l="1"/>
  <c r="AA9" i="24" s="1"/>
  <c r="Q9" i="24"/>
  <c r="S9" i="24" s="1"/>
  <c r="W9" i="24"/>
  <c r="Y9" i="24" s="1"/>
  <c r="AF9" i="24" s="1"/>
  <c r="T9" i="24"/>
  <c r="V9" i="24" s="1"/>
  <c r="N9" i="24"/>
  <c r="P9" i="24" s="1"/>
  <c r="AC9" i="24" s="1"/>
  <c r="O22" i="18"/>
  <c r="L22" i="18"/>
  <c r="O36" i="18"/>
  <c r="N46" i="18"/>
  <c r="L46" i="18"/>
  <c r="M46" i="18"/>
  <c r="O46" i="18"/>
  <c r="M36" i="18"/>
  <c r="N47" i="18"/>
  <c r="L47" i="18"/>
  <c r="M47" i="18"/>
  <c r="O47" i="18"/>
  <c r="O16" i="18"/>
  <c r="L36" i="18"/>
  <c r="N27" i="18"/>
  <c r="M16" i="18"/>
  <c r="L16" i="18"/>
  <c r="O27" i="18"/>
  <c r="N24" i="18"/>
  <c r="M40" i="18"/>
  <c r="M17" i="18"/>
  <c r="J17" i="21" s="1"/>
  <c r="N15" i="18"/>
  <c r="N33" i="18"/>
  <c r="N22" i="18"/>
  <c r="L22" i="22" s="1"/>
  <c r="N22" i="22" s="1"/>
  <c r="O42" i="18"/>
  <c r="N11" i="18"/>
  <c r="M28" i="18"/>
  <c r="N17" i="18"/>
  <c r="L17" i="22" s="1"/>
  <c r="N17" i="22" s="1"/>
  <c r="L23" i="18"/>
  <c r="L17" i="18"/>
  <c r="G17" i="21" s="1"/>
  <c r="O18" i="18"/>
  <c r="O28" i="18"/>
  <c r="O28" i="22" s="1"/>
  <c r="Q28" i="22" s="1"/>
  <c r="O23" i="18"/>
  <c r="O23" i="22" s="1"/>
  <c r="Q23" i="22" s="1"/>
  <c r="L18" i="18"/>
  <c r="L45" i="18"/>
  <c r="F45" i="22" s="1"/>
  <c r="O45" i="18"/>
  <c r="O45" i="22" s="1"/>
  <c r="Q45" i="22" s="1"/>
  <c r="O26" i="18"/>
  <c r="M45" i="18"/>
  <c r="M8" i="18"/>
  <c r="J8" i="21" s="1"/>
  <c r="L26" i="18"/>
  <c r="F26" i="22" s="1"/>
  <c r="M26" i="18"/>
  <c r="M11" i="18"/>
  <c r="J11" i="21" s="1"/>
  <c r="O11" i="18"/>
  <c r="O11" i="22" s="1"/>
  <c r="Q11" i="22" s="1"/>
  <c r="O8" i="18"/>
  <c r="O8" i="22" s="1"/>
  <c r="Q8" i="22" s="1"/>
  <c r="N23" i="18"/>
  <c r="L23" i="22" s="1"/>
  <c r="N23" i="22" s="1"/>
  <c r="L19" i="18"/>
  <c r="M38" i="18"/>
  <c r="I38" i="22" s="1"/>
  <c r="O33" i="18"/>
  <c r="O33" i="22" s="1"/>
  <c r="Q33" i="22" s="1"/>
  <c r="M18" i="18"/>
  <c r="J18" i="21" s="1"/>
  <c r="O29" i="18"/>
  <c r="O29" i="22" s="1"/>
  <c r="Q29" i="22" s="1"/>
  <c r="N42" i="18"/>
  <c r="L42" i="22" s="1"/>
  <c r="N42" i="22" s="1"/>
  <c r="L8" i="22"/>
  <c r="N8" i="22" s="1"/>
  <c r="L42" i="18"/>
  <c r="N19" i="18"/>
  <c r="L19" i="22" s="1"/>
  <c r="N19" i="22" s="1"/>
  <c r="L29" i="18"/>
  <c r="L8" i="18"/>
  <c r="G8" i="21" s="1"/>
  <c r="P10" i="18"/>
  <c r="Q10" i="18" s="1"/>
  <c r="V9" i="21"/>
  <c r="U9" i="21"/>
  <c r="M15" i="18"/>
  <c r="J15" i="21" s="1"/>
  <c r="O24" i="18"/>
  <c r="M21" i="18"/>
  <c r="O43" i="18"/>
  <c r="N25" i="18"/>
  <c r="L25" i="22" s="1"/>
  <c r="N25" i="22" s="1"/>
  <c r="N30" i="22"/>
  <c r="L38" i="18"/>
  <c r="F38" i="22" s="1"/>
  <c r="N38" i="18"/>
  <c r="L38" i="22" s="1"/>
  <c r="N38" i="22" s="1"/>
  <c r="O15" i="18"/>
  <c r="P15" i="21" s="1"/>
  <c r="N21" i="18"/>
  <c r="L21" i="22" s="1"/>
  <c r="N21" i="22" s="1"/>
  <c r="M19" i="18"/>
  <c r="D11" i="21"/>
  <c r="D11" i="22"/>
  <c r="E11" i="22"/>
  <c r="M25" i="18"/>
  <c r="I25" i="22" s="1"/>
  <c r="M24" i="18"/>
  <c r="M43" i="18"/>
  <c r="I43" i="22" s="1"/>
  <c r="O25" i="18"/>
  <c r="L40" i="18"/>
  <c r="F40" i="22" s="1"/>
  <c r="P8" i="24"/>
  <c r="AC8" i="24" s="1"/>
  <c r="O8" i="24"/>
  <c r="AI8" i="24" s="1"/>
  <c r="J8" i="25" s="1"/>
  <c r="K12" i="21"/>
  <c r="J11" i="22"/>
  <c r="G14" i="27"/>
  <c r="H13" i="27"/>
  <c r="F10" i="24"/>
  <c r="Q11" i="24"/>
  <c r="Z11" i="24"/>
  <c r="W11" i="24"/>
  <c r="T11" i="24"/>
  <c r="W10" i="24"/>
  <c r="T10" i="24"/>
  <c r="Q10" i="24"/>
  <c r="Z10" i="24"/>
  <c r="O8" i="21"/>
  <c r="AL8" i="24"/>
  <c r="M8" i="25" s="1"/>
  <c r="AF8" i="24"/>
  <c r="E12" i="24"/>
  <c r="D11" i="24"/>
  <c r="P10" i="24"/>
  <c r="AC10" i="24" s="1"/>
  <c r="O10" i="24"/>
  <c r="AI10" i="24" s="1"/>
  <c r="J10" i="25" s="1"/>
  <c r="O9" i="21"/>
  <c r="L8" i="21"/>
  <c r="AE8" i="24"/>
  <c r="AK8" i="24"/>
  <c r="L8" i="25" s="1"/>
  <c r="F34" i="22"/>
  <c r="O32" i="22"/>
  <c r="Q32" i="22" s="1"/>
  <c r="I33" i="22"/>
  <c r="I29" i="22"/>
  <c r="I34" i="22"/>
  <c r="M10" i="21"/>
  <c r="L10" i="22"/>
  <c r="N10" i="22" s="1"/>
  <c r="G13" i="21"/>
  <c r="I13" i="21" s="1"/>
  <c r="F13" i="22"/>
  <c r="F30" i="22"/>
  <c r="I20" i="22"/>
  <c r="O19" i="22"/>
  <c r="Q19" i="22" s="1"/>
  <c r="O39" i="22"/>
  <c r="Q39" i="22" s="1"/>
  <c r="I36" i="22"/>
  <c r="F19" i="22"/>
  <c r="P13" i="21"/>
  <c r="O13" i="22"/>
  <c r="Q13" i="22" s="1"/>
  <c r="L33" i="22"/>
  <c r="N33" i="22" s="1"/>
  <c r="L29" i="22"/>
  <c r="N29" i="22" s="1"/>
  <c r="I42" i="22"/>
  <c r="L26" i="22"/>
  <c r="N26" i="22" s="1"/>
  <c r="L32" i="22"/>
  <c r="N32" i="22" s="1"/>
  <c r="L39" i="22"/>
  <c r="N39" i="22" s="1"/>
  <c r="F27" i="22"/>
  <c r="G11" i="21"/>
  <c r="F11" i="22"/>
  <c r="L36" i="22"/>
  <c r="N36" i="22" s="1"/>
  <c r="P9" i="21"/>
  <c r="O9" i="22"/>
  <c r="Q9" i="22" s="1"/>
  <c r="I23" i="22"/>
  <c r="P12" i="21"/>
  <c r="O12" i="22"/>
  <c r="Q12" i="22" s="1"/>
  <c r="I17" i="22"/>
  <c r="I31" i="22"/>
  <c r="I44" i="22"/>
  <c r="P16" i="21"/>
  <c r="O16" i="22"/>
  <c r="Q16" i="22" s="1"/>
  <c r="P14" i="21"/>
  <c r="O14" i="22"/>
  <c r="Q14" i="22" s="1"/>
  <c r="O24" i="22"/>
  <c r="Q24" i="22" s="1"/>
  <c r="F33" i="22"/>
  <c r="L27" i="22"/>
  <c r="N27" i="22" s="1"/>
  <c r="M11" i="21"/>
  <c r="L11" i="22"/>
  <c r="N11" i="22" s="1"/>
  <c r="M18" i="21"/>
  <c r="L18" i="22"/>
  <c r="N18" i="22" s="1"/>
  <c r="F29" i="22"/>
  <c r="I35" i="22"/>
  <c r="I28" i="22"/>
  <c r="L40" i="22"/>
  <c r="N40" i="22" s="1"/>
  <c r="M13" i="21"/>
  <c r="L13" i="22"/>
  <c r="N13" i="22" s="1"/>
  <c r="O27" i="22"/>
  <c r="Q27" i="22" s="1"/>
  <c r="F42" i="22"/>
  <c r="I26" i="22"/>
  <c r="F39" i="22"/>
  <c r="G18" i="21"/>
  <c r="I18" i="21" s="1"/>
  <c r="F18" i="22"/>
  <c r="I40" i="22"/>
  <c r="L34" i="22"/>
  <c r="N34" i="22" s="1"/>
  <c r="J12" i="21"/>
  <c r="I12" i="22"/>
  <c r="O44" i="22"/>
  <c r="Q44" i="22" s="1"/>
  <c r="G14" i="21"/>
  <c r="F14" i="22"/>
  <c r="I41" i="22"/>
  <c r="O22" i="22"/>
  <c r="Q22" i="22" s="1"/>
  <c r="O35" i="22"/>
  <c r="Q35" i="22" s="1"/>
  <c r="O30" i="22"/>
  <c r="Q30" i="22" s="1"/>
  <c r="F23" i="22"/>
  <c r="F31" i="22"/>
  <c r="G16" i="21"/>
  <c r="F16" i="22"/>
  <c r="J14" i="21"/>
  <c r="I14" i="22"/>
  <c r="F24" i="22"/>
  <c r="L41" i="22"/>
  <c r="N41" i="22" s="1"/>
  <c r="F22" i="22"/>
  <c r="L37" i="22"/>
  <c r="N37" i="22" s="1"/>
  <c r="F35" i="22"/>
  <c r="O25" i="22"/>
  <c r="Q25" i="22" s="1"/>
  <c r="F28" i="22"/>
  <c r="H9" i="22"/>
  <c r="F20" i="22"/>
  <c r="J10" i="21"/>
  <c r="I10" i="22"/>
  <c r="K10" i="22" s="1"/>
  <c r="P11" i="21"/>
  <c r="F36" i="22"/>
  <c r="L20" i="22"/>
  <c r="N20" i="22" s="1"/>
  <c r="M17" i="21"/>
  <c r="J16" i="21"/>
  <c r="I16" i="22"/>
  <c r="I24" i="22"/>
  <c r="O43" i="22"/>
  <c r="Q43" i="22" s="1"/>
  <c r="I45" i="22"/>
  <c r="I22" i="22"/>
  <c r="O37" i="22"/>
  <c r="Q37" i="22" s="1"/>
  <c r="L35" i="22"/>
  <c r="N35" i="22" s="1"/>
  <c r="F25" i="22"/>
  <c r="L28" i="22"/>
  <c r="N28" i="22" s="1"/>
  <c r="H10" i="22"/>
  <c r="P18" i="21"/>
  <c r="O18" i="22"/>
  <c r="Q18" i="22" s="1"/>
  <c r="F32" i="22"/>
  <c r="I27" i="22"/>
  <c r="O31" i="22"/>
  <c r="Q31" i="22" s="1"/>
  <c r="I21" i="22"/>
  <c r="I37" i="22"/>
  <c r="I30" i="22"/>
  <c r="G12" i="21"/>
  <c r="I12" i="21" s="1"/>
  <c r="F12" i="22"/>
  <c r="P17" i="21"/>
  <c r="O17" i="22"/>
  <c r="Q17" i="22" s="1"/>
  <c r="F44" i="22"/>
  <c r="G15" i="21"/>
  <c r="F15" i="22"/>
  <c r="M12" i="21"/>
  <c r="L12" i="22"/>
  <c r="N12" i="22" s="1"/>
  <c r="L31" i="22"/>
  <c r="N31" i="22" s="1"/>
  <c r="L44" i="22"/>
  <c r="N44" i="22" s="1"/>
  <c r="M16" i="21"/>
  <c r="L16" i="22"/>
  <c r="N16" i="22" s="1"/>
  <c r="M15" i="21"/>
  <c r="L15" i="22"/>
  <c r="N15" i="22" s="1"/>
  <c r="M14" i="21"/>
  <c r="L14" i="22"/>
  <c r="N14" i="22" s="1"/>
  <c r="L24" i="22"/>
  <c r="N24" i="22" s="1"/>
  <c r="O21" i="22"/>
  <c r="Q21" i="22" s="1"/>
  <c r="O41" i="22"/>
  <c r="Q41" i="22" s="1"/>
  <c r="F43" i="22"/>
  <c r="O34" i="22"/>
  <c r="Q34" i="22" s="1"/>
  <c r="O20" i="22"/>
  <c r="Q20" i="22" s="1"/>
  <c r="O26" i="22"/>
  <c r="Q26" i="22" s="1"/>
  <c r="I19" i="22"/>
  <c r="I32" i="22"/>
  <c r="P10" i="21"/>
  <c r="O10" i="22"/>
  <c r="Q10" i="22" s="1"/>
  <c r="O38" i="22"/>
  <c r="Q38" i="22" s="1"/>
  <c r="J13" i="21"/>
  <c r="I13" i="22"/>
  <c r="I39" i="22"/>
  <c r="F21" i="22"/>
  <c r="F41" i="22"/>
  <c r="L43" i="22"/>
  <c r="N43" i="22" s="1"/>
  <c r="L45" i="22"/>
  <c r="N45" i="22" s="1"/>
  <c r="F37" i="22"/>
  <c r="O36" i="22"/>
  <c r="Q36" i="22" s="1"/>
  <c r="O42" i="22"/>
  <c r="Q42" i="22" s="1"/>
  <c r="J9" i="21"/>
  <c r="I9" i="22"/>
  <c r="K9" i="22" s="1"/>
  <c r="G10" i="21"/>
  <c r="Q9" i="18"/>
  <c r="G9" i="21"/>
  <c r="G14" i="19"/>
  <c r="E15" i="19"/>
  <c r="D19" i="19"/>
  <c r="H18" i="19"/>
  <c r="W12" i="18"/>
  <c r="G13" i="18"/>
  <c r="I12" i="18"/>
  <c r="J11" i="18"/>
  <c r="V11" i="18"/>
  <c r="X9" i="24" l="1"/>
  <c r="AL9" i="24" s="1"/>
  <c r="M9" i="25" s="1"/>
  <c r="AB9" i="24"/>
  <c r="AG9" i="24" s="1"/>
  <c r="R9" i="24"/>
  <c r="AJ9" i="24" s="1"/>
  <c r="O9" i="24"/>
  <c r="AI9" i="24" s="1"/>
  <c r="J9" i="25" s="1"/>
  <c r="U9" i="24"/>
  <c r="AK9" i="24" s="1"/>
  <c r="L9" i="25" s="1"/>
  <c r="L47" i="22"/>
  <c r="N47" i="22" s="1"/>
  <c r="M47" i="21"/>
  <c r="J47" i="21"/>
  <c r="I47" i="22"/>
  <c r="O47" i="22"/>
  <c r="Q47" i="22" s="1"/>
  <c r="P47" i="21"/>
  <c r="G47" i="21"/>
  <c r="F47" i="22"/>
  <c r="H47" i="22" s="1"/>
  <c r="I46" i="22"/>
  <c r="K46" i="22" s="1"/>
  <c r="J46" i="21"/>
  <c r="G46" i="21"/>
  <c r="F46" i="22"/>
  <c r="M46" i="21"/>
  <c r="L46" i="22"/>
  <c r="N46" i="22" s="1"/>
  <c r="O46" i="22"/>
  <c r="Q46" i="22" s="1"/>
  <c r="P46" i="21"/>
  <c r="F17" i="22"/>
  <c r="P8" i="21"/>
  <c r="O15" i="22"/>
  <c r="Q15" i="22" s="1"/>
  <c r="I15" i="22"/>
  <c r="Q8" i="18"/>
  <c r="I8" i="22"/>
  <c r="K8" i="22" s="1"/>
  <c r="F8" i="22"/>
  <c r="H8" i="22" s="1"/>
  <c r="I18" i="22"/>
  <c r="I11" i="22"/>
  <c r="K11" i="22" s="1"/>
  <c r="D12" i="22"/>
  <c r="D12" i="21"/>
  <c r="S12" i="21" s="1"/>
  <c r="W12" i="21" s="1"/>
  <c r="P11" i="18"/>
  <c r="V10" i="21"/>
  <c r="U10" i="21"/>
  <c r="F11" i="21"/>
  <c r="E11" i="21"/>
  <c r="J19" i="21"/>
  <c r="G19" i="21"/>
  <c r="P19" i="21"/>
  <c r="M19" i="21"/>
  <c r="O19" i="21" s="1"/>
  <c r="J12" i="22"/>
  <c r="K12" i="22" s="1"/>
  <c r="K13" i="21"/>
  <c r="L13" i="21" s="1"/>
  <c r="H14" i="27"/>
  <c r="G15" i="27"/>
  <c r="R9" i="22"/>
  <c r="T9" i="22" s="1"/>
  <c r="N11" i="24"/>
  <c r="P11" i="24" s="1"/>
  <c r="AC11" i="24" s="1"/>
  <c r="S10" i="24"/>
  <c r="AD10" i="24" s="1"/>
  <c r="R10" i="24"/>
  <c r="AJ10" i="24" s="1"/>
  <c r="V10" i="24"/>
  <c r="AE10" i="24" s="1"/>
  <c r="U10" i="24"/>
  <c r="AK10" i="24" s="1"/>
  <c r="L10" i="25" s="1"/>
  <c r="U11" i="24"/>
  <c r="AK11" i="24" s="1"/>
  <c r="L11" i="25" s="1"/>
  <c r="V11" i="24"/>
  <c r="AE11" i="24" s="1"/>
  <c r="D12" i="25"/>
  <c r="Y11" i="24"/>
  <c r="AF11" i="24" s="1"/>
  <c r="X11" i="24"/>
  <c r="AL11" i="24" s="1"/>
  <c r="M11" i="25" s="1"/>
  <c r="Y10" i="24"/>
  <c r="AF10" i="24" s="1"/>
  <c r="X10" i="24"/>
  <c r="AL10" i="24" s="1"/>
  <c r="M10" i="25" s="1"/>
  <c r="AA11" i="24"/>
  <c r="AM11" i="24" s="1"/>
  <c r="N11" i="25" s="1"/>
  <c r="AB11" i="24"/>
  <c r="AG11" i="24" s="1"/>
  <c r="AB10" i="24"/>
  <c r="AG10" i="24" s="1"/>
  <c r="AA10" i="24"/>
  <c r="AM10" i="24" s="1"/>
  <c r="N10" i="25" s="1"/>
  <c r="S11" i="24"/>
  <c r="AD11" i="24" s="1"/>
  <c r="R11" i="24"/>
  <c r="AJ11" i="24" s="1"/>
  <c r="K11" i="25" s="1"/>
  <c r="R18" i="21"/>
  <c r="O17" i="21"/>
  <c r="O16" i="21"/>
  <c r="L10" i="21"/>
  <c r="AD8" i="24"/>
  <c r="AJ8" i="24"/>
  <c r="K8" i="25" s="1"/>
  <c r="R16" i="21"/>
  <c r="R10" i="21"/>
  <c r="F11" i="24"/>
  <c r="I8" i="21"/>
  <c r="I14" i="21"/>
  <c r="O13" i="21"/>
  <c r="O11" i="21"/>
  <c r="R14" i="21"/>
  <c r="R9" i="21"/>
  <c r="AM9" i="24"/>
  <c r="N9" i="25" s="1"/>
  <c r="R13" i="21"/>
  <c r="O10" i="21"/>
  <c r="L12" i="21"/>
  <c r="R8" i="21"/>
  <c r="AG8" i="24"/>
  <c r="AM8" i="24"/>
  <c r="N8" i="25" s="1"/>
  <c r="S8" i="21"/>
  <c r="W8" i="21" s="1"/>
  <c r="O18" i="21"/>
  <c r="L11" i="21"/>
  <c r="E13" i="24"/>
  <c r="O14" i="21"/>
  <c r="I15" i="21"/>
  <c r="R12" i="21"/>
  <c r="R17" i="21"/>
  <c r="R11" i="21"/>
  <c r="R19" i="21"/>
  <c r="O12" i="21"/>
  <c r="AD9" i="24"/>
  <c r="I11" i="21"/>
  <c r="L9" i="21"/>
  <c r="AE9" i="24"/>
  <c r="O15" i="21"/>
  <c r="R15" i="21"/>
  <c r="H15" i="22"/>
  <c r="H40" i="22"/>
  <c r="H16" i="22"/>
  <c r="H27" i="22"/>
  <c r="I16" i="21"/>
  <c r="H41" i="22"/>
  <c r="H31" i="22"/>
  <c r="H19" i="22"/>
  <c r="H21" i="22"/>
  <c r="H25" i="22"/>
  <c r="H45" i="22"/>
  <c r="H24" i="22"/>
  <c r="H23" i="22"/>
  <c r="H39" i="22"/>
  <c r="H38" i="22"/>
  <c r="H29" i="22"/>
  <c r="H33" i="22"/>
  <c r="H14" i="22"/>
  <c r="H28" i="22"/>
  <c r="S11" i="21"/>
  <c r="W11" i="21" s="1"/>
  <c r="I17" i="21"/>
  <c r="S9" i="22"/>
  <c r="U9" i="22" s="1"/>
  <c r="U9" i="27" s="1"/>
  <c r="H44" i="22"/>
  <c r="H32" i="22"/>
  <c r="H22" i="22"/>
  <c r="H12" i="22"/>
  <c r="R10" i="22"/>
  <c r="T10" i="22" s="1"/>
  <c r="H20" i="22"/>
  <c r="H35" i="22"/>
  <c r="H26" i="22"/>
  <c r="H11" i="22"/>
  <c r="H30" i="22"/>
  <c r="H13" i="22"/>
  <c r="H34" i="22"/>
  <c r="H43" i="22"/>
  <c r="H36" i="22"/>
  <c r="H42" i="22"/>
  <c r="H37" i="22"/>
  <c r="H17" i="22"/>
  <c r="H18" i="22"/>
  <c r="S10" i="22"/>
  <c r="U10" i="22" s="1"/>
  <c r="U10" i="27" s="1"/>
  <c r="I9" i="21"/>
  <c r="S9" i="21"/>
  <c r="W9" i="21" s="1"/>
  <c r="I10" i="21"/>
  <c r="S10" i="21"/>
  <c r="W10" i="21" s="1"/>
  <c r="G15" i="19"/>
  <c r="E16" i="19"/>
  <c r="D20" i="19"/>
  <c r="H19" i="19"/>
  <c r="G14" i="18"/>
  <c r="W13" i="18"/>
  <c r="I13" i="18"/>
  <c r="J12" i="18"/>
  <c r="V12" i="18"/>
  <c r="D12" i="24" l="1"/>
  <c r="AT10" i="27"/>
  <c r="AM10" i="27"/>
  <c r="AN10" i="27"/>
  <c r="AO10" i="27"/>
  <c r="AQ10" i="27"/>
  <c r="AR10" i="27"/>
  <c r="AS10" i="27"/>
  <c r="AP10" i="27"/>
  <c r="AP9" i="27"/>
  <c r="AQ9" i="27"/>
  <c r="AR9" i="27"/>
  <c r="AS9" i="27"/>
  <c r="AT9" i="27"/>
  <c r="AM9" i="27"/>
  <c r="AN9" i="27"/>
  <c r="AO9" i="27"/>
  <c r="L47" i="21"/>
  <c r="I47" i="21"/>
  <c r="T47" i="21" s="1"/>
  <c r="S47" i="21"/>
  <c r="O47" i="21"/>
  <c r="R47" i="21"/>
  <c r="R47" i="22"/>
  <c r="T47" i="22" s="1"/>
  <c r="K47" i="22"/>
  <c r="R46" i="21"/>
  <c r="O46" i="21"/>
  <c r="I46" i="21"/>
  <c r="S46" i="21"/>
  <c r="R46" i="22"/>
  <c r="T46" i="22" s="1"/>
  <c r="H46" i="22"/>
  <c r="L46" i="21"/>
  <c r="S8" i="22"/>
  <c r="U8" i="22" s="1"/>
  <c r="U8" i="27" s="1"/>
  <c r="R12" i="22"/>
  <c r="T12" i="22" s="1"/>
  <c r="R11" i="22"/>
  <c r="T11" i="22" s="1"/>
  <c r="R8" i="22"/>
  <c r="T8" i="22" s="1"/>
  <c r="S11" i="22"/>
  <c r="U11" i="22" s="1"/>
  <c r="U11" i="27" s="1"/>
  <c r="D13" i="22"/>
  <c r="D13" i="21"/>
  <c r="P12" i="18"/>
  <c r="V11" i="21"/>
  <c r="U11" i="21"/>
  <c r="Q11" i="18"/>
  <c r="I19" i="21"/>
  <c r="E12" i="21"/>
  <c r="F12" i="21" s="1"/>
  <c r="J20" i="21"/>
  <c r="G20" i="21"/>
  <c r="M20" i="21"/>
  <c r="P20" i="21"/>
  <c r="K14" i="21"/>
  <c r="J13" i="22"/>
  <c r="K13" i="22" s="1"/>
  <c r="T11" i="21"/>
  <c r="X11" i="21" s="1"/>
  <c r="S12" i="22"/>
  <c r="U12" i="22" s="1"/>
  <c r="U12" i="27" s="1"/>
  <c r="O11" i="24"/>
  <c r="AI11" i="24" s="1"/>
  <c r="J11" i="25" s="1"/>
  <c r="O11" i="25" s="1"/>
  <c r="G16" i="27"/>
  <c r="W9" i="27"/>
  <c r="V10" i="27"/>
  <c r="W10" i="27"/>
  <c r="H15" i="27"/>
  <c r="AH9" i="24"/>
  <c r="AH10" i="24"/>
  <c r="O8" i="25"/>
  <c r="AP10" i="24"/>
  <c r="AO10" i="24" s="1"/>
  <c r="AU10" i="24" s="1"/>
  <c r="G10" i="24" s="1"/>
  <c r="W12" i="24"/>
  <c r="T12" i="24"/>
  <c r="Q12" i="24"/>
  <c r="Z12" i="24"/>
  <c r="AN10" i="24"/>
  <c r="K10" i="25"/>
  <c r="O10" i="25" s="1"/>
  <c r="AP9" i="24"/>
  <c r="AO9" i="24" s="1"/>
  <c r="K9" i="25"/>
  <c r="O9" i="25" s="1"/>
  <c r="T8" i="21"/>
  <c r="X8" i="21" s="1"/>
  <c r="Q8" i="27" s="1"/>
  <c r="AH11" i="24"/>
  <c r="T10" i="21"/>
  <c r="AN9" i="24"/>
  <c r="N12" i="24"/>
  <c r="AN8" i="24"/>
  <c r="AP8" i="24"/>
  <c r="AV8" i="24" s="1"/>
  <c r="H8" i="24" s="1"/>
  <c r="T9" i="21"/>
  <c r="X9" i="21" s="1"/>
  <c r="E14" i="24"/>
  <c r="AH8" i="24"/>
  <c r="F12" i="24"/>
  <c r="H20" i="19"/>
  <c r="D21" i="19"/>
  <c r="G16" i="19"/>
  <c r="E17" i="19"/>
  <c r="J13" i="18"/>
  <c r="V13" i="18"/>
  <c r="G15" i="18"/>
  <c r="W14" i="18"/>
  <c r="I14" i="18"/>
  <c r="AP12" i="27" l="1"/>
  <c r="AQ12" i="27"/>
  <c r="AR12" i="27"/>
  <c r="AS12" i="27"/>
  <c r="AT12" i="27"/>
  <c r="AM12" i="27"/>
  <c r="AN12" i="27"/>
  <c r="AO12" i="27"/>
  <c r="AG8" i="27"/>
  <c r="AD8" i="27"/>
  <c r="AA8" i="27"/>
  <c r="AF8" i="27"/>
  <c r="AC8" i="27"/>
  <c r="AE8" i="27"/>
  <c r="AH8" i="27"/>
  <c r="AB8" i="27"/>
  <c r="AU9" i="27"/>
  <c r="AM11" i="27"/>
  <c r="AN11" i="27"/>
  <c r="AO11" i="27"/>
  <c r="AP11" i="27"/>
  <c r="AQ11" i="27"/>
  <c r="AR11" i="27"/>
  <c r="AS11" i="27"/>
  <c r="AT11" i="27"/>
  <c r="AU10" i="27"/>
  <c r="AQ8" i="27"/>
  <c r="AP8" i="27"/>
  <c r="AO8" i="27"/>
  <c r="AN8" i="27"/>
  <c r="AM8" i="27"/>
  <c r="AT8" i="27"/>
  <c r="AS8" i="27"/>
  <c r="AR8" i="27"/>
  <c r="N3" i="25"/>
  <c r="W8" i="25"/>
  <c r="V11" i="27"/>
  <c r="W8" i="27"/>
  <c r="V9" i="27"/>
  <c r="AU9" i="24"/>
  <c r="G9" i="24" s="1"/>
  <c r="AQ10" i="24"/>
  <c r="AW10" i="24" s="1"/>
  <c r="I10" i="24" s="1"/>
  <c r="J10" i="26" s="1"/>
  <c r="K10" i="26" s="1"/>
  <c r="W47" i="21"/>
  <c r="X47" i="21"/>
  <c r="W46" i="21"/>
  <c r="T46" i="21"/>
  <c r="T12" i="21"/>
  <c r="X12" i="21" s="1"/>
  <c r="V12" i="27"/>
  <c r="W11" i="27"/>
  <c r="AS11" i="24"/>
  <c r="AR11" i="24" s="1"/>
  <c r="E13" i="21"/>
  <c r="T13" i="21" s="1"/>
  <c r="X13" i="21" s="1"/>
  <c r="S13" i="21"/>
  <c r="W13" i="21" s="1"/>
  <c r="S13" i="22"/>
  <c r="U13" i="22" s="1"/>
  <c r="U13" i="27" s="1"/>
  <c r="R13" i="22"/>
  <c r="T13" i="22" s="1"/>
  <c r="D14" i="21"/>
  <c r="D14" i="22"/>
  <c r="P13" i="18"/>
  <c r="V12" i="21"/>
  <c r="U12" i="21"/>
  <c r="Q12" i="18"/>
  <c r="O20" i="21"/>
  <c r="I20" i="21"/>
  <c r="G21" i="21"/>
  <c r="M21" i="21"/>
  <c r="J21" i="21"/>
  <c r="P21" i="21"/>
  <c r="R20" i="21"/>
  <c r="K15" i="21"/>
  <c r="J14" i="22"/>
  <c r="K14" i="22" s="1"/>
  <c r="L14" i="21"/>
  <c r="W12" i="27"/>
  <c r="AV10" i="24"/>
  <c r="H10" i="24" s="1"/>
  <c r="AP11" i="24"/>
  <c r="AV11" i="24" s="1"/>
  <c r="H11" i="24" s="1"/>
  <c r="H16" i="27"/>
  <c r="G17" i="27"/>
  <c r="AN11" i="24"/>
  <c r="Q9" i="27"/>
  <c r="S8" i="27"/>
  <c r="K3" i="25"/>
  <c r="AV9" i="24"/>
  <c r="H9" i="24" s="1"/>
  <c r="V12" i="24"/>
  <c r="AE12" i="24" s="1"/>
  <c r="U12" i="24"/>
  <c r="AK12" i="24" s="1"/>
  <c r="L12" i="25" s="1"/>
  <c r="AS8" i="24"/>
  <c r="AR8" i="24" s="1"/>
  <c r="Q10" i="25"/>
  <c r="W10" i="25"/>
  <c r="X12" i="24"/>
  <c r="AL12" i="24" s="1"/>
  <c r="M12" i="25" s="1"/>
  <c r="Y12" i="24"/>
  <c r="AF12" i="24" s="1"/>
  <c r="AQ9" i="24"/>
  <c r="AW9" i="24" s="1"/>
  <c r="I9" i="24" s="1"/>
  <c r="J9" i="26" s="1"/>
  <c r="K9" i="26" s="1"/>
  <c r="Q8" i="25"/>
  <c r="J3" i="25"/>
  <c r="M3" i="25"/>
  <c r="L3" i="25"/>
  <c r="AB12" i="24"/>
  <c r="AG12" i="24" s="1"/>
  <c r="AA12" i="24"/>
  <c r="AM12" i="24" s="1"/>
  <c r="N12" i="25" s="1"/>
  <c r="Q9" i="25"/>
  <c r="X9" i="25" s="1"/>
  <c r="W9" i="25"/>
  <c r="S12" i="24"/>
  <c r="AD12" i="24" s="1"/>
  <c r="R12" i="24"/>
  <c r="AJ12" i="24" s="1"/>
  <c r="K12" i="25" s="1"/>
  <c r="W11" i="25"/>
  <c r="Q11" i="25"/>
  <c r="AS9" i="24"/>
  <c r="AR9" i="24" s="1"/>
  <c r="E15" i="24"/>
  <c r="X10" i="21"/>
  <c r="AS10" i="24"/>
  <c r="AR10" i="24" s="1"/>
  <c r="AO8" i="24"/>
  <c r="AU8" i="24" s="1"/>
  <c r="G8" i="24" s="1"/>
  <c r="O12" i="24"/>
  <c r="AI12" i="24" s="1"/>
  <c r="J12" i="25" s="1"/>
  <c r="P12" i="24"/>
  <c r="AC12" i="24" s="1"/>
  <c r="H21" i="19"/>
  <c r="D22" i="19"/>
  <c r="E18" i="19"/>
  <c r="G17" i="19"/>
  <c r="J14" i="18"/>
  <c r="V14" i="18"/>
  <c r="W15" i="18"/>
  <c r="G16" i="18"/>
  <c r="I15" i="18"/>
  <c r="AI8" i="27" l="1"/>
  <c r="AU8" i="27"/>
  <c r="AU11" i="27"/>
  <c r="AU12" i="27"/>
  <c r="AF9" i="27"/>
  <c r="AC9" i="27"/>
  <c r="AE9" i="27"/>
  <c r="AH9" i="27"/>
  <c r="AD9" i="27"/>
  <c r="AB9" i="27"/>
  <c r="AG9" i="27"/>
  <c r="AA9" i="27"/>
  <c r="AT13" i="27"/>
  <c r="AM13" i="27"/>
  <c r="AN13" i="27"/>
  <c r="AO13" i="27"/>
  <c r="AQ13" i="27"/>
  <c r="AR13" i="27"/>
  <c r="AS13" i="27"/>
  <c r="AP13" i="27"/>
  <c r="X8" i="25"/>
  <c r="X10" i="25"/>
  <c r="X11" i="25"/>
  <c r="V9" i="25"/>
  <c r="AB9" i="25" s="1"/>
  <c r="S8" i="25"/>
  <c r="AT11" i="24"/>
  <c r="AT8" i="24"/>
  <c r="AQ8" i="24"/>
  <c r="AW8" i="24" s="1"/>
  <c r="I8" i="24" s="1"/>
  <c r="J8" i="26" s="1"/>
  <c r="K8" i="26" s="1"/>
  <c r="AT10" i="24"/>
  <c r="AT9" i="24"/>
  <c r="X46" i="21"/>
  <c r="W13" i="27"/>
  <c r="V13" i="27"/>
  <c r="F13" i="21"/>
  <c r="E14" i="22"/>
  <c r="S14" i="22" s="1"/>
  <c r="U14" i="22" s="1"/>
  <c r="U14" i="27" s="1"/>
  <c r="R14" i="22"/>
  <c r="T14" i="22" s="1"/>
  <c r="E14" i="21"/>
  <c r="F14" i="21" s="1"/>
  <c r="S14" i="21"/>
  <c r="W14" i="21" s="1"/>
  <c r="D15" i="21"/>
  <c r="D15" i="22"/>
  <c r="T14" i="21"/>
  <c r="X14" i="21" s="1"/>
  <c r="P14" i="18"/>
  <c r="V13" i="21"/>
  <c r="U13" i="21"/>
  <c r="Q13" i="18"/>
  <c r="P22" i="21"/>
  <c r="J22" i="21"/>
  <c r="G22" i="21"/>
  <c r="M22" i="21"/>
  <c r="O21" i="21"/>
  <c r="I21" i="21"/>
  <c r="R21" i="21"/>
  <c r="AO11" i="24"/>
  <c r="AU11" i="24" s="1"/>
  <c r="G11" i="24" s="1"/>
  <c r="K16" i="21"/>
  <c r="J15" i="22"/>
  <c r="K15" i="22" s="1"/>
  <c r="L15" i="21"/>
  <c r="V8" i="25"/>
  <c r="R8" i="25"/>
  <c r="Y8" i="25" s="1"/>
  <c r="T8" i="25"/>
  <c r="Q10" i="27"/>
  <c r="S9" i="27"/>
  <c r="R9" i="27"/>
  <c r="G18" i="27"/>
  <c r="H17" i="27"/>
  <c r="R9" i="25"/>
  <c r="Y9" i="25" s="1"/>
  <c r="AD9" i="25" s="1"/>
  <c r="S9" i="25"/>
  <c r="P10" i="25"/>
  <c r="U10" i="25"/>
  <c r="S10" i="25"/>
  <c r="U9" i="25"/>
  <c r="P9" i="25"/>
  <c r="T10" i="25"/>
  <c r="V10" i="25"/>
  <c r="AB10" i="25" s="1"/>
  <c r="P11" i="25"/>
  <c r="U11" i="25"/>
  <c r="R11" i="25"/>
  <c r="Y11" i="25" s="1"/>
  <c r="T11" i="25"/>
  <c r="T9" i="25"/>
  <c r="S11" i="25"/>
  <c r="AH12" i="24"/>
  <c r="O12" i="25"/>
  <c r="V11" i="25"/>
  <c r="AB11" i="25" s="1"/>
  <c r="P8" i="25"/>
  <c r="U8" i="25"/>
  <c r="R10" i="25"/>
  <c r="Y10" i="25" s="1"/>
  <c r="AD10" i="25" s="1"/>
  <c r="E16" i="24"/>
  <c r="AS12" i="24"/>
  <c r="AR12" i="24" s="1"/>
  <c r="AP12" i="24"/>
  <c r="AN12" i="24"/>
  <c r="E19" i="19"/>
  <c r="G18" i="19"/>
  <c r="H22" i="19"/>
  <c r="D23" i="19"/>
  <c r="W16" i="18"/>
  <c r="G17" i="18"/>
  <c r="I16" i="18"/>
  <c r="J15" i="18"/>
  <c r="V15" i="18"/>
  <c r="AI9" i="27" l="1"/>
  <c r="AD11" i="25"/>
  <c r="AA10" i="27"/>
  <c r="AF10" i="27"/>
  <c r="AC10" i="27"/>
  <c r="AE10" i="27"/>
  <c r="AH10" i="27"/>
  <c r="AG10" i="27"/>
  <c r="AB10" i="27"/>
  <c r="AD10" i="27"/>
  <c r="AM14" i="27"/>
  <c r="AN14" i="27"/>
  <c r="AO14" i="27"/>
  <c r="AP14" i="27"/>
  <c r="AQ14" i="27"/>
  <c r="AR14" i="27"/>
  <c r="AS14" i="27"/>
  <c r="AT14" i="27"/>
  <c r="AU13" i="27"/>
  <c r="AF10" i="25"/>
  <c r="AE10" i="25"/>
  <c r="AF11" i="25"/>
  <c r="AE11" i="25"/>
  <c r="AF9" i="25"/>
  <c r="AE9" i="25"/>
  <c r="AB8" i="25"/>
  <c r="AD8" i="25"/>
  <c r="E9" i="26"/>
  <c r="D8" i="27"/>
  <c r="E8" i="27" s="1"/>
  <c r="M8" i="27" s="1"/>
  <c r="D9" i="27"/>
  <c r="E9" i="27" s="1"/>
  <c r="M9" i="27" s="1"/>
  <c r="AQ11" i="24"/>
  <c r="AW11" i="24" s="1"/>
  <c r="I11" i="24" s="1"/>
  <c r="AT12" i="24"/>
  <c r="V14" i="27"/>
  <c r="W14" i="27"/>
  <c r="P15" i="18"/>
  <c r="U14" i="21"/>
  <c r="V14" i="21"/>
  <c r="Q14" i="18"/>
  <c r="D16" i="22"/>
  <c r="D16" i="21"/>
  <c r="R15" i="22"/>
  <c r="T15" i="22" s="1"/>
  <c r="E15" i="22"/>
  <c r="S15" i="22" s="1"/>
  <c r="U15" i="22" s="1"/>
  <c r="U15" i="27" s="1"/>
  <c r="E15" i="21"/>
  <c r="F15" i="21" s="1"/>
  <c r="S15" i="21"/>
  <c r="W15" i="21" s="1"/>
  <c r="O22" i="21"/>
  <c r="G23" i="21"/>
  <c r="P23" i="21"/>
  <c r="M23" i="21"/>
  <c r="J23" i="21"/>
  <c r="I22" i="21"/>
  <c r="E8" i="26"/>
  <c r="R22" i="21"/>
  <c r="K17" i="21"/>
  <c r="J16" i="22"/>
  <c r="K16" i="22" s="1"/>
  <c r="L16" i="21"/>
  <c r="E11" i="26"/>
  <c r="D11" i="27"/>
  <c r="Q11" i="27"/>
  <c r="S10" i="27"/>
  <c r="R10" i="27"/>
  <c r="E10" i="26"/>
  <c r="D10" i="27"/>
  <c r="G19" i="27"/>
  <c r="H18" i="27"/>
  <c r="W12" i="25"/>
  <c r="Q12" i="25"/>
  <c r="X12" i="25" s="1"/>
  <c r="E17" i="24"/>
  <c r="AO12" i="24"/>
  <c r="AU12" i="24" s="1"/>
  <c r="G12" i="24" s="1"/>
  <c r="AV12" i="24"/>
  <c r="H12" i="24" s="1"/>
  <c r="H23" i="19"/>
  <c r="D24" i="19"/>
  <c r="G19" i="19"/>
  <c r="E20" i="19"/>
  <c r="J16" i="18"/>
  <c r="V16" i="18"/>
  <c r="G18" i="18"/>
  <c r="W17" i="18"/>
  <c r="I17" i="18"/>
  <c r="J11" i="26" l="1"/>
  <c r="K11" i="26" s="1"/>
  <c r="AU14" i="27"/>
  <c r="AI10" i="27"/>
  <c r="AG11" i="27"/>
  <c r="AA11" i="27"/>
  <c r="AF11" i="27"/>
  <c r="AC11" i="27"/>
  <c r="AE11" i="27"/>
  <c r="AD11" i="27"/>
  <c r="AB11" i="27"/>
  <c r="AH11" i="27"/>
  <c r="AP15" i="27"/>
  <c r="AQ15" i="27"/>
  <c r="AR15" i="27"/>
  <c r="AS15" i="27"/>
  <c r="AT15" i="27"/>
  <c r="AM15" i="27"/>
  <c r="AN15" i="27"/>
  <c r="AO15" i="27"/>
  <c r="AF8" i="25"/>
  <c r="AE8" i="25"/>
  <c r="T12" i="25"/>
  <c r="AQ12" i="24"/>
  <c r="AW12" i="24" s="1"/>
  <c r="I12" i="24" s="1"/>
  <c r="J12" i="26" s="1"/>
  <c r="K12" i="26" s="1"/>
  <c r="T15" i="21"/>
  <c r="X15" i="21" s="1"/>
  <c r="W15" i="27"/>
  <c r="V15" i="27"/>
  <c r="R16" i="22"/>
  <c r="T16" i="22" s="1"/>
  <c r="E16" i="22"/>
  <c r="S16" i="22" s="1"/>
  <c r="U16" i="22" s="1"/>
  <c r="U16" i="27" s="1"/>
  <c r="D17" i="22"/>
  <c r="D17" i="21"/>
  <c r="P16" i="18"/>
  <c r="V15" i="21"/>
  <c r="U15" i="21"/>
  <c r="Q15" i="18"/>
  <c r="S16" i="21"/>
  <c r="W16" i="21" s="1"/>
  <c r="E16" i="21"/>
  <c r="F16" i="21" s="1"/>
  <c r="I23" i="21"/>
  <c r="G24" i="21"/>
  <c r="M24" i="21"/>
  <c r="J24" i="21"/>
  <c r="P24" i="21"/>
  <c r="O23" i="21"/>
  <c r="R23" i="21"/>
  <c r="S12" i="25"/>
  <c r="K18" i="21"/>
  <c r="J17" i="22"/>
  <c r="K17" i="22" s="1"/>
  <c r="L17" i="21"/>
  <c r="H19" i="27"/>
  <c r="E11" i="27"/>
  <c r="M11" i="27" s="1"/>
  <c r="G20" i="27"/>
  <c r="Q12" i="27"/>
  <c r="S11" i="27"/>
  <c r="R11" i="27"/>
  <c r="F9" i="27"/>
  <c r="N9" i="27" s="1"/>
  <c r="O9" i="27" s="1"/>
  <c r="V12" i="25"/>
  <c r="AB12" i="25" s="1"/>
  <c r="E10" i="27"/>
  <c r="M10" i="27" s="1"/>
  <c r="F8" i="27"/>
  <c r="N8" i="27" s="1"/>
  <c r="O8" i="27" s="1"/>
  <c r="U12" i="25"/>
  <c r="P12" i="25"/>
  <c r="R12" i="25"/>
  <c r="Y12" i="25" s="1"/>
  <c r="E18" i="24"/>
  <c r="G20" i="19"/>
  <c r="E21" i="19"/>
  <c r="D25" i="19"/>
  <c r="H24" i="19"/>
  <c r="G19" i="18"/>
  <c r="W18" i="18"/>
  <c r="I18" i="18"/>
  <c r="J17" i="18"/>
  <c r="V17" i="18"/>
  <c r="AI11" i="27" l="1"/>
  <c r="AT16" i="27"/>
  <c r="AM16" i="27"/>
  <c r="AN16" i="27"/>
  <c r="AO16" i="27"/>
  <c r="AQ16" i="27"/>
  <c r="AR16" i="27"/>
  <c r="AS16" i="27"/>
  <c r="AP16" i="27"/>
  <c r="AU15" i="27"/>
  <c r="AD12" i="27"/>
  <c r="AB12" i="27"/>
  <c r="AG12" i="27"/>
  <c r="AA12" i="27"/>
  <c r="AF12" i="27"/>
  <c r="AC12" i="27"/>
  <c r="AH12" i="27"/>
  <c r="AE12" i="27"/>
  <c r="AD12" i="25"/>
  <c r="W16" i="27"/>
  <c r="V16" i="27"/>
  <c r="S17" i="21"/>
  <c r="W17" i="21" s="1"/>
  <c r="E17" i="21"/>
  <c r="F17" i="21" s="1"/>
  <c r="T16" i="21"/>
  <c r="X16" i="21" s="1"/>
  <c r="D18" i="22"/>
  <c r="D18" i="21"/>
  <c r="R17" i="22"/>
  <c r="T17" i="22" s="1"/>
  <c r="E17" i="22"/>
  <c r="S17" i="22" s="1"/>
  <c r="U17" i="22" s="1"/>
  <c r="U17" i="27" s="1"/>
  <c r="P17" i="18"/>
  <c r="V16" i="21"/>
  <c r="U16" i="21"/>
  <c r="Q16" i="18"/>
  <c r="O24" i="21"/>
  <c r="R24" i="21"/>
  <c r="P25" i="21"/>
  <c r="M25" i="21"/>
  <c r="J25" i="21"/>
  <c r="G25" i="21"/>
  <c r="I24" i="21"/>
  <c r="K19" i="21"/>
  <c r="J18" i="22"/>
  <c r="K18" i="22" s="1"/>
  <c r="L18" i="21"/>
  <c r="F11" i="27"/>
  <c r="N11" i="27" s="1"/>
  <c r="O11" i="27" s="1"/>
  <c r="E12" i="26"/>
  <c r="D12" i="27"/>
  <c r="S12" i="27"/>
  <c r="R12" i="27"/>
  <c r="Q13" i="27"/>
  <c r="G21" i="27"/>
  <c r="F10" i="27"/>
  <c r="N10" i="27" s="1"/>
  <c r="O10" i="27" s="1"/>
  <c r="H20" i="27"/>
  <c r="E19" i="24"/>
  <c r="D26" i="19"/>
  <c r="H25" i="19"/>
  <c r="G21" i="19"/>
  <c r="E22" i="19"/>
  <c r="J18" i="18"/>
  <c r="V18" i="18"/>
  <c r="W19" i="18"/>
  <c r="G20" i="18"/>
  <c r="I19" i="18"/>
  <c r="AI12" i="27" l="1"/>
  <c r="AU16" i="27"/>
  <c r="AD13" i="27"/>
  <c r="AB13" i="27"/>
  <c r="AG13" i="27"/>
  <c r="AA13" i="27"/>
  <c r="AF13" i="27"/>
  <c r="AC13" i="27"/>
  <c r="AE13" i="27"/>
  <c r="AH13" i="27"/>
  <c r="AI13" i="27" s="1"/>
  <c r="AM17" i="27"/>
  <c r="AN17" i="27"/>
  <c r="AO17" i="27"/>
  <c r="AP17" i="27"/>
  <c r="AQ17" i="27"/>
  <c r="AR17" i="27"/>
  <c r="AS17" i="27"/>
  <c r="AT17" i="27"/>
  <c r="AF12" i="25"/>
  <c r="AE12" i="25"/>
  <c r="T17" i="21"/>
  <c r="X17" i="21" s="1"/>
  <c r="W17" i="27"/>
  <c r="V17" i="27"/>
  <c r="P18" i="18"/>
  <c r="V17" i="21"/>
  <c r="U17" i="21"/>
  <c r="Q17" i="18"/>
  <c r="D19" i="22"/>
  <c r="D19" i="21"/>
  <c r="S18" i="21"/>
  <c r="W18" i="21" s="1"/>
  <c r="E18" i="21"/>
  <c r="F18" i="21" s="1"/>
  <c r="R18" i="22"/>
  <c r="T18" i="22" s="1"/>
  <c r="E18" i="22"/>
  <c r="S18" i="22" s="1"/>
  <c r="U18" i="22" s="1"/>
  <c r="U18" i="27" s="1"/>
  <c r="P26" i="21"/>
  <c r="M26" i="21"/>
  <c r="G26" i="21"/>
  <c r="J26" i="21"/>
  <c r="R25" i="21"/>
  <c r="O25" i="21"/>
  <c r="I25" i="21"/>
  <c r="K20" i="21"/>
  <c r="J19" i="22"/>
  <c r="K19" i="22" s="1"/>
  <c r="L19" i="21"/>
  <c r="Q14" i="27"/>
  <c r="R13" i="27"/>
  <c r="S13" i="27"/>
  <c r="E12" i="27"/>
  <c r="M12" i="27" s="1"/>
  <c r="H21" i="27"/>
  <c r="G22" i="27"/>
  <c r="E20" i="24"/>
  <c r="D27" i="19"/>
  <c r="H26" i="19"/>
  <c r="G22" i="19"/>
  <c r="E23" i="19"/>
  <c r="J19" i="18"/>
  <c r="V19" i="18"/>
  <c r="W20" i="18"/>
  <c r="G21" i="18"/>
  <c r="I20" i="18"/>
  <c r="AU17" i="27" l="1"/>
  <c r="AD14" i="27"/>
  <c r="AB14" i="27"/>
  <c r="AG14" i="27"/>
  <c r="AA14" i="27"/>
  <c r="AF14" i="27"/>
  <c r="AC14" i="27"/>
  <c r="AH14" i="27"/>
  <c r="AE14" i="27"/>
  <c r="AP18" i="27"/>
  <c r="AQ18" i="27"/>
  <c r="AR18" i="27"/>
  <c r="AS18" i="27"/>
  <c r="AT18" i="27"/>
  <c r="AM18" i="27"/>
  <c r="AN18" i="27"/>
  <c r="AO18" i="27"/>
  <c r="T18" i="21"/>
  <c r="X18" i="21" s="1"/>
  <c r="V18" i="27"/>
  <c r="W18" i="27"/>
  <c r="P19" i="18"/>
  <c r="V18" i="21"/>
  <c r="U18" i="21"/>
  <c r="Q18" i="18"/>
  <c r="S19" i="21"/>
  <c r="W19" i="21" s="1"/>
  <c r="E19" i="21"/>
  <c r="F19" i="21" s="1"/>
  <c r="D20" i="22"/>
  <c r="D20" i="21"/>
  <c r="R19" i="22"/>
  <c r="T19" i="22" s="1"/>
  <c r="E19" i="22"/>
  <c r="S19" i="22" s="1"/>
  <c r="U19" i="22" s="1"/>
  <c r="U19" i="27" s="1"/>
  <c r="I26" i="21"/>
  <c r="O26" i="21"/>
  <c r="R26" i="21"/>
  <c r="G27" i="21"/>
  <c r="M27" i="21"/>
  <c r="P27" i="21"/>
  <c r="J27" i="21"/>
  <c r="K21" i="21"/>
  <c r="J20" i="22"/>
  <c r="K20" i="22" s="1"/>
  <c r="L20" i="21"/>
  <c r="F12" i="27"/>
  <c r="N12" i="27" s="1"/>
  <c r="O12" i="27" s="1"/>
  <c r="H22" i="27"/>
  <c r="G23" i="27"/>
  <c r="S14" i="27"/>
  <c r="R14" i="27"/>
  <c r="Q15" i="27"/>
  <c r="E21" i="24"/>
  <c r="G23" i="19"/>
  <c r="E24" i="19"/>
  <c r="D28" i="19"/>
  <c r="H27" i="19"/>
  <c r="J20" i="18"/>
  <c r="V20" i="18"/>
  <c r="G22" i="18"/>
  <c r="W21" i="18"/>
  <c r="I21" i="18"/>
  <c r="AI14" i="27" l="1"/>
  <c r="AU18" i="27"/>
  <c r="AH15" i="27"/>
  <c r="AD15" i="27"/>
  <c r="AB15" i="27"/>
  <c r="AG15" i="27"/>
  <c r="AA15" i="27"/>
  <c r="AF15" i="27"/>
  <c r="AE15" i="27"/>
  <c r="AC15" i="27"/>
  <c r="AT19" i="27"/>
  <c r="AM19" i="27"/>
  <c r="AN19" i="27"/>
  <c r="AO19" i="27"/>
  <c r="AQ19" i="27"/>
  <c r="AR19" i="27"/>
  <c r="AS19" i="27"/>
  <c r="AP19" i="27"/>
  <c r="V19" i="27"/>
  <c r="W19" i="27"/>
  <c r="S20" i="21"/>
  <c r="W20" i="21" s="1"/>
  <c r="E20" i="21"/>
  <c r="F20" i="21" s="1"/>
  <c r="P20" i="18"/>
  <c r="V19" i="21"/>
  <c r="U19" i="21"/>
  <c r="Q19" i="18"/>
  <c r="R20" i="22"/>
  <c r="T20" i="22" s="1"/>
  <c r="E20" i="22"/>
  <c r="T19" i="21"/>
  <c r="X19" i="21" s="1"/>
  <c r="S20" i="22"/>
  <c r="U20" i="22" s="1"/>
  <c r="U20" i="27" s="1"/>
  <c r="T20" i="21"/>
  <c r="X20" i="21" s="1"/>
  <c r="D21" i="22"/>
  <c r="D21" i="21"/>
  <c r="M28" i="21"/>
  <c r="G28" i="21"/>
  <c r="P28" i="21"/>
  <c r="J28" i="21"/>
  <c r="R27" i="21"/>
  <c r="O27" i="21"/>
  <c r="I27" i="21"/>
  <c r="K22" i="21"/>
  <c r="J21" i="22"/>
  <c r="K21" i="22" s="1"/>
  <c r="L21" i="21"/>
  <c r="Q16" i="27"/>
  <c r="R15" i="27"/>
  <c r="S15" i="27"/>
  <c r="H23" i="27"/>
  <c r="G24" i="27"/>
  <c r="E22" i="24"/>
  <c r="H28" i="19"/>
  <c r="D29" i="19"/>
  <c r="G24" i="19"/>
  <c r="E25" i="19"/>
  <c r="G23" i="18"/>
  <c r="W22" i="18"/>
  <c r="I22" i="18"/>
  <c r="J21" i="18"/>
  <c r="V21" i="18"/>
  <c r="AI15" i="27" l="1"/>
  <c r="AU19" i="27"/>
  <c r="AH16" i="27"/>
  <c r="AA16" i="27"/>
  <c r="AD16" i="27"/>
  <c r="AB16" i="27"/>
  <c r="AG16" i="27"/>
  <c r="AC16" i="27"/>
  <c r="AE16" i="27"/>
  <c r="AF16" i="27"/>
  <c r="AM20" i="27"/>
  <c r="AN20" i="27"/>
  <c r="AO20" i="27"/>
  <c r="AP20" i="27"/>
  <c r="AQ20" i="27"/>
  <c r="AR20" i="27"/>
  <c r="AS20" i="27"/>
  <c r="AT20" i="27"/>
  <c r="W20" i="27"/>
  <c r="V20" i="27"/>
  <c r="P21" i="18"/>
  <c r="U20" i="21"/>
  <c r="V20" i="21"/>
  <c r="Q20" i="18"/>
  <c r="R21" i="22"/>
  <c r="T21" i="22" s="1"/>
  <c r="E21" i="22"/>
  <c r="D22" i="22"/>
  <c r="D22" i="21"/>
  <c r="S21" i="22"/>
  <c r="U21" i="22" s="1"/>
  <c r="U21" i="27" s="1"/>
  <c r="S21" i="21"/>
  <c r="W21" i="21" s="1"/>
  <c r="E21" i="21"/>
  <c r="F21" i="21" s="1"/>
  <c r="R28" i="21"/>
  <c r="M29" i="21"/>
  <c r="P29" i="21"/>
  <c r="G29" i="21"/>
  <c r="J29" i="21"/>
  <c r="I28" i="21"/>
  <c r="O28" i="21"/>
  <c r="K23" i="21"/>
  <c r="J22" i="22"/>
  <c r="K22" i="22" s="1"/>
  <c r="L22" i="21"/>
  <c r="S16" i="27"/>
  <c r="R16" i="27"/>
  <c r="Q17" i="27"/>
  <c r="H24" i="27"/>
  <c r="G25" i="27"/>
  <c r="E23" i="24"/>
  <c r="E26" i="19"/>
  <c r="G25" i="19"/>
  <c r="H29" i="19"/>
  <c r="D30" i="19"/>
  <c r="J22" i="18"/>
  <c r="V22" i="18"/>
  <c r="W23" i="18"/>
  <c r="G24" i="18"/>
  <c r="I23" i="18"/>
  <c r="AI16" i="27" l="1"/>
  <c r="AU20" i="27"/>
  <c r="AP21" i="27"/>
  <c r="AQ21" i="27"/>
  <c r="AR21" i="27"/>
  <c r="AS21" i="27"/>
  <c r="AT21" i="27"/>
  <c r="AM21" i="27"/>
  <c r="AN21" i="27"/>
  <c r="AO21" i="27"/>
  <c r="AE17" i="27"/>
  <c r="AH17" i="27"/>
  <c r="AD17" i="27"/>
  <c r="AB17" i="27"/>
  <c r="AG17" i="27"/>
  <c r="AA17" i="27"/>
  <c r="AF17" i="27"/>
  <c r="AC17" i="27"/>
  <c r="W21" i="27"/>
  <c r="T22" i="21"/>
  <c r="X22" i="21" s="1"/>
  <c r="T21" i="21"/>
  <c r="X21" i="21" s="1"/>
  <c r="D23" i="22"/>
  <c r="D23" i="21"/>
  <c r="S22" i="21"/>
  <c r="W22" i="21" s="1"/>
  <c r="E22" i="21"/>
  <c r="F22" i="21" s="1"/>
  <c r="V21" i="27"/>
  <c r="R22" i="22"/>
  <c r="T22" i="22" s="1"/>
  <c r="E22" i="22"/>
  <c r="S22" i="22"/>
  <c r="U22" i="22" s="1"/>
  <c r="U22" i="27" s="1"/>
  <c r="P22" i="18"/>
  <c r="V21" i="21"/>
  <c r="U21" i="21"/>
  <c r="Q21" i="18"/>
  <c r="I29" i="21"/>
  <c r="R29" i="21"/>
  <c r="M30" i="21"/>
  <c r="J30" i="21"/>
  <c r="G30" i="21"/>
  <c r="P30" i="21"/>
  <c r="O29" i="21"/>
  <c r="K24" i="21"/>
  <c r="J23" i="22"/>
  <c r="K23" i="22" s="1"/>
  <c r="L23" i="21"/>
  <c r="Q18" i="27"/>
  <c r="R17" i="27"/>
  <c r="S17" i="27"/>
  <c r="G26" i="27"/>
  <c r="H25" i="27"/>
  <c r="E24" i="24"/>
  <c r="H30" i="19"/>
  <c r="D31" i="19"/>
  <c r="E27" i="19"/>
  <c r="G26" i="19"/>
  <c r="J23" i="18"/>
  <c r="V23" i="18"/>
  <c r="W24" i="18"/>
  <c r="G25" i="18"/>
  <c r="I24" i="18"/>
  <c r="AI17" i="27" l="1"/>
  <c r="AU21" i="27"/>
  <c r="AT22" i="27"/>
  <c r="AM22" i="27"/>
  <c r="AN22" i="27"/>
  <c r="AO22" i="27"/>
  <c r="AQ22" i="27"/>
  <c r="AR22" i="27"/>
  <c r="AS22" i="27"/>
  <c r="AP22" i="27"/>
  <c r="AE18" i="27"/>
  <c r="AH18" i="27"/>
  <c r="AD18" i="27"/>
  <c r="AB18" i="27"/>
  <c r="AG18" i="27"/>
  <c r="AC18" i="27"/>
  <c r="AF18" i="27"/>
  <c r="AA18" i="27"/>
  <c r="V22" i="27"/>
  <c r="W22" i="27"/>
  <c r="D24" i="22"/>
  <c r="D24" i="21"/>
  <c r="S23" i="21"/>
  <c r="W23" i="21" s="1"/>
  <c r="E23" i="21"/>
  <c r="F23" i="21" s="1"/>
  <c r="S23" i="22"/>
  <c r="U23" i="22" s="1"/>
  <c r="U23" i="27" s="1"/>
  <c r="P23" i="18"/>
  <c r="U22" i="21"/>
  <c r="V22" i="21"/>
  <c r="Q22" i="18"/>
  <c r="R23" i="22"/>
  <c r="T23" i="22" s="1"/>
  <c r="E23" i="22"/>
  <c r="I30" i="21"/>
  <c r="O30" i="21"/>
  <c r="J31" i="21"/>
  <c r="G31" i="21"/>
  <c r="M31" i="21"/>
  <c r="P31" i="21"/>
  <c r="R30" i="21"/>
  <c r="K25" i="21"/>
  <c r="J24" i="22"/>
  <c r="K24" i="22" s="1"/>
  <c r="L24" i="21"/>
  <c r="G27" i="27"/>
  <c r="S18" i="27"/>
  <c r="R18" i="27"/>
  <c r="Q19" i="27"/>
  <c r="H26" i="27"/>
  <c r="E25" i="24"/>
  <c r="H31" i="19"/>
  <c r="D32" i="19"/>
  <c r="G27" i="19"/>
  <c r="E28" i="19"/>
  <c r="J24" i="18"/>
  <c r="V24" i="18"/>
  <c r="G26" i="18"/>
  <c r="W25" i="18"/>
  <c r="I25" i="18"/>
  <c r="AI18" i="27" l="1"/>
  <c r="AC19" i="27"/>
  <c r="AE19" i="27"/>
  <c r="AH19" i="27"/>
  <c r="AD19" i="27"/>
  <c r="AB19" i="27"/>
  <c r="AA19" i="27"/>
  <c r="AF19" i="27"/>
  <c r="AG19" i="27"/>
  <c r="AU22" i="27"/>
  <c r="AM23" i="27"/>
  <c r="AN23" i="27"/>
  <c r="AO23" i="27"/>
  <c r="AP23" i="27"/>
  <c r="AQ23" i="27"/>
  <c r="AR23" i="27"/>
  <c r="AS23" i="27"/>
  <c r="AT23" i="27"/>
  <c r="W23" i="27"/>
  <c r="D25" i="22"/>
  <c r="D25" i="21"/>
  <c r="T23" i="21"/>
  <c r="X23" i="21" s="1"/>
  <c r="V23" i="27"/>
  <c r="S24" i="21"/>
  <c r="W24" i="21" s="1"/>
  <c r="E24" i="21"/>
  <c r="F24" i="21" s="1"/>
  <c r="R24" i="22"/>
  <c r="T24" i="22" s="1"/>
  <c r="E24" i="22"/>
  <c r="S24" i="22" s="1"/>
  <c r="U24" i="22" s="1"/>
  <c r="U24" i="27" s="1"/>
  <c r="P24" i="18"/>
  <c r="V23" i="21"/>
  <c r="U23" i="21"/>
  <c r="Q23" i="18"/>
  <c r="R31" i="21"/>
  <c r="I31" i="21"/>
  <c r="O31" i="21"/>
  <c r="P32" i="21"/>
  <c r="G32" i="21"/>
  <c r="J32" i="21"/>
  <c r="M32" i="21"/>
  <c r="K26" i="21"/>
  <c r="J25" i="22"/>
  <c r="K25" i="22" s="1"/>
  <c r="L25" i="21"/>
  <c r="Q20" i="27"/>
  <c r="R19" i="27"/>
  <c r="S19" i="27"/>
  <c r="H27" i="27"/>
  <c r="G28" i="27"/>
  <c r="E26" i="24"/>
  <c r="G28" i="19"/>
  <c r="E29" i="19"/>
  <c r="D33" i="19"/>
  <c r="H32" i="19"/>
  <c r="J25" i="18"/>
  <c r="V25" i="18"/>
  <c r="G27" i="18"/>
  <c r="W26" i="18"/>
  <c r="I26" i="18"/>
  <c r="AI19" i="27" l="1"/>
  <c r="AF20" i="27"/>
  <c r="AC20" i="27"/>
  <c r="AE20" i="27"/>
  <c r="AH20" i="27"/>
  <c r="AG20" i="27"/>
  <c r="AB20" i="27"/>
  <c r="AA20" i="27"/>
  <c r="AD20" i="27"/>
  <c r="AU23" i="27"/>
  <c r="AP24" i="27"/>
  <c r="AQ24" i="27"/>
  <c r="AR24" i="27"/>
  <c r="AS24" i="27"/>
  <c r="AT24" i="27"/>
  <c r="AM24" i="27"/>
  <c r="AN24" i="27"/>
  <c r="AO24" i="27"/>
  <c r="V24" i="27"/>
  <c r="W24" i="27"/>
  <c r="P25" i="18"/>
  <c r="U24" i="21"/>
  <c r="V24" i="21"/>
  <c r="Q24" i="18"/>
  <c r="T24" i="21"/>
  <c r="X24" i="21" s="1"/>
  <c r="D26" i="22"/>
  <c r="D26" i="21"/>
  <c r="S25" i="21"/>
  <c r="W25" i="21" s="1"/>
  <c r="E25" i="21"/>
  <c r="F25" i="21" s="1"/>
  <c r="R25" i="22"/>
  <c r="T25" i="22" s="1"/>
  <c r="E25" i="22"/>
  <c r="S25" i="22" s="1"/>
  <c r="U25" i="22" s="1"/>
  <c r="U25" i="27" s="1"/>
  <c r="O32" i="21"/>
  <c r="P33" i="21"/>
  <c r="G33" i="21"/>
  <c r="J33" i="21"/>
  <c r="M33" i="21"/>
  <c r="I32" i="21"/>
  <c r="R32" i="21"/>
  <c r="K27" i="21"/>
  <c r="J26" i="22"/>
  <c r="K26" i="22" s="1"/>
  <c r="L26" i="21"/>
  <c r="G29" i="27"/>
  <c r="H28" i="27"/>
  <c r="S20" i="27"/>
  <c r="R20" i="27"/>
  <c r="Q21" i="27"/>
  <c r="E27" i="24"/>
  <c r="D34" i="19"/>
  <c r="H33" i="19"/>
  <c r="G29" i="19"/>
  <c r="E30" i="19"/>
  <c r="W27" i="18"/>
  <c r="G28" i="18"/>
  <c r="I27" i="18"/>
  <c r="J26" i="18"/>
  <c r="V26" i="18"/>
  <c r="AI20" i="27" l="1"/>
  <c r="AT25" i="27"/>
  <c r="AM25" i="27"/>
  <c r="AN25" i="27"/>
  <c r="AO25" i="27"/>
  <c r="AQ25" i="27"/>
  <c r="AR25" i="27"/>
  <c r="AS25" i="27"/>
  <c r="AP25" i="27"/>
  <c r="AF21" i="27"/>
  <c r="AC21" i="27"/>
  <c r="AE21" i="27"/>
  <c r="AH21" i="27"/>
  <c r="AD21" i="27"/>
  <c r="AB21" i="27"/>
  <c r="AA21" i="27"/>
  <c r="AG21" i="27"/>
  <c r="AU24" i="27"/>
  <c r="T25" i="21"/>
  <c r="X25" i="21" s="1"/>
  <c r="V25" i="27"/>
  <c r="W25" i="27"/>
  <c r="D27" i="22"/>
  <c r="D27" i="21"/>
  <c r="S26" i="21"/>
  <c r="W26" i="21" s="1"/>
  <c r="E26" i="21"/>
  <c r="F26" i="21" s="1"/>
  <c r="P26" i="18"/>
  <c r="V25" i="21"/>
  <c r="U25" i="21"/>
  <c r="Q25" i="18"/>
  <c r="R26" i="22"/>
  <c r="T26" i="22" s="1"/>
  <c r="E26" i="22"/>
  <c r="S26" i="22" s="1"/>
  <c r="U26" i="22" s="1"/>
  <c r="U26" i="27" s="1"/>
  <c r="O33" i="21"/>
  <c r="R33" i="21"/>
  <c r="P34" i="21"/>
  <c r="G34" i="21"/>
  <c r="J34" i="21"/>
  <c r="M34" i="21"/>
  <c r="I33" i="21"/>
  <c r="K28" i="21"/>
  <c r="J27" i="22"/>
  <c r="K27" i="22" s="1"/>
  <c r="L27" i="21"/>
  <c r="Q22" i="27"/>
  <c r="R21" i="27"/>
  <c r="S21" i="27"/>
  <c r="H29" i="27"/>
  <c r="G30" i="27"/>
  <c r="E28" i="24"/>
  <c r="G30" i="19"/>
  <c r="E31" i="19"/>
  <c r="D35" i="19"/>
  <c r="H34" i="19"/>
  <c r="J27" i="18"/>
  <c r="V27" i="18"/>
  <c r="W28" i="18"/>
  <c r="G29" i="18"/>
  <c r="I28" i="18"/>
  <c r="AI21" i="27" l="1"/>
  <c r="AA22" i="27"/>
  <c r="AF22" i="27"/>
  <c r="AC22" i="27"/>
  <c r="AE22" i="27"/>
  <c r="AH22" i="27"/>
  <c r="AG22" i="27"/>
  <c r="AD22" i="27"/>
  <c r="AB22" i="27"/>
  <c r="AM26" i="27"/>
  <c r="AN26" i="27"/>
  <c r="AO26" i="27"/>
  <c r="AP26" i="27"/>
  <c r="AQ26" i="27"/>
  <c r="AR26" i="27"/>
  <c r="AS26" i="27"/>
  <c r="AT26" i="27"/>
  <c r="AU25" i="27"/>
  <c r="V26" i="27"/>
  <c r="T26" i="21"/>
  <c r="X26" i="21" s="1"/>
  <c r="W26" i="27"/>
  <c r="D28" i="22"/>
  <c r="D28" i="21"/>
  <c r="S27" i="21"/>
  <c r="W27" i="21" s="1"/>
  <c r="E27" i="21"/>
  <c r="F27" i="21" s="1"/>
  <c r="R27" i="22"/>
  <c r="T27" i="22" s="1"/>
  <c r="E27" i="22"/>
  <c r="S27" i="22" s="1"/>
  <c r="U27" i="22" s="1"/>
  <c r="U27" i="27" s="1"/>
  <c r="P27" i="18"/>
  <c r="V26" i="21"/>
  <c r="U26" i="21"/>
  <c r="Q26" i="18"/>
  <c r="R34" i="21"/>
  <c r="I34" i="21"/>
  <c r="O34" i="21"/>
  <c r="G35" i="21"/>
  <c r="J35" i="21"/>
  <c r="P35" i="21"/>
  <c r="M35" i="21"/>
  <c r="K29" i="21"/>
  <c r="J28" i="22"/>
  <c r="K28" i="22" s="1"/>
  <c r="L28" i="21"/>
  <c r="G31" i="27"/>
  <c r="H30" i="27"/>
  <c r="S22" i="27"/>
  <c r="R22" i="27"/>
  <c r="Q23" i="27"/>
  <c r="E29" i="24"/>
  <c r="G31" i="19"/>
  <c r="E32" i="19"/>
  <c r="D36" i="19"/>
  <c r="H35" i="19"/>
  <c r="G30" i="18"/>
  <c r="W29" i="18"/>
  <c r="I29" i="18"/>
  <c r="J28" i="18"/>
  <c r="V28" i="18"/>
  <c r="AU26" i="27" l="1"/>
  <c r="AI22" i="27"/>
  <c r="AG23" i="27"/>
  <c r="AA23" i="27"/>
  <c r="AF23" i="27"/>
  <c r="AC23" i="27"/>
  <c r="AE23" i="27"/>
  <c r="AD23" i="27"/>
  <c r="AB23" i="27"/>
  <c r="AI23" i="27" s="1"/>
  <c r="AH23" i="27"/>
  <c r="AP27" i="27"/>
  <c r="AQ27" i="27"/>
  <c r="AR27" i="27"/>
  <c r="AS27" i="27"/>
  <c r="AT27" i="27"/>
  <c r="AM27" i="27"/>
  <c r="AN27" i="27"/>
  <c r="AO27" i="27"/>
  <c r="W27" i="27"/>
  <c r="V27" i="27"/>
  <c r="D29" i="22"/>
  <c r="D29" i="21"/>
  <c r="S28" i="22"/>
  <c r="U28" i="22" s="1"/>
  <c r="U28" i="27" s="1"/>
  <c r="P28" i="18"/>
  <c r="V27" i="21"/>
  <c r="U27" i="21"/>
  <c r="Q27" i="18"/>
  <c r="S28" i="21"/>
  <c r="W28" i="21" s="1"/>
  <c r="E28" i="21"/>
  <c r="F28" i="21" s="1"/>
  <c r="T27" i="21"/>
  <c r="X27" i="21" s="1"/>
  <c r="R28" i="22"/>
  <c r="T28" i="22" s="1"/>
  <c r="E28" i="22"/>
  <c r="I35" i="21"/>
  <c r="J36" i="21"/>
  <c r="M36" i="21"/>
  <c r="P36" i="21"/>
  <c r="G36" i="21"/>
  <c r="R35" i="21"/>
  <c r="O35" i="21"/>
  <c r="K30" i="21"/>
  <c r="J29" i="22"/>
  <c r="K29" i="22" s="1"/>
  <c r="L29" i="21"/>
  <c r="Q24" i="27"/>
  <c r="R23" i="27"/>
  <c r="S23" i="27"/>
  <c r="H31" i="27"/>
  <c r="G32" i="27"/>
  <c r="E30" i="24"/>
  <c r="G32" i="19"/>
  <c r="E33" i="19"/>
  <c r="H36" i="19"/>
  <c r="D37" i="19"/>
  <c r="J29" i="18"/>
  <c r="V29" i="18"/>
  <c r="G31" i="18"/>
  <c r="W30" i="18"/>
  <c r="I30" i="18"/>
  <c r="AT28" i="27" l="1"/>
  <c r="AM28" i="27"/>
  <c r="AN28" i="27"/>
  <c r="AO28" i="27"/>
  <c r="AQ28" i="27"/>
  <c r="AR28" i="27"/>
  <c r="AS28" i="27"/>
  <c r="AP28" i="27"/>
  <c r="AD24" i="27"/>
  <c r="AB24" i="27"/>
  <c r="AG24" i="27"/>
  <c r="AA24" i="27"/>
  <c r="AF24" i="27"/>
  <c r="AC24" i="27"/>
  <c r="AH24" i="27"/>
  <c r="AE24" i="27"/>
  <c r="AU27" i="27"/>
  <c r="V28" i="27"/>
  <c r="P29" i="18"/>
  <c r="U28" i="21"/>
  <c r="V28" i="21"/>
  <c r="Q28" i="18"/>
  <c r="W28" i="27"/>
  <c r="S29" i="21"/>
  <c r="W29" i="21" s="1"/>
  <c r="E29" i="21"/>
  <c r="F29" i="21" s="1"/>
  <c r="R29" i="22"/>
  <c r="T29" i="22" s="1"/>
  <c r="E29" i="22"/>
  <c r="S29" i="22" s="1"/>
  <c r="U29" i="22" s="1"/>
  <c r="U29" i="27" s="1"/>
  <c r="T28" i="21"/>
  <c r="X28" i="21" s="1"/>
  <c r="D30" i="22"/>
  <c r="D30" i="21"/>
  <c r="R36" i="21"/>
  <c r="G37" i="21"/>
  <c r="J37" i="21"/>
  <c r="P37" i="21"/>
  <c r="M37" i="21"/>
  <c r="O36" i="21"/>
  <c r="I36" i="21"/>
  <c r="K31" i="21"/>
  <c r="J30" i="22"/>
  <c r="K30" i="22" s="1"/>
  <c r="L30" i="21"/>
  <c r="S24" i="27"/>
  <c r="R24" i="27"/>
  <c r="Q25" i="27"/>
  <c r="G33" i="27"/>
  <c r="H32" i="27"/>
  <c r="E31" i="24"/>
  <c r="H37" i="19"/>
  <c r="D38" i="19"/>
  <c r="E34" i="19"/>
  <c r="G33" i="19"/>
  <c r="W31" i="18"/>
  <c r="G32" i="18"/>
  <c r="I31" i="18"/>
  <c r="J30" i="18"/>
  <c r="V30" i="18"/>
  <c r="AI24" i="27" l="1"/>
  <c r="AD25" i="27"/>
  <c r="AB25" i="27"/>
  <c r="AG25" i="27"/>
  <c r="AA25" i="27"/>
  <c r="AC25" i="27"/>
  <c r="AF25" i="27"/>
  <c r="AE25" i="27"/>
  <c r="AH25" i="27"/>
  <c r="AM29" i="27"/>
  <c r="AN29" i="27"/>
  <c r="AO29" i="27"/>
  <c r="AP29" i="27"/>
  <c r="AQ29" i="27"/>
  <c r="AR29" i="27"/>
  <c r="AS29" i="27"/>
  <c r="AT29" i="27"/>
  <c r="AU28" i="27"/>
  <c r="V29" i="27"/>
  <c r="W29" i="27"/>
  <c r="R30" i="22"/>
  <c r="T30" i="22" s="1"/>
  <c r="E30" i="22"/>
  <c r="S30" i="22" s="1"/>
  <c r="U30" i="22" s="1"/>
  <c r="U30" i="27" s="1"/>
  <c r="P30" i="18"/>
  <c r="V29" i="21"/>
  <c r="U29" i="21"/>
  <c r="Q29" i="18"/>
  <c r="S30" i="21"/>
  <c r="W30" i="21" s="1"/>
  <c r="E30" i="21"/>
  <c r="F30" i="21" s="1"/>
  <c r="D31" i="22"/>
  <c r="D31" i="21"/>
  <c r="T29" i="21"/>
  <c r="X29" i="21" s="1"/>
  <c r="J38" i="21"/>
  <c r="M38" i="21"/>
  <c r="G38" i="21"/>
  <c r="P38" i="21"/>
  <c r="O37" i="21"/>
  <c r="R37" i="21"/>
  <c r="I37" i="21"/>
  <c r="K32" i="21"/>
  <c r="J31" i="22"/>
  <c r="K31" i="22" s="1"/>
  <c r="L31" i="21"/>
  <c r="G34" i="27"/>
  <c r="Q26" i="27"/>
  <c r="R25" i="27"/>
  <c r="S25" i="27"/>
  <c r="H33" i="27"/>
  <c r="E32" i="24"/>
  <c r="E35" i="19"/>
  <c r="G34" i="19"/>
  <c r="H38" i="19"/>
  <c r="D39" i="19"/>
  <c r="J31" i="18"/>
  <c r="V31" i="18"/>
  <c r="W32" i="18"/>
  <c r="G33" i="18"/>
  <c r="I32" i="18"/>
  <c r="AI25" i="27" l="1"/>
  <c r="AP30" i="27"/>
  <c r="AQ30" i="27"/>
  <c r="AR30" i="27"/>
  <c r="AS30" i="27"/>
  <c r="AT30" i="27"/>
  <c r="AM30" i="27"/>
  <c r="AN30" i="27"/>
  <c r="AO30" i="27"/>
  <c r="AU29" i="27"/>
  <c r="AD26" i="27"/>
  <c r="AB26" i="27"/>
  <c r="AG26" i="27"/>
  <c r="AA26" i="27"/>
  <c r="AF26" i="27"/>
  <c r="AC26" i="27"/>
  <c r="AH26" i="27"/>
  <c r="AE26" i="27"/>
  <c r="V30" i="27"/>
  <c r="W30" i="27"/>
  <c r="D32" i="22"/>
  <c r="D32" i="21"/>
  <c r="S31" i="22"/>
  <c r="U31" i="22" s="1"/>
  <c r="U31" i="27" s="1"/>
  <c r="T30" i="21"/>
  <c r="X30" i="21" s="1"/>
  <c r="P31" i="18"/>
  <c r="U30" i="21"/>
  <c r="V30" i="21"/>
  <c r="Q30" i="18"/>
  <c r="R31" i="22"/>
  <c r="T31" i="22" s="1"/>
  <c r="E31" i="22"/>
  <c r="S31" i="21"/>
  <c r="W31" i="21" s="1"/>
  <c r="E31" i="21"/>
  <c r="F31" i="21" s="1"/>
  <c r="R38" i="21"/>
  <c r="G39" i="21"/>
  <c r="M39" i="21"/>
  <c r="P39" i="21"/>
  <c r="J39" i="21"/>
  <c r="I38" i="21"/>
  <c r="O38" i="21"/>
  <c r="K33" i="21"/>
  <c r="J32" i="22"/>
  <c r="K32" i="22" s="1"/>
  <c r="L32" i="21"/>
  <c r="G35" i="27"/>
  <c r="H34" i="27"/>
  <c r="S26" i="27"/>
  <c r="R26" i="27"/>
  <c r="Q27" i="27"/>
  <c r="E33" i="24"/>
  <c r="H39" i="19"/>
  <c r="D40" i="19"/>
  <c r="G35" i="19"/>
  <c r="E36" i="19"/>
  <c r="J32" i="18"/>
  <c r="V32" i="18"/>
  <c r="G34" i="18"/>
  <c r="W33" i="18"/>
  <c r="I33" i="18"/>
  <c r="AI26" i="27" l="1"/>
  <c r="AH27" i="27"/>
  <c r="AD27" i="27"/>
  <c r="AB27" i="27"/>
  <c r="AG27" i="27"/>
  <c r="AA27" i="27"/>
  <c r="AF27" i="27"/>
  <c r="AE27" i="27"/>
  <c r="AC27" i="27"/>
  <c r="AI27" i="27" s="1"/>
  <c r="AT31" i="27"/>
  <c r="AM31" i="27"/>
  <c r="AN31" i="27"/>
  <c r="AO31" i="27"/>
  <c r="AQ31" i="27"/>
  <c r="AR31" i="27"/>
  <c r="AS31" i="27"/>
  <c r="AP31" i="27"/>
  <c r="AU30" i="27"/>
  <c r="V31" i="27"/>
  <c r="P32" i="18"/>
  <c r="V31" i="21"/>
  <c r="U31" i="21"/>
  <c r="Q31" i="18"/>
  <c r="D33" i="22"/>
  <c r="D33" i="21"/>
  <c r="S32" i="22"/>
  <c r="U32" i="22" s="1"/>
  <c r="U32" i="27" s="1"/>
  <c r="T32" i="21"/>
  <c r="X32" i="21" s="1"/>
  <c r="S32" i="21"/>
  <c r="W32" i="21" s="1"/>
  <c r="E32" i="21"/>
  <c r="F32" i="21" s="1"/>
  <c r="R32" i="22"/>
  <c r="T32" i="22" s="1"/>
  <c r="E32" i="22"/>
  <c r="W31" i="27"/>
  <c r="T31" i="21"/>
  <c r="X31" i="21" s="1"/>
  <c r="I39" i="21"/>
  <c r="P40" i="21"/>
  <c r="M40" i="21"/>
  <c r="J40" i="21"/>
  <c r="G40" i="21"/>
  <c r="R39" i="21"/>
  <c r="O39" i="21"/>
  <c r="K34" i="21"/>
  <c r="J33" i="22"/>
  <c r="K33" i="22" s="1"/>
  <c r="L33" i="21"/>
  <c r="Q28" i="27"/>
  <c r="R27" i="27"/>
  <c r="S27" i="27"/>
  <c r="G36" i="27"/>
  <c r="H35" i="27"/>
  <c r="E34" i="24"/>
  <c r="G36" i="19"/>
  <c r="E37" i="19"/>
  <c r="D41" i="19"/>
  <c r="H40" i="19"/>
  <c r="G35" i="18"/>
  <c r="W34" i="18"/>
  <c r="I34" i="18"/>
  <c r="J33" i="18"/>
  <c r="V33" i="18"/>
  <c r="AU31" i="27" l="1"/>
  <c r="AE28" i="27"/>
  <c r="AH28" i="27"/>
  <c r="AD28" i="27"/>
  <c r="AB28" i="27"/>
  <c r="AA28" i="27"/>
  <c r="AG28" i="27"/>
  <c r="AC28" i="27"/>
  <c r="AF28" i="27"/>
  <c r="AM32" i="27"/>
  <c r="AN32" i="27"/>
  <c r="AO32" i="27"/>
  <c r="AP32" i="27"/>
  <c r="AQ32" i="27"/>
  <c r="AR32" i="27"/>
  <c r="AS32" i="27"/>
  <c r="AT32" i="27"/>
  <c r="W32" i="27"/>
  <c r="S33" i="21"/>
  <c r="W33" i="21" s="1"/>
  <c r="E33" i="21"/>
  <c r="F33" i="21" s="1"/>
  <c r="V32" i="27"/>
  <c r="R33" i="22"/>
  <c r="T33" i="22" s="1"/>
  <c r="E33" i="22"/>
  <c r="T33" i="21"/>
  <c r="X33" i="21" s="1"/>
  <c r="S33" i="22"/>
  <c r="U33" i="22" s="1"/>
  <c r="U33" i="27" s="1"/>
  <c r="D34" i="22"/>
  <c r="D34" i="21"/>
  <c r="P33" i="18"/>
  <c r="V32" i="21"/>
  <c r="U32" i="21"/>
  <c r="Q32" i="18"/>
  <c r="O40" i="21"/>
  <c r="P41" i="21"/>
  <c r="G41" i="21"/>
  <c r="M41" i="21"/>
  <c r="J41" i="21"/>
  <c r="I40" i="21"/>
  <c r="R40" i="21"/>
  <c r="K35" i="21"/>
  <c r="J34" i="22"/>
  <c r="K34" i="22" s="1"/>
  <c r="L34" i="21"/>
  <c r="H36" i="27"/>
  <c r="G37" i="27"/>
  <c r="S28" i="27"/>
  <c r="R28" i="27"/>
  <c r="Q29" i="27"/>
  <c r="E35" i="24"/>
  <c r="G37" i="19"/>
  <c r="E38" i="19"/>
  <c r="D42" i="19"/>
  <c r="H41" i="19"/>
  <c r="J34" i="18"/>
  <c r="V34" i="18"/>
  <c r="W35" i="18"/>
  <c r="G36" i="18"/>
  <c r="I35" i="18"/>
  <c r="AI28" i="27" l="1"/>
  <c r="AU32" i="27"/>
  <c r="AE29" i="27"/>
  <c r="AH29" i="27"/>
  <c r="AD29" i="27"/>
  <c r="AB29" i="27"/>
  <c r="AG29" i="27"/>
  <c r="AA29" i="27"/>
  <c r="AF29" i="27"/>
  <c r="AC29" i="27"/>
  <c r="AP33" i="27"/>
  <c r="AQ33" i="27"/>
  <c r="AR33" i="27"/>
  <c r="AS33" i="27"/>
  <c r="AT33" i="27"/>
  <c r="AM33" i="27"/>
  <c r="AN33" i="27"/>
  <c r="AO33" i="27"/>
  <c r="W33" i="27"/>
  <c r="P34" i="18"/>
  <c r="V33" i="21"/>
  <c r="U33" i="21"/>
  <c r="Q33" i="18"/>
  <c r="D35" i="22"/>
  <c r="D35" i="21"/>
  <c r="V33" i="27"/>
  <c r="S34" i="21"/>
  <c r="W34" i="21" s="1"/>
  <c r="E34" i="21"/>
  <c r="F34" i="21" s="1"/>
  <c r="R34" i="22"/>
  <c r="T34" i="22" s="1"/>
  <c r="E34" i="22"/>
  <c r="S34" i="22" s="1"/>
  <c r="U34" i="22" s="1"/>
  <c r="U34" i="27" s="1"/>
  <c r="R41" i="21"/>
  <c r="M42" i="21"/>
  <c r="P42" i="21"/>
  <c r="J42" i="21"/>
  <c r="G42" i="21"/>
  <c r="O41" i="21"/>
  <c r="I41" i="21"/>
  <c r="K36" i="21"/>
  <c r="J35" i="22"/>
  <c r="K35" i="22" s="1"/>
  <c r="L35" i="21"/>
  <c r="Q30" i="27"/>
  <c r="R29" i="27"/>
  <c r="S29" i="27"/>
  <c r="H37" i="27"/>
  <c r="G38" i="27"/>
  <c r="E36" i="24"/>
  <c r="D43" i="19"/>
  <c r="H42" i="19"/>
  <c r="G38" i="19"/>
  <c r="E39" i="19"/>
  <c r="J35" i="18"/>
  <c r="V35" i="18"/>
  <c r="W36" i="18"/>
  <c r="G37" i="18"/>
  <c r="I36" i="18"/>
  <c r="AI29" i="27" l="1"/>
  <c r="AE30" i="27"/>
  <c r="AH30" i="27"/>
  <c r="AB30" i="27"/>
  <c r="AD30" i="27"/>
  <c r="AG30" i="27"/>
  <c r="AC30" i="27"/>
  <c r="AF30" i="27"/>
  <c r="AA30" i="27"/>
  <c r="AI30" i="27" s="1"/>
  <c r="AT34" i="27"/>
  <c r="AM34" i="27"/>
  <c r="AN34" i="27"/>
  <c r="AO34" i="27"/>
  <c r="AQ34" i="27"/>
  <c r="AR34" i="27"/>
  <c r="AS34" i="27"/>
  <c r="AP34" i="27"/>
  <c r="AU33" i="27"/>
  <c r="V34" i="27"/>
  <c r="W34" i="27"/>
  <c r="T34" i="21"/>
  <c r="X34" i="21" s="1"/>
  <c r="S35" i="21"/>
  <c r="W35" i="21" s="1"/>
  <c r="E35" i="21"/>
  <c r="F35" i="21" s="1"/>
  <c r="D36" i="22"/>
  <c r="D36" i="21"/>
  <c r="R35" i="22"/>
  <c r="T35" i="22" s="1"/>
  <c r="E35" i="22"/>
  <c r="S35" i="22" s="1"/>
  <c r="U35" i="22" s="1"/>
  <c r="U35" i="27" s="1"/>
  <c r="P35" i="18"/>
  <c r="U34" i="21"/>
  <c r="V34" i="21"/>
  <c r="Q34" i="18"/>
  <c r="R42" i="21"/>
  <c r="O42" i="21"/>
  <c r="G43" i="21"/>
  <c r="M43" i="21"/>
  <c r="J43" i="21"/>
  <c r="P43" i="21"/>
  <c r="I42" i="21"/>
  <c r="K37" i="21"/>
  <c r="J36" i="22"/>
  <c r="K36" i="22" s="1"/>
  <c r="L36" i="21"/>
  <c r="H38" i="27"/>
  <c r="S30" i="27"/>
  <c r="R30" i="27"/>
  <c r="Q31" i="27"/>
  <c r="G39" i="27"/>
  <c r="E37" i="24"/>
  <c r="G39" i="19"/>
  <c r="E40" i="19"/>
  <c r="D44" i="19"/>
  <c r="H43" i="19"/>
  <c r="J36" i="18"/>
  <c r="V36" i="18"/>
  <c r="G38" i="18"/>
  <c r="W37" i="18"/>
  <c r="I37" i="18"/>
  <c r="AC31" i="27" l="1"/>
  <c r="AE31" i="27"/>
  <c r="AH31" i="27"/>
  <c r="AD31" i="27"/>
  <c r="AB31" i="27"/>
  <c r="AA31" i="27"/>
  <c r="AF31" i="27"/>
  <c r="AG31" i="27"/>
  <c r="AM35" i="27"/>
  <c r="AN35" i="27"/>
  <c r="AO35" i="27"/>
  <c r="AP35" i="27"/>
  <c r="AQ35" i="27"/>
  <c r="AR35" i="27"/>
  <c r="AS35" i="27"/>
  <c r="AT35" i="27"/>
  <c r="AU34" i="27"/>
  <c r="W35" i="27"/>
  <c r="V35" i="27"/>
  <c r="S36" i="21"/>
  <c r="W36" i="21" s="1"/>
  <c r="E36" i="21"/>
  <c r="F36" i="21" s="1"/>
  <c r="R36" i="22"/>
  <c r="T36" i="22" s="1"/>
  <c r="E36" i="22"/>
  <c r="S36" i="22" s="1"/>
  <c r="U36" i="22" s="1"/>
  <c r="U36" i="27" s="1"/>
  <c r="T36" i="21"/>
  <c r="X36" i="21" s="1"/>
  <c r="P36" i="18"/>
  <c r="V35" i="21"/>
  <c r="U35" i="21"/>
  <c r="Q35" i="18"/>
  <c r="D37" i="22"/>
  <c r="D37" i="21"/>
  <c r="T35" i="21"/>
  <c r="X35" i="21" s="1"/>
  <c r="I43" i="21"/>
  <c r="O43" i="21"/>
  <c r="G44" i="21"/>
  <c r="P44" i="21"/>
  <c r="M44" i="21"/>
  <c r="J44" i="21"/>
  <c r="R43" i="21"/>
  <c r="K38" i="21"/>
  <c r="J37" i="22"/>
  <c r="K37" i="22" s="1"/>
  <c r="L37" i="21"/>
  <c r="Q32" i="27"/>
  <c r="R31" i="27"/>
  <c r="S31" i="27"/>
  <c r="G40" i="27"/>
  <c r="H39" i="27"/>
  <c r="E38" i="24"/>
  <c r="G40" i="19"/>
  <c r="E41" i="19"/>
  <c r="H44" i="19"/>
  <c r="D45" i="19"/>
  <c r="J37" i="18"/>
  <c r="V37" i="18"/>
  <c r="G39" i="18"/>
  <c r="W38" i="18"/>
  <c r="I38" i="18"/>
  <c r="AU35" i="27" l="1"/>
  <c r="AI31" i="27"/>
  <c r="AF32" i="27"/>
  <c r="AC32" i="27"/>
  <c r="AE32" i="27"/>
  <c r="AH32" i="27"/>
  <c r="AG32" i="27"/>
  <c r="AA32" i="27"/>
  <c r="AD32" i="27"/>
  <c r="AB32" i="27"/>
  <c r="AP36" i="27"/>
  <c r="AQ36" i="27"/>
  <c r="AR36" i="27"/>
  <c r="AS36" i="27"/>
  <c r="AT36" i="27"/>
  <c r="AM36" i="27"/>
  <c r="AN36" i="27"/>
  <c r="AO36" i="27"/>
  <c r="V36" i="27"/>
  <c r="D38" i="22"/>
  <c r="D38" i="21"/>
  <c r="W36" i="27"/>
  <c r="R37" i="22"/>
  <c r="T37" i="22" s="1"/>
  <c r="E37" i="22"/>
  <c r="S37" i="22" s="1"/>
  <c r="U37" i="22" s="1"/>
  <c r="U37" i="27" s="1"/>
  <c r="P37" i="18"/>
  <c r="U36" i="21"/>
  <c r="V36" i="21"/>
  <c r="Q36" i="18"/>
  <c r="S37" i="21"/>
  <c r="W37" i="21" s="1"/>
  <c r="E37" i="21"/>
  <c r="F37" i="21" s="1"/>
  <c r="O44" i="21"/>
  <c r="R44" i="21"/>
  <c r="I44" i="21"/>
  <c r="H45" i="19"/>
  <c r="G45" i="21"/>
  <c r="M45" i="21"/>
  <c r="P45" i="21"/>
  <c r="J45" i="21"/>
  <c r="K39" i="21"/>
  <c r="J38" i="22"/>
  <c r="K38" i="22" s="1"/>
  <c r="L38" i="21"/>
  <c r="S32" i="27"/>
  <c r="R32" i="27"/>
  <c r="Q33" i="27"/>
  <c r="G41" i="27"/>
  <c r="H40" i="27"/>
  <c r="E39" i="24"/>
  <c r="E42" i="19"/>
  <c r="G41" i="19"/>
  <c r="J38" i="18"/>
  <c r="V38" i="18"/>
  <c r="W39" i="18"/>
  <c r="G40" i="18"/>
  <c r="I39" i="18"/>
  <c r="AI32" i="27" l="1"/>
  <c r="AT37" i="27"/>
  <c r="AM37" i="27"/>
  <c r="AN37" i="27"/>
  <c r="AO37" i="27"/>
  <c r="AQ37" i="27"/>
  <c r="AR37" i="27"/>
  <c r="AS37" i="27"/>
  <c r="AP37" i="27"/>
  <c r="AF33" i="27"/>
  <c r="AC33" i="27"/>
  <c r="AE33" i="27"/>
  <c r="AH33" i="27"/>
  <c r="AD33" i="27"/>
  <c r="AB33" i="27"/>
  <c r="AA33" i="27"/>
  <c r="AG33" i="27"/>
  <c r="AU36" i="27"/>
  <c r="V37" i="27"/>
  <c r="W37" i="27"/>
  <c r="T37" i="21"/>
  <c r="X37" i="21" s="1"/>
  <c r="D39" i="22"/>
  <c r="D39" i="21"/>
  <c r="P38" i="18"/>
  <c r="V37" i="21"/>
  <c r="U37" i="21"/>
  <c r="Q37" i="18"/>
  <c r="S38" i="21"/>
  <c r="W38" i="21" s="1"/>
  <c r="E38" i="21"/>
  <c r="F38" i="21" s="1"/>
  <c r="R38" i="22"/>
  <c r="T38" i="22" s="1"/>
  <c r="E38" i="22"/>
  <c r="S38" i="22" s="1"/>
  <c r="U38" i="22" s="1"/>
  <c r="U38" i="27" s="1"/>
  <c r="I45" i="21"/>
  <c r="R45" i="21"/>
  <c r="O45" i="21"/>
  <c r="K40" i="21"/>
  <c r="J39" i="22"/>
  <c r="K39" i="22" s="1"/>
  <c r="L39" i="21"/>
  <c r="H41" i="27"/>
  <c r="G42" i="27"/>
  <c r="Q34" i="27"/>
  <c r="R33" i="27"/>
  <c r="S33" i="27"/>
  <c r="E40" i="24"/>
  <c r="E43" i="19"/>
  <c r="G42" i="19"/>
  <c r="J39" i="18"/>
  <c r="V39" i="18"/>
  <c r="W40" i="18"/>
  <c r="G41" i="18"/>
  <c r="I40" i="18"/>
  <c r="AM38" i="27" l="1"/>
  <c r="AN38" i="27"/>
  <c r="AO38" i="27"/>
  <c r="AP38" i="27"/>
  <c r="AQ38" i="27"/>
  <c r="AR38" i="27"/>
  <c r="AS38" i="27"/>
  <c r="AT38" i="27"/>
  <c r="AA34" i="27"/>
  <c r="AF34" i="27"/>
  <c r="AC34" i="27"/>
  <c r="AE34" i="27"/>
  <c r="AH34" i="27"/>
  <c r="AG34" i="27"/>
  <c r="AD34" i="27"/>
  <c r="AB34" i="27"/>
  <c r="AU37" i="27"/>
  <c r="AI33" i="27"/>
  <c r="V38" i="27"/>
  <c r="W38" i="27"/>
  <c r="S39" i="21"/>
  <c r="W39" i="21" s="1"/>
  <c r="E39" i="21"/>
  <c r="F39" i="21" s="1"/>
  <c r="R39" i="22"/>
  <c r="T39" i="22" s="1"/>
  <c r="E39" i="22"/>
  <c r="S39" i="22" s="1"/>
  <c r="U39" i="22" s="1"/>
  <c r="U39" i="27" s="1"/>
  <c r="P39" i="18"/>
  <c r="V38" i="21"/>
  <c r="U38" i="21"/>
  <c r="Q38" i="18"/>
  <c r="T38" i="21"/>
  <c r="X38" i="21" s="1"/>
  <c r="D40" i="22"/>
  <c r="D40" i="21"/>
  <c r="K41" i="21"/>
  <c r="J40" i="22"/>
  <c r="K40" i="22" s="1"/>
  <c r="L40" i="21"/>
  <c r="S34" i="27"/>
  <c r="R34" i="27"/>
  <c r="Q35" i="27"/>
  <c r="G43" i="27"/>
  <c r="H42" i="27"/>
  <c r="E41" i="24"/>
  <c r="G43" i="19"/>
  <c r="E44" i="19"/>
  <c r="J40" i="18"/>
  <c r="V40" i="18"/>
  <c r="G42" i="18"/>
  <c r="W41" i="18"/>
  <c r="I41" i="18"/>
  <c r="AI34" i="27" l="1"/>
  <c r="AG35" i="27"/>
  <c r="AA35" i="27"/>
  <c r="AF35" i="27"/>
  <c r="AC35" i="27"/>
  <c r="AE35" i="27"/>
  <c r="AD35" i="27"/>
  <c r="AB35" i="27"/>
  <c r="AH35" i="27"/>
  <c r="AP39" i="27"/>
  <c r="AQ39" i="27"/>
  <c r="AR39" i="27"/>
  <c r="AS39" i="27"/>
  <c r="AT39" i="27"/>
  <c r="AM39" i="27"/>
  <c r="AN39" i="27"/>
  <c r="AO39" i="27"/>
  <c r="AU38" i="27"/>
  <c r="V39" i="27"/>
  <c r="W39" i="27"/>
  <c r="P40" i="18"/>
  <c r="V39" i="21"/>
  <c r="U39" i="21"/>
  <c r="Q39" i="18"/>
  <c r="R40" i="22"/>
  <c r="T40" i="22" s="1"/>
  <c r="E40" i="22"/>
  <c r="S40" i="22" s="1"/>
  <c r="U40" i="22" s="1"/>
  <c r="U40" i="27" s="1"/>
  <c r="S40" i="21"/>
  <c r="W40" i="21" s="1"/>
  <c r="E40" i="21"/>
  <c r="F40" i="21" s="1"/>
  <c r="D41" i="22"/>
  <c r="D41" i="21"/>
  <c r="T39" i="21"/>
  <c r="X39" i="21" s="1"/>
  <c r="K42" i="21"/>
  <c r="J41" i="22"/>
  <c r="K41" i="22" s="1"/>
  <c r="L41" i="21"/>
  <c r="Q36" i="27"/>
  <c r="R35" i="27"/>
  <c r="S35" i="27"/>
  <c r="H43" i="27"/>
  <c r="G44" i="27"/>
  <c r="E42" i="24"/>
  <c r="G44" i="19"/>
  <c r="E45" i="19"/>
  <c r="E46" i="19" s="1"/>
  <c r="G43" i="18"/>
  <c r="W42" i="18"/>
  <c r="I42" i="18"/>
  <c r="J41" i="18"/>
  <c r="V41" i="18"/>
  <c r="AI35" i="27" l="1"/>
  <c r="AU39" i="27"/>
  <c r="AD36" i="27"/>
  <c r="AB36" i="27"/>
  <c r="AG36" i="27"/>
  <c r="AA36" i="27"/>
  <c r="AF36" i="27"/>
  <c r="AC36" i="27"/>
  <c r="AH36" i="27"/>
  <c r="AE36" i="27"/>
  <c r="AT40" i="27"/>
  <c r="AM40" i="27"/>
  <c r="AN40" i="27"/>
  <c r="AO40" i="27"/>
  <c r="AQ40" i="27"/>
  <c r="AR40" i="27"/>
  <c r="AS40" i="27"/>
  <c r="AP40" i="27"/>
  <c r="E47" i="19"/>
  <c r="G47" i="19" s="1"/>
  <c r="E47" i="22" s="1"/>
  <c r="S47" i="22" s="1"/>
  <c r="U47" i="22" s="1"/>
  <c r="U47" i="27" s="1"/>
  <c r="G46" i="19"/>
  <c r="E46" i="22" s="1"/>
  <c r="S46" i="22" s="1"/>
  <c r="U46" i="22" s="1"/>
  <c r="U46" i="27" s="1"/>
  <c r="V40" i="27"/>
  <c r="W40" i="27"/>
  <c r="S41" i="21"/>
  <c r="W41" i="21" s="1"/>
  <c r="E41" i="21"/>
  <c r="F41" i="21" s="1"/>
  <c r="T41" i="21"/>
  <c r="X41" i="21" s="1"/>
  <c r="S41" i="22"/>
  <c r="U41" i="22" s="1"/>
  <c r="U41" i="27" s="1"/>
  <c r="P41" i="18"/>
  <c r="V40" i="21"/>
  <c r="U40" i="21"/>
  <c r="Q40" i="18"/>
  <c r="R41" i="22"/>
  <c r="T41" i="22" s="1"/>
  <c r="E41" i="22"/>
  <c r="D42" i="22"/>
  <c r="D42" i="21"/>
  <c r="T40" i="21"/>
  <c r="X40" i="21" s="1"/>
  <c r="G45" i="19"/>
  <c r="K43" i="21"/>
  <c r="J42" i="22"/>
  <c r="K42" i="22" s="1"/>
  <c r="L42" i="21"/>
  <c r="H44" i="27"/>
  <c r="G45" i="27"/>
  <c r="G46" i="27" s="1"/>
  <c r="G47" i="27" s="1"/>
  <c r="S36" i="27"/>
  <c r="R36" i="27"/>
  <c r="Q37" i="27"/>
  <c r="E43" i="24"/>
  <c r="J42" i="18"/>
  <c r="V42" i="18"/>
  <c r="W43" i="18"/>
  <c r="G44" i="18"/>
  <c r="I43" i="18"/>
  <c r="AI36" i="27" l="1"/>
  <c r="AD37" i="27"/>
  <c r="AB37" i="27"/>
  <c r="AG37" i="27"/>
  <c r="AA37" i="27"/>
  <c r="AF37" i="27"/>
  <c r="AC37" i="27"/>
  <c r="AE37" i="27"/>
  <c r="AH37" i="27"/>
  <c r="AM47" i="27"/>
  <c r="AN47" i="27"/>
  <c r="AO47" i="27"/>
  <c r="AP47" i="27"/>
  <c r="AQ47" i="27"/>
  <c r="AR47" i="27"/>
  <c r="AS47" i="27"/>
  <c r="AT47" i="27"/>
  <c r="AU40" i="27"/>
  <c r="AM41" i="27"/>
  <c r="AN41" i="27"/>
  <c r="AO41" i="27"/>
  <c r="AP41" i="27"/>
  <c r="AQ41" i="27"/>
  <c r="AR41" i="27"/>
  <c r="AS41" i="27"/>
  <c r="AT41" i="27"/>
  <c r="AT46" i="27"/>
  <c r="AM46" i="27"/>
  <c r="AN46" i="27"/>
  <c r="AO46" i="27"/>
  <c r="AQ46" i="27"/>
  <c r="AR46" i="27"/>
  <c r="AS46" i="27"/>
  <c r="AP46" i="27"/>
  <c r="AI37" i="27"/>
  <c r="W41" i="27"/>
  <c r="W47" i="27"/>
  <c r="D47" i="26"/>
  <c r="L47" i="26" s="1"/>
  <c r="V47" i="27"/>
  <c r="W46" i="27"/>
  <c r="D46" i="26"/>
  <c r="L46" i="26" s="1"/>
  <c r="D43" i="22"/>
  <c r="D43" i="21"/>
  <c r="R42" i="22"/>
  <c r="T42" i="22" s="1"/>
  <c r="E42" i="22"/>
  <c r="S42" i="22" s="1"/>
  <c r="U42" i="22" s="1"/>
  <c r="U42" i="27" s="1"/>
  <c r="V41" i="27"/>
  <c r="S42" i="21"/>
  <c r="W42" i="21" s="1"/>
  <c r="E42" i="21"/>
  <c r="F42" i="21" s="1"/>
  <c r="P42" i="18"/>
  <c r="V41" i="21"/>
  <c r="U41" i="21"/>
  <c r="Q41" i="18"/>
  <c r="K44" i="21"/>
  <c r="J43" i="22"/>
  <c r="K43" i="22" s="1"/>
  <c r="L43" i="21"/>
  <c r="Q38" i="27"/>
  <c r="R37" i="27"/>
  <c r="S37" i="27"/>
  <c r="H45" i="27"/>
  <c r="H46" i="27" s="1"/>
  <c r="H47" i="27" s="1"/>
  <c r="E44" i="24"/>
  <c r="J43" i="18"/>
  <c r="V43" i="18"/>
  <c r="W44" i="18"/>
  <c r="G45" i="18"/>
  <c r="I44" i="18"/>
  <c r="AU47" i="27" l="1"/>
  <c r="AP42" i="27"/>
  <c r="AQ42" i="27"/>
  <c r="AR42" i="27"/>
  <c r="AS42" i="27"/>
  <c r="AT42" i="27"/>
  <c r="AM42" i="27"/>
  <c r="AN42" i="27"/>
  <c r="AO42" i="27"/>
  <c r="AD38" i="27"/>
  <c r="AB38" i="27"/>
  <c r="AG38" i="27"/>
  <c r="AA38" i="27"/>
  <c r="AC38" i="27"/>
  <c r="AF38" i="27"/>
  <c r="AH38" i="27"/>
  <c r="AE38" i="27"/>
  <c r="AU41" i="27"/>
  <c r="AU46" i="27"/>
  <c r="I46" i="18"/>
  <c r="W46" i="18"/>
  <c r="W42" i="27"/>
  <c r="V42" i="27"/>
  <c r="T42" i="21"/>
  <c r="X42" i="21" s="1"/>
  <c r="S43" i="21"/>
  <c r="W43" i="21" s="1"/>
  <c r="E43" i="21"/>
  <c r="F43" i="21" s="1"/>
  <c r="D44" i="22"/>
  <c r="D44" i="21"/>
  <c r="P43" i="18"/>
  <c r="V42" i="21"/>
  <c r="U42" i="21"/>
  <c r="Q42" i="18"/>
  <c r="R43" i="22"/>
  <c r="T43" i="22" s="1"/>
  <c r="E43" i="22"/>
  <c r="S43" i="22" s="1"/>
  <c r="U43" i="22" s="1"/>
  <c r="U43" i="27" s="1"/>
  <c r="K45" i="21"/>
  <c r="J44" i="22"/>
  <c r="K44" i="22" s="1"/>
  <c r="L44" i="21"/>
  <c r="S38" i="27"/>
  <c r="R38" i="27"/>
  <c r="Q39" i="27"/>
  <c r="E45" i="24"/>
  <c r="E46" i="24" s="1"/>
  <c r="J44" i="18"/>
  <c r="V44" i="18"/>
  <c r="W45" i="18"/>
  <c r="I45" i="18"/>
  <c r="AI38" i="27" l="1"/>
  <c r="AT43" i="27"/>
  <c r="AM43" i="27"/>
  <c r="AN43" i="27"/>
  <c r="AO43" i="27"/>
  <c r="AQ43" i="27"/>
  <c r="AR43" i="27"/>
  <c r="AS43" i="27"/>
  <c r="AP43" i="27"/>
  <c r="AH39" i="27"/>
  <c r="AD39" i="27"/>
  <c r="AB39" i="27"/>
  <c r="AG39" i="27"/>
  <c r="AA39" i="27"/>
  <c r="AF39" i="27"/>
  <c r="AE39" i="27"/>
  <c r="AC39" i="27"/>
  <c r="AU42" i="27"/>
  <c r="E47" i="24"/>
  <c r="I47" i="18"/>
  <c r="W47" i="18"/>
  <c r="V46" i="18"/>
  <c r="J46" i="18"/>
  <c r="W43" i="27"/>
  <c r="V43" i="27"/>
  <c r="R44" i="22"/>
  <c r="T44" i="22" s="1"/>
  <c r="E44" i="22"/>
  <c r="S44" i="22" s="1"/>
  <c r="U44" i="22" s="1"/>
  <c r="U44" i="27" s="1"/>
  <c r="D45" i="22"/>
  <c r="D45" i="21"/>
  <c r="T43" i="21"/>
  <c r="X43" i="21" s="1"/>
  <c r="P44" i="18"/>
  <c r="V43" i="21"/>
  <c r="U43" i="21"/>
  <c r="Q43" i="18"/>
  <c r="S44" i="21"/>
  <c r="W44" i="21" s="1"/>
  <c r="E44" i="21"/>
  <c r="F44" i="21" s="1"/>
  <c r="J45" i="22"/>
  <c r="K45" i="22" s="1"/>
  <c r="L45" i="21"/>
  <c r="Q40" i="27"/>
  <c r="R39" i="27"/>
  <c r="S39" i="27"/>
  <c r="V45" i="18"/>
  <c r="J45" i="18"/>
  <c r="AI39" i="27" l="1"/>
  <c r="AM44" i="27"/>
  <c r="AN44" i="27"/>
  <c r="AO44" i="27"/>
  <c r="AP44" i="27"/>
  <c r="AQ44" i="27"/>
  <c r="AR44" i="27"/>
  <c r="AS44" i="27"/>
  <c r="AT44" i="27"/>
  <c r="AU43" i="27"/>
  <c r="AE40" i="27"/>
  <c r="AH40" i="27"/>
  <c r="AD40" i="27"/>
  <c r="AB40" i="27"/>
  <c r="AG40" i="27"/>
  <c r="AA40" i="27"/>
  <c r="AC40" i="27"/>
  <c r="AF40" i="27"/>
  <c r="T44" i="21"/>
  <c r="X44" i="21" s="1"/>
  <c r="V47" i="18"/>
  <c r="J47" i="18"/>
  <c r="V44" i="27"/>
  <c r="W44" i="27"/>
  <c r="R45" i="22"/>
  <c r="T45" i="22" s="1"/>
  <c r="E45" i="22"/>
  <c r="S45" i="22" s="1"/>
  <c r="U45" i="22" s="1"/>
  <c r="U45" i="27" s="1"/>
  <c r="D12" i="28" s="1" a="1"/>
  <c r="D12" i="28" s="1"/>
  <c r="S45" i="21"/>
  <c r="W45" i="21" s="1"/>
  <c r="E45" i="21"/>
  <c r="F45" i="21" s="1"/>
  <c r="T45" i="21"/>
  <c r="X45" i="21" s="1"/>
  <c r="P45" i="18"/>
  <c r="P46" i="18" s="1"/>
  <c r="U44" i="21"/>
  <c r="V44" i="21"/>
  <c r="Q44" i="18"/>
  <c r="S40" i="27"/>
  <c r="R40" i="27"/>
  <c r="Q41" i="27"/>
  <c r="AI40" i="27" l="1"/>
  <c r="AE41" i="27"/>
  <c r="AH41" i="27"/>
  <c r="AD41" i="27"/>
  <c r="AB41" i="27"/>
  <c r="AG41" i="27"/>
  <c r="AA41" i="27"/>
  <c r="AF41" i="27"/>
  <c r="AC41" i="27"/>
  <c r="AP45" i="27"/>
  <c r="AQ45" i="27"/>
  <c r="AR45" i="27"/>
  <c r="AS45" i="27"/>
  <c r="AT45" i="27"/>
  <c r="AM45" i="27"/>
  <c r="AN45" i="27"/>
  <c r="AO45" i="27"/>
  <c r="AU44" i="27"/>
  <c r="W45" i="27"/>
  <c r="V46" i="27"/>
  <c r="P47" i="18"/>
  <c r="Q47" i="18" s="1"/>
  <c r="Q46" i="18"/>
  <c r="B11" i="26"/>
  <c r="B11" i="22"/>
  <c r="L11" i="24"/>
  <c r="B11" i="27"/>
  <c r="Y11" i="27" s="1"/>
  <c r="AK11" i="27" s="1"/>
  <c r="B11" i="21"/>
  <c r="B11" i="24"/>
  <c r="H11" i="25"/>
  <c r="B11" i="25"/>
  <c r="V45" i="27"/>
  <c r="V45" i="21"/>
  <c r="U45" i="21"/>
  <c r="Q45" i="18"/>
  <c r="Q42" i="27"/>
  <c r="R41" i="27"/>
  <c r="S41" i="27"/>
  <c r="S11" i="18"/>
  <c r="B11" i="19"/>
  <c r="B11" i="18"/>
  <c r="AI41" i="27" l="1"/>
  <c r="AE42" i="27"/>
  <c r="AH42" i="27"/>
  <c r="AB42" i="27"/>
  <c r="AD42" i="27"/>
  <c r="AG42" i="27"/>
  <c r="AC42" i="27"/>
  <c r="AF42" i="27"/>
  <c r="AA42" i="27"/>
  <c r="AI42" i="27" s="1"/>
  <c r="AU45" i="27"/>
  <c r="B12" i="24"/>
  <c r="H12" i="25"/>
  <c r="B12" i="21"/>
  <c r="B12" i="25"/>
  <c r="B12" i="22"/>
  <c r="B12" i="26"/>
  <c r="L12" i="24"/>
  <c r="B12" i="27"/>
  <c r="Y12" i="27" s="1"/>
  <c r="AK12" i="27" s="1"/>
  <c r="S42" i="27"/>
  <c r="R42" i="27"/>
  <c r="Q43" i="27"/>
  <c r="B12" i="18"/>
  <c r="B12" i="19"/>
  <c r="S12" i="18"/>
  <c r="AC43" i="27" l="1"/>
  <c r="AE43" i="27"/>
  <c r="AH43" i="27"/>
  <c r="AD43" i="27"/>
  <c r="AB43" i="27"/>
  <c r="AA43" i="27"/>
  <c r="AF43" i="27"/>
  <c r="AG43" i="27"/>
  <c r="AI43" i="27"/>
  <c r="L13" i="24"/>
  <c r="B13" i="22"/>
  <c r="B13" i="27"/>
  <c r="Y13" i="27" s="1"/>
  <c r="AK13" i="27" s="1"/>
  <c r="B13" i="26"/>
  <c r="B13" i="24"/>
  <c r="H13" i="25"/>
  <c r="B13" i="25"/>
  <c r="B13" i="21"/>
  <c r="Q44" i="27"/>
  <c r="R43" i="27"/>
  <c r="S43" i="27"/>
  <c r="B13" i="19"/>
  <c r="B13" i="18"/>
  <c r="S13" i="18"/>
  <c r="B14" i="17"/>
  <c r="B15" i="17" s="1"/>
  <c r="AF44" i="27" l="1"/>
  <c r="AC44" i="27"/>
  <c r="AE44" i="27"/>
  <c r="AH44" i="27"/>
  <c r="AG44" i="27"/>
  <c r="AA44" i="27"/>
  <c r="AD44" i="27"/>
  <c r="AI44" i="27" s="1"/>
  <c r="AB44" i="27"/>
  <c r="B15" i="26"/>
  <c r="L15" i="24"/>
  <c r="B15" i="21"/>
  <c r="B15" i="24"/>
  <c r="B15" i="22"/>
  <c r="H15" i="25"/>
  <c r="B15" i="27"/>
  <c r="Y15" i="27" s="1"/>
  <c r="AK15" i="27" s="1"/>
  <c r="B15" i="25"/>
  <c r="B14" i="24"/>
  <c r="B14" i="27"/>
  <c r="Y14" i="27" s="1"/>
  <c r="AK14" i="27" s="1"/>
  <c r="H14" i="25"/>
  <c r="B14" i="26"/>
  <c r="B14" i="25"/>
  <c r="B14" i="21"/>
  <c r="L14" i="24"/>
  <c r="B14" i="22"/>
  <c r="S44" i="27"/>
  <c r="R44" i="27"/>
  <c r="Q45" i="27"/>
  <c r="S15" i="18"/>
  <c r="B15" i="19"/>
  <c r="B15" i="18"/>
  <c r="S14" i="18"/>
  <c r="B14" i="18"/>
  <c r="B14" i="19"/>
  <c r="B16" i="17"/>
  <c r="Q46" i="27" l="1"/>
  <c r="AF45" i="27"/>
  <c r="AC45" i="27"/>
  <c r="AE45" i="27"/>
  <c r="AH45" i="27"/>
  <c r="AD45" i="27"/>
  <c r="AB45" i="27"/>
  <c r="AA45" i="27"/>
  <c r="AG45" i="27"/>
  <c r="Q47" i="27"/>
  <c r="D11" i="28" s="1" a="1"/>
  <c r="D11" i="28" s="1"/>
  <c r="R46" i="27"/>
  <c r="S46" i="27"/>
  <c r="H16" i="25"/>
  <c r="B16" i="24"/>
  <c r="B16" i="22"/>
  <c r="B16" i="21"/>
  <c r="B16" i="27"/>
  <c r="Y16" i="27" s="1"/>
  <c r="AK16" i="27" s="1"/>
  <c r="B16" i="25"/>
  <c r="B16" i="26"/>
  <c r="L16" i="24"/>
  <c r="R45" i="27"/>
  <c r="S45" i="27"/>
  <c r="B16" i="18"/>
  <c r="B16" i="19"/>
  <c r="S16" i="18"/>
  <c r="B17" i="17"/>
  <c r="AI45" i="27" l="1"/>
  <c r="AC47" i="27"/>
  <c r="AF47" i="27"/>
  <c r="AH47" i="27"/>
  <c r="AE47" i="27"/>
  <c r="AA47" i="27"/>
  <c r="AG47" i="27"/>
  <c r="AD47" i="27"/>
  <c r="AB47" i="27"/>
  <c r="AF46" i="27"/>
  <c r="AC46" i="27"/>
  <c r="AA46" i="27"/>
  <c r="AE46" i="27"/>
  <c r="AB46" i="27"/>
  <c r="AH46" i="27"/>
  <c r="AG46" i="27"/>
  <c r="AD46" i="27"/>
  <c r="R47" i="27"/>
  <c r="S47" i="27"/>
  <c r="L17" i="24"/>
  <c r="B17" i="26"/>
  <c r="H17" i="25"/>
  <c r="B17" i="24"/>
  <c r="B17" i="22"/>
  <c r="B17" i="25"/>
  <c r="B17" i="27"/>
  <c r="Y17" i="27" s="1"/>
  <c r="AK17" i="27" s="1"/>
  <c r="B17" i="21"/>
  <c r="B17" i="19"/>
  <c r="B17" i="18"/>
  <c r="S17" i="18"/>
  <c r="B18" i="17"/>
  <c r="AI46" i="27" l="1"/>
  <c r="AI47" i="27"/>
  <c r="H18" i="25"/>
  <c r="B18" i="24"/>
  <c r="B18" i="26"/>
  <c r="B18" i="25"/>
  <c r="B18" i="22"/>
  <c r="B18" i="27"/>
  <c r="Y18" i="27" s="1"/>
  <c r="AK18" i="27" s="1"/>
  <c r="B18" i="21"/>
  <c r="L18" i="24"/>
  <c r="S18" i="18"/>
  <c r="B18" i="19"/>
  <c r="B18" i="18"/>
  <c r="B19" i="17"/>
  <c r="X5" i="15"/>
  <c r="Y4" i="15"/>
  <c r="X4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Y2" i="15"/>
  <c r="X2" i="15"/>
  <c r="W2" i="15"/>
  <c r="V2" i="15"/>
  <c r="U2" i="15"/>
  <c r="T2" i="15"/>
  <c r="S2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C2" i="15"/>
  <c r="B2" i="15"/>
  <c r="A2" i="15"/>
  <c r="S47" i="13"/>
  <c r="T47" i="13" s="1"/>
  <c r="S48" i="13"/>
  <c r="T48" i="13" s="1"/>
  <c r="S49" i="13"/>
  <c r="T49" i="13" s="1"/>
  <c r="S50" i="13"/>
  <c r="T50" i="13" s="1"/>
  <c r="S51" i="13"/>
  <c r="T51" i="13" s="1"/>
  <c r="S52" i="13"/>
  <c r="T52" i="13" s="1"/>
  <c r="S53" i="13"/>
  <c r="T53" i="13" s="1"/>
  <c r="S54" i="13"/>
  <c r="T54" i="13" s="1"/>
  <c r="S55" i="13"/>
  <c r="T55" i="13" s="1"/>
  <c r="S56" i="13"/>
  <c r="T56" i="13" s="1"/>
  <c r="S57" i="13"/>
  <c r="T57" i="13" s="1"/>
  <c r="S58" i="13"/>
  <c r="T58" i="13" s="1"/>
  <c r="S59" i="13"/>
  <c r="T59" i="13" s="1"/>
  <c r="S60" i="13"/>
  <c r="T60" i="13" s="1"/>
  <c r="S61" i="13"/>
  <c r="T61" i="13" s="1"/>
  <c r="S62" i="13"/>
  <c r="T62" i="13" s="1"/>
  <c r="S63" i="13"/>
  <c r="T63" i="13" s="1"/>
  <c r="S64" i="13"/>
  <c r="T64" i="13" s="1"/>
  <c r="S65" i="13"/>
  <c r="T65" i="13" s="1"/>
  <c r="S66" i="13"/>
  <c r="T66" i="13" s="1"/>
  <c r="S67" i="13"/>
  <c r="T67" i="13" s="1"/>
  <c r="S68" i="13"/>
  <c r="T68" i="13" s="1"/>
  <c r="S69" i="13"/>
  <c r="T69" i="13" s="1"/>
  <c r="S70" i="13"/>
  <c r="T70" i="13" s="1"/>
  <c r="S71" i="13"/>
  <c r="T71" i="13" s="1"/>
  <c r="S72" i="13"/>
  <c r="T72" i="13" s="1"/>
  <c r="S73" i="13"/>
  <c r="T73" i="13" s="1"/>
  <c r="S74" i="13"/>
  <c r="T74" i="13" s="1"/>
  <c r="S75" i="13"/>
  <c r="T75" i="13" s="1"/>
  <c r="S76" i="13"/>
  <c r="T76" i="13" s="1"/>
  <c r="S77" i="13"/>
  <c r="T77" i="13" s="1"/>
  <c r="S78" i="13"/>
  <c r="T78" i="13" s="1"/>
  <c r="S79" i="13"/>
  <c r="T79" i="13" s="1"/>
  <c r="S80" i="13"/>
  <c r="T80" i="13" s="1"/>
  <c r="S81" i="13"/>
  <c r="T81" i="13" s="1"/>
  <c r="S82" i="13"/>
  <c r="T82" i="13" s="1"/>
  <c r="S83" i="13"/>
  <c r="T83" i="13" s="1"/>
  <c r="S46" i="13"/>
  <c r="T46" i="13" s="1"/>
  <c r="B19" i="27" l="1"/>
  <c r="Y19" i="27" s="1"/>
  <c r="AK19" i="27" s="1"/>
  <c r="B19" i="26"/>
  <c r="L19" i="24"/>
  <c r="H19" i="25"/>
  <c r="B19" i="21"/>
  <c r="B19" i="24"/>
  <c r="B19" i="25"/>
  <c r="B19" i="22"/>
  <c r="S19" i="18"/>
  <c r="B19" i="19"/>
  <c r="B19" i="18"/>
  <c r="B20" i="17"/>
  <c r="AX47" i="15"/>
  <c r="AX299" i="15" s="1"/>
  <c r="AX46" i="15"/>
  <c r="AX298" i="15" s="1"/>
  <c r="AY46" i="15"/>
  <c r="AY298" i="15" s="1"/>
  <c r="U47" i="13"/>
  <c r="U51" i="13"/>
  <c r="U55" i="13"/>
  <c r="U59" i="13"/>
  <c r="U63" i="13"/>
  <c r="U67" i="13"/>
  <c r="U71" i="13"/>
  <c r="U75" i="13"/>
  <c r="U79" i="13"/>
  <c r="U83" i="13"/>
  <c r="U48" i="13"/>
  <c r="U49" i="13"/>
  <c r="U50" i="13"/>
  <c r="U52" i="13"/>
  <c r="U53" i="13"/>
  <c r="U54" i="13"/>
  <c r="U56" i="13"/>
  <c r="U57" i="13"/>
  <c r="U58" i="13"/>
  <c r="U60" i="13"/>
  <c r="U61" i="13"/>
  <c r="U62" i="13"/>
  <c r="U64" i="13"/>
  <c r="U65" i="13"/>
  <c r="U66" i="13"/>
  <c r="U68" i="13"/>
  <c r="U69" i="13"/>
  <c r="U70" i="13"/>
  <c r="U72" i="13"/>
  <c r="U73" i="13"/>
  <c r="U74" i="13"/>
  <c r="U76" i="13"/>
  <c r="U77" i="13"/>
  <c r="U78" i="13"/>
  <c r="U80" i="13"/>
  <c r="U81" i="13"/>
  <c r="U82" i="13"/>
  <c r="U46" i="13"/>
  <c r="AB299" i="13"/>
  <c r="AC299" i="13"/>
  <c r="AD299" i="13"/>
  <c r="AE299" i="13"/>
  <c r="AF299" i="13"/>
  <c r="AG299" i="13"/>
  <c r="AL299" i="13"/>
  <c r="AM299" i="13"/>
  <c r="AQ299" i="13"/>
  <c r="AR299" i="13"/>
  <c r="AS299" i="13"/>
  <c r="AT299" i="13"/>
  <c r="AU299" i="13"/>
  <c r="AV299" i="13"/>
  <c r="AW299" i="13"/>
  <c r="AX299" i="13"/>
  <c r="AY299" i="13"/>
  <c r="AB300" i="13"/>
  <c r="AC300" i="13"/>
  <c r="AD300" i="13"/>
  <c r="AE300" i="13"/>
  <c r="AF300" i="13"/>
  <c r="AG300" i="13"/>
  <c r="AL300" i="13"/>
  <c r="AM300" i="13"/>
  <c r="AQ300" i="13"/>
  <c r="AR300" i="13"/>
  <c r="AS300" i="13"/>
  <c r="AT300" i="13"/>
  <c r="AU300" i="13"/>
  <c r="AV300" i="13"/>
  <c r="AW300" i="13"/>
  <c r="AX300" i="13"/>
  <c r="AY300" i="13"/>
  <c r="AB301" i="13"/>
  <c r="AC301" i="13"/>
  <c r="AD301" i="13"/>
  <c r="AE301" i="13"/>
  <c r="AF301" i="13"/>
  <c r="AG301" i="13"/>
  <c r="AL301" i="13"/>
  <c r="AM301" i="13"/>
  <c r="AQ301" i="13"/>
  <c r="AR301" i="13"/>
  <c r="AS301" i="13"/>
  <c r="AT301" i="13"/>
  <c r="AU301" i="13"/>
  <c r="AV301" i="13"/>
  <c r="AW301" i="13"/>
  <c r="AX301" i="13"/>
  <c r="AY301" i="13"/>
  <c r="AB302" i="13"/>
  <c r="AC302" i="13"/>
  <c r="AD302" i="13"/>
  <c r="AE302" i="13"/>
  <c r="AF302" i="13"/>
  <c r="AG302" i="13"/>
  <c r="AL302" i="13"/>
  <c r="AM302" i="13"/>
  <c r="AQ302" i="13"/>
  <c r="AR302" i="13"/>
  <c r="AS302" i="13"/>
  <c r="AT302" i="13"/>
  <c r="AU302" i="13"/>
  <c r="AV302" i="13"/>
  <c r="AW302" i="13"/>
  <c r="AX302" i="13"/>
  <c r="AY302" i="13"/>
  <c r="AB303" i="13"/>
  <c r="AC303" i="13"/>
  <c r="AD303" i="13"/>
  <c r="AE303" i="13"/>
  <c r="AF303" i="13"/>
  <c r="AG303" i="13"/>
  <c r="AL303" i="13"/>
  <c r="AM303" i="13"/>
  <c r="AQ303" i="13"/>
  <c r="AR303" i="13"/>
  <c r="AS303" i="13"/>
  <c r="AT303" i="13"/>
  <c r="AU303" i="13"/>
  <c r="AV303" i="13"/>
  <c r="AW303" i="13"/>
  <c r="AX303" i="13"/>
  <c r="AY303" i="13"/>
  <c r="AB304" i="13"/>
  <c r="AC304" i="13"/>
  <c r="AD304" i="13"/>
  <c r="AE304" i="13"/>
  <c r="AF304" i="13"/>
  <c r="AG304" i="13"/>
  <c r="AL304" i="13"/>
  <c r="AM304" i="13"/>
  <c r="AQ304" i="13"/>
  <c r="AR304" i="13"/>
  <c r="AS304" i="13"/>
  <c r="AT304" i="13"/>
  <c r="AU304" i="13"/>
  <c r="AV304" i="13"/>
  <c r="AW304" i="13"/>
  <c r="AX304" i="13"/>
  <c r="AY304" i="13"/>
  <c r="AB305" i="13"/>
  <c r="AC305" i="13"/>
  <c r="AD305" i="13"/>
  <c r="AE305" i="13"/>
  <c r="AF305" i="13"/>
  <c r="AG305" i="13"/>
  <c r="AL305" i="13"/>
  <c r="AM305" i="13"/>
  <c r="AQ305" i="13"/>
  <c r="AR305" i="13"/>
  <c r="AS305" i="13"/>
  <c r="AT305" i="13"/>
  <c r="AU305" i="13"/>
  <c r="AV305" i="13"/>
  <c r="AW305" i="13"/>
  <c r="AX305" i="13"/>
  <c r="AY305" i="13"/>
  <c r="AB306" i="13"/>
  <c r="AC306" i="13"/>
  <c r="AD306" i="13"/>
  <c r="AE306" i="13"/>
  <c r="AF306" i="13"/>
  <c r="AG306" i="13"/>
  <c r="AL306" i="13"/>
  <c r="AM306" i="13"/>
  <c r="AQ306" i="13"/>
  <c r="AR306" i="13"/>
  <c r="AS306" i="13"/>
  <c r="AT306" i="13"/>
  <c r="AU306" i="13"/>
  <c r="AV306" i="13"/>
  <c r="AW306" i="13"/>
  <c r="AX306" i="13"/>
  <c r="AY306" i="13"/>
  <c r="AB307" i="13"/>
  <c r="AC307" i="13"/>
  <c r="AD307" i="13"/>
  <c r="AE307" i="13"/>
  <c r="AF307" i="13"/>
  <c r="AG307" i="13"/>
  <c r="AL307" i="13"/>
  <c r="AM307" i="13"/>
  <c r="AQ307" i="13"/>
  <c r="AR307" i="13"/>
  <c r="AS307" i="13"/>
  <c r="AT307" i="13"/>
  <c r="AU307" i="13"/>
  <c r="AV307" i="13"/>
  <c r="AW307" i="13"/>
  <c r="AX307" i="13"/>
  <c r="AY307" i="13"/>
  <c r="AB308" i="13"/>
  <c r="AC308" i="13"/>
  <c r="AD308" i="13"/>
  <c r="AE308" i="13"/>
  <c r="AF308" i="13"/>
  <c r="AG308" i="13"/>
  <c r="AL308" i="13"/>
  <c r="AM308" i="13"/>
  <c r="AQ308" i="13"/>
  <c r="AR308" i="13"/>
  <c r="AS308" i="13"/>
  <c r="AT308" i="13"/>
  <c r="AU308" i="13"/>
  <c r="AV308" i="13"/>
  <c r="AW308" i="13"/>
  <c r="AX308" i="13"/>
  <c r="AY308" i="13"/>
  <c r="AB309" i="13"/>
  <c r="AC309" i="13"/>
  <c r="AD309" i="13"/>
  <c r="AE309" i="13"/>
  <c r="AF309" i="13"/>
  <c r="AG309" i="13"/>
  <c r="AL309" i="13"/>
  <c r="AM309" i="13"/>
  <c r="AQ309" i="13"/>
  <c r="AR309" i="13"/>
  <c r="AS309" i="13"/>
  <c r="AT309" i="13"/>
  <c r="AU309" i="13"/>
  <c r="AV309" i="13"/>
  <c r="AW309" i="13"/>
  <c r="AX309" i="13"/>
  <c r="AY309" i="13"/>
  <c r="AB310" i="13"/>
  <c r="AC310" i="13"/>
  <c r="AD310" i="13"/>
  <c r="AE310" i="13"/>
  <c r="AF310" i="13"/>
  <c r="AG310" i="13"/>
  <c r="AL310" i="13"/>
  <c r="AM310" i="13"/>
  <c r="AQ310" i="13"/>
  <c r="AR310" i="13"/>
  <c r="AS310" i="13"/>
  <c r="AT310" i="13"/>
  <c r="AU310" i="13"/>
  <c r="AV310" i="13"/>
  <c r="AW310" i="13"/>
  <c r="AX310" i="13"/>
  <c r="AY310" i="13"/>
  <c r="AB311" i="13"/>
  <c r="AC311" i="13"/>
  <c r="AD311" i="13"/>
  <c r="AE311" i="13"/>
  <c r="AF311" i="13"/>
  <c r="AG311" i="13"/>
  <c r="AL311" i="13"/>
  <c r="AM311" i="13"/>
  <c r="AQ311" i="13"/>
  <c r="AR311" i="13"/>
  <c r="AS311" i="13"/>
  <c r="AT311" i="13"/>
  <c r="AU311" i="13"/>
  <c r="AV311" i="13"/>
  <c r="AW311" i="13"/>
  <c r="AX311" i="13"/>
  <c r="AY311" i="13"/>
  <c r="AB312" i="13"/>
  <c r="AC312" i="13"/>
  <c r="AD312" i="13"/>
  <c r="AE312" i="13"/>
  <c r="AF312" i="13"/>
  <c r="AG312" i="13"/>
  <c r="AL312" i="13"/>
  <c r="AM312" i="13"/>
  <c r="AQ312" i="13"/>
  <c r="AR312" i="13"/>
  <c r="AS312" i="13"/>
  <c r="AT312" i="13"/>
  <c r="AU312" i="13"/>
  <c r="AV312" i="13"/>
  <c r="AW312" i="13"/>
  <c r="AX312" i="13"/>
  <c r="AY312" i="13"/>
  <c r="AB313" i="13"/>
  <c r="AC313" i="13"/>
  <c r="AD313" i="13"/>
  <c r="AE313" i="13"/>
  <c r="AF313" i="13"/>
  <c r="AG313" i="13"/>
  <c r="AL313" i="13"/>
  <c r="AM313" i="13"/>
  <c r="AQ313" i="13"/>
  <c r="AR313" i="13"/>
  <c r="AS313" i="13"/>
  <c r="AT313" i="13"/>
  <c r="AU313" i="13"/>
  <c r="AV313" i="13"/>
  <c r="AW313" i="13"/>
  <c r="AX313" i="13"/>
  <c r="AY313" i="13"/>
  <c r="AB314" i="13"/>
  <c r="AC314" i="13"/>
  <c r="AD314" i="13"/>
  <c r="AE314" i="13"/>
  <c r="AF314" i="13"/>
  <c r="AG314" i="13"/>
  <c r="AL314" i="13"/>
  <c r="AM314" i="13"/>
  <c r="AQ314" i="13"/>
  <c r="AR314" i="13"/>
  <c r="AS314" i="13"/>
  <c r="AT314" i="13"/>
  <c r="AU314" i="13"/>
  <c r="AV314" i="13"/>
  <c r="AW314" i="13"/>
  <c r="AX314" i="13"/>
  <c r="AY314" i="13"/>
  <c r="AB315" i="13"/>
  <c r="AC315" i="13"/>
  <c r="AD315" i="13"/>
  <c r="AE315" i="13"/>
  <c r="AF315" i="13"/>
  <c r="AG315" i="13"/>
  <c r="AL315" i="13"/>
  <c r="AM315" i="13"/>
  <c r="AQ315" i="13"/>
  <c r="AR315" i="13"/>
  <c r="AS315" i="13"/>
  <c r="AT315" i="13"/>
  <c r="AU315" i="13"/>
  <c r="AV315" i="13"/>
  <c r="AW315" i="13"/>
  <c r="AX315" i="13"/>
  <c r="AY315" i="13"/>
  <c r="AB316" i="13"/>
  <c r="AC316" i="13"/>
  <c r="AD316" i="13"/>
  <c r="AE316" i="13"/>
  <c r="AF316" i="13"/>
  <c r="AG316" i="13"/>
  <c r="AL316" i="13"/>
  <c r="AM316" i="13"/>
  <c r="AQ316" i="13"/>
  <c r="AR316" i="13"/>
  <c r="AS316" i="13"/>
  <c r="AT316" i="13"/>
  <c r="AU316" i="13"/>
  <c r="AV316" i="13"/>
  <c r="AW316" i="13"/>
  <c r="AX316" i="13"/>
  <c r="AY316" i="13"/>
  <c r="AB317" i="13"/>
  <c r="AC317" i="13"/>
  <c r="AD317" i="13"/>
  <c r="AE317" i="13"/>
  <c r="AF317" i="13"/>
  <c r="AG317" i="13"/>
  <c r="AL317" i="13"/>
  <c r="AM317" i="13"/>
  <c r="AQ317" i="13"/>
  <c r="AR317" i="13"/>
  <c r="AS317" i="13"/>
  <c r="AT317" i="13"/>
  <c r="AU317" i="13"/>
  <c r="AV317" i="13"/>
  <c r="AW317" i="13"/>
  <c r="AX317" i="13"/>
  <c r="AY317" i="13"/>
  <c r="AB318" i="13"/>
  <c r="AC318" i="13"/>
  <c r="AD318" i="13"/>
  <c r="AE318" i="13"/>
  <c r="AF318" i="13"/>
  <c r="AG318" i="13"/>
  <c r="AL318" i="13"/>
  <c r="AM318" i="13"/>
  <c r="AQ318" i="13"/>
  <c r="AR318" i="13"/>
  <c r="AS318" i="13"/>
  <c r="AT318" i="13"/>
  <c r="AU318" i="13"/>
  <c r="AV318" i="13"/>
  <c r="AW318" i="13"/>
  <c r="AX318" i="13"/>
  <c r="AY318" i="13"/>
  <c r="AB319" i="13"/>
  <c r="AC319" i="13"/>
  <c r="AD319" i="13"/>
  <c r="AE319" i="13"/>
  <c r="AF319" i="13"/>
  <c r="AG319" i="13"/>
  <c r="AL319" i="13"/>
  <c r="AM319" i="13"/>
  <c r="AQ319" i="13"/>
  <c r="AR319" i="13"/>
  <c r="AS319" i="13"/>
  <c r="AT319" i="13"/>
  <c r="AU319" i="13"/>
  <c r="AV319" i="13"/>
  <c r="AW319" i="13"/>
  <c r="AX319" i="13"/>
  <c r="AY319" i="13"/>
  <c r="AB320" i="13"/>
  <c r="AC320" i="13"/>
  <c r="AD320" i="13"/>
  <c r="AE320" i="13"/>
  <c r="AF320" i="13"/>
  <c r="AG320" i="13"/>
  <c r="AL320" i="13"/>
  <c r="AM320" i="13"/>
  <c r="AQ320" i="13"/>
  <c r="AR320" i="13"/>
  <c r="AS320" i="13"/>
  <c r="AT320" i="13"/>
  <c r="AU320" i="13"/>
  <c r="AV320" i="13"/>
  <c r="AW320" i="13"/>
  <c r="AX320" i="13"/>
  <c r="AY320" i="13"/>
  <c r="AB321" i="13"/>
  <c r="AC321" i="13"/>
  <c r="AD321" i="13"/>
  <c r="AE321" i="13"/>
  <c r="AF321" i="13"/>
  <c r="AG321" i="13"/>
  <c r="AL321" i="13"/>
  <c r="AM321" i="13"/>
  <c r="AQ321" i="13"/>
  <c r="AR321" i="13"/>
  <c r="AS321" i="13"/>
  <c r="AT321" i="13"/>
  <c r="AU321" i="13"/>
  <c r="AV321" i="13"/>
  <c r="AW321" i="13"/>
  <c r="AX321" i="13"/>
  <c r="AY321" i="13"/>
  <c r="AB322" i="13"/>
  <c r="AC322" i="13"/>
  <c r="AD322" i="13"/>
  <c r="AE322" i="13"/>
  <c r="AF322" i="13"/>
  <c r="AG322" i="13"/>
  <c r="AL322" i="13"/>
  <c r="AM322" i="13"/>
  <c r="AQ322" i="13"/>
  <c r="AR322" i="13"/>
  <c r="AS322" i="13"/>
  <c r="AT322" i="13"/>
  <c r="AU322" i="13"/>
  <c r="AV322" i="13"/>
  <c r="AW322" i="13"/>
  <c r="AX322" i="13"/>
  <c r="AY322" i="13"/>
  <c r="AB323" i="13"/>
  <c r="AC323" i="13"/>
  <c r="AD323" i="13"/>
  <c r="AE323" i="13"/>
  <c r="AF323" i="13"/>
  <c r="AG323" i="13"/>
  <c r="AL323" i="13"/>
  <c r="AM323" i="13"/>
  <c r="AQ323" i="13"/>
  <c r="AR323" i="13"/>
  <c r="AS323" i="13"/>
  <c r="AT323" i="13"/>
  <c r="AU323" i="13"/>
  <c r="AV323" i="13"/>
  <c r="AW323" i="13"/>
  <c r="AX323" i="13"/>
  <c r="AY323" i="13"/>
  <c r="AB324" i="13"/>
  <c r="AC324" i="13"/>
  <c r="AD324" i="13"/>
  <c r="AE324" i="13"/>
  <c r="AF324" i="13"/>
  <c r="AG324" i="13"/>
  <c r="AL324" i="13"/>
  <c r="AM324" i="13"/>
  <c r="AQ324" i="13"/>
  <c r="AR324" i="13"/>
  <c r="AS324" i="13"/>
  <c r="AT324" i="13"/>
  <c r="AU324" i="13"/>
  <c r="AV324" i="13"/>
  <c r="AW324" i="13"/>
  <c r="AX324" i="13"/>
  <c r="AY324" i="13"/>
  <c r="AB325" i="13"/>
  <c r="AC325" i="13"/>
  <c r="AD325" i="13"/>
  <c r="AE325" i="13"/>
  <c r="AF325" i="13"/>
  <c r="AG325" i="13"/>
  <c r="AL325" i="13"/>
  <c r="AM325" i="13"/>
  <c r="AQ325" i="13"/>
  <c r="AR325" i="13"/>
  <c r="AS325" i="13"/>
  <c r="AT325" i="13"/>
  <c r="AU325" i="13"/>
  <c r="AV325" i="13"/>
  <c r="AW325" i="13"/>
  <c r="AX325" i="13"/>
  <c r="AY325" i="13"/>
  <c r="AB326" i="13"/>
  <c r="AC326" i="13"/>
  <c r="AD326" i="13"/>
  <c r="AE326" i="13"/>
  <c r="AF326" i="13"/>
  <c r="AG326" i="13"/>
  <c r="AL326" i="13"/>
  <c r="AM326" i="13"/>
  <c r="AQ326" i="13"/>
  <c r="AR326" i="13"/>
  <c r="AS326" i="13"/>
  <c r="AT326" i="13"/>
  <c r="AU326" i="13"/>
  <c r="AV326" i="13"/>
  <c r="AW326" i="13"/>
  <c r="AX326" i="13"/>
  <c r="AY326" i="13"/>
  <c r="AB327" i="13"/>
  <c r="AC327" i="13"/>
  <c r="AD327" i="13"/>
  <c r="AE327" i="13"/>
  <c r="AF327" i="13"/>
  <c r="AG327" i="13"/>
  <c r="AL327" i="13"/>
  <c r="AM327" i="13"/>
  <c r="AQ327" i="13"/>
  <c r="AR327" i="13"/>
  <c r="AS327" i="13"/>
  <c r="AT327" i="13"/>
  <c r="AU327" i="13"/>
  <c r="AV327" i="13"/>
  <c r="AW327" i="13"/>
  <c r="AX327" i="13"/>
  <c r="AY327" i="13"/>
  <c r="AB328" i="13"/>
  <c r="AC328" i="13"/>
  <c r="AD328" i="13"/>
  <c r="AE328" i="13"/>
  <c r="AF328" i="13"/>
  <c r="AG328" i="13"/>
  <c r="AL328" i="13"/>
  <c r="AM328" i="13"/>
  <c r="AQ328" i="13"/>
  <c r="AR328" i="13"/>
  <c r="AS328" i="13"/>
  <c r="AT328" i="13"/>
  <c r="AU328" i="13"/>
  <c r="AV328" i="13"/>
  <c r="AW328" i="13"/>
  <c r="AX328" i="13"/>
  <c r="AY328" i="13"/>
  <c r="AB329" i="13"/>
  <c r="AC329" i="13"/>
  <c r="AD329" i="13"/>
  <c r="AE329" i="13"/>
  <c r="AF329" i="13"/>
  <c r="AG329" i="13"/>
  <c r="AL329" i="13"/>
  <c r="AM329" i="13"/>
  <c r="AQ329" i="13"/>
  <c r="AR329" i="13"/>
  <c r="AS329" i="13"/>
  <c r="AT329" i="13"/>
  <c r="AU329" i="13"/>
  <c r="AV329" i="13"/>
  <c r="AW329" i="13"/>
  <c r="AX329" i="13"/>
  <c r="AY329" i="13"/>
  <c r="AB330" i="13"/>
  <c r="AC330" i="13"/>
  <c r="AD330" i="13"/>
  <c r="AE330" i="13"/>
  <c r="AF330" i="13"/>
  <c r="AG330" i="13"/>
  <c r="AL330" i="13"/>
  <c r="AM330" i="13"/>
  <c r="AQ330" i="13"/>
  <c r="AR330" i="13"/>
  <c r="AS330" i="13"/>
  <c r="AT330" i="13"/>
  <c r="AU330" i="13"/>
  <c r="AV330" i="13"/>
  <c r="AW330" i="13"/>
  <c r="AX330" i="13"/>
  <c r="AY330" i="13"/>
  <c r="AB331" i="13"/>
  <c r="AC331" i="13"/>
  <c r="AD331" i="13"/>
  <c r="AE331" i="13"/>
  <c r="AF331" i="13"/>
  <c r="AG331" i="13"/>
  <c r="AL331" i="13"/>
  <c r="AM331" i="13"/>
  <c r="AQ331" i="13"/>
  <c r="AR331" i="13"/>
  <c r="AS331" i="13"/>
  <c r="AT331" i="13"/>
  <c r="AU331" i="13"/>
  <c r="AV331" i="13"/>
  <c r="AW331" i="13"/>
  <c r="AX331" i="13"/>
  <c r="AY331" i="13"/>
  <c r="AB332" i="13"/>
  <c r="AC332" i="13"/>
  <c r="AD332" i="13"/>
  <c r="AE332" i="13"/>
  <c r="AF332" i="13"/>
  <c r="AG332" i="13"/>
  <c r="AL332" i="13"/>
  <c r="AM332" i="13"/>
  <c r="AQ332" i="13"/>
  <c r="AR332" i="13"/>
  <c r="AS332" i="13"/>
  <c r="AT332" i="13"/>
  <c r="AU332" i="13"/>
  <c r="AV332" i="13"/>
  <c r="AW332" i="13"/>
  <c r="AX332" i="13"/>
  <c r="AY332" i="13"/>
  <c r="AB333" i="13"/>
  <c r="AC333" i="13"/>
  <c r="AD333" i="13"/>
  <c r="AE333" i="13"/>
  <c r="AF333" i="13"/>
  <c r="AG333" i="13"/>
  <c r="AL333" i="13"/>
  <c r="AM333" i="13"/>
  <c r="AQ333" i="13"/>
  <c r="AR333" i="13"/>
  <c r="AS333" i="13"/>
  <c r="AT333" i="13"/>
  <c r="AU333" i="13"/>
  <c r="AV333" i="13"/>
  <c r="AW333" i="13"/>
  <c r="AX333" i="13"/>
  <c r="AY333" i="13"/>
  <c r="AB334" i="13"/>
  <c r="AC334" i="13"/>
  <c r="AD334" i="13"/>
  <c r="AE334" i="13"/>
  <c r="AF334" i="13"/>
  <c r="AG334" i="13"/>
  <c r="AL334" i="13"/>
  <c r="AM334" i="13"/>
  <c r="AQ334" i="13"/>
  <c r="AR334" i="13"/>
  <c r="AS334" i="13"/>
  <c r="AT334" i="13"/>
  <c r="AU334" i="13"/>
  <c r="AV334" i="13"/>
  <c r="AW334" i="13"/>
  <c r="AX334" i="13"/>
  <c r="AY334" i="13"/>
  <c r="AB335" i="13"/>
  <c r="AC335" i="13"/>
  <c r="AD335" i="13"/>
  <c r="AE335" i="13"/>
  <c r="AF335" i="13"/>
  <c r="AG335" i="13"/>
  <c r="AL335" i="13"/>
  <c r="AM335" i="13"/>
  <c r="AQ335" i="13"/>
  <c r="AR335" i="13"/>
  <c r="AS335" i="13"/>
  <c r="AT335" i="13"/>
  <c r="AU335" i="13"/>
  <c r="AV335" i="13"/>
  <c r="AW335" i="13"/>
  <c r="AX335" i="13"/>
  <c r="AY335" i="13"/>
  <c r="AC298" i="13"/>
  <c r="AD298" i="13"/>
  <c r="AE298" i="13"/>
  <c r="AF298" i="13"/>
  <c r="AG298" i="13"/>
  <c r="AL298" i="13"/>
  <c r="AM298" i="13"/>
  <c r="AQ298" i="13"/>
  <c r="AR298" i="13"/>
  <c r="AS298" i="13"/>
  <c r="AT298" i="13"/>
  <c r="AU298" i="13"/>
  <c r="AV298" i="13"/>
  <c r="AW298" i="13"/>
  <c r="AX298" i="13"/>
  <c r="AY298" i="13"/>
  <c r="AB298" i="13"/>
  <c r="A2" i="13"/>
  <c r="L2" i="13"/>
  <c r="M2" i="13"/>
  <c r="L3" i="13"/>
  <c r="M3" i="13"/>
  <c r="N2" i="13"/>
  <c r="O2" i="13"/>
  <c r="N3" i="13"/>
  <c r="O3" i="13"/>
  <c r="W2" i="13"/>
  <c r="X2" i="13"/>
  <c r="Y2" i="13"/>
  <c r="W3" i="13"/>
  <c r="X3" i="13"/>
  <c r="Y3" i="13"/>
  <c r="X4" i="13"/>
  <c r="Y4" i="13"/>
  <c r="X5" i="13"/>
  <c r="Q2" i="13"/>
  <c r="R2" i="13"/>
  <c r="S2" i="13"/>
  <c r="T2" i="13"/>
  <c r="U2" i="13"/>
  <c r="V2" i="13"/>
  <c r="Q3" i="13"/>
  <c r="R3" i="13"/>
  <c r="S3" i="13"/>
  <c r="T3" i="13"/>
  <c r="U3" i="13"/>
  <c r="V3" i="13"/>
  <c r="P2" i="13"/>
  <c r="P3" i="13"/>
  <c r="H2" i="13"/>
  <c r="I2" i="13"/>
  <c r="J2" i="13"/>
  <c r="K2" i="13"/>
  <c r="H3" i="13"/>
  <c r="I3" i="13"/>
  <c r="J3" i="13"/>
  <c r="K3" i="13"/>
  <c r="D2" i="13"/>
  <c r="E2" i="13"/>
  <c r="F2" i="13"/>
  <c r="G2" i="13"/>
  <c r="D3" i="13"/>
  <c r="E3" i="13"/>
  <c r="F3" i="13"/>
  <c r="G3" i="13"/>
  <c r="B2" i="13"/>
  <c r="C2" i="13"/>
  <c r="B3" i="13"/>
  <c r="C3" i="13"/>
  <c r="B20" i="25" l="1"/>
  <c r="B20" i="21"/>
  <c r="B20" i="22"/>
  <c r="B20" i="27"/>
  <c r="Y20" i="27" s="1"/>
  <c r="AK20" i="27" s="1"/>
  <c r="L20" i="24"/>
  <c r="B20" i="26"/>
  <c r="H20" i="25"/>
  <c r="B20" i="24"/>
  <c r="B20" i="18"/>
  <c r="B20" i="19"/>
  <c r="S20" i="18"/>
  <c r="B21" i="17"/>
  <c r="K6" i="15"/>
  <c r="AK48" i="15" s="1"/>
  <c r="H4" i="15"/>
  <c r="AH46" i="15" s="1"/>
  <c r="K41" i="15"/>
  <c r="AK83" i="15" s="1"/>
  <c r="K36" i="15"/>
  <c r="AK78" i="15" s="1"/>
  <c r="K26" i="15"/>
  <c r="AK68" i="15" s="1"/>
  <c r="J16" i="15"/>
  <c r="AJ58" i="15" s="1"/>
  <c r="J15" i="15"/>
  <c r="AJ57" i="15" s="1"/>
  <c r="J14" i="15"/>
  <c r="AJ56" i="15" s="1"/>
  <c r="J13" i="15"/>
  <c r="AJ55" i="15" s="1"/>
  <c r="J12" i="15"/>
  <c r="AJ54" i="15" s="1"/>
  <c r="J11" i="15"/>
  <c r="AJ53" i="15" s="1"/>
  <c r="J10" i="15"/>
  <c r="AJ52" i="15" s="1"/>
  <c r="J9" i="15"/>
  <c r="AJ51" i="15" s="1"/>
  <c r="J8" i="15"/>
  <c r="AJ50" i="15" s="1"/>
  <c r="J7" i="15"/>
  <c r="AJ49" i="15" s="1"/>
  <c r="J6" i="15"/>
  <c r="AJ48" i="15" s="1"/>
  <c r="J5" i="15"/>
  <c r="AJ47" i="15" s="1"/>
  <c r="I4" i="15"/>
  <c r="AI46" i="15" s="1"/>
  <c r="J41" i="15"/>
  <c r="AJ83" i="15" s="1"/>
  <c r="J36" i="15"/>
  <c r="AJ78" i="15" s="1"/>
  <c r="J26" i="15"/>
  <c r="AJ68" i="15" s="1"/>
  <c r="I16" i="15"/>
  <c r="AI58" i="15" s="1"/>
  <c r="I7" i="15"/>
  <c r="AI49" i="15" s="1"/>
  <c r="I6" i="15"/>
  <c r="AI48" i="15" s="1"/>
  <c r="I5" i="15"/>
  <c r="AI47" i="15" s="1"/>
  <c r="K4" i="15"/>
  <c r="AK46" i="15" s="1"/>
  <c r="H41" i="15"/>
  <c r="AH83" i="15" s="1"/>
  <c r="H36" i="15"/>
  <c r="AH78" i="15" s="1"/>
  <c r="H26" i="15"/>
  <c r="AH68" i="15" s="1"/>
  <c r="K16" i="15"/>
  <c r="AK58" i="15" s="1"/>
  <c r="K7" i="15"/>
  <c r="AK49" i="15" s="1"/>
  <c r="K5" i="15"/>
  <c r="AK47" i="15" s="1"/>
  <c r="J4" i="15"/>
  <c r="AJ46" i="15" s="1"/>
  <c r="I41" i="15"/>
  <c r="AI83" i="15" s="1"/>
  <c r="I36" i="15"/>
  <c r="AI78" i="15" s="1"/>
  <c r="I26" i="15"/>
  <c r="AI68" i="15" s="1"/>
  <c r="H16" i="15"/>
  <c r="AH58" i="15" s="1"/>
  <c r="H7" i="15"/>
  <c r="AH49" i="15" s="1"/>
  <c r="H6" i="15"/>
  <c r="AH48" i="15" s="1"/>
  <c r="H5" i="15"/>
  <c r="AH47" i="15" s="1"/>
  <c r="J37" i="15"/>
  <c r="AJ79" i="15" s="1"/>
  <c r="J8" i="13"/>
  <c r="H5" i="13"/>
  <c r="I5" i="13"/>
  <c r="J5" i="13"/>
  <c r="K5" i="13"/>
  <c r="H6" i="13"/>
  <c r="I6" i="13"/>
  <c r="J6" i="13"/>
  <c r="K6" i="13"/>
  <c r="H7" i="13"/>
  <c r="I7" i="13"/>
  <c r="J7" i="13"/>
  <c r="K7" i="13"/>
  <c r="H16" i="13"/>
  <c r="I16" i="13"/>
  <c r="J16" i="13"/>
  <c r="K16" i="13"/>
  <c r="H26" i="13"/>
  <c r="I26" i="13"/>
  <c r="J26" i="13"/>
  <c r="K26" i="13"/>
  <c r="H36" i="13"/>
  <c r="I36" i="13"/>
  <c r="J36" i="13"/>
  <c r="K36" i="13"/>
  <c r="H41" i="13"/>
  <c r="I41" i="13"/>
  <c r="J41" i="13"/>
  <c r="K41" i="13"/>
  <c r="I4" i="13"/>
  <c r="J4" i="13"/>
  <c r="K4" i="13"/>
  <c r="H4" i="13"/>
  <c r="L21" i="24" l="1"/>
  <c r="B21" i="22"/>
  <c r="B21" i="27"/>
  <c r="Y21" i="27" s="1"/>
  <c r="AK21" i="27" s="1"/>
  <c r="H21" i="25"/>
  <c r="B21" i="24"/>
  <c r="B21" i="26"/>
  <c r="B21" i="25"/>
  <c r="B21" i="21"/>
  <c r="B21" i="18"/>
  <c r="S21" i="18"/>
  <c r="B21" i="19"/>
  <c r="B22" i="17"/>
  <c r="I37" i="13"/>
  <c r="J37" i="13"/>
  <c r="I15" i="15"/>
  <c r="AI57" i="15" s="1"/>
  <c r="H15" i="15"/>
  <c r="AH57" i="15" s="1"/>
  <c r="K8" i="15"/>
  <c r="AK50" i="15" s="1"/>
  <c r="H8" i="13"/>
  <c r="H9" i="13"/>
  <c r="I17" i="13"/>
  <c r="I27" i="13"/>
  <c r="I38" i="13"/>
  <c r="K8" i="13"/>
  <c r="H37" i="13"/>
  <c r="I37" i="15"/>
  <c r="AI79" i="15" s="1"/>
  <c r="J10" i="13"/>
  <c r="J9" i="13"/>
  <c r="B22" i="25" l="1"/>
  <c r="B22" i="26"/>
  <c r="H22" i="25"/>
  <c r="L22" i="24"/>
  <c r="B22" i="21"/>
  <c r="B22" i="22"/>
  <c r="B22" i="27"/>
  <c r="Y22" i="27" s="1"/>
  <c r="AK22" i="27" s="1"/>
  <c r="B22" i="24"/>
  <c r="S22" i="18"/>
  <c r="B22" i="18"/>
  <c r="B22" i="19"/>
  <c r="B23" i="17"/>
  <c r="H10" i="15"/>
  <c r="AH52" i="15" s="1"/>
  <c r="I8" i="13"/>
  <c r="H14" i="15"/>
  <c r="AH56" i="15" s="1"/>
  <c r="I12" i="15"/>
  <c r="AI54" i="15" s="1"/>
  <c r="I8" i="15"/>
  <c r="AI50" i="15" s="1"/>
  <c r="I11" i="13"/>
  <c r="I11" i="15"/>
  <c r="AI53" i="15" s="1"/>
  <c r="J27" i="13"/>
  <c r="J27" i="15"/>
  <c r="AJ69" i="15" s="1"/>
  <c r="I9" i="15"/>
  <c r="AI51" i="15" s="1"/>
  <c r="H9" i="15"/>
  <c r="AH51" i="15" s="1"/>
  <c r="H27" i="15"/>
  <c r="AH69" i="15" s="1"/>
  <c r="H27" i="13"/>
  <c r="I13" i="15"/>
  <c r="AI55" i="15" s="1"/>
  <c r="K27" i="15"/>
  <c r="AK69" i="15" s="1"/>
  <c r="H8" i="15"/>
  <c r="AH50" i="15" s="1"/>
  <c r="H12" i="15"/>
  <c r="AH54" i="15" s="1"/>
  <c r="H17" i="15"/>
  <c r="AH59" i="15" s="1"/>
  <c r="K37" i="13"/>
  <c r="K37" i="15"/>
  <c r="AK79" i="15" s="1"/>
  <c r="H18" i="13"/>
  <c r="I17" i="15"/>
  <c r="AI59" i="15" s="1"/>
  <c r="H11" i="15"/>
  <c r="AH53" i="15" s="1"/>
  <c r="H13" i="15"/>
  <c r="AH55" i="15" s="1"/>
  <c r="H37" i="15"/>
  <c r="AH79" i="15" s="1"/>
  <c r="I27" i="15"/>
  <c r="AI69" i="15" s="1"/>
  <c r="K17" i="13"/>
  <c r="K17" i="15"/>
  <c r="AK59" i="15" s="1"/>
  <c r="I10" i="15"/>
  <c r="AI52" i="15" s="1"/>
  <c r="K27" i="13"/>
  <c r="H17" i="13"/>
  <c r="I38" i="15"/>
  <c r="AI80" i="15" s="1"/>
  <c r="I14" i="15"/>
  <c r="AI56" i="15" s="1"/>
  <c r="J17" i="15"/>
  <c r="AJ59" i="15" s="1"/>
  <c r="J17" i="13"/>
  <c r="J18" i="15"/>
  <c r="AJ60" i="15" s="1"/>
  <c r="I10" i="13"/>
  <c r="I9" i="13"/>
  <c r="I12" i="13"/>
  <c r="J11" i="13"/>
  <c r="H10" i="13"/>
  <c r="B23" i="26" l="1"/>
  <c r="H23" i="25"/>
  <c r="L23" i="24"/>
  <c r="B23" i="25"/>
  <c r="B23" i="24"/>
  <c r="B23" i="22"/>
  <c r="B23" i="21"/>
  <c r="B23" i="27"/>
  <c r="Y23" i="27" s="1"/>
  <c r="AK23" i="27" s="1"/>
  <c r="B23" i="19"/>
  <c r="S23" i="18"/>
  <c r="B23" i="18"/>
  <c r="B24" i="17"/>
  <c r="H29" i="13"/>
  <c r="K28" i="15"/>
  <c r="AK70" i="15" s="1"/>
  <c r="K28" i="13"/>
  <c r="K18" i="15"/>
  <c r="AK60" i="15" s="1"/>
  <c r="K18" i="13"/>
  <c r="I39" i="15"/>
  <c r="AI81" i="15" s="1"/>
  <c r="I39" i="13"/>
  <c r="I28" i="15"/>
  <c r="AI70" i="15" s="1"/>
  <c r="I28" i="13"/>
  <c r="K9" i="15"/>
  <c r="AK51" i="15" s="1"/>
  <c r="K9" i="13"/>
  <c r="H28" i="15"/>
  <c r="AH70" i="15" s="1"/>
  <c r="H38" i="15"/>
  <c r="AH80" i="15" s="1"/>
  <c r="H38" i="13"/>
  <c r="I40" i="15"/>
  <c r="AI82" i="15" s="1"/>
  <c r="I40" i="13"/>
  <c r="J28" i="15"/>
  <c r="AJ70" i="15" s="1"/>
  <c r="J28" i="13"/>
  <c r="J38" i="15"/>
  <c r="AJ80" i="15" s="1"/>
  <c r="J38" i="13"/>
  <c r="I18" i="15"/>
  <c r="AI60" i="15" s="1"/>
  <c r="H28" i="13"/>
  <c r="I18" i="13"/>
  <c r="K38" i="15"/>
  <c r="AK80" i="15" s="1"/>
  <c r="K38" i="13"/>
  <c r="H18" i="15"/>
  <c r="AH60" i="15" s="1"/>
  <c r="J18" i="13"/>
  <c r="J19" i="15"/>
  <c r="AJ61" i="15" s="1"/>
  <c r="I13" i="13"/>
  <c r="J12" i="13"/>
  <c r="H11" i="13"/>
  <c r="B24" i="22" l="1"/>
  <c r="B24" i="27"/>
  <c r="Y24" i="27" s="1"/>
  <c r="AK24" i="27" s="1"/>
  <c r="B24" i="21"/>
  <c r="H24" i="25"/>
  <c r="L24" i="24"/>
  <c r="B24" i="26"/>
  <c r="B24" i="25"/>
  <c r="B24" i="24"/>
  <c r="B24" i="18"/>
  <c r="B24" i="19"/>
  <c r="S24" i="18"/>
  <c r="B25" i="17"/>
  <c r="I19" i="15"/>
  <c r="AI61" i="15" s="1"/>
  <c r="I19" i="13"/>
  <c r="I29" i="15"/>
  <c r="AI71" i="15" s="1"/>
  <c r="I29" i="13"/>
  <c r="J39" i="15"/>
  <c r="AJ81" i="15" s="1"/>
  <c r="J39" i="13"/>
  <c r="K39" i="15"/>
  <c r="AK81" i="15" s="1"/>
  <c r="K39" i="13"/>
  <c r="J29" i="15"/>
  <c r="AJ71" i="15" s="1"/>
  <c r="J29" i="13"/>
  <c r="K10" i="15"/>
  <c r="AK52" i="15" s="1"/>
  <c r="K10" i="13"/>
  <c r="K40" i="15"/>
  <c r="AK82" i="15" s="1"/>
  <c r="K40" i="13"/>
  <c r="K19" i="15"/>
  <c r="AK61" i="15" s="1"/>
  <c r="K19" i="13"/>
  <c r="H39" i="15"/>
  <c r="AH81" i="15" s="1"/>
  <c r="H39" i="13"/>
  <c r="H29" i="15"/>
  <c r="AH71" i="15" s="1"/>
  <c r="H19" i="15"/>
  <c r="AH61" i="15" s="1"/>
  <c r="H19" i="13"/>
  <c r="J40" i="15"/>
  <c r="AJ82" i="15" s="1"/>
  <c r="J40" i="13"/>
  <c r="K29" i="15"/>
  <c r="AK71" i="15" s="1"/>
  <c r="K29" i="13"/>
  <c r="H40" i="15"/>
  <c r="AH82" i="15" s="1"/>
  <c r="H40" i="13"/>
  <c r="H30" i="13"/>
  <c r="J19" i="13"/>
  <c r="J20" i="15"/>
  <c r="AJ62" i="15" s="1"/>
  <c r="I15" i="13"/>
  <c r="I14" i="13"/>
  <c r="H12" i="13"/>
  <c r="J13" i="13"/>
  <c r="H25" i="25" l="1"/>
  <c r="L25" i="24"/>
  <c r="B25" i="25"/>
  <c r="B25" i="24"/>
  <c r="B25" i="26"/>
  <c r="B25" i="22"/>
  <c r="B25" i="27"/>
  <c r="Y25" i="27" s="1"/>
  <c r="AK25" i="27" s="1"/>
  <c r="B25" i="21"/>
  <c r="B25" i="19"/>
  <c r="B25" i="18"/>
  <c r="S25" i="18"/>
  <c r="B26" i="17"/>
  <c r="H31" i="13"/>
  <c r="I20" i="15"/>
  <c r="AI62" i="15" s="1"/>
  <c r="I20" i="13"/>
  <c r="K30" i="15"/>
  <c r="AK72" i="15" s="1"/>
  <c r="K30" i="13"/>
  <c r="J30" i="15"/>
  <c r="AJ72" i="15" s="1"/>
  <c r="J30" i="13"/>
  <c r="K20" i="15"/>
  <c r="AK62" i="15" s="1"/>
  <c r="K20" i="13"/>
  <c r="H20" i="15"/>
  <c r="AH62" i="15" s="1"/>
  <c r="H20" i="13"/>
  <c r="K11" i="15"/>
  <c r="AK53" i="15" s="1"/>
  <c r="K11" i="13"/>
  <c r="H30" i="15"/>
  <c r="AH72" i="15" s="1"/>
  <c r="I30" i="15"/>
  <c r="AI72" i="15" s="1"/>
  <c r="I30" i="13"/>
  <c r="O5" i="13"/>
  <c r="O5" i="15"/>
  <c r="AO47" i="15" s="1"/>
  <c r="P5" i="13"/>
  <c r="P5" i="15"/>
  <c r="AP47" i="15" s="1"/>
  <c r="P4" i="13"/>
  <c r="P4" i="15"/>
  <c r="AP46" i="15" s="1"/>
  <c r="N5" i="15"/>
  <c r="AN47" i="15" s="1"/>
  <c r="J20" i="13"/>
  <c r="J21" i="15"/>
  <c r="AJ63" i="15" s="1"/>
  <c r="N5" i="13"/>
  <c r="J14" i="13"/>
  <c r="J15" i="13"/>
  <c r="H13" i="13"/>
  <c r="B26" i="26" l="1"/>
  <c r="B26" i="22"/>
  <c r="B26" i="27"/>
  <c r="Y26" i="27" s="1"/>
  <c r="AK26" i="27" s="1"/>
  <c r="H26" i="25"/>
  <c r="L26" i="24"/>
  <c r="B26" i="21"/>
  <c r="B26" i="25"/>
  <c r="B26" i="24"/>
  <c r="S26" i="18"/>
  <c r="B26" i="19"/>
  <c r="B26" i="18"/>
  <c r="B27" i="17"/>
  <c r="K12" i="15"/>
  <c r="AK54" i="15" s="1"/>
  <c r="K12" i="13"/>
  <c r="J31" i="15"/>
  <c r="AJ73" i="15" s="1"/>
  <c r="J31" i="13"/>
  <c r="I21" i="15"/>
  <c r="AI63" i="15" s="1"/>
  <c r="I21" i="13"/>
  <c r="K31" i="15"/>
  <c r="AK73" i="15" s="1"/>
  <c r="K31" i="13"/>
  <c r="H21" i="15"/>
  <c r="AH63" i="15" s="1"/>
  <c r="H21" i="13"/>
  <c r="I31" i="15"/>
  <c r="AI73" i="15" s="1"/>
  <c r="I31" i="13"/>
  <c r="K21" i="15"/>
  <c r="AK63" i="15" s="1"/>
  <c r="K21" i="13"/>
  <c r="H31" i="15"/>
  <c r="AH73" i="15" s="1"/>
  <c r="J21" i="13"/>
  <c r="J22" i="15"/>
  <c r="AJ64" i="15" s="1"/>
  <c r="H15" i="13"/>
  <c r="H14" i="13"/>
  <c r="B27" i="27" l="1"/>
  <c r="Y27" i="27" s="1"/>
  <c r="AK27" i="27" s="1"/>
  <c r="B27" i="26"/>
  <c r="H27" i="25"/>
  <c r="L27" i="24"/>
  <c r="B27" i="25"/>
  <c r="B27" i="24"/>
  <c r="B27" i="21"/>
  <c r="B27" i="22"/>
  <c r="S27" i="18"/>
  <c r="B27" i="19"/>
  <c r="B27" i="18"/>
  <c r="B28" i="17"/>
  <c r="J32" i="15"/>
  <c r="AJ74" i="15" s="1"/>
  <c r="J32" i="13"/>
  <c r="K32" i="15"/>
  <c r="AK74" i="15" s="1"/>
  <c r="K32" i="13"/>
  <c r="I22" i="15"/>
  <c r="AI64" i="15" s="1"/>
  <c r="I22" i="13"/>
  <c r="I32" i="15"/>
  <c r="AI74" i="15" s="1"/>
  <c r="I32" i="13"/>
  <c r="H32" i="15"/>
  <c r="AH74" i="15" s="1"/>
  <c r="K13" i="15"/>
  <c r="AK55" i="15" s="1"/>
  <c r="K13" i="13"/>
  <c r="H32" i="13"/>
  <c r="H22" i="15"/>
  <c r="AH64" i="15" s="1"/>
  <c r="H22" i="13"/>
  <c r="H33" i="13"/>
  <c r="K22" i="15"/>
  <c r="AK64" i="15" s="1"/>
  <c r="K22" i="13"/>
  <c r="J23" i="15"/>
  <c r="AJ65" i="15" s="1"/>
  <c r="J22" i="13"/>
  <c r="B28" i="21" l="1"/>
  <c r="B28" i="22"/>
  <c r="B28" i="27"/>
  <c r="Y28" i="27" s="1"/>
  <c r="AK28" i="27" s="1"/>
  <c r="H28" i="25"/>
  <c r="L28" i="24"/>
  <c r="B28" i="26"/>
  <c r="B28" i="25"/>
  <c r="B28" i="24"/>
  <c r="B28" i="18"/>
  <c r="B28" i="19"/>
  <c r="S28" i="18"/>
  <c r="B29" i="17"/>
  <c r="I33" i="15"/>
  <c r="AI75" i="15" s="1"/>
  <c r="I33" i="13"/>
  <c r="K33" i="15"/>
  <c r="AK75" i="15" s="1"/>
  <c r="K33" i="13"/>
  <c r="J33" i="15"/>
  <c r="AJ75" i="15" s="1"/>
  <c r="J33" i="13"/>
  <c r="H33" i="15"/>
  <c r="AH75" i="15" s="1"/>
  <c r="I23" i="15"/>
  <c r="AI65" i="15" s="1"/>
  <c r="I23" i="13"/>
  <c r="K14" i="15"/>
  <c r="AK56" i="15" s="1"/>
  <c r="K14" i="13"/>
  <c r="K15" i="15"/>
  <c r="AK57" i="15" s="1"/>
  <c r="K15" i="13"/>
  <c r="K23" i="15"/>
  <c r="AK65" i="15" s="1"/>
  <c r="K23" i="13"/>
  <c r="H35" i="13"/>
  <c r="H23" i="15"/>
  <c r="AH65" i="15" s="1"/>
  <c r="H23" i="13"/>
  <c r="J23" i="13"/>
  <c r="J25" i="15"/>
  <c r="AJ67" i="15" s="1"/>
  <c r="J24" i="15"/>
  <c r="AJ66" i="15" s="1"/>
  <c r="AB29" i="9"/>
  <c r="AC29" i="9" s="1"/>
  <c r="AD29" i="9" s="1"/>
  <c r="AE29" i="9" s="1"/>
  <c r="AF29" i="9" s="1"/>
  <c r="AG29" i="9" s="1"/>
  <c r="AH29" i="9" s="1"/>
  <c r="AI29" i="9" s="1"/>
  <c r="AJ29" i="9" s="1"/>
  <c r="AK29" i="9" s="1"/>
  <c r="AL29" i="9" s="1"/>
  <c r="AM29" i="9" s="1"/>
  <c r="AN29" i="9" s="1"/>
  <c r="AO29" i="9" s="1"/>
  <c r="AP29" i="9" s="1"/>
  <c r="AQ29" i="9" s="1"/>
  <c r="AR29" i="9" s="1"/>
  <c r="AS29" i="9" s="1"/>
  <c r="AT29" i="9" s="1"/>
  <c r="AU29" i="9" s="1"/>
  <c r="AV29" i="9" s="1"/>
  <c r="AW29" i="9" s="1"/>
  <c r="AX29" i="9" s="1"/>
  <c r="AY29" i="9" s="1"/>
  <c r="AZ29" i="9" s="1"/>
  <c r="BA29" i="9" s="1"/>
  <c r="BB29" i="9" s="1"/>
  <c r="BC29" i="9" s="1"/>
  <c r="BD29" i="9" s="1"/>
  <c r="H29" i="25" l="1"/>
  <c r="L29" i="24"/>
  <c r="B29" i="22"/>
  <c r="B29" i="27"/>
  <c r="Y29" i="27" s="1"/>
  <c r="AK29" i="27" s="1"/>
  <c r="B29" i="25"/>
  <c r="B29" i="24"/>
  <c r="B29" i="26"/>
  <c r="B29" i="21"/>
  <c r="B29" i="18"/>
  <c r="S29" i="18"/>
  <c r="B29" i="19"/>
  <c r="B30" i="17"/>
  <c r="H34" i="15"/>
  <c r="AH76" i="15" s="1"/>
  <c r="J34" i="15"/>
  <c r="AJ76" i="15" s="1"/>
  <c r="J34" i="13"/>
  <c r="I34" i="15"/>
  <c r="AI76" i="15" s="1"/>
  <c r="I34" i="13"/>
  <c r="I35" i="15"/>
  <c r="AI77" i="15" s="1"/>
  <c r="I35" i="13"/>
  <c r="K34" i="15"/>
  <c r="AK76" i="15" s="1"/>
  <c r="K34" i="13"/>
  <c r="J35" i="15"/>
  <c r="AJ77" i="15" s="1"/>
  <c r="J35" i="13"/>
  <c r="K35" i="15"/>
  <c r="AK77" i="15" s="1"/>
  <c r="H34" i="13"/>
  <c r="K24" i="15"/>
  <c r="AK66" i="15" s="1"/>
  <c r="K24" i="13"/>
  <c r="K25" i="15"/>
  <c r="AK67" i="15" s="1"/>
  <c r="K25" i="13"/>
  <c r="I24" i="15"/>
  <c r="AI66" i="15" s="1"/>
  <c r="I24" i="13"/>
  <c r="I25" i="15"/>
  <c r="AI67" i="15" s="1"/>
  <c r="I25" i="13"/>
  <c r="H24" i="15"/>
  <c r="AH66" i="15" s="1"/>
  <c r="H24" i="13"/>
  <c r="H35" i="15"/>
  <c r="AH77" i="15" s="1"/>
  <c r="K35" i="13"/>
  <c r="H25" i="15"/>
  <c r="AH67" i="15" s="1"/>
  <c r="H25" i="13"/>
  <c r="J24" i="13"/>
  <c r="J25" i="13"/>
  <c r="B30" i="26" l="1"/>
  <c r="H30" i="25"/>
  <c r="L30" i="24"/>
  <c r="B30" i="21"/>
  <c r="B30" i="22"/>
  <c r="B30" i="27"/>
  <c r="Y30" i="27" s="1"/>
  <c r="AK30" i="27" s="1"/>
  <c r="B30" i="25"/>
  <c r="B30" i="24"/>
  <c r="S30" i="18"/>
  <c r="B30" i="18"/>
  <c r="B30" i="19"/>
  <c r="B31" i="17"/>
  <c r="B31" i="26" l="1"/>
  <c r="H31" i="25"/>
  <c r="L31" i="24"/>
  <c r="B31" i="25"/>
  <c r="B31" i="24"/>
  <c r="B31" i="22"/>
  <c r="B31" i="21"/>
  <c r="B31" i="27"/>
  <c r="Y31" i="27" s="1"/>
  <c r="AK31" i="27" s="1"/>
  <c r="B31" i="19"/>
  <c r="S31" i="18"/>
  <c r="B31" i="18"/>
  <c r="B32" i="17"/>
  <c r="B32" i="22" l="1"/>
  <c r="B32" i="27"/>
  <c r="Y32" i="27" s="1"/>
  <c r="AK32" i="27" s="1"/>
  <c r="B32" i="21"/>
  <c r="H32" i="25"/>
  <c r="L32" i="24"/>
  <c r="B32" i="26"/>
  <c r="B32" i="25"/>
  <c r="B32" i="24"/>
  <c r="B32" i="19"/>
  <c r="S32" i="18"/>
  <c r="B32" i="18"/>
  <c r="B33" i="17"/>
  <c r="H33" i="25" l="1"/>
  <c r="L33" i="24"/>
  <c r="B33" i="25"/>
  <c r="B33" i="24"/>
  <c r="B33" i="26"/>
  <c r="B33" i="22"/>
  <c r="B33" i="27"/>
  <c r="Y33" i="27" s="1"/>
  <c r="AK33" i="27" s="1"/>
  <c r="B33" i="21"/>
  <c r="B33" i="18"/>
  <c r="B33" i="19"/>
  <c r="S33" i="18"/>
  <c r="B34" i="17"/>
  <c r="B34" i="26" l="1"/>
  <c r="B34" i="22"/>
  <c r="B34" i="27"/>
  <c r="Y34" i="27" s="1"/>
  <c r="AK34" i="27" s="1"/>
  <c r="H34" i="25"/>
  <c r="L34" i="24"/>
  <c r="B34" i="21"/>
  <c r="B34" i="25"/>
  <c r="B34" i="24"/>
  <c r="S34" i="18"/>
  <c r="B34" i="18"/>
  <c r="B34" i="19"/>
  <c r="B35" i="17"/>
  <c r="O4" i="13"/>
  <c r="O4" i="15"/>
  <c r="AO46" i="15" s="1"/>
  <c r="N4" i="13"/>
  <c r="N4" i="15"/>
  <c r="AN46" i="15" s="1"/>
  <c r="B35" i="27" l="1"/>
  <c r="Y35" i="27" s="1"/>
  <c r="AK35" i="27" s="1"/>
  <c r="B35" i="26"/>
  <c r="H35" i="25"/>
  <c r="L35" i="24"/>
  <c r="B35" i="25"/>
  <c r="B35" i="24"/>
  <c r="B35" i="21"/>
  <c r="B35" i="22"/>
  <c r="S35" i="18"/>
  <c r="B35" i="19"/>
  <c r="B35" i="18"/>
  <c r="B36" i="17"/>
  <c r="B36" i="21" l="1"/>
  <c r="B36" i="22"/>
  <c r="B36" i="27"/>
  <c r="Y36" i="27" s="1"/>
  <c r="AK36" i="27" s="1"/>
  <c r="H36" i="25"/>
  <c r="L36" i="24"/>
  <c r="B36" i="26"/>
  <c r="B36" i="25"/>
  <c r="B36" i="24"/>
  <c r="S36" i="18"/>
  <c r="B36" i="19"/>
  <c r="B36" i="18"/>
  <c r="B37" i="17"/>
  <c r="H37" i="25" l="1"/>
  <c r="L37" i="24"/>
  <c r="B37" i="22"/>
  <c r="B37" i="27"/>
  <c r="Y37" i="27" s="1"/>
  <c r="AK37" i="27" s="1"/>
  <c r="B37" i="25"/>
  <c r="B37" i="24"/>
  <c r="B37" i="26"/>
  <c r="B37" i="21"/>
  <c r="B37" i="18"/>
  <c r="B37" i="19"/>
  <c r="S37" i="18"/>
  <c r="B38" i="17"/>
  <c r="P7" i="13"/>
  <c r="P6" i="13"/>
  <c r="P6" i="15"/>
  <c r="AP48" i="15" s="1"/>
  <c r="B38" i="26" l="1"/>
  <c r="H38" i="25"/>
  <c r="L38" i="24"/>
  <c r="B38" i="21"/>
  <c r="B38" i="22"/>
  <c r="B38" i="27"/>
  <c r="Y38" i="27" s="1"/>
  <c r="AK38" i="27" s="1"/>
  <c r="B38" i="25"/>
  <c r="B38" i="24"/>
  <c r="S38" i="18"/>
  <c r="B38" i="18"/>
  <c r="B38" i="19"/>
  <c r="B39" i="17"/>
  <c r="P7" i="15"/>
  <c r="AP49" i="15" s="1"/>
  <c r="P8" i="13"/>
  <c r="O6" i="13"/>
  <c r="O6" i="15"/>
  <c r="AO48" i="15" s="1"/>
  <c r="B39" i="26" l="1"/>
  <c r="H39" i="25"/>
  <c r="L39" i="24"/>
  <c r="B39" i="25"/>
  <c r="B39" i="24"/>
  <c r="B39" i="22"/>
  <c r="B39" i="21"/>
  <c r="B39" i="27"/>
  <c r="Y39" i="27" s="1"/>
  <c r="AK39" i="27" s="1"/>
  <c r="B39" i="19"/>
  <c r="S39" i="18"/>
  <c r="B39" i="18"/>
  <c r="B40" i="17"/>
  <c r="P8" i="15"/>
  <c r="AP50" i="15" s="1"/>
  <c r="N6" i="13"/>
  <c r="N6" i="15"/>
  <c r="AN48" i="15" s="1"/>
  <c r="O7" i="13"/>
  <c r="O7" i="15"/>
  <c r="AO49" i="15" s="1"/>
  <c r="B40" i="22" l="1"/>
  <c r="B40" i="27"/>
  <c r="Y40" i="27" s="1"/>
  <c r="AK40" i="27" s="1"/>
  <c r="B40" i="21"/>
  <c r="H40" i="25"/>
  <c r="L40" i="24"/>
  <c r="B40" i="26"/>
  <c r="B40" i="25"/>
  <c r="B40" i="24"/>
  <c r="B40" i="19"/>
  <c r="S40" i="18"/>
  <c r="B40" i="18"/>
  <c r="B41" i="17"/>
  <c r="P9" i="15"/>
  <c r="AP51" i="15" s="1"/>
  <c r="P9" i="13"/>
  <c r="N7" i="13"/>
  <c r="N7" i="15"/>
  <c r="AN49" i="15" s="1"/>
  <c r="O8" i="13"/>
  <c r="O8" i="15"/>
  <c r="AO50" i="15" s="1"/>
  <c r="H41" i="25" l="1"/>
  <c r="L41" i="24"/>
  <c r="B41" i="25"/>
  <c r="B41" i="24"/>
  <c r="B41" i="26"/>
  <c r="B41" i="22"/>
  <c r="B41" i="27"/>
  <c r="Y41" i="27" s="1"/>
  <c r="AK41" i="27" s="1"/>
  <c r="B41" i="21"/>
  <c r="B41" i="18"/>
  <c r="B41" i="19"/>
  <c r="S41" i="18"/>
  <c r="B42" i="17"/>
  <c r="P10" i="13"/>
  <c r="P10" i="15"/>
  <c r="AP52" i="15" s="1"/>
  <c r="P11" i="13"/>
  <c r="N8" i="13"/>
  <c r="N8" i="15"/>
  <c r="AN50" i="15" s="1"/>
  <c r="O9" i="13"/>
  <c r="O9" i="15"/>
  <c r="AO51" i="15" s="1"/>
  <c r="E37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2" i="9"/>
  <c r="F32" i="9"/>
  <c r="F34" i="9" s="1"/>
  <c r="F35" i="9" s="1"/>
  <c r="E32" i="9"/>
  <c r="D3" i="9"/>
  <c r="D4" i="9" s="1"/>
  <c r="D5" i="9" s="1"/>
  <c r="D6" i="9" s="1"/>
  <c r="D7" i="9" s="1"/>
  <c r="D8" i="9" s="1"/>
  <c r="D9" i="9" s="1"/>
  <c r="D10" i="9" s="1"/>
  <c r="D11" i="9" s="1"/>
  <c r="D12" i="9" s="1"/>
  <c r="D13" i="9" s="1"/>
  <c r="D14" i="9" s="1"/>
  <c r="D15" i="9" s="1"/>
  <c r="D16" i="9" s="1"/>
  <c r="D17" i="9" s="1"/>
  <c r="D18" i="9" s="1"/>
  <c r="D19" i="9" s="1"/>
  <c r="D20" i="9" s="1"/>
  <c r="D21" i="9" s="1"/>
  <c r="D22" i="9" s="1"/>
  <c r="D23" i="9" s="1"/>
  <c r="D24" i="9" s="1"/>
  <c r="D25" i="9" s="1"/>
  <c r="D26" i="9" s="1"/>
  <c r="D27" i="9" s="1"/>
  <c r="D28" i="9" s="1"/>
  <c r="D29" i="9" s="1"/>
  <c r="D30" i="9" s="1"/>
  <c r="D31" i="9" s="1"/>
  <c r="B42" i="26" l="1"/>
  <c r="B42" i="22"/>
  <c r="B42" i="27"/>
  <c r="Y42" i="27" s="1"/>
  <c r="AK42" i="27" s="1"/>
  <c r="H42" i="25"/>
  <c r="L42" i="24"/>
  <c r="B42" i="21"/>
  <c r="B42" i="25"/>
  <c r="B42" i="24"/>
  <c r="B42" i="18"/>
  <c r="B42" i="19"/>
  <c r="S42" i="18"/>
  <c r="B43" i="17"/>
  <c r="P11" i="15"/>
  <c r="AP53" i="15" s="1"/>
  <c r="N9" i="13"/>
  <c r="N9" i="15"/>
  <c r="AN51" i="15" s="1"/>
  <c r="O10" i="13"/>
  <c r="O10" i="15"/>
  <c r="AO52" i="15" s="1"/>
  <c r="G32" i="9"/>
  <c r="B43" i="27" l="1"/>
  <c r="Y43" i="27" s="1"/>
  <c r="AK43" i="27" s="1"/>
  <c r="B43" i="26"/>
  <c r="H43" i="25"/>
  <c r="L43" i="24"/>
  <c r="B43" i="25"/>
  <c r="B43" i="24"/>
  <c r="B43" i="21"/>
  <c r="B43" i="22"/>
  <c r="S43" i="18"/>
  <c r="B43" i="19"/>
  <c r="B43" i="18"/>
  <c r="B44" i="17"/>
  <c r="P12" i="15"/>
  <c r="AP54" i="15" s="1"/>
  <c r="P12" i="13"/>
  <c r="N10" i="13"/>
  <c r="N10" i="15"/>
  <c r="AN52" i="15" s="1"/>
  <c r="P13" i="13"/>
  <c r="P13" i="15"/>
  <c r="AP55" i="15" s="1"/>
  <c r="O11" i="13"/>
  <c r="O11" i="15"/>
  <c r="AO53" i="15" s="1"/>
  <c r="B44" i="21" l="1"/>
  <c r="B44" i="22"/>
  <c r="B44" i="27"/>
  <c r="Y44" i="27" s="1"/>
  <c r="AK44" i="27" s="1"/>
  <c r="H44" i="25"/>
  <c r="L44" i="24"/>
  <c r="B44" i="26"/>
  <c r="B44" i="25"/>
  <c r="B44" i="24"/>
  <c r="S44" i="18"/>
  <c r="B44" i="19"/>
  <c r="B44" i="18"/>
  <c r="B45" i="17"/>
  <c r="B46" i="17" s="1"/>
  <c r="P14" i="13"/>
  <c r="P14" i="15"/>
  <c r="AP56" i="15" s="1"/>
  <c r="N11" i="13"/>
  <c r="N11" i="15"/>
  <c r="AN53" i="15" s="1"/>
  <c r="O12" i="13"/>
  <c r="O12" i="15"/>
  <c r="AO54" i="15" s="1"/>
  <c r="B46" i="27" l="1"/>
  <c r="Y46" i="27" s="1"/>
  <c r="AK46" i="27" s="1"/>
  <c r="H46" i="25"/>
  <c r="B46" i="26"/>
  <c r="B46" i="21"/>
  <c r="B46" i="25"/>
  <c r="B46" i="22"/>
  <c r="B46" i="24"/>
  <c r="L46" i="24"/>
  <c r="B46" i="18"/>
  <c r="S46" i="18"/>
  <c r="B47" i="17"/>
  <c r="B46" i="19"/>
  <c r="H45" i="25"/>
  <c r="L45" i="24"/>
  <c r="B45" i="22"/>
  <c r="B45" i="27"/>
  <c r="Y45" i="27" s="1"/>
  <c r="AK45" i="27" s="1"/>
  <c r="B45" i="25"/>
  <c r="B45" i="24"/>
  <c r="B45" i="26"/>
  <c r="B45" i="21"/>
  <c r="B45" i="18"/>
  <c r="B45" i="19"/>
  <c r="S45" i="18"/>
  <c r="N12" i="13"/>
  <c r="N12" i="15"/>
  <c r="AN54" i="15" s="1"/>
  <c r="P15" i="13"/>
  <c r="P15" i="15"/>
  <c r="AP57" i="15" s="1"/>
  <c r="O13" i="13"/>
  <c r="O13" i="15"/>
  <c r="AO55" i="15" s="1"/>
  <c r="B47" i="19" l="1"/>
  <c r="B47" i="24"/>
  <c r="B47" i="25"/>
  <c r="B47" i="26"/>
  <c r="L47" i="24"/>
  <c r="B47" i="18"/>
  <c r="B47" i="27"/>
  <c r="Y47" i="27" s="1"/>
  <c r="AK47" i="27" s="1"/>
  <c r="H47" i="25"/>
  <c r="B47" i="22"/>
  <c r="S47" i="18"/>
  <c r="B47" i="21"/>
  <c r="P16" i="13"/>
  <c r="P16" i="15"/>
  <c r="AP58" i="15" s="1"/>
  <c r="N13" i="13"/>
  <c r="N13" i="15"/>
  <c r="AN55" i="15" s="1"/>
  <c r="O14" i="13"/>
  <c r="O14" i="15"/>
  <c r="AO56" i="15" s="1"/>
  <c r="P17" i="13" l="1"/>
  <c r="P17" i="15"/>
  <c r="AP59" i="15" s="1"/>
  <c r="N14" i="13"/>
  <c r="N14" i="15"/>
  <c r="AN56" i="15" s="1"/>
  <c r="O15" i="13"/>
  <c r="O15" i="15"/>
  <c r="AO57" i="15" s="1"/>
  <c r="N15" i="13" l="1"/>
  <c r="N15" i="15"/>
  <c r="AN57" i="15" s="1"/>
  <c r="O16" i="13"/>
  <c r="O16" i="15"/>
  <c r="AO58" i="15" s="1"/>
  <c r="P18" i="13"/>
  <c r="P18" i="15"/>
  <c r="AP60" i="15" s="1"/>
  <c r="P19" i="13" l="1"/>
  <c r="P19" i="15"/>
  <c r="AP61" i="15" s="1"/>
  <c r="N16" i="13"/>
  <c r="N16" i="15"/>
  <c r="AN58" i="15" s="1"/>
  <c r="O17" i="13"/>
  <c r="O17" i="15"/>
  <c r="AO59" i="15" s="1"/>
  <c r="P20" i="13" l="1"/>
  <c r="P20" i="15"/>
  <c r="AP62" i="15" s="1"/>
  <c r="N17" i="13"/>
  <c r="N17" i="15"/>
  <c r="AN59" i="15" s="1"/>
  <c r="O18" i="13"/>
  <c r="O18" i="15"/>
  <c r="AO60" i="15" s="1"/>
  <c r="P21" i="13" l="1"/>
  <c r="P21" i="15"/>
  <c r="AP63" i="15" s="1"/>
  <c r="N18" i="13"/>
  <c r="N18" i="15"/>
  <c r="AN60" i="15" s="1"/>
  <c r="O19" i="13"/>
  <c r="O19" i="15"/>
  <c r="AO61" i="15" s="1"/>
  <c r="P22" i="13" l="1"/>
  <c r="P22" i="15"/>
  <c r="AP64" i="15" s="1"/>
  <c r="N19" i="13"/>
  <c r="N19" i="15"/>
  <c r="AN61" i="15" s="1"/>
  <c r="O20" i="13"/>
  <c r="O20" i="15"/>
  <c r="AO62" i="15" s="1"/>
  <c r="N20" i="13" l="1"/>
  <c r="N20" i="15"/>
  <c r="AN62" i="15" s="1"/>
  <c r="P23" i="13"/>
  <c r="P23" i="15"/>
  <c r="AP65" i="15" s="1"/>
  <c r="O21" i="13"/>
  <c r="O21" i="15"/>
  <c r="AO63" i="15" s="1"/>
  <c r="P24" i="13" l="1"/>
  <c r="P24" i="15"/>
  <c r="AP66" i="15" s="1"/>
  <c r="N21" i="13"/>
  <c r="N21" i="15"/>
  <c r="AN63" i="15" s="1"/>
  <c r="O22" i="13"/>
  <c r="O22" i="15"/>
  <c r="AO64" i="15" s="1"/>
  <c r="N22" i="13" l="1"/>
  <c r="N22" i="15"/>
  <c r="AN64" i="15" s="1"/>
  <c r="O23" i="13"/>
  <c r="O23" i="15"/>
  <c r="AO65" i="15" s="1"/>
  <c r="P25" i="13"/>
  <c r="P25" i="15"/>
  <c r="AP67" i="15" s="1"/>
  <c r="P26" i="13" l="1"/>
  <c r="P26" i="15"/>
  <c r="AP68" i="15" s="1"/>
  <c r="N23" i="13"/>
  <c r="N23" i="15"/>
  <c r="AN65" i="15" s="1"/>
  <c r="O24" i="13"/>
  <c r="O24" i="15"/>
  <c r="AO66" i="15" s="1"/>
  <c r="P27" i="13" l="1"/>
  <c r="P27" i="15"/>
  <c r="AP69" i="15" s="1"/>
  <c r="N24" i="13"/>
  <c r="N24" i="15"/>
  <c r="AN66" i="15" s="1"/>
  <c r="O25" i="13"/>
  <c r="O25" i="15"/>
  <c r="AO67" i="15" s="1"/>
  <c r="N25" i="13" l="1"/>
  <c r="N25" i="15"/>
  <c r="AN67" i="15" s="1"/>
  <c r="P28" i="13"/>
  <c r="P28" i="15"/>
  <c r="AP70" i="15" s="1"/>
  <c r="O26" i="13"/>
  <c r="O26" i="15"/>
  <c r="AO68" i="15" s="1"/>
  <c r="N26" i="13" l="1"/>
  <c r="N26" i="15"/>
  <c r="AN68" i="15" s="1"/>
  <c r="O27" i="13"/>
  <c r="O27" i="15"/>
  <c r="AO69" i="15" s="1"/>
  <c r="P29" i="13"/>
  <c r="P29" i="15"/>
  <c r="AP71" i="15" s="1"/>
  <c r="O28" i="13" l="1"/>
  <c r="O28" i="15"/>
  <c r="AO70" i="15" s="1"/>
  <c r="P30" i="13"/>
  <c r="P30" i="15"/>
  <c r="AP72" i="15" s="1"/>
  <c r="N27" i="13"/>
  <c r="N27" i="15"/>
  <c r="AN69" i="15" s="1"/>
  <c r="P31" i="13" l="1"/>
  <c r="P31" i="15"/>
  <c r="AP73" i="15" s="1"/>
  <c r="N28" i="13"/>
  <c r="N28" i="15"/>
  <c r="AN70" i="15" s="1"/>
  <c r="O29" i="13"/>
  <c r="O29" i="15"/>
  <c r="AO71" i="15" s="1"/>
  <c r="O30" i="13" l="1"/>
  <c r="O30" i="15"/>
  <c r="AO72" i="15" s="1"/>
  <c r="P32" i="13"/>
  <c r="P32" i="15"/>
  <c r="AP74" i="15" s="1"/>
  <c r="N29" i="13"/>
  <c r="N29" i="15"/>
  <c r="AN71" i="15" s="1"/>
  <c r="O31" i="13" l="1"/>
  <c r="O31" i="15"/>
  <c r="AO73" i="15" s="1"/>
  <c r="N30" i="13"/>
  <c r="N30" i="15"/>
  <c r="AN72" i="15" s="1"/>
  <c r="P33" i="13"/>
  <c r="P33" i="15"/>
  <c r="AP75" i="15" s="1"/>
  <c r="P34" i="13" l="1"/>
  <c r="P34" i="15"/>
  <c r="AP76" i="15" s="1"/>
  <c r="O32" i="13"/>
  <c r="O32" i="15"/>
  <c r="AO74" i="15" s="1"/>
  <c r="N31" i="13"/>
  <c r="N31" i="15"/>
  <c r="AN73" i="15" s="1"/>
  <c r="O33" i="13" l="1"/>
  <c r="O33" i="15"/>
  <c r="AO75" i="15" s="1"/>
  <c r="P35" i="13"/>
  <c r="P35" i="15"/>
  <c r="AP77" i="15" s="1"/>
  <c r="N32" i="13"/>
  <c r="N32" i="15"/>
  <c r="AN74" i="15" s="1"/>
  <c r="O34" i="13" l="1"/>
  <c r="O34" i="15"/>
  <c r="AO76" i="15" s="1"/>
  <c r="P36" i="13"/>
  <c r="P36" i="15"/>
  <c r="AP78" i="15" s="1"/>
  <c r="N33" i="13"/>
  <c r="N33" i="15"/>
  <c r="AN75" i="15" s="1"/>
  <c r="N34" i="13" l="1"/>
  <c r="N34" i="15"/>
  <c r="AN76" i="15" s="1"/>
  <c r="P37" i="13"/>
  <c r="P37" i="15"/>
  <c r="AP79" i="15" s="1"/>
  <c r="O35" i="13"/>
  <c r="O35" i="15"/>
  <c r="AO77" i="15" s="1"/>
  <c r="O36" i="13" l="1"/>
  <c r="O36" i="15"/>
  <c r="AO78" i="15" s="1"/>
  <c r="P38" i="13"/>
  <c r="P38" i="15"/>
  <c r="AP80" i="15" s="1"/>
  <c r="N35" i="13"/>
  <c r="N35" i="15"/>
  <c r="AN77" i="15" s="1"/>
  <c r="O37" i="13" l="1"/>
  <c r="O37" i="15"/>
  <c r="AO79" i="15" s="1"/>
  <c r="N36" i="13"/>
  <c r="N36" i="15"/>
  <c r="AN78" i="15" s="1"/>
  <c r="P39" i="13"/>
  <c r="P39" i="15"/>
  <c r="AP81" i="15" s="1"/>
  <c r="O38" i="13" l="1"/>
  <c r="O38" i="15"/>
  <c r="AO80" i="15" s="1"/>
  <c r="P40" i="13"/>
  <c r="P40" i="15"/>
  <c r="AP82" i="15" s="1"/>
  <c r="N37" i="13"/>
  <c r="N37" i="15"/>
  <c r="AN79" i="15" s="1"/>
  <c r="P41" i="15" l="1"/>
  <c r="AP83" i="15" s="1"/>
  <c r="N38" i="13"/>
  <c r="N38" i="15"/>
  <c r="AN80" i="15" s="1"/>
  <c r="O39" i="13"/>
  <c r="O39" i="15"/>
  <c r="AO81" i="15" s="1"/>
  <c r="P41" i="13" l="1"/>
  <c r="O40" i="13"/>
  <c r="O40" i="15"/>
  <c r="AO82" i="15" s="1"/>
  <c r="N39" i="13"/>
  <c r="N39" i="15"/>
  <c r="AN81" i="15" s="1"/>
  <c r="O41" i="13" l="1"/>
  <c r="N40" i="13"/>
  <c r="N40" i="15"/>
  <c r="AN82" i="15" s="1"/>
  <c r="O41" i="15" l="1"/>
  <c r="AO83" i="15" s="1"/>
  <c r="N41" i="13"/>
  <c r="N41" i="15"/>
  <c r="AN83" i="15" s="1"/>
  <c r="I8" i="17" l="1"/>
  <c r="I9" i="17"/>
  <c r="I10" i="17" l="1"/>
  <c r="B5" i="13"/>
  <c r="C4" i="15"/>
  <c r="AC46" i="15" s="1"/>
  <c r="AC298" i="15" s="1"/>
  <c r="B4" i="15"/>
  <c r="AB46" i="15" s="1"/>
  <c r="B4" i="13"/>
  <c r="I11" i="17" l="1"/>
  <c r="M4" i="15"/>
  <c r="AM46" i="15" s="1"/>
  <c r="S46" i="15" s="1"/>
  <c r="T46" i="15" s="1"/>
  <c r="U46" i="15" s="1"/>
  <c r="B5" i="15"/>
  <c r="AB47" i="15" s="1"/>
  <c r="AB299" i="15" s="1"/>
  <c r="C4" i="13"/>
  <c r="AB298" i="15"/>
  <c r="D8" i="26" l="1"/>
  <c r="I12" i="17"/>
  <c r="M4" i="13"/>
  <c r="B6" i="13"/>
  <c r="B6" i="15"/>
  <c r="AB48" i="15" s="1"/>
  <c r="AB300" i="15" s="1"/>
  <c r="F5" i="15"/>
  <c r="D5" i="13"/>
  <c r="D5" i="15"/>
  <c r="AD47" i="15" s="1"/>
  <c r="AD299" i="15" s="1"/>
  <c r="B7" i="15"/>
  <c r="AB49" i="15" s="1"/>
  <c r="E4" i="15"/>
  <c r="D4" i="15"/>
  <c r="C7" i="13"/>
  <c r="C5" i="15"/>
  <c r="AC47" i="15" s="1"/>
  <c r="AC299" i="15" s="1"/>
  <c r="C5" i="13"/>
  <c r="AM298" i="15"/>
  <c r="L4" i="15"/>
  <c r="L8" i="26" l="1"/>
  <c r="M8" i="26" s="1"/>
  <c r="O8" i="26" s="1"/>
  <c r="F8" i="26"/>
  <c r="H8" i="26"/>
  <c r="G8" i="26"/>
  <c r="I8" i="26"/>
  <c r="D10" i="26"/>
  <c r="I13" i="17"/>
  <c r="F5" i="13"/>
  <c r="G5" i="13"/>
  <c r="B7" i="13"/>
  <c r="E4" i="13"/>
  <c r="G5" i="15"/>
  <c r="AG47" i="15" s="1"/>
  <c r="AG299" i="15" s="1"/>
  <c r="M5" i="15"/>
  <c r="AM47" i="15" s="1"/>
  <c r="S47" i="15" s="1"/>
  <c r="T47" i="15" s="1"/>
  <c r="U47" i="15" s="1"/>
  <c r="L5" i="15"/>
  <c r="AL47" i="15" s="1"/>
  <c r="AL299" i="15" s="1"/>
  <c r="C7" i="15"/>
  <c r="AC49" i="15" s="1"/>
  <c r="AC301" i="15" s="1"/>
  <c r="E5" i="13"/>
  <c r="E5" i="15"/>
  <c r="AE47" i="15" s="1"/>
  <c r="AE299" i="15" s="1"/>
  <c r="C6" i="13"/>
  <c r="C6" i="15"/>
  <c r="AC48" i="15" s="1"/>
  <c r="AC300" i="15" s="1"/>
  <c r="AD46" i="15"/>
  <c r="AD298" i="15" s="1"/>
  <c r="AL46" i="15"/>
  <c r="AL298" i="15" s="1"/>
  <c r="AE46" i="15"/>
  <c r="AE298" i="15" s="1"/>
  <c r="AF47" i="15"/>
  <c r="AF299" i="15" s="1"/>
  <c r="D4" i="13"/>
  <c r="AB301" i="15"/>
  <c r="L4" i="13"/>
  <c r="M6" i="15"/>
  <c r="L10" i="26" l="1"/>
  <c r="M10" i="26" s="1"/>
  <c r="O10" i="26" s="1"/>
  <c r="F10" i="26"/>
  <c r="H10" i="26"/>
  <c r="G10" i="26"/>
  <c r="I10" i="26"/>
  <c r="D9" i="26"/>
  <c r="F6" i="15"/>
  <c r="AF48" i="15" s="1"/>
  <c r="AF300" i="15" s="1"/>
  <c r="E6" i="15"/>
  <c r="AE48" i="15" s="1"/>
  <c r="AE300" i="15" s="1"/>
  <c r="E7" i="15"/>
  <c r="AE49" i="15" s="1"/>
  <c r="AE301" i="15" s="1"/>
  <c r="F4" i="13"/>
  <c r="F4" i="15"/>
  <c r="AF46" i="15" s="1"/>
  <c r="AF298" i="15" s="1"/>
  <c r="G4" i="13"/>
  <c r="G4" i="15"/>
  <c r="AG46" i="15" s="1"/>
  <c r="AG298" i="15" s="1"/>
  <c r="M5" i="13"/>
  <c r="L5" i="13"/>
  <c r="B8" i="13"/>
  <c r="B8" i="15"/>
  <c r="AB50" i="15" s="1"/>
  <c r="AB302" i="15" s="1"/>
  <c r="AM48" i="15"/>
  <c r="S48" i="15" s="1"/>
  <c r="T48" i="15" s="1"/>
  <c r="U48" i="15" s="1"/>
  <c r="AM299" i="15"/>
  <c r="M6" i="13"/>
  <c r="M7" i="15"/>
  <c r="L9" i="26" l="1"/>
  <c r="M9" i="26" s="1"/>
  <c r="O9" i="26" s="1"/>
  <c r="F9" i="26"/>
  <c r="I9" i="26"/>
  <c r="G9" i="26"/>
  <c r="H9" i="26"/>
  <c r="D11" i="26"/>
  <c r="L11" i="26" s="1"/>
  <c r="M11" i="26" s="1"/>
  <c r="O11" i="26" s="1"/>
  <c r="D12" i="26"/>
  <c r="L12" i="26" s="1"/>
  <c r="M12" i="26" s="1"/>
  <c r="O12" i="26" s="1"/>
  <c r="I15" i="17"/>
  <c r="I14" i="17"/>
  <c r="G6" i="13"/>
  <c r="F6" i="13"/>
  <c r="E6" i="13"/>
  <c r="D6" i="15"/>
  <c r="AD48" i="15" s="1"/>
  <c r="AD300" i="15" s="1"/>
  <c r="D6" i="13"/>
  <c r="B9" i="13"/>
  <c r="C9" i="13"/>
  <c r="B9" i="15"/>
  <c r="AB51" i="15" s="1"/>
  <c r="AB303" i="15" s="1"/>
  <c r="C9" i="15"/>
  <c r="AC51" i="15" s="1"/>
  <c r="AC303" i="15" s="1"/>
  <c r="D7" i="13"/>
  <c r="E7" i="13"/>
  <c r="D7" i="15"/>
  <c r="AD49" i="15" s="1"/>
  <c r="AD301" i="15" s="1"/>
  <c r="C8" i="13"/>
  <c r="C8" i="15"/>
  <c r="AC50" i="15" s="1"/>
  <c r="AC302" i="15" s="1"/>
  <c r="AM49" i="15"/>
  <c r="S49" i="15" s="1"/>
  <c r="T49" i="15" s="1"/>
  <c r="U49" i="15" s="1"/>
  <c r="AM300" i="15"/>
  <c r="M7" i="13"/>
  <c r="L6" i="15"/>
  <c r="M8" i="15"/>
  <c r="F12" i="26" l="1"/>
  <c r="H12" i="26"/>
  <c r="G12" i="26"/>
  <c r="I12" i="26"/>
  <c r="F11" i="26"/>
  <c r="H11" i="26"/>
  <c r="I11" i="26"/>
  <c r="G11" i="26"/>
  <c r="D13" i="26"/>
  <c r="L13" i="26" s="1"/>
  <c r="I16" i="17"/>
  <c r="G6" i="15"/>
  <c r="AG48" i="15" s="1"/>
  <c r="AG300" i="15" s="1"/>
  <c r="D8" i="13"/>
  <c r="G8" i="15"/>
  <c r="AG50" i="15" s="1"/>
  <c r="AG302" i="15" s="1"/>
  <c r="F8" i="15"/>
  <c r="AF50" i="15" s="1"/>
  <c r="AF302" i="15" s="1"/>
  <c r="E8" i="13"/>
  <c r="F7" i="15"/>
  <c r="AF49" i="15" s="1"/>
  <c r="AF301" i="15" s="1"/>
  <c r="F7" i="13"/>
  <c r="B10" i="13"/>
  <c r="D9" i="15"/>
  <c r="B10" i="15"/>
  <c r="AB52" i="15" s="1"/>
  <c r="AB304" i="15" s="1"/>
  <c r="C10" i="15"/>
  <c r="AC52" i="15" s="1"/>
  <c r="AC304" i="15" s="1"/>
  <c r="G9" i="15"/>
  <c r="AL48" i="15"/>
  <c r="AL300" i="15" s="1"/>
  <c r="AM50" i="15"/>
  <c r="S50" i="15" s="1"/>
  <c r="T50" i="15" s="1"/>
  <c r="U50" i="15" s="1"/>
  <c r="AM301" i="15"/>
  <c r="G7" i="15"/>
  <c r="G7" i="13"/>
  <c r="L6" i="13"/>
  <c r="M8" i="13"/>
  <c r="L7" i="15"/>
  <c r="D14" i="26" l="1"/>
  <c r="L14" i="26" s="1"/>
  <c r="F8" i="13"/>
  <c r="G8" i="13"/>
  <c r="E8" i="15"/>
  <c r="AE50" i="15" s="1"/>
  <c r="AE302" i="15" s="1"/>
  <c r="D8" i="15"/>
  <c r="AD50" i="15" s="1"/>
  <c r="AD302" i="15" s="1"/>
  <c r="E10" i="15"/>
  <c r="D10" i="13"/>
  <c r="C12" i="15"/>
  <c r="C11" i="13"/>
  <c r="C10" i="13"/>
  <c r="C11" i="15"/>
  <c r="AC53" i="15" s="1"/>
  <c r="AC305" i="15" s="1"/>
  <c r="D9" i="13"/>
  <c r="B11" i="15"/>
  <c r="AB53" i="15" s="1"/>
  <c r="AB305" i="15" s="1"/>
  <c r="B11" i="13"/>
  <c r="F9" i="13"/>
  <c r="F9" i="15"/>
  <c r="AF51" i="15" s="1"/>
  <c r="AF303" i="15" s="1"/>
  <c r="AG49" i="15"/>
  <c r="AG301" i="15" s="1"/>
  <c r="AL49" i="15"/>
  <c r="AL301" i="15" s="1"/>
  <c r="AG51" i="15"/>
  <c r="AG303" i="15" s="1"/>
  <c r="AD51" i="15"/>
  <c r="AD303" i="15" s="1"/>
  <c r="AM302" i="15"/>
  <c r="E9" i="13"/>
  <c r="E9" i="15"/>
  <c r="L7" i="13"/>
  <c r="G9" i="13"/>
  <c r="L8" i="15"/>
  <c r="M9" i="15"/>
  <c r="D15" i="26" l="1"/>
  <c r="L15" i="26" s="1"/>
  <c r="I18" i="17"/>
  <c r="I17" i="17"/>
  <c r="D11" i="13"/>
  <c r="E11" i="13"/>
  <c r="C12" i="13"/>
  <c r="B12" i="13"/>
  <c r="D10" i="15"/>
  <c r="AD52" i="15" s="1"/>
  <c r="AD304" i="15" s="1"/>
  <c r="B12" i="15"/>
  <c r="AB54" i="15" s="1"/>
  <c r="AB306" i="15" s="1"/>
  <c r="AE52" i="15"/>
  <c r="AE304" i="15" s="1"/>
  <c r="AL50" i="15"/>
  <c r="AL302" i="15" s="1"/>
  <c r="E10" i="13"/>
  <c r="AC54" i="15"/>
  <c r="AC306" i="15" s="1"/>
  <c r="AE51" i="15"/>
  <c r="AE303" i="15" s="1"/>
  <c r="AM51" i="15"/>
  <c r="S51" i="15" s="1"/>
  <c r="T51" i="15" s="1"/>
  <c r="U51" i="15" s="1"/>
  <c r="L8" i="13"/>
  <c r="M9" i="13"/>
  <c r="W4" i="15"/>
  <c r="L9" i="15"/>
  <c r="I19" i="17" l="1"/>
  <c r="G10" i="13"/>
  <c r="G10" i="15"/>
  <c r="AG52" i="15" s="1"/>
  <c r="AG304" i="15" s="1"/>
  <c r="F11" i="13"/>
  <c r="D11" i="15"/>
  <c r="AD53" i="15" s="1"/>
  <c r="AD305" i="15" s="1"/>
  <c r="B13" i="13"/>
  <c r="B13" i="15"/>
  <c r="AB55" i="15" s="1"/>
  <c r="AB307" i="15" s="1"/>
  <c r="C14" i="13"/>
  <c r="C13" i="13"/>
  <c r="E11" i="15"/>
  <c r="AE53" i="15" s="1"/>
  <c r="AE305" i="15" s="1"/>
  <c r="B14" i="15"/>
  <c r="AB56" i="15" s="1"/>
  <c r="AW46" i="15"/>
  <c r="AW298" i="15" s="1"/>
  <c r="G11" i="13"/>
  <c r="AL51" i="15"/>
  <c r="AL303" i="15" s="1"/>
  <c r="AM303" i="15"/>
  <c r="G11" i="15"/>
  <c r="F10" i="13"/>
  <c r="F10" i="15"/>
  <c r="W6" i="15"/>
  <c r="L9" i="13"/>
  <c r="W4" i="13"/>
  <c r="W6" i="13"/>
  <c r="Q6" i="15"/>
  <c r="Q4" i="15"/>
  <c r="M11" i="15"/>
  <c r="M10" i="15"/>
  <c r="L10" i="15"/>
  <c r="M12" i="15"/>
  <c r="D16" i="26" l="1"/>
  <c r="L16" i="26" s="1"/>
  <c r="F11" i="15"/>
  <c r="AF53" i="15" s="1"/>
  <c r="AF305" i="15" s="1"/>
  <c r="C14" i="15"/>
  <c r="AC56" i="15" s="1"/>
  <c r="AC308" i="15" s="1"/>
  <c r="C13" i="15"/>
  <c r="AC55" i="15" s="1"/>
  <c r="AC307" i="15" s="1"/>
  <c r="B15" i="13"/>
  <c r="Y6" i="15"/>
  <c r="AY48" i="15" s="1"/>
  <c r="AY300" i="15" s="1"/>
  <c r="X7" i="15"/>
  <c r="B14" i="13"/>
  <c r="AQ46" i="15"/>
  <c r="AQ298" i="15" s="1"/>
  <c r="AL52" i="15"/>
  <c r="AL304" i="15" s="1"/>
  <c r="AF52" i="15"/>
  <c r="AF304" i="15" s="1"/>
  <c r="AG53" i="15"/>
  <c r="AG305" i="15" s="1"/>
  <c r="AM53" i="15"/>
  <c r="S53" i="15" s="1"/>
  <c r="T53" i="15" s="1"/>
  <c r="U53" i="15" s="1"/>
  <c r="AW48" i="15"/>
  <c r="AW300" i="15" s="1"/>
  <c r="AM54" i="15"/>
  <c r="S54" i="15" s="1"/>
  <c r="T54" i="15" s="1"/>
  <c r="U54" i="15" s="1"/>
  <c r="AQ48" i="15"/>
  <c r="AQ300" i="15" s="1"/>
  <c r="AM52" i="15"/>
  <c r="S52" i="15" s="1"/>
  <c r="T52" i="15" s="1"/>
  <c r="U52" i="15" s="1"/>
  <c r="W5" i="13"/>
  <c r="W5" i="15"/>
  <c r="AB308" i="15"/>
  <c r="W7" i="15"/>
  <c r="L10" i="13"/>
  <c r="M12" i="13"/>
  <c r="Q4" i="13"/>
  <c r="M11" i="13"/>
  <c r="Q6" i="13"/>
  <c r="Y6" i="13"/>
  <c r="M10" i="13"/>
  <c r="Q7" i="15"/>
  <c r="W7" i="13"/>
  <c r="L11" i="15"/>
  <c r="D17" i="26" l="1"/>
  <c r="L17" i="26" s="1"/>
  <c r="D18" i="26"/>
  <c r="L18" i="26" s="1"/>
  <c r="I20" i="17"/>
  <c r="I21" i="17"/>
  <c r="E12" i="15"/>
  <c r="AE54" i="15" s="1"/>
  <c r="AE306" i="15" s="1"/>
  <c r="E12" i="13"/>
  <c r="D12" i="13"/>
  <c r="D13" i="15"/>
  <c r="AD55" i="15" s="1"/>
  <c r="AD307" i="15" s="1"/>
  <c r="G13" i="13"/>
  <c r="D12" i="15"/>
  <c r="AD54" i="15" s="1"/>
  <c r="AD306" i="15" s="1"/>
  <c r="F12" i="15"/>
  <c r="AF54" i="15" s="1"/>
  <c r="AF306" i="15" s="1"/>
  <c r="E13" i="15"/>
  <c r="AE55" i="15" s="1"/>
  <c r="AE307" i="15" s="1"/>
  <c r="C15" i="13"/>
  <c r="C15" i="15"/>
  <c r="AC57" i="15" s="1"/>
  <c r="AC309" i="15" s="1"/>
  <c r="B15" i="15"/>
  <c r="AB57" i="15" s="1"/>
  <c r="AB309" i="15" s="1"/>
  <c r="Y7" i="15"/>
  <c r="AY49" i="15" s="1"/>
  <c r="AY301" i="15" s="1"/>
  <c r="Y5" i="15"/>
  <c r="AY47" i="15" s="1"/>
  <c r="AY299" i="15" s="1"/>
  <c r="X6" i="15"/>
  <c r="AX48" i="15" s="1"/>
  <c r="AX300" i="15" s="1"/>
  <c r="X6" i="13"/>
  <c r="B16" i="13"/>
  <c r="AM306" i="15"/>
  <c r="AL53" i="15"/>
  <c r="AL305" i="15" s="1"/>
  <c r="Y5" i="13"/>
  <c r="AM305" i="15"/>
  <c r="AM304" i="15"/>
  <c r="AX49" i="15"/>
  <c r="AX301" i="15" s="1"/>
  <c r="AW49" i="15"/>
  <c r="AW301" i="15" s="1"/>
  <c r="AQ49" i="15"/>
  <c r="AQ301" i="15" s="1"/>
  <c r="AW47" i="15"/>
  <c r="AW299" i="15" s="1"/>
  <c r="G12" i="13"/>
  <c r="G12" i="15"/>
  <c r="Q5" i="13"/>
  <c r="Q5" i="15"/>
  <c r="AQ47" i="15" s="1"/>
  <c r="W8" i="15"/>
  <c r="L11" i="13"/>
  <c r="X7" i="13"/>
  <c r="Q7" i="13"/>
  <c r="Y7" i="13"/>
  <c r="X8" i="15"/>
  <c r="W8" i="13"/>
  <c r="Q8" i="15"/>
  <c r="U4" i="15"/>
  <c r="V4" i="15"/>
  <c r="U6" i="15"/>
  <c r="V6" i="15"/>
  <c r="T4" i="15"/>
  <c r="L12" i="15"/>
  <c r="U7" i="15"/>
  <c r="V7" i="15"/>
  <c r="D19" i="26" l="1"/>
  <c r="L19" i="26" s="1"/>
  <c r="I22" i="17"/>
  <c r="G13" i="15"/>
  <c r="AG55" i="15" s="1"/>
  <c r="AG307" i="15" s="1"/>
  <c r="F13" i="13"/>
  <c r="D13" i="13"/>
  <c r="F13" i="15"/>
  <c r="AF55" i="15" s="1"/>
  <c r="AF307" i="15" s="1"/>
  <c r="F12" i="13"/>
  <c r="E14" i="15"/>
  <c r="AE56" i="15" s="1"/>
  <c r="AE308" i="15" s="1"/>
  <c r="E13" i="13"/>
  <c r="C17" i="15"/>
  <c r="C16" i="13"/>
  <c r="C16" i="15"/>
  <c r="AC58" i="15" s="1"/>
  <c r="AC310" i="15" s="1"/>
  <c r="Y8" i="15"/>
  <c r="AY50" i="15" s="1"/>
  <c r="AY302" i="15" s="1"/>
  <c r="B16" i="15"/>
  <c r="AB58" i="15" s="1"/>
  <c r="AB310" i="15" s="1"/>
  <c r="AG54" i="15"/>
  <c r="AG306" i="15" s="1"/>
  <c r="AL54" i="15"/>
  <c r="AL306" i="15" s="1"/>
  <c r="AV46" i="15"/>
  <c r="AV298" i="15" s="1"/>
  <c r="AX50" i="15"/>
  <c r="AX302" i="15" s="1"/>
  <c r="AW50" i="15"/>
  <c r="AW302" i="15" s="1"/>
  <c r="AU48" i="15"/>
  <c r="AU300" i="15" s="1"/>
  <c r="AQ50" i="15"/>
  <c r="AQ302" i="15" s="1"/>
  <c r="AU49" i="15"/>
  <c r="AU301" i="15" s="1"/>
  <c r="AV48" i="15"/>
  <c r="AV300" i="15" s="1"/>
  <c r="AT46" i="15"/>
  <c r="AT298" i="15" s="1"/>
  <c r="AV49" i="15"/>
  <c r="AV301" i="15" s="1"/>
  <c r="AU46" i="15"/>
  <c r="AU298" i="15" s="1"/>
  <c r="R5" i="15"/>
  <c r="AR47" i="15" s="1"/>
  <c r="R5" i="13"/>
  <c r="U5" i="15"/>
  <c r="AU47" i="15" s="1"/>
  <c r="U5" i="13"/>
  <c r="V5" i="15"/>
  <c r="AV47" i="15" s="1"/>
  <c r="V5" i="13"/>
  <c r="R7" i="15"/>
  <c r="R8" i="15"/>
  <c r="R6" i="15"/>
  <c r="R4" i="15"/>
  <c r="W9" i="15"/>
  <c r="L12" i="13"/>
  <c r="U4" i="13"/>
  <c r="V7" i="13"/>
  <c r="V6" i="13"/>
  <c r="V4" i="13"/>
  <c r="X8" i="13"/>
  <c r="U7" i="13"/>
  <c r="T4" i="13"/>
  <c r="Y8" i="13"/>
  <c r="U6" i="13"/>
  <c r="Q8" i="13"/>
  <c r="V8" i="15"/>
  <c r="U8" i="15"/>
  <c r="X9" i="15"/>
  <c r="W9" i="13"/>
  <c r="Q9" i="15"/>
  <c r="S4" i="15"/>
  <c r="R4" i="13"/>
  <c r="S8" i="15"/>
  <c r="R8" i="13"/>
  <c r="S7" i="15"/>
  <c r="R7" i="13"/>
  <c r="S6" i="15"/>
  <c r="R6" i="13"/>
  <c r="T6" i="15"/>
  <c r="T7" i="15"/>
  <c r="L13" i="15"/>
  <c r="M13" i="15"/>
  <c r="T8" i="15"/>
  <c r="E14" i="13" l="1"/>
  <c r="F14" i="15"/>
  <c r="AF56" i="15" s="1"/>
  <c r="AF308" i="15" s="1"/>
  <c r="D14" i="13"/>
  <c r="D14" i="15"/>
  <c r="AD56" i="15" s="1"/>
  <c r="AD308" i="15" s="1"/>
  <c r="E15" i="15"/>
  <c r="AE57" i="15" s="1"/>
  <c r="AE309" i="15" s="1"/>
  <c r="C18" i="13"/>
  <c r="Y9" i="15"/>
  <c r="AY51" i="15" s="1"/>
  <c r="AY303" i="15" s="1"/>
  <c r="B17" i="13"/>
  <c r="C17" i="13"/>
  <c r="B17" i="15"/>
  <c r="AB59" i="15" s="1"/>
  <c r="AB311" i="15" s="1"/>
  <c r="B18" i="13"/>
  <c r="AC59" i="15"/>
  <c r="AC311" i="15" s="1"/>
  <c r="AL55" i="15"/>
  <c r="AL307" i="15" s="1"/>
  <c r="AT48" i="15"/>
  <c r="AT300" i="15" s="1"/>
  <c r="AS49" i="15"/>
  <c r="AS301" i="15" s="1"/>
  <c r="AU50" i="15"/>
  <c r="AU302" i="15" s="1"/>
  <c r="AW51" i="15"/>
  <c r="AW303" i="15" s="1"/>
  <c r="AR48" i="15"/>
  <c r="AR300" i="15" s="1"/>
  <c r="AR50" i="15"/>
  <c r="AR302" i="15" s="1"/>
  <c r="AS50" i="15"/>
  <c r="AS302" i="15" s="1"/>
  <c r="AT50" i="15"/>
  <c r="AT302" i="15" s="1"/>
  <c r="AT49" i="15"/>
  <c r="AT301" i="15" s="1"/>
  <c r="AS46" i="15"/>
  <c r="AS298" i="15" s="1"/>
  <c r="AX51" i="15"/>
  <c r="AX303" i="15" s="1"/>
  <c r="AV50" i="15"/>
  <c r="AV302" i="15" s="1"/>
  <c r="AM55" i="15"/>
  <c r="S55" i="15" s="1"/>
  <c r="T55" i="15" s="1"/>
  <c r="U55" i="15" s="1"/>
  <c r="AQ51" i="15"/>
  <c r="AQ303" i="15" s="1"/>
  <c r="AS48" i="15"/>
  <c r="AS300" i="15" s="1"/>
  <c r="AR46" i="15"/>
  <c r="AR298" i="15" s="1"/>
  <c r="AR49" i="15"/>
  <c r="AR301" i="15" s="1"/>
  <c r="S5" i="15"/>
  <c r="AS47" i="15" s="1"/>
  <c r="S5" i="13"/>
  <c r="T5" i="15"/>
  <c r="AT47" i="15" s="1"/>
  <c r="T5" i="13"/>
  <c r="W10" i="15"/>
  <c r="W11" i="15"/>
  <c r="L13" i="13"/>
  <c r="T7" i="13"/>
  <c r="S7" i="13"/>
  <c r="U8" i="13"/>
  <c r="S4" i="13"/>
  <c r="X9" i="13"/>
  <c r="V8" i="13"/>
  <c r="M13" i="13"/>
  <c r="T6" i="13"/>
  <c r="S6" i="13"/>
  <c r="Y9" i="13"/>
  <c r="T8" i="13"/>
  <c r="S8" i="13"/>
  <c r="Q9" i="13"/>
  <c r="W11" i="13"/>
  <c r="Q11" i="15"/>
  <c r="X11" i="15"/>
  <c r="Q10" i="15"/>
  <c r="W10" i="13"/>
  <c r="X10" i="15"/>
  <c r="M14" i="15"/>
  <c r="L14" i="15"/>
  <c r="V9" i="15"/>
  <c r="U9" i="15"/>
  <c r="D20" i="26" l="1"/>
  <c r="L20" i="26" s="1"/>
  <c r="I23" i="17"/>
  <c r="D21" i="26"/>
  <c r="L21" i="26" s="1"/>
  <c r="I24" i="17"/>
  <c r="F14" i="13"/>
  <c r="G14" i="15"/>
  <c r="AG56" i="15" s="1"/>
  <c r="AG308" i="15" s="1"/>
  <c r="G14" i="13"/>
  <c r="E15" i="13"/>
  <c r="G15" i="15"/>
  <c r="AG57" i="15" s="1"/>
  <c r="AG309" i="15" s="1"/>
  <c r="D15" i="15"/>
  <c r="AD57" i="15" s="1"/>
  <c r="AD309" i="15" s="1"/>
  <c r="D15" i="13"/>
  <c r="E16" i="15"/>
  <c r="AE58" i="15" s="1"/>
  <c r="AE310" i="15" s="1"/>
  <c r="D16" i="13"/>
  <c r="C18" i="15"/>
  <c r="AC60" i="15" s="1"/>
  <c r="AC312" i="15" s="1"/>
  <c r="B19" i="13"/>
  <c r="Y11" i="15"/>
  <c r="AY53" i="15" s="1"/>
  <c r="AY305" i="15" s="1"/>
  <c r="Y10" i="15"/>
  <c r="AY52" i="15" s="1"/>
  <c r="AY304" i="15" s="1"/>
  <c r="B18" i="15"/>
  <c r="AB60" i="15" s="1"/>
  <c r="AB312" i="15" s="1"/>
  <c r="AL56" i="15"/>
  <c r="AL308" i="15" s="1"/>
  <c r="AM307" i="15"/>
  <c r="AW52" i="15"/>
  <c r="AW304" i="15" s="1"/>
  <c r="AV51" i="15"/>
  <c r="AV303" i="15" s="1"/>
  <c r="AX52" i="15"/>
  <c r="AX304" i="15" s="1"/>
  <c r="AX53" i="15"/>
  <c r="AX305" i="15" s="1"/>
  <c r="AQ52" i="15"/>
  <c r="AQ304" i="15" s="1"/>
  <c r="AU51" i="15"/>
  <c r="AU303" i="15" s="1"/>
  <c r="AM56" i="15"/>
  <c r="S56" i="15" s="1"/>
  <c r="T56" i="15" s="1"/>
  <c r="U56" i="15" s="1"/>
  <c r="AQ53" i="15"/>
  <c r="AQ305" i="15" s="1"/>
  <c r="AW53" i="15"/>
  <c r="AW305" i="15" s="1"/>
  <c r="R9" i="15"/>
  <c r="L14" i="13"/>
  <c r="V9" i="13"/>
  <c r="Q10" i="13"/>
  <c r="M14" i="13"/>
  <c r="X10" i="13"/>
  <c r="X11" i="13"/>
  <c r="U9" i="13"/>
  <c r="Y10" i="13"/>
  <c r="Q11" i="13"/>
  <c r="Y11" i="13"/>
  <c r="S9" i="15"/>
  <c r="R9" i="13"/>
  <c r="L15" i="15"/>
  <c r="M15" i="15"/>
  <c r="V10" i="15"/>
  <c r="U10" i="15"/>
  <c r="T10" i="15"/>
  <c r="T9" i="15"/>
  <c r="I25" i="17" l="1"/>
  <c r="D16" i="15"/>
  <c r="AD58" i="15" s="1"/>
  <c r="AD310" i="15" s="1"/>
  <c r="G17" i="13"/>
  <c r="E17" i="13"/>
  <c r="E16" i="13"/>
  <c r="D17" i="13"/>
  <c r="G15" i="13"/>
  <c r="C19" i="13"/>
  <c r="B19" i="15"/>
  <c r="AB61" i="15" s="1"/>
  <c r="AB313" i="15" s="1"/>
  <c r="AL57" i="15"/>
  <c r="AL309" i="15" s="1"/>
  <c r="AT51" i="15"/>
  <c r="AT303" i="15" s="1"/>
  <c r="AV52" i="15"/>
  <c r="AV304" i="15" s="1"/>
  <c r="AT52" i="15"/>
  <c r="AT304" i="15" s="1"/>
  <c r="AU52" i="15"/>
  <c r="AU304" i="15" s="1"/>
  <c r="AS51" i="15"/>
  <c r="AS303" i="15" s="1"/>
  <c r="AM57" i="15"/>
  <c r="S57" i="15" s="1"/>
  <c r="T57" i="15" s="1"/>
  <c r="U57" i="15" s="1"/>
  <c r="AR51" i="15"/>
  <c r="AR303" i="15" s="1"/>
  <c r="AM308" i="15"/>
  <c r="R10" i="15"/>
  <c r="R11" i="15"/>
  <c r="W12" i="15"/>
  <c r="L15" i="13"/>
  <c r="T9" i="13"/>
  <c r="M15" i="13"/>
  <c r="S9" i="13"/>
  <c r="T10" i="13"/>
  <c r="U10" i="13"/>
  <c r="V10" i="13"/>
  <c r="X12" i="15"/>
  <c r="W12" i="13"/>
  <c r="Q12" i="15"/>
  <c r="S10" i="15"/>
  <c r="R10" i="13"/>
  <c r="S11" i="15"/>
  <c r="R11" i="13"/>
  <c r="M16" i="15"/>
  <c r="L16" i="15"/>
  <c r="U11" i="15"/>
  <c r="V11" i="15"/>
  <c r="D22" i="26" l="1"/>
  <c r="L22" i="26" s="1"/>
  <c r="D23" i="26"/>
  <c r="L23" i="26" s="1"/>
  <c r="U12" i="15"/>
  <c r="G17" i="15"/>
  <c r="AG59" i="15" s="1"/>
  <c r="AG311" i="15" s="1"/>
  <c r="E17" i="15"/>
  <c r="AE59" i="15" s="1"/>
  <c r="AE311" i="15" s="1"/>
  <c r="F17" i="15"/>
  <c r="AF59" i="15" s="1"/>
  <c r="AF311" i="15" s="1"/>
  <c r="D17" i="15"/>
  <c r="AD59" i="15" s="1"/>
  <c r="AD311" i="15" s="1"/>
  <c r="E18" i="13"/>
  <c r="D18" i="15"/>
  <c r="AD60" i="15" s="1"/>
  <c r="AD312" i="15" s="1"/>
  <c r="F15" i="13"/>
  <c r="F15" i="15"/>
  <c r="AF57" i="15" s="1"/>
  <c r="AF309" i="15" s="1"/>
  <c r="G16" i="13"/>
  <c r="G16" i="15"/>
  <c r="AG58" i="15" s="1"/>
  <c r="AG310" i="15" s="1"/>
  <c r="C19" i="15"/>
  <c r="AC61" i="15" s="1"/>
  <c r="AC313" i="15" s="1"/>
  <c r="B20" i="15"/>
  <c r="AB62" i="15" s="1"/>
  <c r="AB314" i="15" s="1"/>
  <c r="B20" i="13"/>
  <c r="C20" i="13"/>
  <c r="C20" i="15"/>
  <c r="AC62" i="15" s="1"/>
  <c r="AC314" i="15" s="1"/>
  <c r="C21" i="13"/>
  <c r="Y12" i="15"/>
  <c r="AY54" i="15" s="1"/>
  <c r="AY306" i="15" s="1"/>
  <c r="AL58" i="15"/>
  <c r="AL310" i="15" s="1"/>
  <c r="AM58" i="15"/>
  <c r="S58" i="15" s="1"/>
  <c r="T58" i="15" s="1"/>
  <c r="U58" i="15" s="1"/>
  <c r="AV53" i="15"/>
  <c r="AV305" i="15" s="1"/>
  <c r="AX54" i="15"/>
  <c r="AX306" i="15" s="1"/>
  <c r="AQ54" i="15"/>
  <c r="AQ306" i="15" s="1"/>
  <c r="AM309" i="15"/>
  <c r="AS52" i="15"/>
  <c r="AS304" i="15" s="1"/>
  <c r="AU53" i="15"/>
  <c r="AU305" i="15" s="1"/>
  <c r="AS53" i="15"/>
  <c r="AS305" i="15" s="1"/>
  <c r="AR53" i="15"/>
  <c r="AR305" i="15" s="1"/>
  <c r="AR52" i="15"/>
  <c r="AR304" i="15" s="1"/>
  <c r="AW54" i="15"/>
  <c r="AW306" i="15" s="1"/>
  <c r="W13" i="15"/>
  <c r="M16" i="13"/>
  <c r="L16" i="13"/>
  <c r="V11" i="13"/>
  <c r="S11" i="13"/>
  <c r="Y12" i="13"/>
  <c r="U11" i="13"/>
  <c r="S10" i="13"/>
  <c r="X12" i="13"/>
  <c r="Q12" i="13"/>
  <c r="W13" i="13"/>
  <c r="Q13" i="15"/>
  <c r="X13" i="15"/>
  <c r="L17" i="15"/>
  <c r="M17" i="15"/>
  <c r="T11" i="15"/>
  <c r="I27" i="17" l="1"/>
  <c r="I26" i="17"/>
  <c r="V12" i="15"/>
  <c r="AV54" i="15" s="1"/>
  <c r="AV306" i="15" s="1"/>
  <c r="E18" i="15"/>
  <c r="AE60" i="15" s="1"/>
  <c r="AE312" i="15" s="1"/>
  <c r="F17" i="13"/>
  <c r="D18" i="13"/>
  <c r="G18" i="15"/>
  <c r="AG60" i="15" s="1"/>
  <c r="AG312" i="15" s="1"/>
  <c r="F18" i="13"/>
  <c r="F16" i="13"/>
  <c r="F16" i="15"/>
  <c r="AF58" i="15" s="1"/>
  <c r="AF310" i="15" s="1"/>
  <c r="C22" i="13"/>
  <c r="C21" i="15"/>
  <c r="AC63" i="15" s="1"/>
  <c r="AC315" i="15" s="1"/>
  <c r="Y13" i="15"/>
  <c r="AY55" i="15" s="1"/>
  <c r="AY307" i="15" s="1"/>
  <c r="B21" i="15"/>
  <c r="AB63" i="15" s="1"/>
  <c r="AB315" i="15" s="1"/>
  <c r="B21" i="13"/>
  <c r="B22" i="13"/>
  <c r="AL59" i="15"/>
  <c r="AL311" i="15" s="1"/>
  <c r="AM59" i="15"/>
  <c r="S59" i="15" s="1"/>
  <c r="T59" i="15" s="1"/>
  <c r="U59" i="15" s="1"/>
  <c r="AM310" i="15"/>
  <c r="AT53" i="15"/>
  <c r="AT305" i="15" s="1"/>
  <c r="AQ55" i="15"/>
  <c r="AQ307" i="15" s="1"/>
  <c r="AW55" i="15"/>
  <c r="AW307" i="15" s="1"/>
  <c r="AX55" i="15"/>
  <c r="AX307" i="15" s="1"/>
  <c r="AU54" i="15"/>
  <c r="AU306" i="15" s="1"/>
  <c r="W14" i="15"/>
  <c r="L17" i="13"/>
  <c r="M17" i="13"/>
  <c r="T11" i="13"/>
  <c r="U12" i="13"/>
  <c r="X13" i="13"/>
  <c r="Q13" i="13"/>
  <c r="Y13" i="13"/>
  <c r="X14" i="15"/>
  <c r="W14" i="13"/>
  <c r="Q14" i="15"/>
  <c r="M18" i="15"/>
  <c r="L18" i="15"/>
  <c r="V13" i="15"/>
  <c r="U13" i="15"/>
  <c r="D24" i="26" l="1"/>
  <c r="L24" i="26" s="1"/>
  <c r="D25" i="26"/>
  <c r="L25" i="26" s="1"/>
  <c r="I28" i="17"/>
  <c r="S12" i="15"/>
  <c r="AS54" i="15" s="1"/>
  <c r="AS306" i="15" s="1"/>
  <c r="V14" i="15"/>
  <c r="R12" i="13"/>
  <c r="R12" i="15"/>
  <c r="AR54" i="15" s="1"/>
  <c r="AR306" i="15" s="1"/>
  <c r="T12" i="15"/>
  <c r="AT54" i="15" s="1"/>
  <c r="AT306" i="15" s="1"/>
  <c r="V12" i="13"/>
  <c r="S14" i="15"/>
  <c r="G18" i="13"/>
  <c r="D19" i="15"/>
  <c r="AD61" i="15" s="1"/>
  <c r="AD313" i="15" s="1"/>
  <c r="E19" i="15"/>
  <c r="AE61" i="15" s="1"/>
  <c r="AE313" i="15" s="1"/>
  <c r="F18" i="15"/>
  <c r="AF60" i="15" s="1"/>
  <c r="AF312" i="15" s="1"/>
  <c r="F19" i="15"/>
  <c r="AF61" i="15" s="1"/>
  <c r="AF313" i="15" s="1"/>
  <c r="E19" i="13"/>
  <c r="F19" i="13"/>
  <c r="D19" i="13"/>
  <c r="D20" i="15"/>
  <c r="AD62" i="15" s="1"/>
  <c r="AD314" i="15" s="1"/>
  <c r="Y14" i="15"/>
  <c r="AY56" i="15" s="1"/>
  <c r="AY308" i="15" s="1"/>
  <c r="B22" i="15"/>
  <c r="AB64" i="15" s="1"/>
  <c r="AB316" i="15" s="1"/>
  <c r="C22" i="15"/>
  <c r="AC64" i="15" s="1"/>
  <c r="AC316" i="15" s="1"/>
  <c r="AL60" i="15"/>
  <c r="AL312" i="15" s="1"/>
  <c r="AM60" i="15"/>
  <c r="S60" i="15" s="1"/>
  <c r="T60" i="15" s="1"/>
  <c r="U60" i="15" s="1"/>
  <c r="AM311" i="15"/>
  <c r="AU55" i="15"/>
  <c r="AU307" i="15" s="1"/>
  <c r="AX56" i="15"/>
  <c r="AX308" i="15" s="1"/>
  <c r="AQ56" i="15"/>
  <c r="AQ308" i="15" s="1"/>
  <c r="AW56" i="15"/>
  <c r="AW308" i="15" s="1"/>
  <c r="AV55" i="15"/>
  <c r="AV307" i="15" s="1"/>
  <c r="R13" i="15"/>
  <c r="M18" i="13"/>
  <c r="L18" i="13"/>
  <c r="X14" i="13"/>
  <c r="Q14" i="13"/>
  <c r="V13" i="13"/>
  <c r="U13" i="13"/>
  <c r="Y14" i="13"/>
  <c r="U14" i="15"/>
  <c r="S13" i="15"/>
  <c r="R13" i="13"/>
  <c r="T13" i="15"/>
  <c r="M19" i="15"/>
  <c r="L19" i="15"/>
  <c r="D26" i="26" l="1"/>
  <c r="L26" i="26" s="1"/>
  <c r="S12" i="13"/>
  <c r="T12" i="13"/>
  <c r="R14" i="13"/>
  <c r="R14" i="15"/>
  <c r="AR56" i="15" s="1"/>
  <c r="AR308" i="15" s="1"/>
  <c r="T14" i="15"/>
  <c r="AT56" i="15" s="1"/>
  <c r="AT308" i="15" s="1"/>
  <c r="G19" i="13"/>
  <c r="E20" i="13"/>
  <c r="E20" i="15"/>
  <c r="AE62" i="15" s="1"/>
  <c r="AE314" i="15" s="1"/>
  <c r="W15" i="15"/>
  <c r="AW57" i="15" s="1"/>
  <c r="AW309" i="15" s="1"/>
  <c r="Q15" i="15"/>
  <c r="AQ57" i="15" s="1"/>
  <c r="AQ309" i="15" s="1"/>
  <c r="W15" i="13"/>
  <c r="G19" i="15"/>
  <c r="AG61" i="15" s="1"/>
  <c r="AG313" i="15" s="1"/>
  <c r="G20" i="13"/>
  <c r="X15" i="15"/>
  <c r="AX57" i="15" s="1"/>
  <c r="AX309" i="15" s="1"/>
  <c r="F20" i="13"/>
  <c r="D20" i="13"/>
  <c r="F21" i="15"/>
  <c r="AF63" i="15" s="1"/>
  <c r="AF315" i="15" s="1"/>
  <c r="E21" i="15"/>
  <c r="AE63" i="15" s="1"/>
  <c r="AE315" i="15" s="1"/>
  <c r="C23" i="15"/>
  <c r="AC65" i="15" s="1"/>
  <c r="AC317" i="15" s="1"/>
  <c r="D22" i="15"/>
  <c r="B24" i="15"/>
  <c r="AB66" i="15" s="1"/>
  <c r="B23" i="13"/>
  <c r="B23" i="15"/>
  <c r="AB65" i="15" s="1"/>
  <c r="AB317" i="15" s="1"/>
  <c r="AL61" i="15"/>
  <c r="AL313" i="15" s="1"/>
  <c r="AM61" i="15"/>
  <c r="S61" i="15" s="1"/>
  <c r="T61" i="15" s="1"/>
  <c r="U61" i="15" s="1"/>
  <c r="AM312" i="15"/>
  <c r="AU56" i="15"/>
  <c r="AU308" i="15" s="1"/>
  <c r="AR55" i="15"/>
  <c r="AR307" i="15" s="1"/>
  <c r="AT55" i="15"/>
  <c r="AT307" i="15" s="1"/>
  <c r="AS56" i="15"/>
  <c r="AS308" i="15" s="1"/>
  <c r="AS55" i="15"/>
  <c r="AS307" i="15" s="1"/>
  <c r="AV56" i="15"/>
  <c r="AV308" i="15" s="1"/>
  <c r="L19" i="13"/>
  <c r="M19" i="13"/>
  <c r="T13" i="13"/>
  <c r="S14" i="13"/>
  <c r="S13" i="13"/>
  <c r="V14" i="13"/>
  <c r="U14" i="13"/>
  <c r="L20" i="15"/>
  <c r="M20" i="15"/>
  <c r="I29" i="17" l="1"/>
  <c r="I30" i="17"/>
  <c r="T14" i="13"/>
  <c r="Q15" i="13"/>
  <c r="Y15" i="15"/>
  <c r="AY57" i="15" s="1"/>
  <c r="AY309" i="15" s="1"/>
  <c r="Y15" i="13"/>
  <c r="W16" i="13"/>
  <c r="X16" i="15"/>
  <c r="AX58" i="15" s="1"/>
  <c r="AX310" i="15" s="1"/>
  <c r="W16" i="15"/>
  <c r="AW58" i="15" s="1"/>
  <c r="AW310" i="15" s="1"/>
  <c r="Q16" i="15"/>
  <c r="AQ58" i="15" s="1"/>
  <c r="AQ310" i="15" s="1"/>
  <c r="V15" i="15"/>
  <c r="AV57" i="15" s="1"/>
  <c r="AV309" i="15" s="1"/>
  <c r="U15" i="15"/>
  <c r="AU57" i="15" s="1"/>
  <c r="AU309" i="15" s="1"/>
  <c r="R15" i="15"/>
  <c r="X15" i="13"/>
  <c r="D21" i="13"/>
  <c r="G20" i="15"/>
  <c r="AG62" i="15" s="1"/>
  <c r="AG314" i="15" s="1"/>
  <c r="E21" i="13"/>
  <c r="F20" i="15"/>
  <c r="AF62" i="15" s="1"/>
  <c r="AF314" i="15" s="1"/>
  <c r="F21" i="13"/>
  <c r="D21" i="15"/>
  <c r="AD63" i="15" s="1"/>
  <c r="AD315" i="15" s="1"/>
  <c r="C23" i="13"/>
  <c r="B24" i="13"/>
  <c r="G22" i="15"/>
  <c r="D22" i="13"/>
  <c r="C24" i="13"/>
  <c r="C24" i="15"/>
  <c r="AC66" i="15" s="1"/>
  <c r="AC318" i="15" s="1"/>
  <c r="B25" i="13"/>
  <c r="AL62" i="15"/>
  <c r="AL314" i="15" s="1"/>
  <c r="AD64" i="15"/>
  <c r="AD316" i="15" s="1"/>
  <c r="AM62" i="15"/>
  <c r="S62" i="15" s="1"/>
  <c r="T62" i="15" s="1"/>
  <c r="U62" i="15" s="1"/>
  <c r="AM313" i="15"/>
  <c r="E22" i="13"/>
  <c r="E22" i="15"/>
  <c r="G21" i="15"/>
  <c r="G21" i="13"/>
  <c r="AB318" i="15"/>
  <c r="W17" i="15"/>
  <c r="L20" i="13"/>
  <c r="M20" i="13"/>
  <c r="W17" i="13"/>
  <c r="Q17" i="15"/>
  <c r="X17" i="15"/>
  <c r="L21" i="15"/>
  <c r="M21" i="15"/>
  <c r="D27" i="26" l="1"/>
  <c r="L27" i="26" s="1"/>
  <c r="I31" i="17"/>
  <c r="U17" i="15"/>
  <c r="X16" i="13"/>
  <c r="Q16" i="13"/>
  <c r="T15" i="15"/>
  <c r="AT57" i="15" s="1"/>
  <c r="AT309" i="15" s="1"/>
  <c r="U15" i="13"/>
  <c r="Y16" i="15"/>
  <c r="AY58" i="15" s="1"/>
  <c r="AY310" i="15" s="1"/>
  <c r="Y16" i="13"/>
  <c r="V15" i="13"/>
  <c r="R15" i="13"/>
  <c r="S15" i="15"/>
  <c r="AS57" i="15" s="1"/>
  <c r="AS309" i="15" s="1"/>
  <c r="D23" i="13"/>
  <c r="F22" i="13"/>
  <c r="F22" i="15"/>
  <c r="AF64" i="15" s="1"/>
  <c r="AF316" i="15" s="1"/>
  <c r="G22" i="13"/>
  <c r="Y17" i="15"/>
  <c r="AY59" i="15" s="1"/>
  <c r="AY311" i="15" s="1"/>
  <c r="B25" i="15"/>
  <c r="AB67" i="15" s="1"/>
  <c r="AB319" i="15" s="1"/>
  <c r="C25" i="13"/>
  <c r="C25" i="15"/>
  <c r="AC67" i="15" s="1"/>
  <c r="AC319" i="15" s="1"/>
  <c r="AL63" i="15"/>
  <c r="AL315" i="15" s="1"/>
  <c r="AG63" i="15"/>
  <c r="AG315" i="15" s="1"/>
  <c r="AM314" i="15"/>
  <c r="AG64" i="15"/>
  <c r="AG316" i="15" s="1"/>
  <c r="AE64" i="15"/>
  <c r="AE316" i="15" s="1"/>
  <c r="AM63" i="15"/>
  <c r="S63" i="15" s="1"/>
  <c r="T63" i="15" s="1"/>
  <c r="U63" i="15" s="1"/>
  <c r="AW59" i="15"/>
  <c r="AW311" i="15" s="1"/>
  <c r="AX59" i="15"/>
  <c r="AX311" i="15" s="1"/>
  <c r="AQ59" i="15"/>
  <c r="AQ311" i="15" s="1"/>
  <c r="AR57" i="15"/>
  <c r="AR309" i="15" s="1"/>
  <c r="W18" i="15"/>
  <c r="M21" i="13"/>
  <c r="Y17" i="13"/>
  <c r="L21" i="13"/>
  <c r="Q17" i="13"/>
  <c r="X17" i="13"/>
  <c r="X18" i="15"/>
  <c r="Q18" i="15"/>
  <c r="W18" i="13"/>
  <c r="L22" i="15"/>
  <c r="M22" i="15"/>
  <c r="D28" i="26" l="1"/>
  <c r="L28" i="26" s="1"/>
  <c r="V17" i="15"/>
  <c r="AV59" i="15" s="1"/>
  <c r="AV311" i="15" s="1"/>
  <c r="S17" i="15"/>
  <c r="S18" i="15"/>
  <c r="T15" i="13"/>
  <c r="S15" i="13"/>
  <c r="D23" i="15"/>
  <c r="AD65" i="15" s="1"/>
  <c r="AD317" i="15" s="1"/>
  <c r="E23" i="13"/>
  <c r="E23" i="15"/>
  <c r="AE65" i="15" s="1"/>
  <c r="AE317" i="15" s="1"/>
  <c r="C26" i="15"/>
  <c r="AC68" i="15" s="1"/>
  <c r="AC320" i="15" s="1"/>
  <c r="C26" i="13"/>
  <c r="D24" i="13"/>
  <c r="B26" i="13"/>
  <c r="B26" i="15"/>
  <c r="AB68" i="15" s="1"/>
  <c r="AB320" i="15" s="1"/>
  <c r="D24" i="15"/>
  <c r="AD66" i="15" s="1"/>
  <c r="AD318" i="15" s="1"/>
  <c r="C27" i="15"/>
  <c r="Y18" i="15"/>
  <c r="AY60" i="15" s="1"/>
  <c r="AY312" i="15" s="1"/>
  <c r="AL64" i="15"/>
  <c r="AL316" i="15" s="1"/>
  <c r="AU59" i="15"/>
  <c r="AU311" i="15" s="1"/>
  <c r="AQ60" i="15"/>
  <c r="AQ312" i="15" s="1"/>
  <c r="AX60" i="15"/>
  <c r="AX312" i="15" s="1"/>
  <c r="AM64" i="15"/>
  <c r="S64" i="15" s="1"/>
  <c r="T64" i="15" s="1"/>
  <c r="U64" i="15" s="1"/>
  <c r="AW60" i="15"/>
  <c r="AW312" i="15" s="1"/>
  <c r="AM315" i="15"/>
  <c r="E24" i="15"/>
  <c r="F23" i="13"/>
  <c r="F23" i="15"/>
  <c r="E24" i="13"/>
  <c r="W19" i="15"/>
  <c r="Q18" i="13"/>
  <c r="U17" i="13"/>
  <c r="M22" i="13"/>
  <c r="X18" i="13"/>
  <c r="L22" i="13"/>
  <c r="Y18" i="13"/>
  <c r="Q19" i="15"/>
  <c r="X19" i="15"/>
  <c r="W19" i="13"/>
  <c r="M23" i="15"/>
  <c r="L23" i="15"/>
  <c r="D29" i="26" l="1"/>
  <c r="L29" i="26" s="1"/>
  <c r="I33" i="17"/>
  <c r="I32" i="17"/>
  <c r="T17" i="15"/>
  <c r="AT59" i="15" s="1"/>
  <c r="AT311" i="15" s="1"/>
  <c r="T18" i="15"/>
  <c r="R18" i="15"/>
  <c r="AR60" i="15" s="1"/>
  <c r="AR312" i="15" s="1"/>
  <c r="V17" i="13"/>
  <c r="R17" i="13"/>
  <c r="R17" i="15"/>
  <c r="AR59" i="15" s="1"/>
  <c r="AR311" i="15" s="1"/>
  <c r="R18" i="13"/>
  <c r="U18" i="15"/>
  <c r="AU60" i="15" s="1"/>
  <c r="AU312" i="15" s="1"/>
  <c r="V18" i="15"/>
  <c r="AV60" i="15" s="1"/>
  <c r="AV312" i="15" s="1"/>
  <c r="G23" i="15"/>
  <c r="AG65" i="15" s="1"/>
  <c r="AG317" i="15" s="1"/>
  <c r="G23" i="13"/>
  <c r="D25" i="15"/>
  <c r="AD67" i="15" s="1"/>
  <c r="AD319" i="15" s="1"/>
  <c r="F25" i="15"/>
  <c r="AF67" i="15" s="1"/>
  <c r="AF319" i="15" s="1"/>
  <c r="R16" i="15"/>
  <c r="AR58" i="15" s="1"/>
  <c r="AR310" i="15" s="1"/>
  <c r="R16" i="13"/>
  <c r="V16" i="15"/>
  <c r="AV58" i="15" s="1"/>
  <c r="AV310" i="15" s="1"/>
  <c r="V16" i="13"/>
  <c r="U16" i="15"/>
  <c r="AU58" i="15" s="1"/>
  <c r="AU310" i="15" s="1"/>
  <c r="U16" i="13"/>
  <c r="F24" i="13"/>
  <c r="F24" i="15"/>
  <c r="AF66" i="15" s="1"/>
  <c r="AF318" i="15" s="1"/>
  <c r="B27" i="13"/>
  <c r="B27" i="15"/>
  <c r="AB69" i="15" s="1"/>
  <c r="AB321" i="15" s="1"/>
  <c r="Y19" i="15"/>
  <c r="AY61" i="15" s="1"/>
  <c r="AY313" i="15" s="1"/>
  <c r="C27" i="13"/>
  <c r="B28" i="13"/>
  <c r="AF65" i="15"/>
  <c r="AF317" i="15" s="1"/>
  <c r="AE66" i="15"/>
  <c r="AE318" i="15" s="1"/>
  <c r="AC69" i="15"/>
  <c r="AC321" i="15" s="1"/>
  <c r="AL65" i="15"/>
  <c r="AL317" i="15" s="1"/>
  <c r="AS60" i="15"/>
  <c r="AS312" i="15" s="1"/>
  <c r="AW61" i="15"/>
  <c r="AW313" i="15" s="1"/>
  <c r="AM65" i="15"/>
  <c r="S65" i="15" s="1"/>
  <c r="T65" i="15" s="1"/>
  <c r="U65" i="15" s="1"/>
  <c r="AX61" i="15"/>
  <c r="AX313" i="15" s="1"/>
  <c r="AS59" i="15"/>
  <c r="AS311" i="15" s="1"/>
  <c r="AQ61" i="15"/>
  <c r="AQ313" i="15" s="1"/>
  <c r="AM316" i="15"/>
  <c r="G24" i="13"/>
  <c r="G24" i="15"/>
  <c r="W20" i="15"/>
  <c r="T17" i="13"/>
  <c r="S17" i="13"/>
  <c r="Q19" i="13"/>
  <c r="L23" i="13"/>
  <c r="M23" i="13"/>
  <c r="S18" i="13"/>
  <c r="Y19" i="13"/>
  <c r="X19" i="13"/>
  <c r="Q20" i="15"/>
  <c r="X20" i="15"/>
  <c r="W20" i="13"/>
  <c r="L24" i="15"/>
  <c r="M24" i="15"/>
  <c r="U19" i="15"/>
  <c r="V19" i="15"/>
  <c r="D30" i="26" l="1"/>
  <c r="L30" i="26" s="1"/>
  <c r="I34" i="17"/>
  <c r="U18" i="13"/>
  <c r="V18" i="13"/>
  <c r="U20" i="15"/>
  <c r="E25" i="15"/>
  <c r="AE67" i="15" s="1"/>
  <c r="AE319" i="15" s="1"/>
  <c r="E25" i="13"/>
  <c r="F25" i="13"/>
  <c r="D25" i="13"/>
  <c r="S16" i="15"/>
  <c r="AS58" i="15" s="1"/>
  <c r="AS310" i="15" s="1"/>
  <c r="S16" i="13"/>
  <c r="D26" i="15"/>
  <c r="AD68" i="15" s="1"/>
  <c r="AD320" i="15" s="1"/>
  <c r="T16" i="15"/>
  <c r="AT58" i="15" s="1"/>
  <c r="AT310" i="15" s="1"/>
  <c r="T16" i="13"/>
  <c r="F27" i="13"/>
  <c r="C28" i="15"/>
  <c r="AC70" i="15" s="1"/>
  <c r="AC322" i="15" s="1"/>
  <c r="C28" i="13"/>
  <c r="Y20" i="15"/>
  <c r="AY62" i="15" s="1"/>
  <c r="AY314" i="15" s="1"/>
  <c r="B28" i="15"/>
  <c r="AB70" i="15" s="1"/>
  <c r="AB322" i="15" s="1"/>
  <c r="AG66" i="15"/>
  <c r="AG318" i="15" s="1"/>
  <c r="AL66" i="15"/>
  <c r="AL318" i="15" s="1"/>
  <c r="AU61" i="15"/>
  <c r="AU313" i="15" s="1"/>
  <c r="AX62" i="15"/>
  <c r="AX314" i="15" s="1"/>
  <c r="AW62" i="15"/>
  <c r="AW314" i="15" s="1"/>
  <c r="AQ62" i="15"/>
  <c r="AQ314" i="15" s="1"/>
  <c r="AM66" i="15"/>
  <c r="S66" i="15" s="1"/>
  <c r="T66" i="15" s="1"/>
  <c r="U66" i="15" s="1"/>
  <c r="AV61" i="15"/>
  <c r="AV313" i="15" s="1"/>
  <c r="AT60" i="15"/>
  <c r="AT312" i="15" s="1"/>
  <c r="AM317" i="15"/>
  <c r="G25" i="15"/>
  <c r="G25" i="13"/>
  <c r="R19" i="15"/>
  <c r="W21" i="15"/>
  <c r="L24" i="13"/>
  <c r="X20" i="13"/>
  <c r="Q20" i="13"/>
  <c r="V19" i="13"/>
  <c r="M24" i="13"/>
  <c r="T18" i="13"/>
  <c r="Y20" i="13"/>
  <c r="U19" i="13"/>
  <c r="W21" i="13"/>
  <c r="X21" i="15"/>
  <c r="Q21" i="15"/>
  <c r="S19" i="15"/>
  <c r="R19" i="13"/>
  <c r="M25" i="15"/>
  <c r="L25" i="15"/>
  <c r="T19" i="15"/>
  <c r="D31" i="26" l="1"/>
  <c r="L31" i="26" s="1"/>
  <c r="D32" i="26"/>
  <c r="L32" i="26" s="1"/>
  <c r="R20" i="15"/>
  <c r="V20" i="15"/>
  <c r="AV62" i="15" s="1"/>
  <c r="AV314" i="15" s="1"/>
  <c r="E26" i="13"/>
  <c r="E26" i="15"/>
  <c r="AE68" i="15" s="1"/>
  <c r="AE320" i="15" s="1"/>
  <c r="F26" i="13"/>
  <c r="D26" i="13"/>
  <c r="G27" i="15"/>
  <c r="E27" i="13"/>
  <c r="E27" i="15"/>
  <c r="AE69" i="15" s="1"/>
  <c r="AE321" i="15" s="1"/>
  <c r="B29" i="13"/>
  <c r="B29" i="15"/>
  <c r="AB71" i="15" s="1"/>
  <c r="AB323" i="15" s="1"/>
  <c r="C29" i="13"/>
  <c r="B30" i="15"/>
  <c r="AB72" i="15" s="1"/>
  <c r="Y21" i="15"/>
  <c r="AY63" i="15" s="1"/>
  <c r="AY315" i="15" s="1"/>
  <c r="AL67" i="15"/>
  <c r="AL319" i="15" s="1"/>
  <c r="AG67" i="15"/>
  <c r="AG319" i="15" s="1"/>
  <c r="AM67" i="15"/>
  <c r="S67" i="15" s="1"/>
  <c r="T67" i="15" s="1"/>
  <c r="U67" i="15" s="1"/>
  <c r="AW63" i="15"/>
  <c r="AW315" i="15" s="1"/>
  <c r="AS61" i="15"/>
  <c r="AS313" i="15" s="1"/>
  <c r="AU62" i="15"/>
  <c r="AU314" i="15" s="1"/>
  <c r="AX63" i="15"/>
  <c r="AX315" i="15" s="1"/>
  <c r="AT61" i="15"/>
  <c r="AT313" i="15" s="1"/>
  <c r="AQ63" i="15"/>
  <c r="AQ315" i="15" s="1"/>
  <c r="AR61" i="15"/>
  <c r="AR313" i="15" s="1"/>
  <c r="AM318" i="15"/>
  <c r="F27" i="15"/>
  <c r="E28" i="13"/>
  <c r="G26" i="13"/>
  <c r="G26" i="15"/>
  <c r="W22" i="15"/>
  <c r="T19" i="13"/>
  <c r="S19" i="13"/>
  <c r="Y21" i="13"/>
  <c r="U20" i="13"/>
  <c r="L25" i="13"/>
  <c r="M25" i="13"/>
  <c r="Q21" i="13"/>
  <c r="X21" i="13"/>
  <c r="X22" i="15"/>
  <c r="Q22" i="15"/>
  <c r="W22" i="13"/>
  <c r="V21" i="15"/>
  <c r="U21" i="15"/>
  <c r="M26" i="15"/>
  <c r="L26" i="15"/>
  <c r="I36" i="17" l="1"/>
  <c r="I35" i="17"/>
  <c r="T20" i="15"/>
  <c r="AT62" i="15" s="1"/>
  <c r="AT314" i="15" s="1"/>
  <c r="V20" i="13"/>
  <c r="S20" i="15"/>
  <c r="AS62" i="15" s="1"/>
  <c r="AS314" i="15" s="1"/>
  <c r="R20" i="13"/>
  <c r="F26" i="15"/>
  <c r="AF68" i="15" s="1"/>
  <c r="AF320" i="15" s="1"/>
  <c r="G27" i="13"/>
  <c r="D27" i="15"/>
  <c r="AD69" i="15" s="1"/>
  <c r="AD321" i="15" s="1"/>
  <c r="D27" i="13"/>
  <c r="B30" i="13"/>
  <c r="C30" i="13"/>
  <c r="C30" i="15"/>
  <c r="AC72" i="15" s="1"/>
  <c r="AC324" i="15" s="1"/>
  <c r="D28" i="13"/>
  <c r="D28" i="15"/>
  <c r="AD70" i="15" s="1"/>
  <c r="AD322" i="15" s="1"/>
  <c r="C29" i="15"/>
  <c r="AC71" i="15" s="1"/>
  <c r="AC323" i="15" s="1"/>
  <c r="C31" i="13"/>
  <c r="Y22" i="15"/>
  <c r="AY64" i="15" s="1"/>
  <c r="AY316" i="15" s="1"/>
  <c r="E28" i="15"/>
  <c r="AE70" i="15" s="1"/>
  <c r="AE322" i="15" s="1"/>
  <c r="AM68" i="15"/>
  <c r="S68" i="15" s="1"/>
  <c r="T68" i="15" s="1"/>
  <c r="U68" i="15" s="1"/>
  <c r="F28" i="13"/>
  <c r="F28" i="15"/>
  <c r="AG68" i="15"/>
  <c r="AG320" i="15" s="1"/>
  <c r="AL68" i="15"/>
  <c r="AL320" i="15" s="1"/>
  <c r="AG69" i="15"/>
  <c r="AG321" i="15" s="1"/>
  <c r="AF69" i="15"/>
  <c r="AF321" i="15" s="1"/>
  <c r="AW64" i="15"/>
  <c r="AW316" i="15" s="1"/>
  <c r="AX64" i="15"/>
  <c r="AX316" i="15" s="1"/>
  <c r="AU63" i="15"/>
  <c r="AU315" i="15" s="1"/>
  <c r="AR62" i="15"/>
  <c r="AR314" i="15" s="1"/>
  <c r="AV63" i="15"/>
  <c r="AV315" i="15" s="1"/>
  <c r="AQ64" i="15"/>
  <c r="AQ316" i="15" s="1"/>
  <c r="AM319" i="15"/>
  <c r="AB324" i="15"/>
  <c r="R22" i="15"/>
  <c r="R21" i="15"/>
  <c r="W23" i="15"/>
  <c r="M26" i="13"/>
  <c r="U21" i="13"/>
  <c r="Q22" i="13"/>
  <c r="V21" i="13"/>
  <c r="Y22" i="13"/>
  <c r="L26" i="13"/>
  <c r="X22" i="13"/>
  <c r="Q23" i="15"/>
  <c r="X23" i="15"/>
  <c r="W23" i="13"/>
  <c r="S22" i="15"/>
  <c r="R22" i="13"/>
  <c r="S21" i="15"/>
  <c r="R21" i="13"/>
  <c r="T21" i="15"/>
  <c r="L27" i="15"/>
  <c r="M27" i="15"/>
  <c r="V22" i="15"/>
  <c r="U22" i="15"/>
  <c r="D33" i="26" l="1"/>
  <c r="L33" i="26" s="1"/>
  <c r="D34" i="26"/>
  <c r="L34" i="26" s="1"/>
  <c r="I37" i="17"/>
  <c r="T20" i="13"/>
  <c r="S20" i="13"/>
  <c r="E29" i="15"/>
  <c r="AE71" i="15" s="1"/>
  <c r="AE323" i="15" s="1"/>
  <c r="B31" i="13"/>
  <c r="B31" i="15"/>
  <c r="AB73" i="15" s="1"/>
  <c r="AB325" i="15" s="1"/>
  <c r="C32" i="15"/>
  <c r="B32" i="15"/>
  <c r="AB74" i="15" s="1"/>
  <c r="Y23" i="15"/>
  <c r="AY65" i="15" s="1"/>
  <c r="AY317" i="15" s="1"/>
  <c r="C31" i="15"/>
  <c r="AC73" i="15" s="1"/>
  <c r="AC325" i="15" s="1"/>
  <c r="AF70" i="15"/>
  <c r="AF322" i="15" s="1"/>
  <c r="AM69" i="15"/>
  <c r="S69" i="15" s="1"/>
  <c r="T69" i="15" s="1"/>
  <c r="U69" i="15" s="1"/>
  <c r="AM320" i="15"/>
  <c r="AL69" i="15"/>
  <c r="AL321" i="15" s="1"/>
  <c r="AT63" i="15"/>
  <c r="AT315" i="15" s="1"/>
  <c r="AX65" i="15"/>
  <c r="AX317" i="15" s="1"/>
  <c r="AV64" i="15"/>
  <c r="AV316" i="15" s="1"/>
  <c r="AS64" i="15"/>
  <c r="AS316" i="15" s="1"/>
  <c r="AQ65" i="15"/>
  <c r="AQ317" i="15" s="1"/>
  <c r="AW65" i="15"/>
  <c r="AW317" i="15" s="1"/>
  <c r="AR63" i="15"/>
  <c r="AR315" i="15" s="1"/>
  <c r="AU64" i="15"/>
  <c r="AU316" i="15" s="1"/>
  <c r="AS63" i="15"/>
  <c r="AS315" i="15" s="1"/>
  <c r="AR64" i="15"/>
  <c r="AR316" i="15" s="1"/>
  <c r="G28" i="13"/>
  <c r="G28" i="15"/>
  <c r="W24" i="15"/>
  <c r="U22" i="13"/>
  <c r="S22" i="13"/>
  <c r="Q23" i="13"/>
  <c r="V22" i="13"/>
  <c r="M27" i="13"/>
  <c r="L27" i="13"/>
  <c r="Y23" i="13"/>
  <c r="S21" i="13"/>
  <c r="T21" i="13"/>
  <c r="X23" i="13"/>
  <c r="X24" i="15"/>
  <c r="Q24" i="15"/>
  <c r="W24" i="13"/>
  <c r="T22" i="15"/>
  <c r="V23" i="15"/>
  <c r="U23" i="15"/>
  <c r="L28" i="15"/>
  <c r="M28" i="15"/>
  <c r="G29" i="15" l="1"/>
  <c r="AG71" i="15" s="1"/>
  <c r="AG323" i="15" s="1"/>
  <c r="G29" i="13"/>
  <c r="E29" i="13"/>
  <c r="D29" i="13"/>
  <c r="F29" i="15"/>
  <c r="AF71" i="15" s="1"/>
  <c r="AF323" i="15" s="1"/>
  <c r="D29" i="15"/>
  <c r="AD71" i="15" s="1"/>
  <c r="AD323" i="15" s="1"/>
  <c r="C33" i="15"/>
  <c r="E31" i="15"/>
  <c r="B32" i="13"/>
  <c r="Y24" i="15"/>
  <c r="AY66" i="15" s="1"/>
  <c r="AY318" i="15" s="1"/>
  <c r="C32" i="13"/>
  <c r="AC74" i="15"/>
  <c r="AC326" i="15" s="1"/>
  <c r="AM321" i="15"/>
  <c r="AG70" i="15"/>
  <c r="AG322" i="15" s="1"/>
  <c r="AM70" i="15"/>
  <c r="S70" i="15" s="1"/>
  <c r="T70" i="15" s="1"/>
  <c r="U70" i="15" s="1"/>
  <c r="AL70" i="15"/>
  <c r="AL322" i="15" s="1"/>
  <c r="AW66" i="15"/>
  <c r="AW318" i="15" s="1"/>
  <c r="AU65" i="15"/>
  <c r="AU317" i="15" s="1"/>
  <c r="AV65" i="15"/>
  <c r="AV317" i="15" s="1"/>
  <c r="AQ66" i="15"/>
  <c r="AQ318" i="15" s="1"/>
  <c r="AT64" i="15"/>
  <c r="AT316" i="15" s="1"/>
  <c r="AX66" i="15"/>
  <c r="AX318" i="15" s="1"/>
  <c r="AB326" i="15"/>
  <c r="R24" i="15"/>
  <c r="R23" i="15"/>
  <c r="W25" i="15"/>
  <c r="T22" i="13"/>
  <c r="Q24" i="13"/>
  <c r="X24" i="13"/>
  <c r="M28" i="13"/>
  <c r="U23" i="13"/>
  <c r="V23" i="13"/>
  <c r="L28" i="13"/>
  <c r="Y24" i="13"/>
  <c r="U24" i="15"/>
  <c r="V24" i="15"/>
  <c r="X25" i="15"/>
  <c r="Q25" i="15"/>
  <c r="W25" i="13"/>
  <c r="S23" i="15"/>
  <c r="R23" i="13"/>
  <c r="S24" i="15"/>
  <c r="R24" i="13"/>
  <c r="T23" i="15"/>
  <c r="M29" i="15"/>
  <c r="L29" i="15"/>
  <c r="T24" i="15"/>
  <c r="D35" i="26" l="1"/>
  <c r="L35" i="26" s="1"/>
  <c r="I38" i="17"/>
  <c r="I39" i="17"/>
  <c r="F29" i="13"/>
  <c r="E30" i="15"/>
  <c r="AE72" i="15" s="1"/>
  <c r="AE324" i="15" s="1"/>
  <c r="E30" i="13"/>
  <c r="D30" i="13"/>
  <c r="G30" i="15"/>
  <c r="AG72" i="15" s="1"/>
  <c r="AG324" i="15" s="1"/>
  <c r="G30" i="13"/>
  <c r="D30" i="15"/>
  <c r="AD72" i="15" s="1"/>
  <c r="AD324" i="15" s="1"/>
  <c r="G31" i="15"/>
  <c r="B33" i="13"/>
  <c r="C33" i="13"/>
  <c r="C34" i="13"/>
  <c r="B33" i="15"/>
  <c r="AB75" i="15" s="1"/>
  <c r="AB327" i="15" s="1"/>
  <c r="Y25" i="15"/>
  <c r="AY67" i="15" s="1"/>
  <c r="AY319" i="15" s="1"/>
  <c r="E31" i="13"/>
  <c r="D31" i="15"/>
  <c r="AD73" i="15" s="1"/>
  <c r="AD325" i="15" s="1"/>
  <c r="D31" i="13"/>
  <c r="AM322" i="15"/>
  <c r="AM71" i="15"/>
  <c r="S71" i="15" s="1"/>
  <c r="T71" i="15" s="1"/>
  <c r="U71" i="15" s="1"/>
  <c r="AC75" i="15"/>
  <c r="AC327" i="15" s="1"/>
  <c r="AL71" i="15"/>
  <c r="AL323" i="15" s="1"/>
  <c r="AE73" i="15"/>
  <c r="AE325" i="15" s="1"/>
  <c r="AS65" i="15"/>
  <c r="AS317" i="15" s="1"/>
  <c r="AV66" i="15"/>
  <c r="AV318" i="15" s="1"/>
  <c r="AR65" i="15"/>
  <c r="AR317" i="15" s="1"/>
  <c r="AT66" i="15"/>
  <c r="AT318" i="15" s="1"/>
  <c r="AS66" i="15"/>
  <c r="AS318" i="15" s="1"/>
  <c r="AU66" i="15"/>
  <c r="AU318" i="15" s="1"/>
  <c r="AT65" i="15"/>
  <c r="AT317" i="15" s="1"/>
  <c r="AQ67" i="15"/>
  <c r="AQ319" i="15" s="1"/>
  <c r="AW67" i="15"/>
  <c r="AW319" i="15" s="1"/>
  <c r="AR66" i="15"/>
  <c r="AR318" i="15" s="1"/>
  <c r="AX67" i="15"/>
  <c r="AX319" i="15" s="1"/>
  <c r="W26" i="15"/>
  <c r="T24" i="13"/>
  <c r="S23" i="13"/>
  <c r="X25" i="13"/>
  <c r="V24" i="13"/>
  <c r="L29" i="13"/>
  <c r="M29" i="13"/>
  <c r="S24" i="13"/>
  <c r="T23" i="13"/>
  <c r="Q25" i="13"/>
  <c r="Y25" i="13"/>
  <c r="U24" i="13"/>
  <c r="Q26" i="15"/>
  <c r="W26" i="13"/>
  <c r="X26" i="15"/>
  <c r="M30" i="15"/>
  <c r="L30" i="15"/>
  <c r="U25" i="15"/>
  <c r="V25" i="15"/>
  <c r="D36" i="26" l="1"/>
  <c r="L36" i="26" s="1"/>
  <c r="D37" i="26"/>
  <c r="L37" i="26" s="1"/>
  <c r="I40" i="17"/>
  <c r="F30" i="13"/>
  <c r="E32" i="13"/>
  <c r="F30" i="15"/>
  <c r="AF72" i="15" s="1"/>
  <c r="AF324" i="15" s="1"/>
  <c r="E33" i="13"/>
  <c r="G31" i="13"/>
  <c r="F31" i="13"/>
  <c r="B34" i="13"/>
  <c r="B34" i="15"/>
  <c r="AB76" i="15" s="1"/>
  <c r="AB328" i="15" s="1"/>
  <c r="F31" i="15"/>
  <c r="AF73" i="15" s="1"/>
  <c r="AF325" i="15" s="1"/>
  <c r="Y26" i="15"/>
  <c r="AY68" i="15" s="1"/>
  <c r="AY320" i="15" s="1"/>
  <c r="C34" i="15"/>
  <c r="AC76" i="15" s="1"/>
  <c r="AC328" i="15" s="1"/>
  <c r="AM72" i="15"/>
  <c r="S72" i="15" s="1"/>
  <c r="T72" i="15" s="1"/>
  <c r="U72" i="15" s="1"/>
  <c r="AG73" i="15"/>
  <c r="AG325" i="15" s="1"/>
  <c r="AL72" i="15"/>
  <c r="AL324" i="15" s="1"/>
  <c r="AM323" i="15"/>
  <c r="AQ68" i="15"/>
  <c r="AQ320" i="15" s="1"/>
  <c r="AW68" i="15"/>
  <c r="AW320" i="15" s="1"/>
  <c r="AU67" i="15"/>
  <c r="AU319" i="15" s="1"/>
  <c r="AX68" i="15"/>
  <c r="AX320" i="15" s="1"/>
  <c r="AV67" i="15"/>
  <c r="AV319" i="15" s="1"/>
  <c r="R25" i="15"/>
  <c r="W27" i="15"/>
  <c r="V25" i="13"/>
  <c r="U25" i="13"/>
  <c r="M30" i="13"/>
  <c r="Y26" i="13"/>
  <c r="L30" i="13"/>
  <c r="Q26" i="13"/>
  <c r="X26" i="13"/>
  <c r="X27" i="15"/>
  <c r="Q27" i="15"/>
  <c r="W27" i="13"/>
  <c r="S25" i="15"/>
  <c r="R25" i="13"/>
  <c r="L31" i="15"/>
  <c r="M31" i="15"/>
  <c r="U26" i="15"/>
  <c r="T25" i="15"/>
  <c r="V26" i="15" l="1"/>
  <c r="AV68" i="15" s="1"/>
  <c r="AV320" i="15" s="1"/>
  <c r="D32" i="15"/>
  <c r="AD74" i="15" s="1"/>
  <c r="AD326" i="15" s="1"/>
  <c r="D32" i="13"/>
  <c r="E32" i="15"/>
  <c r="AE74" i="15" s="1"/>
  <c r="AE326" i="15" s="1"/>
  <c r="C35" i="13"/>
  <c r="C35" i="15"/>
  <c r="AC77" i="15" s="1"/>
  <c r="AC329" i="15" s="1"/>
  <c r="E33" i="15"/>
  <c r="AE75" i="15" s="1"/>
  <c r="AE327" i="15" s="1"/>
  <c r="Y27" i="15"/>
  <c r="AY69" i="15" s="1"/>
  <c r="AY321" i="15" s="1"/>
  <c r="D33" i="13"/>
  <c r="B35" i="13"/>
  <c r="B35" i="15"/>
  <c r="AB77" i="15" s="1"/>
  <c r="AB329" i="15" s="1"/>
  <c r="D33" i="15"/>
  <c r="AD75" i="15" s="1"/>
  <c r="AD327" i="15" s="1"/>
  <c r="AL73" i="15"/>
  <c r="AL325" i="15" s="1"/>
  <c r="AM73" i="15"/>
  <c r="S73" i="15" s="1"/>
  <c r="T73" i="15" s="1"/>
  <c r="U73" i="15" s="1"/>
  <c r="AM324" i="15"/>
  <c r="AU68" i="15"/>
  <c r="AU320" i="15" s="1"/>
  <c r="AQ69" i="15"/>
  <c r="AQ321" i="15" s="1"/>
  <c r="AX69" i="15"/>
  <c r="AX321" i="15" s="1"/>
  <c r="AW69" i="15"/>
  <c r="AW321" i="15" s="1"/>
  <c r="AR67" i="15"/>
  <c r="AR319" i="15" s="1"/>
  <c r="AS67" i="15"/>
  <c r="AS319" i="15" s="1"/>
  <c r="AT67" i="15"/>
  <c r="AT319" i="15" s="1"/>
  <c r="G32" i="13"/>
  <c r="G32" i="15"/>
  <c r="W28" i="15"/>
  <c r="R26" i="15"/>
  <c r="R27" i="15"/>
  <c r="T25" i="13"/>
  <c r="X27" i="13"/>
  <c r="M31" i="13"/>
  <c r="Y27" i="13"/>
  <c r="U26" i="13"/>
  <c r="L31" i="13"/>
  <c r="S25" i="13"/>
  <c r="Q27" i="13"/>
  <c r="X28" i="15"/>
  <c r="Q28" i="15"/>
  <c r="W28" i="13"/>
  <c r="S26" i="15"/>
  <c r="R26" i="13"/>
  <c r="S27" i="15"/>
  <c r="R27" i="13"/>
  <c r="V27" i="15"/>
  <c r="U27" i="15"/>
  <c r="M32" i="15"/>
  <c r="L32" i="15"/>
  <c r="T26" i="15"/>
  <c r="D38" i="26" l="1"/>
  <c r="L38" i="26" s="1"/>
  <c r="I41" i="17"/>
  <c r="I42" i="17"/>
  <c r="V26" i="13"/>
  <c r="F32" i="13"/>
  <c r="F32" i="15"/>
  <c r="AF74" i="15" s="1"/>
  <c r="AF326" i="15" s="1"/>
  <c r="D34" i="13"/>
  <c r="E34" i="13"/>
  <c r="F33" i="13"/>
  <c r="G33" i="13"/>
  <c r="G33" i="15"/>
  <c r="AG75" i="15" s="1"/>
  <c r="AG327" i="15" s="1"/>
  <c r="F33" i="15"/>
  <c r="AF75" i="15" s="1"/>
  <c r="AF327" i="15" s="1"/>
  <c r="B36" i="13"/>
  <c r="B36" i="15"/>
  <c r="AB78" i="15" s="1"/>
  <c r="AB330" i="15" s="1"/>
  <c r="C37" i="13"/>
  <c r="Y28" i="15"/>
  <c r="AY70" i="15" s="1"/>
  <c r="AY322" i="15" s="1"/>
  <c r="C36" i="13"/>
  <c r="C36" i="15"/>
  <c r="AC78" i="15" s="1"/>
  <c r="AC330" i="15" s="1"/>
  <c r="B37" i="15"/>
  <c r="AB79" i="15" s="1"/>
  <c r="AL74" i="15"/>
  <c r="AL326" i="15" s="1"/>
  <c r="AM74" i="15"/>
  <c r="S74" i="15" s="1"/>
  <c r="T74" i="15" s="1"/>
  <c r="U74" i="15" s="1"/>
  <c r="AG74" i="15"/>
  <c r="AG326" i="15" s="1"/>
  <c r="AR69" i="15"/>
  <c r="AR321" i="15" s="1"/>
  <c r="AR68" i="15"/>
  <c r="AR320" i="15" s="1"/>
  <c r="AM325" i="15"/>
  <c r="AS69" i="15"/>
  <c r="AS321" i="15" s="1"/>
  <c r="AU69" i="15"/>
  <c r="AU321" i="15" s="1"/>
  <c r="AQ70" i="15"/>
  <c r="AQ322" i="15" s="1"/>
  <c r="AT68" i="15"/>
  <c r="AT320" i="15" s="1"/>
  <c r="AV69" i="15"/>
  <c r="AV321" i="15" s="1"/>
  <c r="AS68" i="15"/>
  <c r="AS320" i="15" s="1"/>
  <c r="AX70" i="15"/>
  <c r="AX322" i="15" s="1"/>
  <c r="AW70" i="15"/>
  <c r="AW322" i="15" s="1"/>
  <c r="W29" i="15"/>
  <c r="S26" i="13"/>
  <c r="X28" i="13"/>
  <c r="T26" i="13"/>
  <c r="M32" i="13"/>
  <c r="S27" i="13"/>
  <c r="Y28" i="13"/>
  <c r="L32" i="13"/>
  <c r="U27" i="13"/>
  <c r="V27" i="13"/>
  <c r="Q28" i="13"/>
  <c r="U28" i="15"/>
  <c r="X29" i="15"/>
  <c r="W29" i="13"/>
  <c r="Q29" i="15"/>
  <c r="T27" i="15"/>
  <c r="L33" i="15"/>
  <c r="M33" i="15"/>
  <c r="V28" i="15"/>
  <c r="D39" i="26" l="1"/>
  <c r="L39" i="26" s="1"/>
  <c r="I43" i="17"/>
  <c r="U29" i="15"/>
  <c r="F34" i="13"/>
  <c r="F34" i="15"/>
  <c r="AF76" i="15" s="1"/>
  <c r="AF328" i="15" s="1"/>
  <c r="D34" i="15"/>
  <c r="AD76" i="15" s="1"/>
  <c r="AD328" i="15" s="1"/>
  <c r="E34" i="15"/>
  <c r="AE76" i="15" s="1"/>
  <c r="AE328" i="15" s="1"/>
  <c r="G34" i="13"/>
  <c r="D35" i="13"/>
  <c r="C38" i="13"/>
  <c r="Y29" i="15"/>
  <c r="AY71" i="15" s="1"/>
  <c r="AY323" i="15" s="1"/>
  <c r="C37" i="15"/>
  <c r="AC79" i="15" s="1"/>
  <c r="AC331" i="15" s="1"/>
  <c r="B37" i="13"/>
  <c r="AM75" i="15"/>
  <c r="S75" i="15" s="1"/>
  <c r="T75" i="15" s="1"/>
  <c r="U75" i="15" s="1"/>
  <c r="AL75" i="15"/>
  <c r="AL327" i="15" s="1"/>
  <c r="AM326" i="15"/>
  <c r="AX71" i="15"/>
  <c r="AX323" i="15" s="1"/>
  <c r="AT69" i="15"/>
  <c r="AT321" i="15" s="1"/>
  <c r="AQ71" i="15"/>
  <c r="AQ323" i="15" s="1"/>
  <c r="AU70" i="15"/>
  <c r="AU322" i="15" s="1"/>
  <c r="AW71" i="15"/>
  <c r="AW323" i="15" s="1"/>
  <c r="AV70" i="15"/>
  <c r="AV322" i="15" s="1"/>
  <c r="AB331" i="15"/>
  <c r="W30" i="15"/>
  <c r="R28" i="15"/>
  <c r="X29" i="13"/>
  <c r="L33" i="13"/>
  <c r="T27" i="13"/>
  <c r="Q29" i="13"/>
  <c r="V28" i="13"/>
  <c r="Y29" i="13"/>
  <c r="U28" i="13"/>
  <c r="M33" i="13"/>
  <c r="W30" i="13"/>
  <c r="Q30" i="15"/>
  <c r="X30" i="15"/>
  <c r="S28" i="15"/>
  <c r="R28" i="13"/>
  <c r="L34" i="15"/>
  <c r="M34" i="15"/>
  <c r="T28" i="15"/>
  <c r="D40" i="26" l="1"/>
  <c r="L40" i="26" s="1"/>
  <c r="V29" i="15"/>
  <c r="AV71" i="15" s="1"/>
  <c r="AV323" i="15" s="1"/>
  <c r="T29" i="15"/>
  <c r="G34" i="15"/>
  <c r="AG76" i="15" s="1"/>
  <c r="AG328" i="15" s="1"/>
  <c r="D35" i="15"/>
  <c r="AD77" i="15" s="1"/>
  <c r="AD329" i="15" s="1"/>
  <c r="E35" i="15"/>
  <c r="AE77" i="15" s="1"/>
  <c r="AE329" i="15" s="1"/>
  <c r="G35" i="13"/>
  <c r="E35" i="13"/>
  <c r="E36" i="13"/>
  <c r="G36" i="15"/>
  <c r="AG78" i="15" s="1"/>
  <c r="AG330" i="15" s="1"/>
  <c r="D36" i="13"/>
  <c r="G37" i="15"/>
  <c r="B38" i="15"/>
  <c r="AB80" i="15" s="1"/>
  <c r="AB332" i="15" s="1"/>
  <c r="B38" i="13"/>
  <c r="C39" i="15"/>
  <c r="Y30" i="15"/>
  <c r="AY72" i="15" s="1"/>
  <c r="AY324" i="15" s="1"/>
  <c r="C38" i="15"/>
  <c r="AC80" i="15" s="1"/>
  <c r="AC332" i="15" s="1"/>
  <c r="AR70" i="15"/>
  <c r="AR322" i="15" s="1"/>
  <c r="AM327" i="15"/>
  <c r="AM76" i="15"/>
  <c r="S76" i="15" s="1"/>
  <c r="T76" i="15" s="1"/>
  <c r="U76" i="15" s="1"/>
  <c r="AL76" i="15"/>
  <c r="AL328" i="15" s="1"/>
  <c r="AX72" i="15"/>
  <c r="AX324" i="15" s="1"/>
  <c r="AT70" i="15"/>
  <c r="AT322" i="15" s="1"/>
  <c r="AQ72" i="15"/>
  <c r="AQ324" i="15" s="1"/>
  <c r="AW72" i="15"/>
  <c r="AW324" i="15" s="1"/>
  <c r="AU71" i="15"/>
  <c r="AU323" i="15" s="1"/>
  <c r="AS70" i="15"/>
  <c r="AS322" i="15" s="1"/>
  <c r="F35" i="15"/>
  <c r="F35" i="13"/>
  <c r="R29" i="15"/>
  <c r="W31" i="15"/>
  <c r="X30" i="13"/>
  <c r="T28" i="13"/>
  <c r="M34" i="13"/>
  <c r="Q30" i="13"/>
  <c r="S28" i="13"/>
  <c r="L34" i="13"/>
  <c r="U29" i="13"/>
  <c r="Y30" i="13"/>
  <c r="Q31" i="15"/>
  <c r="X31" i="15"/>
  <c r="W31" i="13"/>
  <c r="S29" i="15"/>
  <c r="R29" i="13"/>
  <c r="L35" i="15"/>
  <c r="M35" i="15"/>
  <c r="D41" i="26" l="1"/>
  <c r="L41" i="26" s="1"/>
  <c r="I44" i="17"/>
  <c r="V29" i="13"/>
  <c r="G35" i="15"/>
  <c r="AG77" i="15" s="1"/>
  <c r="AG329" i="15" s="1"/>
  <c r="E36" i="15"/>
  <c r="AE78" i="15" s="1"/>
  <c r="AE330" i="15" s="1"/>
  <c r="D36" i="15"/>
  <c r="AD78" i="15" s="1"/>
  <c r="AD330" i="15" s="1"/>
  <c r="G36" i="13"/>
  <c r="F37" i="15"/>
  <c r="B39" i="13"/>
  <c r="B39" i="15"/>
  <c r="AB81" i="15" s="1"/>
  <c r="AB333" i="15" s="1"/>
  <c r="D37" i="13"/>
  <c r="D37" i="15"/>
  <c r="AD79" i="15" s="1"/>
  <c r="AD331" i="15" s="1"/>
  <c r="B40" i="15"/>
  <c r="AB82" i="15" s="1"/>
  <c r="Y31" i="15"/>
  <c r="AY73" i="15" s="1"/>
  <c r="AY325" i="15" s="1"/>
  <c r="C39" i="13"/>
  <c r="AL77" i="15"/>
  <c r="AL329" i="15" s="1"/>
  <c r="AC81" i="15"/>
  <c r="AC333" i="15" s="1"/>
  <c r="AM77" i="15"/>
  <c r="S77" i="15" s="1"/>
  <c r="T77" i="15" s="1"/>
  <c r="U77" i="15" s="1"/>
  <c r="AR71" i="15"/>
  <c r="AR323" i="15" s="1"/>
  <c r="AM328" i="15"/>
  <c r="E37" i="15"/>
  <c r="AG79" i="15"/>
  <c r="AG331" i="15" s="1"/>
  <c r="AF77" i="15"/>
  <c r="AF329" i="15" s="1"/>
  <c r="AS71" i="15"/>
  <c r="AS323" i="15" s="1"/>
  <c r="AX73" i="15"/>
  <c r="AX325" i="15" s="1"/>
  <c r="AT71" i="15"/>
  <c r="AT323" i="15" s="1"/>
  <c r="AQ73" i="15"/>
  <c r="AQ325" i="15" s="1"/>
  <c r="AW73" i="15"/>
  <c r="AW325" i="15" s="1"/>
  <c r="E37" i="13"/>
  <c r="R31" i="15"/>
  <c r="W32" i="15"/>
  <c r="M35" i="13"/>
  <c r="Y31" i="13"/>
  <c r="G37" i="13"/>
  <c r="L35" i="13"/>
  <c r="S29" i="13"/>
  <c r="X31" i="13"/>
  <c r="T29" i="13"/>
  <c r="Q31" i="13"/>
  <c r="V31" i="15"/>
  <c r="U31" i="15"/>
  <c r="Q32" i="15"/>
  <c r="W32" i="13"/>
  <c r="X32" i="15"/>
  <c r="S31" i="15"/>
  <c r="R31" i="13"/>
  <c r="U30" i="15"/>
  <c r="V30" i="15"/>
  <c r="M36" i="15"/>
  <c r="L36" i="15"/>
  <c r="T31" i="15"/>
  <c r="D42" i="26" l="1"/>
  <c r="L42" i="26" s="1"/>
  <c r="D43" i="26"/>
  <c r="L43" i="26" s="1"/>
  <c r="I45" i="17"/>
  <c r="E38" i="15"/>
  <c r="AE80" i="15" s="1"/>
  <c r="AE332" i="15" s="1"/>
  <c r="F37" i="13"/>
  <c r="E39" i="13"/>
  <c r="D39" i="15"/>
  <c r="B40" i="13"/>
  <c r="C41" i="15"/>
  <c r="Y32" i="15"/>
  <c r="AY74" i="15" s="1"/>
  <c r="AY326" i="15" s="1"/>
  <c r="AR73" i="15"/>
  <c r="AR325" i="15" s="1"/>
  <c r="AE79" i="15"/>
  <c r="AE331" i="15" s="1"/>
  <c r="AL78" i="15"/>
  <c r="AL330" i="15" s="1"/>
  <c r="AF79" i="15"/>
  <c r="AF331" i="15" s="1"/>
  <c r="AM329" i="15"/>
  <c r="AM78" i="15"/>
  <c r="S78" i="15" s="1"/>
  <c r="T78" i="15" s="1"/>
  <c r="U78" i="15" s="1"/>
  <c r="AV72" i="15"/>
  <c r="AV324" i="15" s="1"/>
  <c r="AV73" i="15"/>
  <c r="AV325" i="15" s="1"/>
  <c r="AW74" i="15"/>
  <c r="AW326" i="15" s="1"/>
  <c r="AU72" i="15"/>
  <c r="AU324" i="15" s="1"/>
  <c r="AS73" i="15"/>
  <c r="AS325" i="15" s="1"/>
  <c r="AQ74" i="15"/>
  <c r="AQ326" i="15" s="1"/>
  <c r="AX74" i="15"/>
  <c r="AX326" i="15" s="1"/>
  <c r="AU73" i="15"/>
  <c r="AU325" i="15" s="1"/>
  <c r="AT73" i="15"/>
  <c r="AT325" i="15" s="1"/>
  <c r="AB334" i="15"/>
  <c r="R32" i="15"/>
  <c r="W33" i="15"/>
  <c r="R30" i="15"/>
  <c r="L36" i="13"/>
  <c r="X32" i="13"/>
  <c r="V30" i="13"/>
  <c r="T31" i="13"/>
  <c r="U30" i="13"/>
  <c r="Y32" i="13"/>
  <c r="U31" i="13"/>
  <c r="V31" i="13"/>
  <c r="M36" i="13"/>
  <c r="S31" i="13"/>
  <c r="Q32" i="13"/>
  <c r="V32" i="15"/>
  <c r="U32" i="15"/>
  <c r="W33" i="13"/>
  <c r="X33" i="15"/>
  <c r="Q33" i="15"/>
  <c r="S32" i="15"/>
  <c r="R32" i="13"/>
  <c r="S30" i="15"/>
  <c r="R30" i="13"/>
  <c r="T30" i="15"/>
  <c r="L37" i="15"/>
  <c r="M37" i="15"/>
  <c r="T32" i="15"/>
  <c r="D44" i="26" l="1"/>
  <c r="L44" i="26" s="1"/>
  <c r="E38" i="13"/>
  <c r="D38" i="13"/>
  <c r="D38" i="15"/>
  <c r="AD80" i="15" s="1"/>
  <c r="AD332" i="15" s="1"/>
  <c r="F38" i="15"/>
  <c r="AF80" i="15" s="1"/>
  <c r="AF332" i="15" s="1"/>
  <c r="G38" i="13"/>
  <c r="E40" i="13"/>
  <c r="F36" i="13"/>
  <c r="F36" i="15"/>
  <c r="AF78" i="15" s="1"/>
  <c r="AF330" i="15" s="1"/>
  <c r="C40" i="13"/>
  <c r="C40" i="15"/>
  <c r="AC82" i="15" s="1"/>
  <c r="AC334" i="15" s="1"/>
  <c r="E39" i="15"/>
  <c r="AE81" i="15" s="1"/>
  <c r="AE333" i="15" s="1"/>
  <c r="Y33" i="15"/>
  <c r="AY75" i="15" s="1"/>
  <c r="AY327" i="15" s="1"/>
  <c r="C41" i="13"/>
  <c r="D39" i="13"/>
  <c r="B41" i="13"/>
  <c r="B41" i="15"/>
  <c r="AB83" i="15" s="1"/>
  <c r="AB335" i="15" s="1"/>
  <c r="AL79" i="15"/>
  <c r="AL331" i="15" s="1"/>
  <c r="AM79" i="15"/>
  <c r="S79" i="15" s="1"/>
  <c r="T79" i="15" s="1"/>
  <c r="U79" i="15" s="1"/>
  <c r="AR72" i="15"/>
  <c r="AR324" i="15" s="1"/>
  <c r="AR74" i="15"/>
  <c r="AR326" i="15" s="1"/>
  <c r="AD81" i="15"/>
  <c r="AD333" i="15" s="1"/>
  <c r="AM330" i="15"/>
  <c r="AC83" i="15"/>
  <c r="AC335" i="15" s="1"/>
  <c r="AS72" i="15"/>
  <c r="AS324" i="15" s="1"/>
  <c r="AW75" i="15"/>
  <c r="AW327" i="15" s="1"/>
  <c r="AX75" i="15"/>
  <c r="AX327" i="15" s="1"/>
  <c r="AU74" i="15"/>
  <c r="AU326" i="15" s="1"/>
  <c r="AT72" i="15"/>
  <c r="AT324" i="15" s="1"/>
  <c r="AS74" i="15"/>
  <c r="AS326" i="15" s="1"/>
  <c r="AQ75" i="15"/>
  <c r="AQ327" i="15" s="1"/>
  <c r="AT74" i="15"/>
  <c r="AT326" i="15" s="1"/>
  <c r="AV74" i="15"/>
  <c r="AV326" i="15" s="1"/>
  <c r="W34" i="15"/>
  <c r="X33" i="13"/>
  <c r="U32" i="13"/>
  <c r="L37" i="13"/>
  <c r="S32" i="13"/>
  <c r="M37" i="13"/>
  <c r="Y33" i="13"/>
  <c r="V32" i="13"/>
  <c r="T32" i="13"/>
  <c r="T30" i="13"/>
  <c r="S30" i="13"/>
  <c r="Q33" i="13"/>
  <c r="X34" i="15"/>
  <c r="Q34" i="15"/>
  <c r="W34" i="13"/>
  <c r="M38" i="15"/>
  <c r="L38" i="15"/>
  <c r="U33" i="15"/>
  <c r="V33" i="15"/>
  <c r="G38" i="15" l="1"/>
  <c r="AG80" i="15" s="1"/>
  <c r="AG332" i="15" s="1"/>
  <c r="F38" i="13"/>
  <c r="D40" i="15"/>
  <c r="AD82" i="15" s="1"/>
  <c r="AD334" i="15" s="1"/>
  <c r="D41" i="13"/>
  <c r="E41" i="13"/>
  <c r="F39" i="13"/>
  <c r="F39" i="15"/>
  <c r="AF81" i="15" s="1"/>
  <c r="AF333" i="15" s="1"/>
  <c r="E40" i="15"/>
  <c r="AE82" i="15" s="1"/>
  <c r="AE334" i="15" s="1"/>
  <c r="Y34" i="15"/>
  <c r="AY76" i="15" s="1"/>
  <c r="AY328" i="15" s="1"/>
  <c r="AM80" i="15"/>
  <c r="S80" i="15" s="1"/>
  <c r="T80" i="15" s="1"/>
  <c r="U80" i="15" s="1"/>
  <c r="AL80" i="15"/>
  <c r="AL332" i="15" s="1"/>
  <c r="AM331" i="15"/>
  <c r="AQ76" i="15"/>
  <c r="AQ328" i="15" s="1"/>
  <c r="AX76" i="15"/>
  <c r="AX328" i="15" s="1"/>
  <c r="AW76" i="15"/>
  <c r="AW328" i="15" s="1"/>
  <c r="AV75" i="15"/>
  <c r="AV327" i="15" s="1"/>
  <c r="AU75" i="15"/>
  <c r="AU327" i="15" s="1"/>
  <c r="G39" i="15"/>
  <c r="G39" i="13"/>
  <c r="R33" i="15"/>
  <c r="W35" i="15"/>
  <c r="X34" i="13"/>
  <c r="M38" i="13"/>
  <c r="Y34" i="13"/>
  <c r="V33" i="13"/>
  <c r="U33" i="13"/>
  <c r="L38" i="13"/>
  <c r="Q34" i="13"/>
  <c r="X35" i="15"/>
  <c r="W35" i="13"/>
  <c r="Q35" i="15"/>
  <c r="S33" i="15"/>
  <c r="R33" i="13"/>
  <c r="V34" i="15"/>
  <c r="U34" i="15"/>
  <c r="M39" i="15"/>
  <c r="L39" i="15"/>
  <c r="T33" i="15"/>
  <c r="G40" i="13" l="1"/>
  <c r="F40" i="13"/>
  <c r="D40" i="13"/>
  <c r="E41" i="15"/>
  <c r="AE83" i="15" s="1"/>
  <c r="AE335" i="15" s="1"/>
  <c r="D41" i="15"/>
  <c r="AD83" i="15" s="1"/>
  <c r="AD335" i="15" s="1"/>
  <c r="Y35" i="15"/>
  <c r="AY77" i="15" s="1"/>
  <c r="AY329" i="15" s="1"/>
  <c r="AL81" i="15"/>
  <c r="AL333" i="15" s="1"/>
  <c r="AR75" i="15"/>
  <c r="AR327" i="15" s="1"/>
  <c r="AG81" i="15"/>
  <c r="AG333" i="15" s="1"/>
  <c r="AM332" i="15"/>
  <c r="AM81" i="15"/>
  <c r="S81" i="15" s="1"/>
  <c r="T81" i="15" s="1"/>
  <c r="U81" i="15" s="1"/>
  <c r="AT75" i="15"/>
  <c r="AT327" i="15" s="1"/>
  <c r="AX77" i="15"/>
  <c r="AX329" i="15" s="1"/>
  <c r="AS75" i="15"/>
  <c r="AS327" i="15" s="1"/>
  <c r="AV76" i="15"/>
  <c r="AV328" i="15" s="1"/>
  <c r="AQ77" i="15"/>
  <c r="AQ329" i="15" s="1"/>
  <c r="AU76" i="15"/>
  <c r="AU328" i="15" s="1"/>
  <c r="AW77" i="15"/>
  <c r="AW329" i="15" s="1"/>
  <c r="R34" i="15"/>
  <c r="T33" i="13"/>
  <c r="U34" i="13"/>
  <c r="V34" i="13"/>
  <c r="X35" i="13"/>
  <c r="L39" i="13"/>
  <c r="S33" i="13"/>
  <c r="Y35" i="13"/>
  <c r="M39" i="13"/>
  <c r="Q35" i="13"/>
  <c r="S34" i="15"/>
  <c r="R34" i="13"/>
  <c r="T34" i="15"/>
  <c r="L40" i="15"/>
  <c r="M40" i="15"/>
  <c r="U35" i="15"/>
  <c r="V35" i="15"/>
  <c r="D45" i="26" l="1"/>
  <c r="L45" i="26" s="1"/>
  <c r="G40" i="15"/>
  <c r="AG82" i="15" s="1"/>
  <c r="AG334" i="15" s="1"/>
  <c r="F40" i="15"/>
  <c r="AF82" i="15" s="1"/>
  <c r="AF334" i="15" s="1"/>
  <c r="W36" i="15"/>
  <c r="AW78" i="15" s="1"/>
  <c r="AW330" i="15" s="1"/>
  <c r="W36" i="13"/>
  <c r="G41" i="13"/>
  <c r="G41" i="15"/>
  <c r="AG83" i="15" s="1"/>
  <c r="AG335" i="15" s="1"/>
  <c r="AM82" i="15"/>
  <c r="S82" i="15" s="1"/>
  <c r="T82" i="15" s="1"/>
  <c r="U82" i="15" s="1"/>
  <c r="AL82" i="15"/>
  <c r="AL334" i="15" s="1"/>
  <c r="AM333" i="15"/>
  <c r="AR76" i="15"/>
  <c r="AR328" i="15" s="1"/>
  <c r="AV77" i="15"/>
  <c r="AV329" i="15" s="1"/>
  <c r="AU77" i="15"/>
  <c r="AU329" i="15" s="1"/>
  <c r="AT76" i="15"/>
  <c r="AT328" i="15" s="1"/>
  <c r="AS76" i="15"/>
  <c r="AS328" i="15" s="1"/>
  <c r="F41" i="15"/>
  <c r="F41" i="13"/>
  <c r="R35" i="15"/>
  <c r="W37" i="15"/>
  <c r="L40" i="13"/>
  <c r="T34" i="13"/>
  <c r="V35" i="13"/>
  <c r="M40" i="13"/>
  <c r="U35" i="13"/>
  <c r="S34" i="13"/>
  <c r="X37" i="15"/>
  <c r="W37" i="13"/>
  <c r="Q37" i="15"/>
  <c r="S35" i="15"/>
  <c r="R35" i="13"/>
  <c r="L41" i="15"/>
  <c r="M41" i="15"/>
  <c r="T35" i="15"/>
  <c r="V36" i="15" l="1"/>
  <c r="AV78" i="15" s="1"/>
  <c r="AV330" i="15" s="1"/>
  <c r="U36" i="15"/>
  <c r="AU78" i="15" s="1"/>
  <c r="AU330" i="15" s="1"/>
  <c r="Y36" i="15"/>
  <c r="AY78" i="15" s="1"/>
  <c r="AY330" i="15" s="1"/>
  <c r="Y36" i="13"/>
  <c r="X36" i="15"/>
  <c r="AX78" i="15" s="1"/>
  <c r="AX330" i="15" s="1"/>
  <c r="X36" i="13"/>
  <c r="Q36" i="15"/>
  <c r="AQ78" i="15" s="1"/>
  <c r="AQ330" i="15" s="1"/>
  <c r="Q36" i="13"/>
  <c r="Y37" i="15"/>
  <c r="AY79" i="15" s="1"/>
  <c r="AY331" i="15" s="1"/>
  <c r="AR77" i="15"/>
  <c r="AR329" i="15" s="1"/>
  <c r="AL83" i="15"/>
  <c r="AL335" i="15" s="1"/>
  <c r="AM83" i="15"/>
  <c r="S83" i="15" s="1"/>
  <c r="T83" i="15" s="1"/>
  <c r="U83" i="15" s="1"/>
  <c r="AF83" i="15"/>
  <c r="AF335" i="15" s="1"/>
  <c r="AM334" i="15"/>
  <c r="AT77" i="15"/>
  <c r="AT329" i="15" s="1"/>
  <c r="AS77" i="15"/>
  <c r="AS329" i="15" s="1"/>
  <c r="AX79" i="15"/>
  <c r="AX331" i="15" s="1"/>
  <c r="AQ79" i="15"/>
  <c r="AQ331" i="15" s="1"/>
  <c r="AW79" i="15"/>
  <c r="AW331" i="15" s="1"/>
  <c r="W38" i="15"/>
  <c r="M41" i="13"/>
  <c r="Q37" i="13"/>
  <c r="L41" i="13"/>
  <c r="S35" i="13"/>
  <c r="Y37" i="13"/>
  <c r="T35" i="13"/>
  <c r="X37" i="13"/>
  <c r="U37" i="15"/>
  <c r="X38" i="15"/>
  <c r="W38" i="13"/>
  <c r="Q38" i="15"/>
  <c r="V37" i="15"/>
  <c r="T36" i="15" l="1"/>
  <c r="AT78" i="15" s="1"/>
  <c r="AT330" i="15" s="1"/>
  <c r="R36" i="15"/>
  <c r="AR78" i="15" s="1"/>
  <c r="AR330" i="15" s="1"/>
  <c r="R36" i="13"/>
  <c r="S36" i="15"/>
  <c r="AS78" i="15" s="1"/>
  <c r="AS330" i="15" s="1"/>
  <c r="V36" i="13"/>
  <c r="U36" i="13"/>
  <c r="Y38" i="15"/>
  <c r="AY80" i="15" s="1"/>
  <c r="AY332" i="15" s="1"/>
  <c r="AM335" i="15"/>
  <c r="AU79" i="15"/>
  <c r="AU331" i="15" s="1"/>
  <c r="AV79" i="15"/>
  <c r="AV331" i="15" s="1"/>
  <c r="AW80" i="15"/>
  <c r="AW332" i="15" s="1"/>
  <c r="AQ80" i="15"/>
  <c r="AQ332" i="15" s="1"/>
  <c r="AX80" i="15"/>
  <c r="AX332" i="15" s="1"/>
  <c r="W39" i="15"/>
  <c r="R37" i="15"/>
  <c r="Y38" i="13"/>
  <c r="Q38" i="13"/>
  <c r="U37" i="13"/>
  <c r="V37" i="13"/>
  <c r="X38" i="13"/>
  <c r="X39" i="15"/>
  <c r="W39" i="13"/>
  <c r="Q39" i="15"/>
  <c r="S37" i="15"/>
  <c r="R37" i="13"/>
  <c r="U38" i="15"/>
  <c r="T37" i="15"/>
  <c r="V38" i="15"/>
  <c r="T36" i="13" l="1"/>
  <c r="S36" i="13"/>
  <c r="Y39" i="15"/>
  <c r="AY81" i="15" s="1"/>
  <c r="AY333" i="15" s="1"/>
  <c r="AR79" i="15"/>
  <c r="AR331" i="15" s="1"/>
  <c r="AT79" i="15"/>
  <c r="AT331" i="15" s="1"/>
  <c r="AU80" i="15"/>
  <c r="AU332" i="15" s="1"/>
  <c r="AQ81" i="15"/>
  <c r="AQ333" i="15" s="1"/>
  <c r="AW81" i="15"/>
  <c r="AW333" i="15" s="1"/>
  <c r="AV80" i="15"/>
  <c r="AV332" i="15" s="1"/>
  <c r="AS79" i="15"/>
  <c r="AS331" i="15" s="1"/>
  <c r="AX81" i="15"/>
  <c r="AX333" i="15" s="1"/>
  <c r="R39" i="15"/>
  <c r="R38" i="15"/>
  <c r="W40" i="15"/>
  <c r="W41" i="15"/>
  <c r="V38" i="13"/>
  <c r="S37" i="13"/>
  <c r="Y39" i="13"/>
  <c r="T37" i="13"/>
  <c r="U38" i="13"/>
  <c r="Q39" i="13"/>
  <c r="X39" i="13"/>
  <c r="W40" i="13"/>
  <c r="Q40" i="15"/>
  <c r="X40" i="15"/>
  <c r="X41" i="15"/>
  <c r="W41" i="13"/>
  <c r="Q41" i="15"/>
  <c r="S39" i="15"/>
  <c r="R39" i="13"/>
  <c r="S38" i="15"/>
  <c r="R38" i="13"/>
  <c r="T38" i="15"/>
  <c r="U39" i="15"/>
  <c r="V39" i="15"/>
  <c r="V40" i="15" l="1"/>
  <c r="Y40" i="15"/>
  <c r="AY82" i="15" s="1"/>
  <c r="AY334" i="15" s="1"/>
  <c r="Y41" i="15"/>
  <c r="AY83" i="15" s="1"/>
  <c r="AY335" i="15" s="1"/>
  <c r="AR80" i="15"/>
  <c r="AR332" i="15" s="1"/>
  <c r="AR81" i="15"/>
  <c r="AR333" i="15" s="1"/>
  <c r="AU81" i="15"/>
  <c r="AU333" i="15" s="1"/>
  <c r="AS81" i="15"/>
  <c r="AS333" i="15" s="1"/>
  <c r="AW83" i="15"/>
  <c r="AW335" i="15" s="1"/>
  <c r="AX83" i="15"/>
  <c r="AX335" i="15" s="1"/>
  <c r="AV81" i="15"/>
  <c r="AV333" i="15" s="1"/>
  <c r="AS80" i="15"/>
  <c r="AS332" i="15" s="1"/>
  <c r="AX82" i="15"/>
  <c r="AX334" i="15" s="1"/>
  <c r="AW82" i="15"/>
  <c r="AW334" i="15" s="1"/>
  <c r="AT80" i="15"/>
  <c r="AT332" i="15" s="1"/>
  <c r="AQ83" i="15"/>
  <c r="AQ335" i="15" s="1"/>
  <c r="AQ82" i="15"/>
  <c r="AQ334" i="15" s="1"/>
  <c r="S39" i="13"/>
  <c r="Y41" i="13"/>
  <c r="X41" i="13"/>
  <c r="U39" i="13"/>
  <c r="V39" i="13"/>
  <c r="S38" i="13"/>
  <c r="X40" i="13"/>
  <c r="Y40" i="13"/>
  <c r="T38" i="13"/>
  <c r="Q41" i="13"/>
  <c r="Q40" i="13"/>
  <c r="T39" i="15"/>
  <c r="U41" i="15"/>
  <c r="V41" i="15"/>
  <c r="R40" i="13" l="1"/>
  <c r="U40" i="15"/>
  <c r="AU82" i="15" s="1"/>
  <c r="AU334" i="15" s="1"/>
  <c r="AV83" i="15"/>
  <c r="AV335" i="15" s="1"/>
  <c r="AU83" i="15"/>
  <c r="AU335" i="15" s="1"/>
  <c r="AV82" i="15"/>
  <c r="AV334" i="15" s="1"/>
  <c r="AT81" i="15"/>
  <c r="AT333" i="15" s="1"/>
  <c r="R41" i="15"/>
  <c r="V40" i="13"/>
  <c r="T39" i="13"/>
  <c r="U41" i="13"/>
  <c r="V41" i="13"/>
  <c r="S41" i="15"/>
  <c r="R41" i="13"/>
  <c r="T41" i="15"/>
  <c r="T40" i="15" l="1"/>
  <c r="AT82" i="15" s="1"/>
  <c r="AT334" i="15" s="1"/>
  <c r="U40" i="13"/>
  <c r="S40" i="15"/>
  <c r="AS82" i="15" s="1"/>
  <c r="AS334" i="15" s="1"/>
  <c r="R40" i="15"/>
  <c r="AR82" i="15" s="1"/>
  <c r="AR334" i="15" s="1"/>
  <c r="AR83" i="15"/>
  <c r="AR335" i="15" s="1"/>
  <c r="AT83" i="15"/>
  <c r="AT335" i="15" s="1"/>
  <c r="AS83" i="15"/>
  <c r="AS335" i="15" s="1"/>
  <c r="S41" i="13"/>
  <c r="T41" i="13"/>
  <c r="T40" i="13" l="1"/>
  <c r="S40" i="13"/>
  <c r="D17" i="25" l="1"/>
  <c r="Z17" i="24" s="1"/>
  <c r="D15" i="25"/>
  <c r="D14" i="25"/>
  <c r="Q14" i="24" s="1"/>
  <c r="D18" i="25"/>
  <c r="D13" i="25"/>
  <c r="T13" i="24" l="1"/>
  <c r="Z13" i="24"/>
  <c r="AA13" i="24" s="1"/>
  <c r="AM13" i="24" s="1"/>
  <c r="N13" i="25" s="1"/>
  <c r="D14" i="24"/>
  <c r="N14" i="24" s="1"/>
  <c r="T14" i="24"/>
  <c r="V14" i="24" s="1"/>
  <c r="AE14" i="24" s="1"/>
  <c r="T17" i="24"/>
  <c r="U17" i="24" s="1"/>
  <c r="AK17" i="24" s="1"/>
  <c r="L17" i="25" s="1"/>
  <c r="AB13" i="24"/>
  <c r="AG13" i="24" s="1"/>
  <c r="S14" i="24"/>
  <c r="AD14" i="24" s="1"/>
  <c r="R14" i="24"/>
  <c r="AJ14" i="24" s="1"/>
  <c r="K14" i="25" s="1"/>
  <c r="F14" i="24"/>
  <c r="V13" i="24"/>
  <c r="AE13" i="24" s="1"/>
  <c r="U13" i="24"/>
  <c r="AK13" i="24" s="1"/>
  <c r="L13" i="25" s="1"/>
  <c r="D18" i="24"/>
  <c r="W18" i="24"/>
  <c r="Q18" i="24"/>
  <c r="Z18" i="24"/>
  <c r="T18" i="24"/>
  <c r="Q15" i="24"/>
  <c r="W15" i="24"/>
  <c r="Z15" i="24"/>
  <c r="D15" i="24"/>
  <c r="AB17" i="24"/>
  <c r="AG17" i="24" s="1"/>
  <c r="AA17" i="24"/>
  <c r="AM17" i="24" s="1"/>
  <c r="N17" i="25" s="1"/>
  <c r="T15" i="24"/>
  <c r="W13" i="24"/>
  <c r="Z14" i="24"/>
  <c r="W17" i="24"/>
  <c r="D13" i="24"/>
  <c r="W14" i="24"/>
  <c r="Q17" i="24"/>
  <c r="Q13" i="24"/>
  <c r="D17" i="24"/>
  <c r="D16" i="25"/>
  <c r="V17" i="24" l="1"/>
  <c r="AE17" i="24" s="1"/>
  <c r="U14" i="24"/>
  <c r="AK14" i="24" s="1"/>
  <c r="L14" i="25" s="1"/>
  <c r="S18" i="24"/>
  <c r="AD18" i="24" s="1"/>
  <c r="R18" i="24"/>
  <c r="AJ18" i="24" s="1"/>
  <c r="K18" i="25" s="1"/>
  <c r="Y13" i="24"/>
  <c r="AF13" i="24" s="1"/>
  <c r="X13" i="24"/>
  <c r="AL13" i="24" s="1"/>
  <c r="M13" i="25" s="1"/>
  <c r="F18" i="24"/>
  <c r="N18" i="24"/>
  <c r="T16" i="24"/>
  <c r="D16" i="24"/>
  <c r="Z16" i="24"/>
  <c r="Q16" i="24"/>
  <c r="W16" i="24"/>
  <c r="X15" i="24"/>
  <c r="AL15" i="24" s="1"/>
  <c r="M15" i="25" s="1"/>
  <c r="Y15" i="24"/>
  <c r="AF15" i="24" s="1"/>
  <c r="O14" i="24"/>
  <c r="AI14" i="24" s="1"/>
  <c r="P14" i="24"/>
  <c r="AC14" i="24" s="1"/>
  <c r="AA15" i="24"/>
  <c r="AM15" i="24" s="1"/>
  <c r="N15" i="25" s="1"/>
  <c r="AB15" i="24"/>
  <c r="AG15" i="24" s="1"/>
  <c r="V15" i="24"/>
  <c r="AE15" i="24" s="1"/>
  <c r="U15" i="24"/>
  <c r="AK15" i="24" s="1"/>
  <c r="L15" i="25" s="1"/>
  <c r="N13" i="24"/>
  <c r="F13" i="24"/>
  <c r="Y17" i="24"/>
  <c r="AF17" i="24" s="1"/>
  <c r="X17" i="24"/>
  <c r="AL17" i="24" s="1"/>
  <c r="M17" i="25" s="1"/>
  <c r="Y18" i="24"/>
  <c r="AF18" i="24" s="1"/>
  <c r="X18" i="24"/>
  <c r="AL18" i="24" s="1"/>
  <c r="M18" i="25" s="1"/>
  <c r="N17" i="24"/>
  <c r="F17" i="24"/>
  <c r="R13" i="24"/>
  <c r="AJ13" i="24" s="1"/>
  <c r="K13" i="25" s="1"/>
  <c r="S13" i="24"/>
  <c r="AD13" i="24" s="1"/>
  <c r="N15" i="24"/>
  <c r="F15" i="24"/>
  <c r="S17" i="24"/>
  <c r="AD17" i="24" s="1"/>
  <c r="R17" i="24"/>
  <c r="AJ17" i="24" s="1"/>
  <c r="K17" i="25" s="1"/>
  <c r="Y14" i="24"/>
  <c r="AF14" i="24" s="1"/>
  <c r="X14" i="24"/>
  <c r="AL14" i="24" s="1"/>
  <c r="M14" i="25" s="1"/>
  <c r="S15" i="24"/>
  <c r="AD15" i="24" s="1"/>
  <c r="R15" i="24"/>
  <c r="AJ15" i="24" s="1"/>
  <c r="K15" i="25" s="1"/>
  <c r="U18" i="24"/>
  <c r="AK18" i="24" s="1"/>
  <c r="L18" i="25" s="1"/>
  <c r="V18" i="24"/>
  <c r="AE18" i="24" s="1"/>
  <c r="AB14" i="24"/>
  <c r="AG14" i="24" s="1"/>
  <c r="AA14" i="24"/>
  <c r="AM14" i="24" s="1"/>
  <c r="N14" i="25" s="1"/>
  <c r="AA18" i="24"/>
  <c r="AM18" i="24" s="1"/>
  <c r="N18" i="25" s="1"/>
  <c r="AB18" i="24"/>
  <c r="AG18" i="24" s="1"/>
  <c r="AH14" i="24" l="1"/>
  <c r="Y16" i="24"/>
  <c r="AF16" i="24" s="1"/>
  <c r="X16" i="24"/>
  <c r="AL16" i="24" s="1"/>
  <c r="M16" i="25" s="1"/>
  <c r="AP14" i="24"/>
  <c r="AN14" i="24"/>
  <c r="AS14" i="24"/>
  <c r="AR14" i="24" s="1"/>
  <c r="AT14" i="24" s="1"/>
  <c r="J14" i="25"/>
  <c r="O14" i="25" s="1"/>
  <c r="O15" i="24"/>
  <c r="AI15" i="24" s="1"/>
  <c r="P15" i="24"/>
  <c r="AC15" i="24" s="1"/>
  <c r="AH15" i="24" s="1"/>
  <c r="S16" i="24"/>
  <c r="AD16" i="24" s="1"/>
  <c r="R16" i="24"/>
  <c r="AJ16" i="24" s="1"/>
  <c r="K16" i="25" s="1"/>
  <c r="AB16" i="24"/>
  <c r="AG16" i="24" s="1"/>
  <c r="AA16" i="24"/>
  <c r="AM16" i="24" s="1"/>
  <c r="N16" i="25" s="1"/>
  <c r="O13" i="24"/>
  <c r="AI13" i="24" s="1"/>
  <c r="P13" i="24"/>
  <c r="AC13" i="24" s="1"/>
  <c r="AH13" i="24" s="1"/>
  <c r="F16" i="24"/>
  <c r="N16" i="24"/>
  <c r="V16" i="24"/>
  <c r="AE16" i="24" s="1"/>
  <c r="U16" i="24"/>
  <c r="AK16" i="24" s="1"/>
  <c r="L16" i="25" s="1"/>
  <c r="P17" i="24"/>
  <c r="AC17" i="24" s="1"/>
  <c r="AH17" i="24" s="1"/>
  <c r="O17" i="24"/>
  <c r="AI17" i="24" s="1"/>
  <c r="O18" i="24"/>
  <c r="AI18" i="24" s="1"/>
  <c r="P18" i="24"/>
  <c r="AC18" i="24" s="1"/>
  <c r="AH18" i="24" s="1"/>
  <c r="AP13" i="24" l="1"/>
  <c r="AN13" i="24"/>
  <c r="J13" i="25"/>
  <c r="O13" i="25" s="1"/>
  <c r="AS13" i="24"/>
  <c r="AR13" i="24" s="1"/>
  <c r="AT13" i="24" s="1"/>
  <c r="Q14" i="25"/>
  <c r="X14" i="25" s="1"/>
  <c r="W14" i="25"/>
  <c r="AS17" i="24"/>
  <c r="AR17" i="24" s="1"/>
  <c r="AT17" i="24" s="1"/>
  <c r="J17" i="25"/>
  <c r="O17" i="25" s="1"/>
  <c r="AP17" i="24"/>
  <c r="AN17" i="24"/>
  <c r="AN15" i="24"/>
  <c r="AP15" i="24"/>
  <c r="J15" i="25"/>
  <c r="O15" i="25" s="1"/>
  <c r="AS15" i="24"/>
  <c r="AR15" i="24" s="1"/>
  <c r="AT15" i="24" s="1"/>
  <c r="AV14" i="24"/>
  <c r="H14" i="24" s="1"/>
  <c r="AO14" i="24"/>
  <c r="AU14" i="24" s="1"/>
  <c r="G14" i="24" s="1"/>
  <c r="AS18" i="24"/>
  <c r="AR18" i="24" s="1"/>
  <c r="AT18" i="24" s="1"/>
  <c r="AN18" i="24"/>
  <c r="AP18" i="24"/>
  <c r="J18" i="25"/>
  <c r="O18" i="25" s="1"/>
  <c r="P16" i="24"/>
  <c r="AC16" i="24" s="1"/>
  <c r="AH16" i="24" s="1"/>
  <c r="O16" i="24"/>
  <c r="AI16" i="24" s="1"/>
  <c r="V14" i="25" l="1"/>
  <c r="AB14" i="25" s="1"/>
  <c r="E14" i="26"/>
  <c r="F14" i="26" s="1"/>
  <c r="D14" i="27"/>
  <c r="R14" i="25"/>
  <c r="Y14" i="25" s="1"/>
  <c r="AD14" i="25" s="1"/>
  <c r="AO15" i="24"/>
  <c r="AU15" i="24" s="1"/>
  <c r="G15" i="24" s="1"/>
  <c r="AV15" i="24"/>
  <c r="H15" i="24" s="1"/>
  <c r="W15" i="25"/>
  <c r="Q15" i="25"/>
  <c r="X15" i="25" s="1"/>
  <c r="AO17" i="24"/>
  <c r="AU17" i="24" s="1"/>
  <c r="G17" i="24" s="1"/>
  <c r="AV17" i="24"/>
  <c r="H17" i="24" s="1"/>
  <c r="Q17" i="25"/>
  <c r="X17" i="25" s="1"/>
  <c r="W17" i="25"/>
  <c r="W13" i="25"/>
  <c r="Q13" i="25"/>
  <c r="U14" i="25"/>
  <c r="I14" i="26" s="1"/>
  <c r="P14" i="25"/>
  <c r="J16" i="25"/>
  <c r="O16" i="25" s="1"/>
  <c r="AN16" i="24"/>
  <c r="AP16" i="24"/>
  <c r="AS16" i="24"/>
  <c r="AR16" i="24" s="1"/>
  <c r="AT16" i="24" s="1"/>
  <c r="S14" i="25"/>
  <c r="G14" i="26" s="1"/>
  <c r="Q18" i="25"/>
  <c r="X18" i="25" s="1"/>
  <c r="W18" i="25"/>
  <c r="AV18" i="24"/>
  <c r="H18" i="24" s="1"/>
  <c r="AO18" i="24"/>
  <c r="AU18" i="24" s="1"/>
  <c r="G18" i="24" s="1"/>
  <c r="AQ14" i="24"/>
  <c r="AW14" i="24" s="1"/>
  <c r="I14" i="24" s="1"/>
  <c r="J14" i="26" s="1"/>
  <c r="K14" i="26" s="1"/>
  <c r="M14" i="26" s="1"/>
  <c r="O14" i="26" s="1"/>
  <c r="T14" i="25"/>
  <c r="H14" i="26" s="1"/>
  <c r="AV13" i="24"/>
  <c r="H13" i="24" s="1"/>
  <c r="AO13" i="24"/>
  <c r="AU13" i="24" s="1"/>
  <c r="G13" i="24" s="1"/>
  <c r="AF14" i="25" l="1"/>
  <c r="AE14" i="25"/>
  <c r="X13" i="25"/>
  <c r="V15" i="25"/>
  <c r="E15" i="26" s="1"/>
  <c r="F15" i="26" s="1"/>
  <c r="V17" i="25"/>
  <c r="AB17" i="25" s="1"/>
  <c r="T18" i="25"/>
  <c r="H18" i="26" s="1"/>
  <c r="R17" i="25"/>
  <c r="Y17" i="25" s="1"/>
  <c r="AD17" i="25" s="1"/>
  <c r="S17" i="25"/>
  <c r="G17" i="26" s="1"/>
  <c r="T17" i="25"/>
  <c r="H17" i="26" s="1"/>
  <c r="AQ13" i="24"/>
  <c r="AW13" i="24" s="1"/>
  <c r="I13" i="24" s="1"/>
  <c r="AQ15" i="24"/>
  <c r="AW15" i="24" s="1"/>
  <c r="I15" i="24" s="1"/>
  <c r="J15" i="26" s="1"/>
  <c r="K15" i="26" s="1"/>
  <c r="M15" i="26" s="1"/>
  <c r="O15" i="26" s="1"/>
  <c r="D15" i="27"/>
  <c r="U15" i="25"/>
  <c r="I15" i="26" s="1"/>
  <c r="P15" i="25"/>
  <c r="T15" i="25"/>
  <c r="H15" i="26" s="1"/>
  <c r="R15" i="25"/>
  <c r="Y15" i="25" s="1"/>
  <c r="E17" i="26"/>
  <c r="F17" i="26" s="1"/>
  <c r="S15" i="25"/>
  <c r="G15" i="26" s="1"/>
  <c r="P13" i="25"/>
  <c r="U13" i="25"/>
  <c r="I13" i="26" s="1"/>
  <c r="AO16" i="24"/>
  <c r="AU16" i="24" s="1"/>
  <c r="G16" i="24" s="1"/>
  <c r="AV16" i="24"/>
  <c r="H16" i="24" s="1"/>
  <c r="AQ17" i="24"/>
  <c r="AW17" i="24" s="1"/>
  <c r="I17" i="24" s="1"/>
  <c r="J17" i="26" s="1"/>
  <c r="K17" i="26" s="1"/>
  <c r="M17" i="26" s="1"/>
  <c r="O17" i="26" s="1"/>
  <c r="S13" i="25"/>
  <c r="G13" i="26" s="1"/>
  <c r="U18" i="25"/>
  <c r="I18" i="26" s="1"/>
  <c r="P18" i="25"/>
  <c r="R13" i="25"/>
  <c r="Y13" i="25" s="1"/>
  <c r="W16" i="25"/>
  <c r="Q16" i="25"/>
  <c r="X16" i="25" s="1"/>
  <c r="R18" i="25"/>
  <c r="Y18" i="25" s="1"/>
  <c r="AD18" i="25" s="1"/>
  <c r="S18" i="25"/>
  <c r="G18" i="26" s="1"/>
  <c r="V13" i="25"/>
  <c r="AB13" i="25" s="1"/>
  <c r="U17" i="25"/>
  <c r="I17" i="26" s="1"/>
  <c r="P17" i="25"/>
  <c r="E14" i="27"/>
  <c r="M14" i="27" s="1"/>
  <c r="AQ18" i="24"/>
  <c r="AW18" i="24" s="1"/>
  <c r="I18" i="24" s="1"/>
  <c r="J18" i="26" s="1"/>
  <c r="K18" i="26" s="1"/>
  <c r="M18" i="26" s="1"/>
  <c r="O18" i="26" s="1"/>
  <c r="T13" i="25"/>
  <c r="H13" i="26" s="1"/>
  <c r="V18" i="25"/>
  <c r="AB18" i="25" s="1"/>
  <c r="J13" i="26" l="1"/>
  <c r="K13" i="26" s="1"/>
  <c r="M13" i="26" s="1"/>
  <c r="O13" i="26" s="1"/>
  <c r="AD13" i="25"/>
  <c r="AE17" i="25"/>
  <c r="AF17" i="25"/>
  <c r="AE18" i="25"/>
  <c r="AF18" i="25"/>
  <c r="AF13" i="25"/>
  <c r="AE13" i="25"/>
  <c r="D17" i="27"/>
  <c r="E17" i="27" s="1"/>
  <c r="M17" i="27" s="1"/>
  <c r="S16" i="25"/>
  <c r="G16" i="26" s="1"/>
  <c r="AB15" i="25"/>
  <c r="AD15" i="25" s="1"/>
  <c r="F14" i="27"/>
  <c r="N14" i="27" s="1"/>
  <c r="O14" i="27" s="1"/>
  <c r="R16" i="25"/>
  <c r="Y16" i="25" s="1"/>
  <c r="AQ16" i="24"/>
  <c r="AW16" i="24" s="1"/>
  <c r="I16" i="24" s="1"/>
  <c r="J16" i="26" s="1"/>
  <c r="K16" i="26" s="1"/>
  <c r="M16" i="26" s="1"/>
  <c r="O16" i="26" s="1"/>
  <c r="P16" i="25"/>
  <c r="U16" i="25"/>
  <c r="I16" i="26" s="1"/>
  <c r="V16" i="25"/>
  <c r="AB16" i="25" s="1"/>
  <c r="D18" i="27"/>
  <c r="E18" i="26"/>
  <c r="F18" i="26" s="1"/>
  <c r="E15" i="27"/>
  <c r="M15" i="27" s="1"/>
  <c r="D13" i="27"/>
  <c r="E13" i="26"/>
  <c r="F13" i="26" s="1"/>
  <c r="T16" i="25"/>
  <c r="H16" i="26" s="1"/>
  <c r="AF15" i="25" l="1"/>
  <c r="AE15" i="25"/>
  <c r="AD16" i="25"/>
  <c r="F15" i="27"/>
  <c r="N15" i="27" s="1"/>
  <c r="O15" i="27" s="1"/>
  <c r="E18" i="27"/>
  <c r="M18" i="27" s="1"/>
  <c r="F17" i="27"/>
  <c r="N17" i="27" s="1"/>
  <c r="O17" i="27" s="1"/>
  <c r="E13" i="27"/>
  <c r="M13" i="27" s="1"/>
  <c r="E16" i="26"/>
  <c r="F16" i="26" s="1"/>
  <c r="D16" i="27"/>
  <c r="AF16" i="25" l="1"/>
  <c r="AE16" i="25"/>
  <c r="F18" i="27"/>
  <c r="N18" i="27" s="1"/>
  <c r="O18" i="27" s="1"/>
  <c r="E16" i="27"/>
  <c r="M16" i="27" s="1"/>
  <c r="F13" i="27"/>
  <c r="N13" i="27" s="1"/>
  <c r="O13" i="27" s="1"/>
  <c r="F16" i="27" l="1"/>
  <c r="N16" i="27" s="1"/>
  <c r="O16" i="27" s="1"/>
  <c r="D19" i="25"/>
  <c r="Q19" i="24" l="1"/>
  <c r="F20" i="25"/>
  <c r="D20" i="25" s="1"/>
  <c r="Z20" i="24" s="1"/>
  <c r="S19" i="24"/>
  <c r="AD19" i="24" s="1"/>
  <c r="R19" i="24"/>
  <c r="AJ19" i="24" s="1"/>
  <c r="K19" i="25" s="1"/>
  <c r="Z19" i="24"/>
  <c r="T19" i="24"/>
  <c r="W19" i="24"/>
  <c r="D19" i="24"/>
  <c r="T20" i="24"/>
  <c r="W20" i="24"/>
  <c r="D20" i="24"/>
  <c r="F21" i="25"/>
  <c r="Q20" i="24" l="1"/>
  <c r="S20" i="24" s="1"/>
  <c r="AD20" i="24" s="1"/>
  <c r="F19" i="24"/>
  <c r="N19" i="24"/>
  <c r="Y19" i="24"/>
  <c r="AF19" i="24" s="1"/>
  <c r="X19" i="24"/>
  <c r="AL19" i="24" s="1"/>
  <c r="M19" i="25" s="1"/>
  <c r="AB20" i="24"/>
  <c r="AG20" i="24" s="1"/>
  <c r="AA20" i="24"/>
  <c r="AM20" i="24" s="1"/>
  <c r="N20" i="25" s="1"/>
  <c r="N20" i="24"/>
  <c r="F20" i="24"/>
  <c r="V20" i="24"/>
  <c r="AE20" i="24" s="1"/>
  <c r="U20" i="24"/>
  <c r="AK20" i="24" s="1"/>
  <c r="L20" i="25" s="1"/>
  <c r="U19" i="24"/>
  <c r="AK19" i="24" s="1"/>
  <c r="L19" i="25" s="1"/>
  <c r="V19" i="24"/>
  <c r="AE19" i="24" s="1"/>
  <c r="AA19" i="24"/>
  <c r="AM19" i="24" s="1"/>
  <c r="N19" i="25" s="1"/>
  <c r="AB19" i="24"/>
  <c r="AG19" i="24" s="1"/>
  <c r="X20" i="24"/>
  <c r="AL20" i="24" s="1"/>
  <c r="M20" i="25" s="1"/>
  <c r="Y20" i="24"/>
  <c r="AF20" i="24" s="1"/>
  <c r="D21" i="25"/>
  <c r="F22" i="25"/>
  <c r="R20" i="24" l="1"/>
  <c r="AJ20" i="24" s="1"/>
  <c r="K20" i="25" s="1"/>
  <c r="D22" i="25"/>
  <c r="F23" i="25"/>
  <c r="O19" i="24"/>
  <c r="AI19" i="24" s="1"/>
  <c r="P19" i="24"/>
  <c r="AC19" i="24" s="1"/>
  <c r="AH19" i="24" s="1"/>
  <c r="P20" i="24"/>
  <c r="AC20" i="24" s="1"/>
  <c r="AH20" i="24" s="1"/>
  <c r="O20" i="24"/>
  <c r="AI20" i="24" s="1"/>
  <c r="Z21" i="24"/>
  <c r="T21" i="24"/>
  <c r="D21" i="24"/>
  <c r="W21" i="24"/>
  <c r="Q21" i="24"/>
  <c r="N21" i="24" l="1"/>
  <c r="F21" i="24"/>
  <c r="AB21" i="24"/>
  <c r="AG21" i="24" s="1"/>
  <c r="AA21" i="24"/>
  <c r="AM21" i="24" s="1"/>
  <c r="N21" i="25" s="1"/>
  <c r="R21" i="24"/>
  <c r="AJ21" i="24" s="1"/>
  <c r="K21" i="25" s="1"/>
  <c r="S21" i="24"/>
  <c r="AD21" i="24" s="1"/>
  <c r="AP20" i="24"/>
  <c r="AN20" i="24"/>
  <c r="AS20" i="24"/>
  <c r="AR20" i="24" s="1"/>
  <c r="AT20" i="24" s="1"/>
  <c r="J20" i="25"/>
  <c r="O20" i="25" s="1"/>
  <c r="Y21" i="24"/>
  <c r="AF21" i="24" s="1"/>
  <c r="X21" i="24"/>
  <c r="AL21" i="24" s="1"/>
  <c r="M21" i="25" s="1"/>
  <c r="F24" i="25"/>
  <c r="D23" i="25"/>
  <c r="U21" i="24"/>
  <c r="AK21" i="24" s="1"/>
  <c r="L21" i="25" s="1"/>
  <c r="V21" i="24"/>
  <c r="AE21" i="24" s="1"/>
  <c r="AP19" i="24"/>
  <c r="AS19" i="24"/>
  <c r="AR19" i="24" s="1"/>
  <c r="AT19" i="24" s="1"/>
  <c r="J19" i="25"/>
  <c r="O19" i="25" s="1"/>
  <c r="AN19" i="24"/>
  <c r="D22" i="24"/>
  <c r="W22" i="24"/>
  <c r="T22" i="24"/>
  <c r="Z22" i="24"/>
  <c r="Q22" i="24"/>
  <c r="AA22" i="24" l="1"/>
  <c r="AM22" i="24" s="1"/>
  <c r="N22" i="25" s="1"/>
  <c r="AB22" i="24"/>
  <c r="AG22" i="24" s="1"/>
  <c r="Y22" i="24"/>
  <c r="AF22" i="24" s="1"/>
  <c r="X22" i="24"/>
  <c r="AL22" i="24" s="1"/>
  <c r="M22" i="25" s="1"/>
  <c r="W19" i="25"/>
  <c r="Q19" i="25"/>
  <c r="X19" i="25" s="1"/>
  <c r="AV20" i="24"/>
  <c r="H20" i="24" s="1"/>
  <c r="AO20" i="24"/>
  <c r="AU20" i="24" s="1"/>
  <c r="G20" i="24" s="1"/>
  <c r="Q20" i="25"/>
  <c r="X20" i="25" s="1"/>
  <c r="W20" i="25"/>
  <c r="V22" i="24"/>
  <c r="AE22" i="24" s="1"/>
  <c r="U22" i="24"/>
  <c r="AK22" i="24" s="1"/>
  <c r="L22" i="25" s="1"/>
  <c r="F22" i="24"/>
  <c r="N22" i="24"/>
  <c r="AV19" i="24"/>
  <c r="H19" i="24" s="1"/>
  <c r="AO19" i="24"/>
  <c r="AU19" i="24" s="1"/>
  <c r="G19" i="24" s="1"/>
  <c r="Q23" i="24"/>
  <c r="T23" i="24"/>
  <c r="Z23" i="24"/>
  <c r="D23" i="24"/>
  <c r="W23" i="24"/>
  <c r="S22" i="24"/>
  <c r="AD22" i="24" s="1"/>
  <c r="R22" i="24"/>
  <c r="AJ22" i="24" s="1"/>
  <c r="K22" i="25" s="1"/>
  <c r="F25" i="25"/>
  <c r="D24" i="25"/>
  <c r="P21" i="24"/>
  <c r="AC21" i="24" s="1"/>
  <c r="AH21" i="24" s="1"/>
  <c r="O21" i="24"/>
  <c r="AI21" i="24" s="1"/>
  <c r="R20" i="25" l="1"/>
  <c r="Y20" i="25" s="1"/>
  <c r="R19" i="25"/>
  <c r="Y19" i="25" s="1"/>
  <c r="AQ19" i="24"/>
  <c r="AW19" i="24" s="1"/>
  <c r="I19" i="24" s="1"/>
  <c r="AQ20" i="24"/>
  <c r="AW20" i="24" s="1"/>
  <c r="I20" i="24" s="1"/>
  <c r="J20" i="26" s="1"/>
  <c r="K20" i="26" s="1"/>
  <c r="M20" i="26" s="1"/>
  <c r="O20" i="26" s="1"/>
  <c r="S20" i="25"/>
  <c r="G20" i="26" s="1"/>
  <c r="W24" i="24"/>
  <c r="Z24" i="24"/>
  <c r="Q24" i="24"/>
  <c r="T24" i="24"/>
  <c r="D24" i="24"/>
  <c r="P19" i="25"/>
  <c r="U19" i="25"/>
  <c r="I19" i="26" s="1"/>
  <c r="T19" i="25"/>
  <c r="H19" i="26" s="1"/>
  <c r="S19" i="25"/>
  <c r="G19" i="26" s="1"/>
  <c r="AB23" i="24"/>
  <c r="AG23" i="24" s="1"/>
  <c r="AA23" i="24"/>
  <c r="AM23" i="24" s="1"/>
  <c r="N23" i="25" s="1"/>
  <c r="V19" i="25"/>
  <c r="AB19" i="25" s="1"/>
  <c r="V23" i="24"/>
  <c r="AE23" i="24" s="1"/>
  <c r="U23" i="24"/>
  <c r="AK23" i="24" s="1"/>
  <c r="L23" i="25" s="1"/>
  <c r="U20" i="25"/>
  <c r="I20" i="26" s="1"/>
  <c r="P20" i="25"/>
  <c r="Y23" i="24"/>
  <c r="AF23" i="24" s="1"/>
  <c r="X23" i="24"/>
  <c r="AL23" i="24" s="1"/>
  <c r="M23" i="25" s="1"/>
  <c r="N23" i="24"/>
  <c r="F23" i="24"/>
  <c r="S23" i="24"/>
  <c r="AD23" i="24" s="1"/>
  <c r="R23" i="24"/>
  <c r="AJ23" i="24" s="1"/>
  <c r="K23" i="25" s="1"/>
  <c r="T20" i="25"/>
  <c r="H20" i="26" s="1"/>
  <c r="F26" i="25"/>
  <c r="D25" i="25"/>
  <c r="V20" i="25"/>
  <c r="AB20" i="25" s="1"/>
  <c r="P22" i="24"/>
  <c r="AC22" i="24" s="1"/>
  <c r="AH22" i="24" s="1"/>
  <c r="O22" i="24"/>
  <c r="AI22" i="24" s="1"/>
  <c r="AN21" i="24"/>
  <c r="AP21" i="24"/>
  <c r="J21" i="25"/>
  <c r="O21" i="25" s="1"/>
  <c r="AS21" i="24"/>
  <c r="AR21" i="24" s="1"/>
  <c r="AT21" i="24" s="1"/>
  <c r="J19" i="26" l="1"/>
  <c r="K19" i="26" s="1"/>
  <c r="M19" i="26" s="1"/>
  <c r="O19" i="26" s="1"/>
  <c r="AD19" i="25"/>
  <c r="AD20" i="25"/>
  <c r="Q21" i="25"/>
  <c r="V21" i="25" s="1"/>
  <c r="AB21" i="25" s="1"/>
  <c r="W21" i="25"/>
  <c r="AS22" i="24"/>
  <c r="AR22" i="24" s="1"/>
  <c r="AT22" i="24" s="1"/>
  <c r="AN22" i="24"/>
  <c r="J22" i="25"/>
  <c r="O22" i="25" s="1"/>
  <c r="AP22" i="24"/>
  <c r="N24" i="24"/>
  <c r="F24" i="24"/>
  <c r="AV21" i="24"/>
  <c r="H21" i="24" s="1"/>
  <c r="AO21" i="24"/>
  <c r="AU21" i="24" s="1"/>
  <c r="G21" i="24" s="1"/>
  <c r="D20" i="27"/>
  <c r="E20" i="26"/>
  <c r="F20" i="26" s="1"/>
  <c r="V24" i="24"/>
  <c r="AE24" i="24" s="1"/>
  <c r="U24" i="24"/>
  <c r="AK24" i="24" s="1"/>
  <c r="L24" i="25" s="1"/>
  <c r="O23" i="24"/>
  <c r="AI23" i="24" s="1"/>
  <c r="P23" i="24"/>
  <c r="AC23" i="24" s="1"/>
  <c r="AH23" i="24" s="1"/>
  <c r="S24" i="24"/>
  <c r="AD24" i="24" s="1"/>
  <c r="R24" i="24"/>
  <c r="AJ24" i="24" s="1"/>
  <c r="K24" i="25" s="1"/>
  <c r="D26" i="25"/>
  <c r="F27" i="25"/>
  <c r="AB24" i="24"/>
  <c r="AG24" i="24" s="1"/>
  <c r="AA24" i="24"/>
  <c r="AM24" i="24" s="1"/>
  <c r="N24" i="25" s="1"/>
  <c r="Q25" i="24"/>
  <c r="Z25" i="24"/>
  <c r="W25" i="24"/>
  <c r="T25" i="24"/>
  <c r="D25" i="24"/>
  <c r="D19" i="27"/>
  <c r="E19" i="26"/>
  <c r="F19" i="26" s="1"/>
  <c r="Y24" i="24"/>
  <c r="AF24" i="24" s="1"/>
  <c r="X24" i="24"/>
  <c r="AL24" i="24" s="1"/>
  <c r="M24" i="25" s="1"/>
  <c r="AE20" i="25" l="1"/>
  <c r="AF20" i="25"/>
  <c r="AE19" i="25"/>
  <c r="AF19" i="25"/>
  <c r="T21" i="25"/>
  <c r="H21" i="26" s="1"/>
  <c r="S21" i="25"/>
  <c r="G21" i="26" s="1"/>
  <c r="X21" i="25"/>
  <c r="R21" i="25"/>
  <c r="Y21" i="25" s="1"/>
  <c r="AD21" i="25" s="1"/>
  <c r="T26" i="24"/>
  <c r="D26" i="24"/>
  <c r="W26" i="24"/>
  <c r="Q26" i="24"/>
  <c r="Z26" i="24"/>
  <c r="W22" i="25"/>
  <c r="Q22" i="25"/>
  <c r="X22" i="25" s="1"/>
  <c r="AS23" i="24"/>
  <c r="AR23" i="24" s="1"/>
  <c r="AT23" i="24" s="1"/>
  <c r="J23" i="25"/>
  <c r="O23" i="25" s="1"/>
  <c r="AP23" i="24"/>
  <c r="AN23" i="24"/>
  <c r="V25" i="24"/>
  <c r="AE25" i="24" s="1"/>
  <c r="U25" i="24"/>
  <c r="AK25" i="24" s="1"/>
  <c r="L25" i="25" s="1"/>
  <c r="X25" i="24"/>
  <c r="AL25" i="24" s="1"/>
  <c r="M25" i="25" s="1"/>
  <c r="Y25" i="24"/>
  <c r="AF25" i="24" s="1"/>
  <c r="E20" i="27"/>
  <c r="M20" i="27" s="1"/>
  <c r="D21" i="27"/>
  <c r="E21" i="26"/>
  <c r="F21" i="26" s="1"/>
  <c r="P24" i="24"/>
  <c r="AC24" i="24" s="1"/>
  <c r="AH24" i="24" s="1"/>
  <c r="O24" i="24"/>
  <c r="AI24" i="24" s="1"/>
  <c r="E19" i="27"/>
  <c r="M19" i="27" s="1"/>
  <c r="F25" i="24"/>
  <c r="N25" i="24"/>
  <c r="AA25" i="24"/>
  <c r="AM25" i="24" s="1"/>
  <c r="N25" i="25" s="1"/>
  <c r="AB25" i="24"/>
  <c r="AG25" i="24" s="1"/>
  <c r="R25" i="24"/>
  <c r="AJ25" i="24" s="1"/>
  <c r="K25" i="25" s="1"/>
  <c r="S25" i="24"/>
  <c r="AD25" i="24" s="1"/>
  <c r="AO22" i="24"/>
  <c r="AU22" i="24" s="1"/>
  <c r="G22" i="24" s="1"/>
  <c r="AV22" i="24"/>
  <c r="H22" i="24" s="1"/>
  <c r="D27" i="25"/>
  <c r="F28" i="25"/>
  <c r="AQ21" i="24"/>
  <c r="AW21" i="24" s="1"/>
  <c r="I21" i="24" s="1"/>
  <c r="U21" i="25"/>
  <c r="I21" i="26" s="1"/>
  <c r="P21" i="25"/>
  <c r="J21" i="26" l="1"/>
  <c r="K21" i="26" s="1"/>
  <c r="M21" i="26" s="1"/>
  <c r="O21" i="26" s="1"/>
  <c r="AF21" i="25"/>
  <c r="AE21" i="25"/>
  <c r="R22" i="25"/>
  <c r="Y22" i="25" s="1"/>
  <c r="T22" i="25"/>
  <c r="H22" i="26" s="1"/>
  <c r="F20" i="27"/>
  <c r="N20" i="27" s="1"/>
  <c r="O20" i="27" s="1"/>
  <c r="V22" i="25"/>
  <c r="AB22" i="25" s="1"/>
  <c r="AQ22" i="24"/>
  <c r="AW22" i="24" s="1"/>
  <c r="I22" i="24" s="1"/>
  <c r="J22" i="26" s="1"/>
  <c r="K22" i="26" s="1"/>
  <c r="M22" i="26" s="1"/>
  <c r="O22" i="26" s="1"/>
  <c r="E21" i="27"/>
  <c r="M21" i="27" s="1"/>
  <c r="P22" i="25"/>
  <c r="U22" i="25"/>
  <c r="I22" i="26" s="1"/>
  <c r="S22" i="25"/>
  <c r="G22" i="26" s="1"/>
  <c r="AB26" i="24"/>
  <c r="AG26" i="24" s="1"/>
  <c r="AA26" i="24"/>
  <c r="AM26" i="24" s="1"/>
  <c r="N26" i="25" s="1"/>
  <c r="P25" i="24"/>
  <c r="AC25" i="24" s="1"/>
  <c r="AH25" i="24" s="1"/>
  <c r="O25" i="24"/>
  <c r="AI25" i="24" s="1"/>
  <c r="S26" i="24"/>
  <c r="AD26" i="24" s="1"/>
  <c r="R26" i="24"/>
  <c r="AJ26" i="24" s="1"/>
  <c r="K26" i="25" s="1"/>
  <c r="F19" i="27"/>
  <c r="N19" i="27" s="1"/>
  <c r="O19" i="27" s="1"/>
  <c r="X26" i="24"/>
  <c r="AL26" i="24" s="1"/>
  <c r="M26" i="25" s="1"/>
  <c r="Y26" i="24"/>
  <c r="AF26" i="24" s="1"/>
  <c r="F29" i="25"/>
  <c r="D28" i="25"/>
  <c r="AO23" i="24"/>
  <c r="AU23" i="24" s="1"/>
  <c r="G23" i="24" s="1"/>
  <c r="AV23" i="24"/>
  <c r="H23" i="24" s="1"/>
  <c r="N26" i="24"/>
  <c r="F26" i="24"/>
  <c r="W27" i="24"/>
  <c r="Q27" i="24"/>
  <c r="T27" i="24"/>
  <c r="Z27" i="24"/>
  <c r="D27" i="24"/>
  <c r="J24" i="25"/>
  <c r="O24" i="25" s="1"/>
  <c r="AN24" i="24"/>
  <c r="AP24" i="24"/>
  <c r="AS24" i="24"/>
  <c r="AR24" i="24" s="1"/>
  <c r="AT24" i="24" s="1"/>
  <c r="Q23" i="25"/>
  <c r="X23" i="25" s="1"/>
  <c r="W23" i="25"/>
  <c r="V26" i="24"/>
  <c r="AE26" i="24" s="1"/>
  <c r="U26" i="24"/>
  <c r="AK26" i="24" s="1"/>
  <c r="L26" i="25" s="1"/>
  <c r="AD22" i="25" l="1"/>
  <c r="E22" i="26"/>
  <c r="F22" i="26" s="1"/>
  <c r="D22" i="27"/>
  <c r="E22" i="27" s="1"/>
  <c r="M22" i="27" s="1"/>
  <c r="T23" i="25"/>
  <c r="H23" i="26" s="1"/>
  <c r="F21" i="27"/>
  <c r="N21" i="27" s="1"/>
  <c r="O21" i="27" s="1"/>
  <c r="AO24" i="24"/>
  <c r="AU24" i="24" s="1"/>
  <c r="G24" i="24" s="1"/>
  <c r="AV24" i="24"/>
  <c r="H24" i="24" s="1"/>
  <c r="AQ23" i="24"/>
  <c r="AW23" i="24" s="1"/>
  <c r="I23" i="24" s="1"/>
  <c r="J23" i="26" s="1"/>
  <c r="K23" i="26" s="1"/>
  <c r="M23" i="26" s="1"/>
  <c r="O23" i="26" s="1"/>
  <c r="P23" i="25"/>
  <c r="U23" i="25"/>
  <c r="I23" i="26" s="1"/>
  <c r="D28" i="24"/>
  <c r="W28" i="24"/>
  <c r="Q28" i="24"/>
  <c r="Z28" i="24"/>
  <c r="T28" i="24"/>
  <c r="D29" i="25"/>
  <c r="F30" i="25"/>
  <c r="W24" i="25"/>
  <c r="Q24" i="25"/>
  <c r="R27" i="24"/>
  <c r="AJ27" i="24" s="1"/>
  <c r="K27" i="25" s="1"/>
  <c r="S27" i="24"/>
  <c r="AD27" i="24" s="1"/>
  <c r="X27" i="24"/>
  <c r="AL27" i="24" s="1"/>
  <c r="M27" i="25" s="1"/>
  <c r="Y27" i="24"/>
  <c r="AF27" i="24" s="1"/>
  <c r="F27" i="24"/>
  <c r="N27" i="24"/>
  <c r="V27" i="24"/>
  <c r="AE27" i="24" s="1"/>
  <c r="U27" i="24"/>
  <c r="AK27" i="24" s="1"/>
  <c r="L27" i="25" s="1"/>
  <c r="V23" i="25"/>
  <c r="AB23" i="25" s="1"/>
  <c r="AB27" i="24"/>
  <c r="AG27" i="24" s="1"/>
  <c r="AA27" i="24"/>
  <c r="AM27" i="24" s="1"/>
  <c r="N27" i="25" s="1"/>
  <c r="R23" i="25"/>
  <c r="Y23" i="25" s="1"/>
  <c r="S23" i="25"/>
  <c r="G23" i="26" s="1"/>
  <c r="O26" i="24"/>
  <c r="AI26" i="24" s="1"/>
  <c r="P26" i="24"/>
  <c r="AC26" i="24" s="1"/>
  <c r="AH26" i="24" s="1"/>
  <c r="AN25" i="24"/>
  <c r="AS25" i="24"/>
  <c r="AR25" i="24" s="1"/>
  <c r="AT25" i="24" s="1"/>
  <c r="AP25" i="24"/>
  <c r="J25" i="25"/>
  <c r="O25" i="25" s="1"/>
  <c r="AD23" i="25" l="1"/>
  <c r="AF23" i="25" s="1"/>
  <c r="AF22" i="25"/>
  <c r="AE22" i="25"/>
  <c r="X24" i="25"/>
  <c r="AQ24" i="24"/>
  <c r="AW24" i="24" s="1"/>
  <c r="I24" i="24" s="1"/>
  <c r="J24" i="26" s="1"/>
  <c r="K24" i="26" s="1"/>
  <c r="M24" i="26" s="1"/>
  <c r="O24" i="26" s="1"/>
  <c r="U28" i="24"/>
  <c r="AK28" i="24" s="1"/>
  <c r="L28" i="25" s="1"/>
  <c r="V28" i="24"/>
  <c r="AE28" i="24" s="1"/>
  <c r="P24" i="25"/>
  <c r="U24" i="25"/>
  <c r="I24" i="26" s="1"/>
  <c r="N28" i="24"/>
  <c r="F28" i="24"/>
  <c r="X28" i="24"/>
  <c r="AL28" i="24" s="1"/>
  <c r="M28" i="25" s="1"/>
  <c r="Y28" i="24"/>
  <c r="AF28" i="24" s="1"/>
  <c r="R24" i="25"/>
  <c r="Y24" i="25" s="1"/>
  <c r="D23" i="27"/>
  <c r="E23" i="26"/>
  <c r="F23" i="26" s="1"/>
  <c r="T24" i="25"/>
  <c r="H24" i="26" s="1"/>
  <c r="S24" i="25"/>
  <c r="G24" i="26" s="1"/>
  <c r="V24" i="25"/>
  <c r="AB24" i="25" s="1"/>
  <c r="J26" i="25"/>
  <c r="O26" i="25" s="1"/>
  <c r="AP26" i="24"/>
  <c r="AS26" i="24"/>
  <c r="AR26" i="24" s="1"/>
  <c r="AT26" i="24" s="1"/>
  <c r="AN26" i="24"/>
  <c r="S28" i="24"/>
  <c r="AD28" i="24" s="1"/>
  <c r="R28" i="24"/>
  <c r="AJ28" i="24" s="1"/>
  <c r="K28" i="25" s="1"/>
  <c r="F31" i="25"/>
  <c r="D30" i="25"/>
  <c r="AB28" i="24"/>
  <c r="AG28" i="24" s="1"/>
  <c r="AA28" i="24"/>
  <c r="AM28" i="24" s="1"/>
  <c r="N28" i="25" s="1"/>
  <c r="F22" i="27"/>
  <c r="N22" i="27" s="1"/>
  <c r="O22" i="27" s="1"/>
  <c r="Q25" i="25"/>
  <c r="X25" i="25" s="1"/>
  <c r="W25" i="25"/>
  <c r="AO25" i="24"/>
  <c r="AU25" i="24" s="1"/>
  <c r="G25" i="24" s="1"/>
  <c r="AV25" i="24"/>
  <c r="H25" i="24" s="1"/>
  <c r="P27" i="24"/>
  <c r="AC27" i="24" s="1"/>
  <c r="AH27" i="24" s="1"/>
  <c r="O27" i="24"/>
  <c r="AI27" i="24" s="1"/>
  <c r="D29" i="24"/>
  <c r="W29" i="24"/>
  <c r="Z29" i="24"/>
  <c r="Q29" i="24"/>
  <c r="T29" i="24"/>
  <c r="AE23" i="25" l="1"/>
  <c r="AD24" i="25"/>
  <c r="S25" i="25"/>
  <c r="G25" i="26" s="1"/>
  <c r="R25" i="25"/>
  <c r="Y25" i="25" s="1"/>
  <c r="T25" i="25"/>
  <c r="H25" i="26" s="1"/>
  <c r="V25" i="25"/>
  <c r="E25" i="26" s="1"/>
  <c r="F25" i="26" s="1"/>
  <c r="S29" i="24"/>
  <c r="AD29" i="24" s="1"/>
  <c r="R29" i="24"/>
  <c r="AJ29" i="24" s="1"/>
  <c r="K29" i="25" s="1"/>
  <c r="AV26" i="24"/>
  <c r="H26" i="24" s="1"/>
  <c r="AO26" i="24"/>
  <c r="AU26" i="24" s="1"/>
  <c r="G26" i="24" s="1"/>
  <c r="P28" i="24"/>
  <c r="AC28" i="24" s="1"/>
  <c r="AH28" i="24" s="1"/>
  <c r="O28" i="24"/>
  <c r="AI28" i="24" s="1"/>
  <c r="E23" i="27"/>
  <c r="M23" i="27" s="1"/>
  <c r="U29" i="24"/>
  <c r="AK29" i="24" s="1"/>
  <c r="L29" i="25" s="1"/>
  <c r="V29" i="24"/>
  <c r="AE29" i="24" s="1"/>
  <c r="X29" i="24"/>
  <c r="AL29" i="24" s="1"/>
  <c r="M29" i="25" s="1"/>
  <c r="Y29" i="24"/>
  <c r="AF29" i="24" s="1"/>
  <c r="U25" i="25"/>
  <c r="I25" i="26" s="1"/>
  <c r="P25" i="25"/>
  <c r="E24" i="26"/>
  <c r="F24" i="26" s="1"/>
  <c r="D24" i="27"/>
  <c r="Q30" i="24"/>
  <c r="D30" i="24"/>
  <c r="W30" i="24"/>
  <c r="T30" i="24"/>
  <c r="Z30" i="24"/>
  <c r="F32" i="25"/>
  <c r="D31" i="25"/>
  <c r="AQ25" i="24"/>
  <c r="AW25" i="24" s="1"/>
  <c r="I25" i="24" s="1"/>
  <c r="J25" i="26" s="1"/>
  <c r="K25" i="26" s="1"/>
  <c r="M25" i="26" s="1"/>
  <c r="O25" i="26" s="1"/>
  <c r="AA29" i="24"/>
  <c r="AM29" i="24" s="1"/>
  <c r="N29" i="25" s="1"/>
  <c r="AB29" i="24"/>
  <c r="AG29" i="24" s="1"/>
  <c r="Q26" i="25"/>
  <c r="X26" i="25" s="1"/>
  <c r="W26" i="25"/>
  <c r="F29" i="24"/>
  <c r="N29" i="24"/>
  <c r="AS27" i="24"/>
  <c r="AR27" i="24" s="1"/>
  <c r="AT27" i="24" s="1"/>
  <c r="AP27" i="24"/>
  <c r="J27" i="25"/>
  <c r="O27" i="25" s="1"/>
  <c r="AN27" i="24"/>
  <c r="AF24" i="25" l="1"/>
  <c r="AE24" i="25"/>
  <c r="T26" i="25"/>
  <c r="H26" i="26" s="1"/>
  <c r="D25" i="27"/>
  <c r="E25" i="27" s="1"/>
  <c r="M25" i="27" s="1"/>
  <c r="AB25" i="25"/>
  <c r="AD25" i="25" s="1"/>
  <c r="F23" i="27"/>
  <c r="N23" i="27" s="1"/>
  <c r="O23" i="27" s="1"/>
  <c r="S26" i="25"/>
  <c r="G26" i="26" s="1"/>
  <c r="AQ26" i="24"/>
  <c r="AW26" i="24" s="1"/>
  <c r="I26" i="24" s="1"/>
  <c r="J26" i="26" s="1"/>
  <c r="K26" i="26" s="1"/>
  <c r="M26" i="26" s="1"/>
  <c r="O26" i="26" s="1"/>
  <c r="R26" i="25"/>
  <c r="Y26" i="25" s="1"/>
  <c r="E24" i="27"/>
  <c r="M24" i="27" s="1"/>
  <c r="U30" i="24"/>
  <c r="AK30" i="24" s="1"/>
  <c r="L30" i="25" s="1"/>
  <c r="V30" i="24"/>
  <c r="AE30" i="24" s="1"/>
  <c r="Y30" i="24"/>
  <c r="AF30" i="24" s="1"/>
  <c r="X30" i="24"/>
  <c r="AL30" i="24" s="1"/>
  <c r="M30" i="25" s="1"/>
  <c r="AS28" i="24"/>
  <c r="AR28" i="24" s="1"/>
  <c r="AT28" i="24" s="1"/>
  <c r="AP28" i="24"/>
  <c r="AN28" i="24"/>
  <c r="J28" i="25"/>
  <c r="O28" i="25" s="1"/>
  <c r="W27" i="25"/>
  <c r="Q27" i="25"/>
  <c r="X27" i="25" s="1"/>
  <c r="AV27" i="24"/>
  <c r="H27" i="24" s="1"/>
  <c r="AO27" i="24"/>
  <c r="AU27" i="24" s="1"/>
  <c r="G27" i="24" s="1"/>
  <c r="R30" i="24"/>
  <c r="AJ30" i="24" s="1"/>
  <c r="K30" i="25" s="1"/>
  <c r="S30" i="24"/>
  <c r="AD30" i="24" s="1"/>
  <c r="F30" i="24"/>
  <c r="N30" i="24"/>
  <c r="P26" i="25"/>
  <c r="U26" i="25"/>
  <c r="I26" i="26" s="1"/>
  <c r="V26" i="25"/>
  <c r="AB26" i="25" s="1"/>
  <c r="Q31" i="24"/>
  <c r="D31" i="24"/>
  <c r="Z31" i="24"/>
  <c r="W31" i="24"/>
  <c r="T31" i="24"/>
  <c r="O29" i="24"/>
  <c r="AI29" i="24" s="1"/>
  <c r="P29" i="24"/>
  <c r="AC29" i="24" s="1"/>
  <c r="AH29" i="24" s="1"/>
  <c r="D32" i="25"/>
  <c r="F33" i="25"/>
  <c r="AA30" i="24"/>
  <c r="AM30" i="24" s="1"/>
  <c r="N30" i="25" s="1"/>
  <c r="AB30" i="24"/>
  <c r="AG30" i="24" s="1"/>
  <c r="AD26" i="25" l="1"/>
  <c r="AE25" i="25"/>
  <c r="AF25" i="25"/>
  <c r="AF26" i="25"/>
  <c r="AE26" i="25"/>
  <c r="T27" i="25"/>
  <c r="H27" i="26" s="1"/>
  <c r="AQ27" i="24"/>
  <c r="AW27" i="24" s="1"/>
  <c r="I27" i="24" s="1"/>
  <c r="J27" i="26" s="1"/>
  <c r="K27" i="26" s="1"/>
  <c r="M27" i="26" s="1"/>
  <c r="O27" i="26" s="1"/>
  <c r="F24" i="27"/>
  <c r="N24" i="27" s="1"/>
  <c r="O24" i="27" s="1"/>
  <c r="AB31" i="24"/>
  <c r="AG31" i="24" s="1"/>
  <c r="AA31" i="24"/>
  <c r="AM31" i="24" s="1"/>
  <c r="N31" i="25" s="1"/>
  <c r="F25" i="27"/>
  <c r="N25" i="27" s="1"/>
  <c r="O25" i="27" s="1"/>
  <c r="AO28" i="24"/>
  <c r="AU28" i="24" s="1"/>
  <c r="G28" i="24" s="1"/>
  <c r="AV28" i="24"/>
  <c r="H28" i="24" s="1"/>
  <c r="X31" i="24"/>
  <c r="AL31" i="24" s="1"/>
  <c r="M31" i="25" s="1"/>
  <c r="Y31" i="24"/>
  <c r="AF31" i="24" s="1"/>
  <c r="R31" i="24"/>
  <c r="AJ31" i="24" s="1"/>
  <c r="K31" i="25" s="1"/>
  <c r="S31" i="24"/>
  <c r="AD31" i="24" s="1"/>
  <c r="Q28" i="25"/>
  <c r="X28" i="25" s="1"/>
  <c r="W28" i="25"/>
  <c r="AP29" i="24"/>
  <c r="AS29" i="24"/>
  <c r="AR29" i="24" s="1"/>
  <c r="AT29" i="24" s="1"/>
  <c r="J29" i="25"/>
  <c r="O29" i="25" s="1"/>
  <c r="AN29" i="24"/>
  <c r="F31" i="24"/>
  <c r="N31" i="24"/>
  <c r="P27" i="25"/>
  <c r="U27" i="25"/>
  <c r="I27" i="26" s="1"/>
  <c r="F34" i="25"/>
  <c r="D33" i="25"/>
  <c r="S27" i="25"/>
  <c r="G27" i="26" s="1"/>
  <c r="U31" i="24"/>
  <c r="AK31" i="24" s="1"/>
  <c r="L31" i="25" s="1"/>
  <c r="V31" i="24"/>
  <c r="AE31" i="24" s="1"/>
  <c r="E26" i="26"/>
  <c r="F26" i="26" s="1"/>
  <c r="D26" i="27"/>
  <c r="Z32" i="24"/>
  <c r="T32" i="24"/>
  <c r="W32" i="24"/>
  <c r="Q32" i="24"/>
  <c r="D32" i="24"/>
  <c r="P30" i="24"/>
  <c r="AC30" i="24" s="1"/>
  <c r="AH30" i="24" s="1"/>
  <c r="O30" i="24"/>
  <c r="AI30" i="24" s="1"/>
  <c r="R27" i="25"/>
  <c r="Y27" i="25" s="1"/>
  <c r="V27" i="25"/>
  <c r="AB27" i="25" s="1"/>
  <c r="AD27" i="25" l="1"/>
  <c r="AF27" i="25" s="1"/>
  <c r="T28" i="25"/>
  <c r="H28" i="26" s="1"/>
  <c r="R28" i="25"/>
  <c r="Y28" i="25" s="1"/>
  <c r="S28" i="25"/>
  <c r="G28" i="26" s="1"/>
  <c r="E26" i="27"/>
  <c r="M26" i="27" s="1"/>
  <c r="Q29" i="25"/>
  <c r="X29" i="25" s="1"/>
  <c r="W29" i="25"/>
  <c r="AO29" i="24"/>
  <c r="AU29" i="24" s="1"/>
  <c r="G29" i="24" s="1"/>
  <c r="AV29" i="24"/>
  <c r="H29" i="24" s="1"/>
  <c r="AQ28" i="24"/>
  <c r="AW28" i="24" s="1"/>
  <c r="I28" i="24" s="1"/>
  <c r="J28" i="26" s="1"/>
  <c r="K28" i="26" s="1"/>
  <c r="M28" i="26" s="1"/>
  <c r="O28" i="26" s="1"/>
  <c r="D27" i="27"/>
  <c r="E27" i="26"/>
  <c r="F27" i="26" s="1"/>
  <c r="Q33" i="24"/>
  <c r="W33" i="24"/>
  <c r="D33" i="24"/>
  <c r="Z33" i="24"/>
  <c r="T33" i="24"/>
  <c r="O31" i="24"/>
  <c r="AI31" i="24" s="1"/>
  <c r="P31" i="24"/>
  <c r="AC31" i="24" s="1"/>
  <c r="AH31" i="24" s="1"/>
  <c r="X32" i="24"/>
  <c r="AL32" i="24" s="1"/>
  <c r="M32" i="25" s="1"/>
  <c r="Y32" i="24"/>
  <c r="AF32" i="24" s="1"/>
  <c r="N32" i="24"/>
  <c r="F32" i="24"/>
  <c r="P28" i="25"/>
  <c r="U28" i="25"/>
  <c r="I28" i="26" s="1"/>
  <c r="V32" i="24"/>
  <c r="AE32" i="24" s="1"/>
  <c r="U32" i="24"/>
  <c r="AK32" i="24" s="1"/>
  <c r="L32" i="25" s="1"/>
  <c r="AB32" i="24"/>
  <c r="AG32" i="24" s="1"/>
  <c r="AA32" i="24"/>
  <c r="AM32" i="24" s="1"/>
  <c r="N32" i="25" s="1"/>
  <c r="J30" i="25"/>
  <c r="O30" i="25" s="1"/>
  <c r="AS30" i="24"/>
  <c r="AR30" i="24" s="1"/>
  <c r="AT30" i="24" s="1"/>
  <c r="AN30" i="24"/>
  <c r="AP30" i="24"/>
  <c r="F35" i="25"/>
  <c r="D34" i="25"/>
  <c r="S32" i="24"/>
  <c r="AD32" i="24" s="1"/>
  <c r="R32" i="24"/>
  <c r="AJ32" i="24" s="1"/>
  <c r="K32" i="25" s="1"/>
  <c r="V28" i="25"/>
  <c r="AB28" i="25" s="1"/>
  <c r="AE27" i="25" l="1"/>
  <c r="AD28" i="25"/>
  <c r="S29" i="25"/>
  <c r="G29" i="26" s="1"/>
  <c r="T29" i="25"/>
  <c r="H29" i="26" s="1"/>
  <c r="R29" i="25"/>
  <c r="Y29" i="25" s="1"/>
  <c r="V29" i="25"/>
  <c r="AB29" i="25" s="1"/>
  <c r="AQ29" i="24"/>
  <c r="AW29" i="24" s="1"/>
  <c r="I29" i="24" s="1"/>
  <c r="J29" i="26" s="1"/>
  <c r="K29" i="26" s="1"/>
  <c r="M29" i="26" s="1"/>
  <c r="O29" i="26" s="1"/>
  <c r="V33" i="24"/>
  <c r="AE33" i="24" s="1"/>
  <c r="U33" i="24"/>
  <c r="AK33" i="24" s="1"/>
  <c r="L33" i="25" s="1"/>
  <c r="AB33" i="24"/>
  <c r="AG33" i="24" s="1"/>
  <c r="AA33" i="24"/>
  <c r="AM33" i="24" s="1"/>
  <c r="N33" i="25" s="1"/>
  <c r="AO30" i="24"/>
  <c r="AU30" i="24" s="1"/>
  <c r="G30" i="24" s="1"/>
  <c r="AV30" i="24"/>
  <c r="H30" i="24" s="1"/>
  <c r="E28" i="26"/>
  <c r="F28" i="26" s="1"/>
  <c r="D28" i="27"/>
  <c r="F33" i="24"/>
  <c r="N33" i="24"/>
  <c r="X33" i="24"/>
  <c r="AL33" i="24" s="1"/>
  <c r="M33" i="25" s="1"/>
  <c r="Y33" i="24"/>
  <c r="AF33" i="24" s="1"/>
  <c r="S33" i="24"/>
  <c r="AD33" i="24" s="1"/>
  <c r="R33" i="24"/>
  <c r="AJ33" i="24" s="1"/>
  <c r="K33" i="25" s="1"/>
  <c r="U29" i="25"/>
  <c r="I29" i="26" s="1"/>
  <c r="P29" i="25"/>
  <c r="P32" i="24"/>
  <c r="AC32" i="24" s="1"/>
  <c r="AH32" i="24" s="1"/>
  <c r="O32" i="24"/>
  <c r="AI32" i="24" s="1"/>
  <c r="W30" i="25"/>
  <c r="Q30" i="25"/>
  <c r="X30" i="25" s="1"/>
  <c r="AP31" i="24"/>
  <c r="AS31" i="24"/>
  <c r="AR31" i="24" s="1"/>
  <c r="AT31" i="24" s="1"/>
  <c r="J31" i="25"/>
  <c r="O31" i="25" s="1"/>
  <c r="AN31" i="24"/>
  <c r="W34" i="24"/>
  <c r="Z34" i="24"/>
  <c r="T34" i="24"/>
  <c r="Q34" i="24"/>
  <c r="D34" i="24"/>
  <c r="D35" i="25"/>
  <c r="F36" i="25"/>
  <c r="E27" i="27"/>
  <c r="M27" i="27" s="1"/>
  <c r="F26" i="27"/>
  <c r="N26" i="27" s="1"/>
  <c r="O26" i="27" s="1"/>
  <c r="AD29" i="25" l="1"/>
  <c r="AE29" i="25"/>
  <c r="AF29" i="25"/>
  <c r="AF28" i="25"/>
  <c r="AE28" i="25"/>
  <c r="D29" i="27"/>
  <c r="E29" i="27" s="1"/>
  <c r="M29" i="27" s="1"/>
  <c r="V30" i="25"/>
  <c r="AB30" i="25" s="1"/>
  <c r="E29" i="26"/>
  <c r="F29" i="26" s="1"/>
  <c r="AQ30" i="24"/>
  <c r="AW30" i="24" s="1"/>
  <c r="I30" i="24" s="1"/>
  <c r="J30" i="26" s="1"/>
  <c r="K30" i="26" s="1"/>
  <c r="M30" i="26" s="1"/>
  <c r="O30" i="26" s="1"/>
  <c r="S30" i="25"/>
  <c r="G30" i="26" s="1"/>
  <c r="R30" i="25"/>
  <c r="Y30" i="25" s="1"/>
  <c r="AD30" i="25" s="1"/>
  <c r="T30" i="25"/>
  <c r="H30" i="26" s="1"/>
  <c r="S34" i="24"/>
  <c r="AD34" i="24" s="1"/>
  <c r="R34" i="24"/>
  <c r="AJ34" i="24" s="1"/>
  <c r="K34" i="25" s="1"/>
  <c r="J32" i="25"/>
  <c r="O32" i="25" s="1"/>
  <c r="AS32" i="24"/>
  <c r="AR32" i="24" s="1"/>
  <c r="AT32" i="24" s="1"/>
  <c r="AP32" i="24"/>
  <c r="AN32" i="24"/>
  <c r="X34" i="24"/>
  <c r="AL34" i="24" s="1"/>
  <c r="M34" i="25" s="1"/>
  <c r="Y34" i="24"/>
  <c r="AF34" i="24" s="1"/>
  <c r="Q31" i="25"/>
  <c r="W31" i="25"/>
  <c r="F27" i="27"/>
  <c r="N27" i="27" s="1"/>
  <c r="O27" i="27" s="1"/>
  <c r="E28" i="27"/>
  <c r="M28" i="27" s="1"/>
  <c r="AV31" i="24"/>
  <c r="H31" i="24" s="1"/>
  <c r="AO31" i="24"/>
  <c r="AU31" i="24" s="1"/>
  <c r="G31" i="24" s="1"/>
  <c r="F37" i="25"/>
  <c r="D36" i="25"/>
  <c r="V34" i="24"/>
  <c r="AE34" i="24" s="1"/>
  <c r="U34" i="24"/>
  <c r="AK34" i="24" s="1"/>
  <c r="L34" i="25" s="1"/>
  <c r="AB34" i="24"/>
  <c r="AG34" i="24" s="1"/>
  <c r="AA34" i="24"/>
  <c r="AM34" i="24" s="1"/>
  <c r="N34" i="25" s="1"/>
  <c r="Z35" i="24"/>
  <c r="T35" i="24"/>
  <c r="W35" i="24"/>
  <c r="Q35" i="24"/>
  <c r="D35" i="24"/>
  <c r="P30" i="25"/>
  <c r="U30" i="25"/>
  <c r="I30" i="26" s="1"/>
  <c r="N34" i="24"/>
  <c r="F34" i="24"/>
  <c r="O33" i="24"/>
  <c r="AI33" i="24" s="1"/>
  <c r="P33" i="24"/>
  <c r="AC33" i="24" s="1"/>
  <c r="AH33" i="24" s="1"/>
  <c r="AE30" i="25" l="1"/>
  <c r="AF30" i="25"/>
  <c r="E30" i="26"/>
  <c r="F30" i="26" s="1"/>
  <c r="D30" i="27"/>
  <c r="X31" i="25"/>
  <c r="F28" i="27"/>
  <c r="N28" i="27" s="1"/>
  <c r="S35" i="24"/>
  <c r="AD35" i="24" s="1"/>
  <c r="R35" i="24"/>
  <c r="AJ35" i="24" s="1"/>
  <c r="K35" i="25" s="1"/>
  <c r="N35" i="24"/>
  <c r="F35" i="24"/>
  <c r="O28" i="27"/>
  <c r="U31" i="25"/>
  <c r="I31" i="26" s="1"/>
  <c r="P31" i="25"/>
  <c r="W32" i="25"/>
  <c r="Q32" i="25"/>
  <c r="X32" i="25" s="1"/>
  <c r="V31" i="25"/>
  <c r="AB31" i="25" s="1"/>
  <c r="F29" i="27"/>
  <c r="N29" i="27" s="1"/>
  <c r="O29" i="27" s="1"/>
  <c r="AQ31" i="24"/>
  <c r="AW31" i="24" s="1"/>
  <c r="I31" i="24" s="1"/>
  <c r="J31" i="26" s="1"/>
  <c r="K31" i="26" s="1"/>
  <c r="M31" i="26" s="1"/>
  <c r="O31" i="26" s="1"/>
  <c r="X35" i="24"/>
  <c r="AL35" i="24" s="1"/>
  <c r="M35" i="25" s="1"/>
  <c r="Y35" i="24"/>
  <c r="AF35" i="24" s="1"/>
  <c r="P34" i="24"/>
  <c r="AC34" i="24" s="1"/>
  <c r="AH34" i="24" s="1"/>
  <c r="O34" i="24"/>
  <c r="AI34" i="24" s="1"/>
  <c r="W36" i="24"/>
  <c r="T36" i="24"/>
  <c r="Q36" i="24"/>
  <c r="D36" i="24"/>
  <c r="Z36" i="24"/>
  <c r="S31" i="25"/>
  <c r="G31" i="26" s="1"/>
  <c r="V35" i="24"/>
  <c r="AE35" i="24" s="1"/>
  <c r="U35" i="24"/>
  <c r="AK35" i="24" s="1"/>
  <c r="L35" i="25" s="1"/>
  <c r="AA35" i="24"/>
  <c r="AM35" i="24" s="1"/>
  <c r="N35" i="25" s="1"/>
  <c r="AB35" i="24"/>
  <c r="AG35" i="24" s="1"/>
  <c r="AV32" i="24"/>
  <c r="H32" i="24" s="1"/>
  <c r="AO32" i="24"/>
  <c r="AU32" i="24" s="1"/>
  <c r="G32" i="24" s="1"/>
  <c r="AS33" i="24"/>
  <c r="AR33" i="24" s="1"/>
  <c r="AT33" i="24" s="1"/>
  <c r="AP33" i="24"/>
  <c r="J33" i="25"/>
  <c r="O33" i="25" s="1"/>
  <c r="AN33" i="24"/>
  <c r="R31" i="25"/>
  <c r="Y31" i="25" s="1"/>
  <c r="F38" i="25"/>
  <c r="D37" i="25"/>
  <c r="T31" i="25"/>
  <c r="H31" i="26" s="1"/>
  <c r="E30" i="27"/>
  <c r="M30" i="27" s="1"/>
  <c r="AD31" i="25" l="1"/>
  <c r="AE31" i="25"/>
  <c r="AF31" i="25"/>
  <c r="V32" i="25"/>
  <c r="AB32" i="25" s="1"/>
  <c r="T32" i="25"/>
  <c r="H32" i="26" s="1"/>
  <c r="S32" i="25"/>
  <c r="G32" i="26" s="1"/>
  <c r="R32" i="25"/>
  <c r="Y32" i="25" s="1"/>
  <c r="AD32" i="25" s="1"/>
  <c r="AQ32" i="24"/>
  <c r="AW32" i="24" s="1"/>
  <c r="I32" i="24" s="1"/>
  <c r="J32" i="26" s="1"/>
  <c r="K32" i="26" s="1"/>
  <c r="M32" i="26" s="1"/>
  <c r="O32" i="26" s="1"/>
  <c r="F39" i="25"/>
  <c r="D38" i="25"/>
  <c r="U36" i="24"/>
  <c r="AK36" i="24" s="1"/>
  <c r="L36" i="25" s="1"/>
  <c r="V36" i="24"/>
  <c r="AE36" i="24" s="1"/>
  <c r="E31" i="26"/>
  <c r="F31" i="26" s="1"/>
  <c r="D31" i="27"/>
  <c r="AP34" i="24"/>
  <c r="AN34" i="24"/>
  <c r="J34" i="25"/>
  <c r="O34" i="25" s="1"/>
  <c r="AS34" i="24"/>
  <c r="AR34" i="24" s="1"/>
  <c r="AT34" i="24" s="1"/>
  <c r="Z37" i="24"/>
  <c r="D37" i="24"/>
  <c r="T37" i="24"/>
  <c r="W37" i="24"/>
  <c r="Q37" i="24"/>
  <c r="AA36" i="24"/>
  <c r="AM36" i="24" s="1"/>
  <c r="N36" i="25" s="1"/>
  <c r="AB36" i="24"/>
  <c r="AG36" i="24" s="1"/>
  <c r="O35" i="24"/>
  <c r="AI35" i="24" s="1"/>
  <c r="P35" i="24"/>
  <c r="AC35" i="24" s="1"/>
  <c r="AH35" i="24" s="1"/>
  <c r="Y36" i="24"/>
  <c r="AF36" i="24" s="1"/>
  <c r="X36" i="24"/>
  <c r="AL36" i="24" s="1"/>
  <c r="M36" i="25" s="1"/>
  <c r="F30" i="27"/>
  <c r="N30" i="27" s="1"/>
  <c r="O30" i="27" s="1"/>
  <c r="Q33" i="25"/>
  <c r="X33" i="25" s="1"/>
  <c r="W33" i="25"/>
  <c r="N36" i="24"/>
  <c r="F36" i="24"/>
  <c r="AV33" i="24"/>
  <c r="H33" i="24" s="1"/>
  <c r="AO33" i="24"/>
  <c r="AU33" i="24" s="1"/>
  <c r="G33" i="24" s="1"/>
  <c r="S36" i="24"/>
  <c r="AD36" i="24" s="1"/>
  <c r="R36" i="24"/>
  <c r="AJ36" i="24" s="1"/>
  <c r="K36" i="25" s="1"/>
  <c r="P32" i="25"/>
  <c r="U32" i="25"/>
  <c r="I32" i="26" s="1"/>
  <c r="D32" i="27" l="1"/>
  <c r="E32" i="26"/>
  <c r="F32" i="26" s="1"/>
  <c r="AE32" i="25"/>
  <c r="AF32" i="25"/>
  <c r="V33" i="25"/>
  <c r="AB33" i="25" s="1"/>
  <c r="T33" i="25"/>
  <c r="H33" i="26" s="1"/>
  <c r="R33" i="25"/>
  <c r="Y33" i="25" s="1"/>
  <c r="AD33" i="25" s="1"/>
  <c r="S33" i="25"/>
  <c r="G33" i="26" s="1"/>
  <c r="E32" i="27"/>
  <c r="M32" i="27" s="1"/>
  <c r="AO34" i="24"/>
  <c r="AU34" i="24" s="1"/>
  <c r="G34" i="24" s="1"/>
  <c r="AV34" i="24"/>
  <c r="H34" i="24" s="1"/>
  <c r="AB37" i="24"/>
  <c r="AG37" i="24" s="1"/>
  <c r="AA37" i="24"/>
  <c r="AM37" i="24" s="1"/>
  <c r="N37" i="25" s="1"/>
  <c r="O36" i="24"/>
  <c r="AI36" i="24" s="1"/>
  <c r="P36" i="24"/>
  <c r="AC36" i="24" s="1"/>
  <c r="AH36" i="24" s="1"/>
  <c r="AP35" i="24"/>
  <c r="AN35" i="24"/>
  <c r="AS35" i="24"/>
  <c r="AR35" i="24" s="1"/>
  <c r="AT35" i="24" s="1"/>
  <c r="J35" i="25"/>
  <c r="O35" i="25" s="1"/>
  <c r="S37" i="24"/>
  <c r="AD37" i="24" s="1"/>
  <c r="R37" i="24"/>
  <c r="AJ37" i="24" s="1"/>
  <c r="K37" i="25" s="1"/>
  <c r="U33" i="25"/>
  <c r="I33" i="26" s="1"/>
  <c r="P33" i="25"/>
  <c r="Y37" i="24"/>
  <c r="AF37" i="24" s="1"/>
  <c r="X37" i="24"/>
  <c r="AL37" i="24" s="1"/>
  <c r="M37" i="25" s="1"/>
  <c r="Z38" i="24"/>
  <c r="T38" i="24"/>
  <c r="W38" i="24"/>
  <c r="D38" i="24"/>
  <c r="Q38" i="24"/>
  <c r="Q34" i="25"/>
  <c r="X34" i="25" s="1"/>
  <c r="W34" i="25"/>
  <c r="V37" i="24"/>
  <c r="AE37" i="24" s="1"/>
  <c r="U37" i="24"/>
  <c r="AK37" i="24" s="1"/>
  <c r="L37" i="25" s="1"/>
  <c r="F40" i="25"/>
  <c r="D39" i="25"/>
  <c r="E31" i="27"/>
  <c r="M31" i="27" s="1"/>
  <c r="AQ33" i="24"/>
  <c r="AW33" i="24" s="1"/>
  <c r="I33" i="24" s="1"/>
  <c r="J33" i="26" s="1"/>
  <c r="K33" i="26" s="1"/>
  <c r="M33" i="26" s="1"/>
  <c r="O33" i="26" s="1"/>
  <c r="N37" i="24"/>
  <c r="F37" i="24"/>
  <c r="D33" i="27" l="1"/>
  <c r="E33" i="26"/>
  <c r="F33" i="26" s="1"/>
  <c r="AF33" i="25"/>
  <c r="AE33" i="25"/>
  <c r="R34" i="25"/>
  <c r="Y34" i="25" s="1"/>
  <c r="F31" i="27"/>
  <c r="N31" i="27" s="1"/>
  <c r="O31" i="27" s="1"/>
  <c r="S34" i="25"/>
  <c r="G34" i="26" s="1"/>
  <c r="F32" i="27"/>
  <c r="N32" i="27" s="1"/>
  <c r="O32" i="27" s="1"/>
  <c r="S38" i="24"/>
  <c r="AD38" i="24" s="1"/>
  <c r="R38" i="24"/>
  <c r="AJ38" i="24" s="1"/>
  <c r="K38" i="25" s="1"/>
  <c r="F41" i="25"/>
  <c r="D40" i="25"/>
  <c r="V38" i="24"/>
  <c r="AE38" i="24" s="1"/>
  <c r="U38" i="24"/>
  <c r="AK38" i="24" s="1"/>
  <c r="L38" i="25" s="1"/>
  <c r="AO35" i="24"/>
  <c r="AU35" i="24" s="1"/>
  <c r="G35" i="24" s="1"/>
  <c r="AV35" i="24"/>
  <c r="H35" i="24" s="1"/>
  <c r="X38" i="24"/>
  <c r="AL38" i="24" s="1"/>
  <c r="M38" i="25" s="1"/>
  <c r="Y38" i="24"/>
  <c r="AF38" i="24" s="1"/>
  <c r="AB38" i="24"/>
  <c r="AG38" i="24" s="1"/>
  <c r="AA38" i="24"/>
  <c r="AM38" i="24" s="1"/>
  <c r="N38" i="25" s="1"/>
  <c r="J36" i="25"/>
  <c r="O36" i="25" s="1"/>
  <c r="AS36" i="24"/>
  <c r="AR36" i="24" s="1"/>
  <c r="AT36" i="24" s="1"/>
  <c r="AP36" i="24"/>
  <c r="AN36" i="24"/>
  <c r="V34" i="25"/>
  <c r="AB34" i="25" s="1"/>
  <c r="E33" i="27"/>
  <c r="M33" i="27" s="1"/>
  <c r="D39" i="24"/>
  <c r="Q39" i="24"/>
  <c r="W39" i="24"/>
  <c r="Z39" i="24"/>
  <c r="T39" i="24"/>
  <c r="O37" i="24"/>
  <c r="AI37" i="24" s="1"/>
  <c r="P37" i="24"/>
  <c r="AC37" i="24" s="1"/>
  <c r="AH37" i="24" s="1"/>
  <c r="T34" i="25"/>
  <c r="H34" i="26" s="1"/>
  <c r="W35" i="25"/>
  <c r="Q35" i="25"/>
  <c r="X35" i="25" s="1"/>
  <c r="N38" i="24"/>
  <c r="F38" i="24"/>
  <c r="AQ34" i="24"/>
  <c r="AW34" i="24" s="1"/>
  <c r="I34" i="24" s="1"/>
  <c r="J34" i="26" s="1"/>
  <c r="K34" i="26" s="1"/>
  <c r="M34" i="26" s="1"/>
  <c r="O34" i="26" s="1"/>
  <c r="P34" i="25"/>
  <c r="U34" i="25"/>
  <c r="I34" i="26" s="1"/>
  <c r="AD34" i="25" l="1"/>
  <c r="V35" i="25"/>
  <c r="AB35" i="25" s="1"/>
  <c r="AQ35" i="24"/>
  <c r="AW35" i="24" s="1"/>
  <c r="I35" i="24" s="1"/>
  <c r="J35" i="26" s="1"/>
  <c r="K35" i="26" s="1"/>
  <c r="M35" i="26" s="1"/>
  <c r="O35" i="26" s="1"/>
  <c r="T35" i="25"/>
  <c r="H35" i="26" s="1"/>
  <c r="N39" i="24"/>
  <c r="F39" i="24"/>
  <c r="P38" i="24"/>
  <c r="AC38" i="24" s="1"/>
  <c r="AH38" i="24" s="1"/>
  <c r="O38" i="24"/>
  <c r="AI38" i="24" s="1"/>
  <c r="Y39" i="24"/>
  <c r="AF39" i="24" s="1"/>
  <c r="X39" i="24"/>
  <c r="AL39" i="24" s="1"/>
  <c r="M39" i="25" s="1"/>
  <c r="U35" i="25"/>
  <c r="I35" i="26" s="1"/>
  <c r="P35" i="25"/>
  <c r="S35" i="25"/>
  <c r="G35" i="26" s="1"/>
  <c r="E34" i="26"/>
  <c r="F34" i="26" s="1"/>
  <c r="D34" i="27"/>
  <c r="F33" i="27"/>
  <c r="N33" i="27" s="1"/>
  <c r="O33" i="27" s="1"/>
  <c r="R35" i="25"/>
  <c r="Y35" i="25" s="1"/>
  <c r="AD35" i="25" s="1"/>
  <c r="E35" i="26"/>
  <c r="F35" i="26" s="1"/>
  <c r="D35" i="27"/>
  <c r="R39" i="24"/>
  <c r="AJ39" i="24" s="1"/>
  <c r="K39" i="25" s="1"/>
  <c r="S39" i="24"/>
  <c r="AD39" i="24" s="1"/>
  <c r="AO36" i="24"/>
  <c r="AU36" i="24" s="1"/>
  <c r="G36" i="24" s="1"/>
  <c r="AV36" i="24"/>
  <c r="H36" i="24" s="1"/>
  <c r="Z40" i="24"/>
  <c r="Q40" i="24"/>
  <c r="D40" i="24"/>
  <c r="T40" i="24"/>
  <c r="W40" i="24"/>
  <c r="W36" i="25"/>
  <c r="Q36" i="25"/>
  <c r="X36" i="25" s="1"/>
  <c r="F42" i="25"/>
  <c r="D41" i="25"/>
  <c r="V39" i="24"/>
  <c r="AE39" i="24" s="1"/>
  <c r="U39" i="24"/>
  <c r="AK39" i="24" s="1"/>
  <c r="L39" i="25" s="1"/>
  <c r="AP37" i="24"/>
  <c r="AS37" i="24"/>
  <c r="AR37" i="24" s="1"/>
  <c r="AT37" i="24" s="1"/>
  <c r="AN37" i="24"/>
  <c r="J37" i="25"/>
  <c r="O37" i="25" s="1"/>
  <c r="AB39" i="24"/>
  <c r="AG39" i="24" s="1"/>
  <c r="AA39" i="24"/>
  <c r="AM39" i="24" s="1"/>
  <c r="N39" i="25" s="1"/>
  <c r="AF35" i="25" l="1"/>
  <c r="AE35" i="25"/>
  <c r="AF34" i="25"/>
  <c r="AE34" i="25"/>
  <c r="V36" i="25"/>
  <c r="AB36" i="25" s="1"/>
  <c r="AQ36" i="24"/>
  <c r="AW36" i="24" s="1"/>
  <c r="I36" i="24" s="1"/>
  <c r="J36" i="26" s="1"/>
  <c r="K36" i="26" s="1"/>
  <c r="M36" i="26" s="1"/>
  <c r="O36" i="26" s="1"/>
  <c r="R36" i="25"/>
  <c r="Y36" i="25" s="1"/>
  <c r="S36" i="25"/>
  <c r="G36" i="26" s="1"/>
  <c r="E36" i="26"/>
  <c r="F36" i="26" s="1"/>
  <c r="D36" i="27"/>
  <c r="S40" i="24"/>
  <c r="AD40" i="24" s="1"/>
  <c r="R40" i="24"/>
  <c r="AJ40" i="24" s="1"/>
  <c r="K40" i="25" s="1"/>
  <c r="Q41" i="24"/>
  <c r="T41" i="24"/>
  <c r="D41" i="24"/>
  <c r="W41" i="24"/>
  <c r="Z41" i="24"/>
  <c r="E34" i="27"/>
  <c r="M34" i="27" s="1"/>
  <c r="AB40" i="24"/>
  <c r="AG40" i="24" s="1"/>
  <c r="AA40" i="24"/>
  <c r="AM40" i="24" s="1"/>
  <c r="N40" i="25" s="1"/>
  <c r="T36" i="25"/>
  <c r="H36" i="26" s="1"/>
  <c r="AP38" i="24"/>
  <c r="AN38" i="24"/>
  <c r="J38" i="25"/>
  <c r="O38" i="25" s="1"/>
  <c r="AS38" i="24"/>
  <c r="AR38" i="24" s="1"/>
  <c r="AT38" i="24" s="1"/>
  <c r="W37" i="25"/>
  <c r="Q37" i="25"/>
  <c r="X37" i="25" s="1"/>
  <c r="Y40" i="24"/>
  <c r="AF40" i="24" s="1"/>
  <c r="X40" i="24"/>
  <c r="AL40" i="24" s="1"/>
  <c r="M40" i="25" s="1"/>
  <c r="AV37" i="24"/>
  <c r="H37" i="24" s="1"/>
  <c r="AO37" i="24"/>
  <c r="AU37" i="24" s="1"/>
  <c r="G37" i="24" s="1"/>
  <c r="V40" i="24"/>
  <c r="AE40" i="24" s="1"/>
  <c r="U40" i="24"/>
  <c r="AK40" i="24" s="1"/>
  <c r="L40" i="25" s="1"/>
  <c r="F43" i="25"/>
  <c r="D42" i="25"/>
  <c r="U36" i="25"/>
  <c r="I36" i="26" s="1"/>
  <c r="P36" i="25"/>
  <c r="E35" i="27"/>
  <c r="M35" i="27" s="1"/>
  <c r="N40" i="24"/>
  <c r="F40" i="24"/>
  <c r="P39" i="24"/>
  <c r="AC39" i="24" s="1"/>
  <c r="AH39" i="24" s="1"/>
  <c r="O39" i="24"/>
  <c r="AI39" i="24" s="1"/>
  <c r="AD36" i="25" l="1"/>
  <c r="AF36" i="25"/>
  <c r="AE36" i="25"/>
  <c r="V37" i="25"/>
  <c r="AB37" i="25" s="1"/>
  <c r="T37" i="25"/>
  <c r="H37" i="26" s="1"/>
  <c r="S37" i="25"/>
  <c r="G37" i="26" s="1"/>
  <c r="R37" i="25"/>
  <c r="Y37" i="25" s="1"/>
  <c r="AD37" i="25" s="1"/>
  <c r="AB41" i="24"/>
  <c r="AG41" i="24" s="1"/>
  <c r="AA41" i="24"/>
  <c r="AM41" i="24" s="1"/>
  <c r="N41" i="25" s="1"/>
  <c r="F44" i="25"/>
  <c r="D43" i="25"/>
  <c r="P37" i="25"/>
  <c r="U37" i="25"/>
  <c r="I37" i="26" s="1"/>
  <c r="X41" i="24"/>
  <c r="AL41" i="24" s="1"/>
  <c r="M41" i="25" s="1"/>
  <c r="Y41" i="24"/>
  <c r="AF41" i="24" s="1"/>
  <c r="E37" i="26"/>
  <c r="F37" i="26" s="1"/>
  <c r="D37" i="27"/>
  <c r="N41" i="24"/>
  <c r="F41" i="24"/>
  <c r="J39" i="25"/>
  <c r="O39" i="25" s="1"/>
  <c r="AN39" i="24"/>
  <c r="AS39" i="24"/>
  <c r="AR39" i="24" s="1"/>
  <c r="AT39" i="24" s="1"/>
  <c r="AP39" i="24"/>
  <c r="U41" i="24"/>
  <c r="AK41" i="24" s="1"/>
  <c r="L41" i="25" s="1"/>
  <c r="V41" i="24"/>
  <c r="AE41" i="24" s="1"/>
  <c r="R41" i="24"/>
  <c r="AJ41" i="24" s="1"/>
  <c r="K41" i="25" s="1"/>
  <c r="S41" i="24"/>
  <c r="AD41" i="24" s="1"/>
  <c r="F34" i="27"/>
  <c r="N34" i="27" s="1"/>
  <c r="O34" i="27" s="1"/>
  <c r="W42" i="24"/>
  <c r="Z42" i="24"/>
  <c r="D42" i="24"/>
  <c r="T42" i="24"/>
  <c r="Q42" i="24"/>
  <c r="Q38" i="25"/>
  <c r="X38" i="25" s="1"/>
  <c r="W38" i="25"/>
  <c r="AQ37" i="24"/>
  <c r="AW37" i="24" s="1"/>
  <c r="I37" i="24" s="1"/>
  <c r="J37" i="26" s="1"/>
  <c r="K37" i="26" s="1"/>
  <c r="M37" i="26" s="1"/>
  <c r="O37" i="26" s="1"/>
  <c r="O40" i="24"/>
  <c r="AI40" i="24" s="1"/>
  <c r="P40" i="24"/>
  <c r="AC40" i="24" s="1"/>
  <c r="AH40" i="24" s="1"/>
  <c r="AO38" i="24"/>
  <c r="AU38" i="24" s="1"/>
  <c r="G38" i="24" s="1"/>
  <c r="AV38" i="24"/>
  <c r="H38" i="24" s="1"/>
  <c r="E36" i="27"/>
  <c r="M36" i="27" s="1"/>
  <c r="F35" i="27"/>
  <c r="N35" i="27" s="1"/>
  <c r="O35" i="27" s="1"/>
  <c r="AF37" i="25" l="1"/>
  <c r="AE37" i="25"/>
  <c r="V38" i="25"/>
  <c r="AB38" i="25" s="1"/>
  <c r="R38" i="25"/>
  <c r="Y38" i="25" s="1"/>
  <c r="AD38" i="25" s="1"/>
  <c r="S38" i="25"/>
  <c r="G38" i="26" s="1"/>
  <c r="T38" i="25"/>
  <c r="H38" i="26" s="1"/>
  <c r="F36" i="27"/>
  <c r="N36" i="27" s="1"/>
  <c r="O36" i="27" s="1"/>
  <c r="O41" i="24"/>
  <c r="AI41" i="24" s="1"/>
  <c r="P41" i="24"/>
  <c r="AC41" i="24" s="1"/>
  <c r="AH41" i="24" s="1"/>
  <c r="E37" i="27"/>
  <c r="M37" i="27" s="1"/>
  <c r="U38" i="25"/>
  <c r="I38" i="26" s="1"/>
  <c r="P38" i="25"/>
  <c r="D43" i="24"/>
  <c r="T43" i="24"/>
  <c r="Z43" i="24"/>
  <c r="Q43" i="24"/>
  <c r="W43" i="24"/>
  <c r="AN40" i="24"/>
  <c r="J40" i="25"/>
  <c r="O40" i="25" s="1"/>
  <c r="AP40" i="24"/>
  <c r="AS40" i="24"/>
  <c r="AR40" i="24" s="1"/>
  <c r="AT40" i="24" s="1"/>
  <c r="U42" i="24"/>
  <c r="AK42" i="24" s="1"/>
  <c r="L42" i="25" s="1"/>
  <c r="V42" i="24"/>
  <c r="AE42" i="24" s="1"/>
  <c r="D44" i="25"/>
  <c r="F45" i="25"/>
  <c r="X42" i="24"/>
  <c r="AL42" i="24" s="1"/>
  <c r="M42" i="25" s="1"/>
  <c r="Y42" i="24"/>
  <c r="AF42" i="24" s="1"/>
  <c r="AV39" i="24"/>
  <c r="H39" i="24" s="1"/>
  <c r="AO39" i="24"/>
  <c r="AU39" i="24" s="1"/>
  <c r="G39" i="24" s="1"/>
  <c r="N42" i="24"/>
  <c r="F42" i="24"/>
  <c r="Q39" i="25"/>
  <c r="X39" i="25" s="1"/>
  <c r="W39" i="25"/>
  <c r="R42" i="24"/>
  <c r="AJ42" i="24" s="1"/>
  <c r="K42" i="25" s="1"/>
  <c r="S42" i="24"/>
  <c r="AD42" i="24" s="1"/>
  <c r="AQ38" i="24"/>
  <c r="AW38" i="24" s="1"/>
  <c r="I38" i="24" s="1"/>
  <c r="J38" i="26" s="1"/>
  <c r="K38" i="26" s="1"/>
  <c r="M38" i="26" s="1"/>
  <c r="O38" i="26" s="1"/>
  <c r="AB42" i="24"/>
  <c r="AG42" i="24" s="1"/>
  <c r="AA42" i="24"/>
  <c r="AM42" i="24" s="1"/>
  <c r="N42" i="25" s="1"/>
  <c r="D38" i="27" l="1"/>
  <c r="AF38" i="25"/>
  <c r="AE38" i="25"/>
  <c r="E38" i="26"/>
  <c r="F38" i="26" s="1"/>
  <c r="T39" i="25"/>
  <c r="H39" i="26" s="1"/>
  <c r="V39" i="25"/>
  <c r="AB39" i="25" s="1"/>
  <c r="AQ39" i="24"/>
  <c r="AW39" i="24" s="1"/>
  <c r="I39" i="24" s="1"/>
  <c r="J39" i="26" s="1"/>
  <c r="K39" i="26" s="1"/>
  <c r="M39" i="26" s="1"/>
  <c r="O39" i="26" s="1"/>
  <c r="S39" i="25"/>
  <c r="G39" i="26" s="1"/>
  <c r="R39" i="25"/>
  <c r="Y39" i="25" s="1"/>
  <c r="AD39" i="25" s="1"/>
  <c r="U43" i="24"/>
  <c r="AK43" i="24" s="1"/>
  <c r="L43" i="25" s="1"/>
  <c r="V43" i="24"/>
  <c r="AE43" i="24" s="1"/>
  <c r="F46" i="25"/>
  <c r="D45" i="25"/>
  <c r="F43" i="24"/>
  <c r="N43" i="24"/>
  <c r="E38" i="27"/>
  <c r="M38" i="27" s="1"/>
  <c r="U39" i="25"/>
  <c r="I39" i="26" s="1"/>
  <c r="P39" i="25"/>
  <c r="O42" i="24"/>
  <c r="AI42" i="24" s="1"/>
  <c r="P42" i="24"/>
  <c r="AC42" i="24" s="1"/>
  <c r="AH42" i="24" s="1"/>
  <c r="AV40" i="24"/>
  <c r="H40" i="24" s="1"/>
  <c r="AO40" i="24"/>
  <c r="AU40" i="24" s="1"/>
  <c r="G40" i="24" s="1"/>
  <c r="F37" i="27"/>
  <c r="N37" i="27" s="1"/>
  <c r="O37" i="27" s="1"/>
  <c r="X43" i="24"/>
  <c r="AL43" i="24" s="1"/>
  <c r="M43" i="25" s="1"/>
  <c r="Y43" i="24"/>
  <c r="AF43" i="24" s="1"/>
  <c r="AA43" i="24"/>
  <c r="AM43" i="24" s="1"/>
  <c r="N43" i="25" s="1"/>
  <c r="AB43" i="24"/>
  <c r="AG43" i="24" s="1"/>
  <c r="Q44" i="24"/>
  <c r="T44" i="24"/>
  <c r="W44" i="24"/>
  <c r="D44" i="24"/>
  <c r="Z44" i="24"/>
  <c r="W40" i="25"/>
  <c r="Q40" i="25"/>
  <c r="X40" i="25" s="1"/>
  <c r="S43" i="24"/>
  <c r="AD43" i="24" s="1"/>
  <c r="R43" i="24"/>
  <c r="AJ43" i="24" s="1"/>
  <c r="K43" i="25" s="1"/>
  <c r="AP41" i="24"/>
  <c r="AS41" i="24"/>
  <c r="AR41" i="24" s="1"/>
  <c r="AT41" i="24" s="1"/>
  <c r="J41" i="25"/>
  <c r="O41" i="25" s="1"/>
  <c r="AN41" i="24"/>
  <c r="AF39" i="25" l="1"/>
  <c r="AE39" i="25"/>
  <c r="S40" i="25"/>
  <c r="G40" i="26" s="1"/>
  <c r="E39" i="26"/>
  <c r="F39" i="26" s="1"/>
  <c r="D39" i="27"/>
  <c r="E39" i="27" s="1"/>
  <c r="M39" i="27" s="1"/>
  <c r="R40" i="25"/>
  <c r="Y40" i="25" s="1"/>
  <c r="AQ40" i="24"/>
  <c r="AW40" i="24" s="1"/>
  <c r="I40" i="24" s="1"/>
  <c r="J40" i="26" s="1"/>
  <c r="K40" i="26" s="1"/>
  <c r="M40" i="26" s="1"/>
  <c r="O40" i="26" s="1"/>
  <c r="O43" i="24"/>
  <c r="AI43" i="24" s="1"/>
  <c r="P43" i="24"/>
  <c r="AC43" i="24" s="1"/>
  <c r="AH43" i="24" s="1"/>
  <c r="F38" i="27"/>
  <c r="N38" i="27" s="1"/>
  <c r="O38" i="27" s="1"/>
  <c r="Q45" i="24"/>
  <c r="T45" i="24"/>
  <c r="Z45" i="24"/>
  <c r="W45" i="24"/>
  <c r="D45" i="24"/>
  <c r="V40" i="25"/>
  <c r="AB40" i="25" s="1"/>
  <c r="T40" i="25"/>
  <c r="H40" i="26" s="1"/>
  <c r="N44" i="24"/>
  <c r="F44" i="24"/>
  <c r="Y44" i="24"/>
  <c r="AF44" i="24" s="1"/>
  <c r="X44" i="24"/>
  <c r="AL44" i="24" s="1"/>
  <c r="M44" i="25" s="1"/>
  <c r="F47" i="25"/>
  <c r="D47" i="25" s="1"/>
  <c r="D20" i="28" s="1" a="1"/>
  <c r="D20" i="28" s="1"/>
  <c r="D46" i="25"/>
  <c r="W41" i="25"/>
  <c r="Q41" i="25"/>
  <c r="X41" i="25" s="1"/>
  <c r="AV41" i="24"/>
  <c r="H41" i="24" s="1"/>
  <c r="AO41" i="24"/>
  <c r="AU41" i="24" s="1"/>
  <c r="G41" i="24" s="1"/>
  <c r="V44" i="24"/>
  <c r="AE44" i="24" s="1"/>
  <c r="U44" i="24"/>
  <c r="AK44" i="24" s="1"/>
  <c r="L44" i="25" s="1"/>
  <c r="AS42" i="24"/>
  <c r="AR42" i="24" s="1"/>
  <c r="AT42" i="24" s="1"/>
  <c r="AP42" i="24"/>
  <c r="J42" i="25"/>
  <c r="O42" i="25" s="1"/>
  <c r="AN42" i="24"/>
  <c r="U40" i="25"/>
  <c r="I40" i="26" s="1"/>
  <c r="P40" i="25"/>
  <c r="AB44" i="24"/>
  <c r="AG44" i="24" s="1"/>
  <c r="AA44" i="24"/>
  <c r="AM44" i="24" s="1"/>
  <c r="N44" i="25" s="1"/>
  <c r="S44" i="24"/>
  <c r="AD44" i="24" s="1"/>
  <c r="R44" i="24"/>
  <c r="AJ44" i="24" s="1"/>
  <c r="K44" i="25" s="1"/>
  <c r="AD40" i="25" l="1"/>
  <c r="S41" i="25"/>
  <c r="G41" i="26" s="1"/>
  <c r="R41" i="25"/>
  <c r="Y41" i="25" s="1"/>
  <c r="T41" i="25"/>
  <c r="H41" i="26" s="1"/>
  <c r="V41" i="25"/>
  <c r="AB41" i="25" s="1"/>
  <c r="AQ41" i="24"/>
  <c r="AW41" i="24" s="1"/>
  <c r="I41" i="24" s="1"/>
  <c r="J41" i="26" s="1"/>
  <c r="K41" i="26" s="1"/>
  <c r="M41" i="26" s="1"/>
  <c r="O41" i="26" s="1"/>
  <c r="F39" i="27"/>
  <c r="N39" i="27" s="1"/>
  <c r="O39" i="27" s="1"/>
  <c r="X45" i="24"/>
  <c r="AL45" i="24" s="1"/>
  <c r="M45" i="25" s="1"/>
  <c r="Y45" i="24"/>
  <c r="AF45" i="24" s="1"/>
  <c r="F45" i="24"/>
  <c r="N45" i="24"/>
  <c r="AA45" i="24"/>
  <c r="AM45" i="24" s="1"/>
  <c r="N45" i="25" s="1"/>
  <c r="AB45" i="24"/>
  <c r="AG45" i="24" s="1"/>
  <c r="AO42" i="24"/>
  <c r="AU42" i="24" s="1"/>
  <c r="G42" i="24" s="1"/>
  <c r="AV42" i="24"/>
  <c r="H42" i="24" s="1"/>
  <c r="V45" i="24"/>
  <c r="AE45" i="24" s="1"/>
  <c r="U45" i="24"/>
  <c r="AK45" i="24" s="1"/>
  <c r="L45" i="25" s="1"/>
  <c r="R45" i="24"/>
  <c r="AJ45" i="24" s="1"/>
  <c r="K45" i="25" s="1"/>
  <c r="S45" i="24"/>
  <c r="AD45" i="24" s="1"/>
  <c r="Z47" i="24"/>
  <c r="Q47" i="24"/>
  <c r="W47" i="24"/>
  <c r="D47" i="24"/>
  <c r="T47" i="24"/>
  <c r="E40" i="26"/>
  <c r="F40" i="26" s="1"/>
  <c r="D40" i="27"/>
  <c r="W46" i="24"/>
  <c r="Q46" i="24"/>
  <c r="D46" i="24"/>
  <c r="Z46" i="24"/>
  <c r="T46" i="24"/>
  <c r="AP43" i="24"/>
  <c r="AS43" i="24"/>
  <c r="AR43" i="24" s="1"/>
  <c r="AT43" i="24" s="1"/>
  <c r="AN43" i="24"/>
  <c r="J43" i="25"/>
  <c r="O43" i="25" s="1"/>
  <c r="Q42" i="25"/>
  <c r="X42" i="25" s="1"/>
  <c r="W42" i="25"/>
  <c r="O44" i="24"/>
  <c r="AI44" i="24" s="1"/>
  <c r="P44" i="24"/>
  <c r="AC44" i="24" s="1"/>
  <c r="AH44" i="24" s="1"/>
  <c r="U41" i="25"/>
  <c r="I41" i="26" s="1"/>
  <c r="P41" i="25"/>
  <c r="AD41" i="25" l="1"/>
  <c r="AE40" i="25"/>
  <c r="AF40" i="25"/>
  <c r="R42" i="25"/>
  <c r="Y42" i="25" s="1"/>
  <c r="D41" i="27"/>
  <c r="E41" i="27" s="1"/>
  <c r="M41" i="27" s="1"/>
  <c r="V42" i="25"/>
  <c r="AB42" i="25" s="1"/>
  <c r="E41" i="26"/>
  <c r="F41" i="26" s="1"/>
  <c r="T42" i="25"/>
  <c r="H42" i="26" s="1"/>
  <c r="AB46" i="24"/>
  <c r="AG46" i="24" s="1"/>
  <c r="AA46" i="24"/>
  <c r="AM46" i="24" s="1"/>
  <c r="N46" i="25" s="1"/>
  <c r="D42" i="27"/>
  <c r="Y46" i="24"/>
  <c r="AF46" i="24" s="1"/>
  <c r="X46" i="24"/>
  <c r="AL46" i="24" s="1"/>
  <c r="M46" i="25" s="1"/>
  <c r="AQ42" i="24"/>
  <c r="AW42" i="24" s="1"/>
  <c r="I42" i="24" s="1"/>
  <c r="J42" i="26" s="1"/>
  <c r="K42" i="26" s="1"/>
  <c r="M42" i="26" s="1"/>
  <c r="O42" i="26" s="1"/>
  <c r="E40" i="27"/>
  <c r="M40" i="27" s="1"/>
  <c r="N46" i="24"/>
  <c r="F46" i="24"/>
  <c r="U47" i="24"/>
  <c r="AK47" i="24" s="1"/>
  <c r="L47" i="25" s="1"/>
  <c r="V47" i="24"/>
  <c r="AE47" i="24" s="1"/>
  <c r="S46" i="24"/>
  <c r="AD46" i="24" s="1"/>
  <c r="R46" i="24"/>
  <c r="AJ46" i="24" s="1"/>
  <c r="K46" i="25" s="1"/>
  <c r="Q43" i="25"/>
  <c r="X43" i="25" s="1"/>
  <c r="W43" i="25"/>
  <c r="N47" i="24"/>
  <c r="F47" i="24"/>
  <c r="X47" i="24"/>
  <c r="AL47" i="24" s="1"/>
  <c r="M47" i="25" s="1"/>
  <c r="Y47" i="24"/>
  <c r="AF47" i="24" s="1"/>
  <c r="O45" i="24"/>
  <c r="AI45" i="24" s="1"/>
  <c r="P45" i="24"/>
  <c r="AC45" i="24" s="1"/>
  <c r="AH45" i="24" s="1"/>
  <c r="R47" i="24"/>
  <c r="AJ47" i="24" s="1"/>
  <c r="K47" i="25" s="1"/>
  <c r="S47" i="24"/>
  <c r="AD47" i="24" s="1"/>
  <c r="U42" i="25"/>
  <c r="I42" i="26" s="1"/>
  <c r="P42" i="25"/>
  <c r="AP44" i="24"/>
  <c r="AN44" i="24"/>
  <c r="J44" i="25"/>
  <c r="O44" i="25" s="1"/>
  <c r="AS44" i="24"/>
  <c r="AR44" i="24" s="1"/>
  <c r="AT44" i="24" s="1"/>
  <c r="AO43" i="24"/>
  <c r="AU43" i="24" s="1"/>
  <c r="G43" i="24" s="1"/>
  <c r="AV43" i="24"/>
  <c r="H43" i="24" s="1"/>
  <c r="AA47" i="24"/>
  <c r="AM47" i="24" s="1"/>
  <c r="N47" i="25" s="1"/>
  <c r="AB47" i="24"/>
  <c r="AG47" i="24" s="1"/>
  <c r="S42" i="25"/>
  <c r="G42" i="26" s="1"/>
  <c r="V46" i="24"/>
  <c r="AE46" i="24" s="1"/>
  <c r="U46" i="24"/>
  <c r="AK46" i="24" s="1"/>
  <c r="L46" i="25" s="1"/>
  <c r="AD42" i="25" l="1"/>
  <c r="AE42" i="25" s="1"/>
  <c r="AE41" i="25"/>
  <c r="AF41" i="25"/>
  <c r="E42" i="26"/>
  <c r="F42" i="26" s="1"/>
  <c r="S43" i="25"/>
  <c r="G43" i="26" s="1"/>
  <c r="AQ43" i="24"/>
  <c r="AW43" i="24" s="1"/>
  <c r="I43" i="24" s="1"/>
  <c r="J43" i="26" s="1"/>
  <c r="K43" i="26" s="1"/>
  <c r="M43" i="26" s="1"/>
  <c r="O43" i="26" s="1"/>
  <c r="T43" i="25"/>
  <c r="H43" i="26" s="1"/>
  <c r="V43" i="25"/>
  <c r="AB43" i="25" s="1"/>
  <c r="O47" i="24"/>
  <c r="AI47" i="24" s="1"/>
  <c r="P47" i="24"/>
  <c r="AC47" i="24" s="1"/>
  <c r="AH47" i="24" s="1"/>
  <c r="F41" i="27"/>
  <c r="N41" i="27" s="1"/>
  <c r="O41" i="27" s="1"/>
  <c r="R43" i="25"/>
  <c r="Y43" i="25" s="1"/>
  <c r="F40" i="27"/>
  <c r="N40" i="27" s="1"/>
  <c r="O40" i="27" s="1"/>
  <c r="AO44" i="24"/>
  <c r="AU44" i="24" s="1"/>
  <c r="G44" i="24" s="1"/>
  <c r="AV44" i="24"/>
  <c r="H44" i="24" s="1"/>
  <c r="U43" i="25"/>
  <c r="I43" i="26" s="1"/>
  <c r="P43" i="25"/>
  <c r="W44" i="25"/>
  <c r="Q44" i="25"/>
  <c r="X44" i="25" s="1"/>
  <c r="E42" i="27"/>
  <c r="M42" i="27" s="1"/>
  <c r="O46" i="24"/>
  <c r="AI46" i="24" s="1"/>
  <c r="P46" i="24"/>
  <c r="AC46" i="24" s="1"/>
  <c r="AH46" i="24" s="1"/>
  <c r="AN45" i="24"/>
  <c r="AP45" i="24"/>
  <c r="J45" i="25"/>
  <c r="O45" i="25" s="1"/>
  <c r="AS45" i="24"/>
  <c r="AR45" i="24" s="1"/>
  <c r="AT45" i="24" s="1"/>
  <c r="AF42" i="25" l="1"/>
  <c r="AD43" i="25"/>
  <c r="D43" i="27"/>
  <c r="E43" i="27" s="1"/>
  <c r="M43" i="27" s="1"/>
  <c r="E43" i="26"/>
  <c r="F43" i="26" s="1"/>
  <c r="S44" i="25"/>
  <c r="G44" i="26" s="1"/>
  <c r="AQ44" i="24"/>
  <c r="AW44" i="24" s="1"/>
  <c r="I44" i="24" s="1"/>
  <c r="J44" i="26" s="1"/>
  <c r="K44" i="26" s="1"/>
  <c r="M44" i="26" s="1"/>
  <c r="O44" i="26" s="1"/>
  <c r="T44" i="25"/>
  <c r="H44" i="26" s="1"/>
  <c r="V44" i="25"/>
  <c r="R44" i="25"/>
  <c r="Y44" i="25" s="1"/>
  <c r="F42" i="27"/>
  <c r="N42" i="27" s="1"/>
  <c r="O42" i="27" s="1"/>
  <c r="U44" i="25"/>
  <c r="I44" i="26" s="1"/>
  <c r="P44" i="25"/>
  <c r="AP46" i="24"/>
  <c r="AS46" i="24"/>
  <c r="AR46" i="24" s="1"/>
  <c r="AT46" i="24" s="1"/>
  <c r="J46" i="25"/>
  <c r="O46" i="25" s="1"/>
  <c r="AN46" i="24"/>
  <c r="AV45" i="24"/>
  <c r="H45" i="24" s="1"/>
  <c r="AO45" i="24"/>
  <c r="AU45" i="24" s="1"/>
  <c r="G45" i="24" s="1"/>
  <c r="AN47" i="24"/>
  <c r="AS47" i="24"/>
  <c r="AR47" i="24" s="1"/>
  <c r="AT47" i="24" s="1"/>
  <c r="AP47" i="24"/>
  <c r="J47" i="25"/>
  <c r="O47" i="25" s="1"/>
  <c r="W45" i="25"/>
  <c r="Q45" i="25"/>
  <c r="X45" i="25" s="1"/>
  <c r="AE43" i="25" l="1"/>
  <c r="AF43" i="25"/>
  <c r="D44" i="27"/>
  <c r="E44" i="27" s="1"/>
  <c r="M44" i="27" s="1"/>
  <c r="AB44" i="25"/>
  <c r="AD44" i="25" s="1"/>
  <c r="V45" i="25"/>
  <c r="AB45" i="25" s="1"/>
  <c r="E44" i="26"/>
  <c r="F44" i="26" s="1"/>
  <c r="D45" i="27"/>
  <c r="E45" i="26"/>
  <c r="F45" i="26" s="1"/>
  <c r="W46" i="25"/>
  <c r="Q46" i="25"/>
  <c r="X46" i="25" s="1"/>
  <c r="W47" i="25"/>
  <c r="Q47" i="25"/>
  <c r="X47" i="25" s="1"/>
  <c r="T45" i="25"/>
  <c r="H45" i="26" s="1"/>
  <c r="AO47" i="24"/>
  <c r="AU47" i="24" s="1"/>
  <c r="G47" i="24" s="1"/>
  <c r="AV47" i="24"/>
  <c r="H47" i="24" s="1"/>
  <c r="AV46" i="24"/>
  <c r="H46" i="24" s="1"/>
  <c r="AO46" i="24"/>
  <c r="AU46" i="24" s="1"/>
  <c r="G46" i="24" s="1"/>
  <c r="R45" i="25"/>
  <c r="Y45" i="25" s="1"/>
  <c r="F43" i="27"/>
  <c r="N43" i="27" s="1"/>
  <c r="O43" i="27" s="1"/>
  <c r="P45" i="25"/>
  <c r="U45" i="25"/>
  <c r="I45" i="26" s="1"/>
  <c r="AQ45" i="24"/>
  <c r="AW45" i="24" s="1"/>
  <c r="I45" i="24" s="1"/>
  <c r="J45" i="26" s="1"/>
  <c r="K45" i="26" s="1"/>
  <c r="M45" i="26" s="1"/>
  <c r="O45" i="26" s="1"/>
  <c r="S45" i="25"/>
  <c r="G45" i="26" s="1"/>
  <c r="AD45" i="25" l="1"/>
  <c r="D15" i="28" a="1"/>
  <c r="D15" i="28" s="1"/>
  <c r="D16" i="28" a="1"/>
  <c r="D16" i="28" s="1"/>
  <c r="AE44" i="25"/>
  <c r="AF44" i="25"/>
  <c r="AF45" i="25"/>
  <c r="AE45" i="25"/>
  <c r="T47" i="25"/>
  <c r="H47" i="26" s="1"/>
  <c r="R46" i="25"/>
  <c r="Y46" i="25" s="1"/>
  <c r="AD46" i="25" s="1"/>
  <c r="AQ46" i="24"/>
  <c r="AW46" i="24" s="1"/>
  <c r="I46" i="24" s="1"/>
  <c r="J46" i="26" s="1"/>
  <c r="K46" i="26" s="1"/>
  <c r="M46" i="26" s="1"/>
  <c r="O46" i="26" s="1"/>
  <c r="V47" i="25"/>
  <c r="P46" i="25"/>
  <c r="U46" i="25"/>
  <c r="I46" i="26" s="1"/>
  <c r="S47" i="25"/>
  <c r="G47" i="26" s="1"/>
  <c r="S46" i="25"/>
  <c r="G46" i="26" s="1"/>
  <c r="T46" i="25"/>
  <c r="H46" i="26" s="1"/>
  <c r="AQ47" i="24"/>
  <c r="AW47" i="24" s="1"/>
  <c r="I47" i="24" s="1"/>
  <c r="V46" i="25"/>
  <c r="AB46" i="25" s="1"/>
  <c r="F44" i="27"/>
  <c r="N44" i="27" s="1"/>
  <c r="O44" i="27" s="1"/>
  <c r="P47" i="25"/>
  <c r="U47" i="25"/>
  <c r="I47" i="26" s="1"/>
  <c r="R47" i="25"/>
  <c r="Y47" i="25" s="1"/>
  <c r="E45" i="27"/>
  <c r="M45" i="27" s="1"/>
  <c r="J47" i="26" l="1"/>
  <c r="K47" i="26" s="1"/>
  <c r="M47" i="26" s="1"/>
  <c r="O47" i="26" s="1"/>
  <c r="D17" i="28" a="1"/>
  <c r="D17" i="28" s="1"/>
  <c r="AF46" i="25"/>
  <c r="AE46" i="25"/>
  <c r="AB47" i="25"/>
  <c r="AD47" i="25" s="1"/>
  <c r="E46" i="26"/>
  <c r="F46" i="26" s="1"/>
  <c r="D46" i="27"/>
  <c r="F45" i="27"/>
  <c r="N45" i="27" s="1"/>
  <c r="O45" i="27" s="1"/>
  <c r="E47" i="26"/>
  <c r="F47" i="26" s="1"/>
  <c r="D47" i="27"/>
  <c r="AF47" i="25" l="1"/>
  <c r="AE47" i="25"/>
  <c r="E47" i="27"/>
  <c r="M47" i="27" s="1"/>
  <c r="E46" i="27"/>
  <c r="M46" i="27" s="1"/>
  <c r="F46" i="27" l="1"/>
  <c r="N46" i="27" s="1"/>
  <c r="O46" i="27" s="1"/>
  <c r="F47" i="27"/>
  <c r="N47" i="27" s="1"/>
  <c r="O47" i="2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<sst xmlns="http://schemas.openxmlformats.org/spreadsheetml/2006/main" count="1292" uniqueCount="324">
  <si>
    <t>ANO</t>
  </si>
  <si>
    <t>Ano</t>
  </si>
  <si>
    <t>%</t>
  </si>
  <si>
    <t>Total</t>
  </si>
  <si>
    <t>Urbana Sazonal</t>
  </si>
  <si>
    <t>Perdas Totais</t>
  </si>
  <si>
    <t>Comercial</t>
  </si>
  <si>
    <t>Industrial</t>
  </si>
  <si>
    <t>Resid</t>
  </si>
  <si>
    <t>Público</t>
  </si>
  <si>
    <t>Distribuição das Vazões</t>
  </si>
  <si>
    <t>Coeficientes</t>
  </si>
  <si>
    <t>K1</t>
  </si>
  <si>
    <t>K2</t>
  </si>
  <si>
    <t>K3</t>
  </si>
  <si>
    <t>Retorno</t>
  </si>
  <si>
    <t>F redução Perdas</t>
  </si>
  <si>
    <t>L/Hab x dia</t>
  </si>
  <si>
    <t>m³/mês</t>
  </si>
  <si>
    <t>L/s</t>
  </si>
  <si>
    <t>Urbana Permanente</t>
  </si>
  <si>
    <t>Funcio/o</t>
  </si>
  <si>
    <t>Ano 1-10</t>
  </si>
  <si>
    <t>Ano 11-20</t>
  </si>
  <si>
    <t xml:space="preserve">m/lig A </t>
  </si>
  <si>
    <t xml:space="preserve">m/lig E </t>
  </si>
  <si>
    <t>Extensão de rede de Esgoto</t>
  </si>
  <si>
    <t>Extensão de rede de Água</t>
  </si>
  <si>
    <t>Densidade de Economias por Ligação Água</t>
  </si>
  <si>
    <t>Densidade de Economias por Ligação Esgoto</t>
  </si>
  <si>
    <t>Dia de Maior Consumo</t>
  </si>
  <si>
    <t>Hora de Maior Consumo</t>
  </si>
  <si>
    <t>Minima Noturna</t>
  </si>
  <si>
    <t>Tx Crescimento</t>
  </si>
  <si>
    <t>Economia Comercial</t>
  </si>
  <si>
    <t>Ligação Comercial</t>
  </si>
  <si>
    <t>Economia Industrial</t>
  </si>
  <si>
    <t>Ligação Industrial</t>
  </si>
  <si>
    <t>Per Capita Consumido Resid Médio</t>
  </si>
  <si>
    <t>Per Capita Medido Resid Médio</t>
  </si>
  <si>
    <t>Consumido Por Economia</t>
  </si>
  <si>
    <t>Disponibilizado Por Ligação</t>
  </si>
  <si>
    <t xml:space="preserve"> Consumido Por Ligação</t>
  </si>
  <si>
    <t>Perdas Fisicas</t>
  </si>
  <si>
    <t>Perdas Aparentes</t>
  </si>
  <si>
    <t>Vazão Média Infiltração</t>
  </si>
  <si>
    <t>Do Dia e Hora de Maior Consumo</t>
  </si>
  <si>
    <t>Ano 21-35</t>
  </si>
  <si>
    <t>Economias Ativas Totais</t>
  </si>
  <si>
    <t>Ligações Ativas Totais</t>
  </si>
  <si>
    <t>Índice de Atendimento Total de Água</t>
  </si>
  <si>
    <t>Índice de Atendimento Total de Esgoto</t>
  </si>
  <si>
    <t>Investimento Água</t>
  </si>
  <si>
    <t>Total Anual</t>
  </si>
  <si>
    <t>Base</t>
  </si>
  <si>
    <t>RESERVAÇÃO e REDES</t>
  </si>
  <si>
    <t>Ano de Referência</t>
  </si>
  <si>
    <t>AG002 - Quantidade de ligações ativas de água</t>
  </si>
  <si>
    <t>(ligações)</t>
  </si>
  <si>
    <t>AG003 - Quantidade de economias ativas de água</t>
  </si>
  <si>
    <t>(economias)</t>
  </si>
  <si>
    <t>AG004 - Quantidade de ligações ativas de água micro medidas</t>
  </si>
  <si>
    <t>AG021 - Quantidade de ligações totais de água</t>
  </si>
  <si>
    <r>
      <t>Ano</t>
    </r>
    <r>
      <rPr>
        <sz val="7"/>
        <color rgb="FFFFFFFF"/>
        <rFont val="Arial"/>
        <family val="2"/>
      </rPr>
      <t xml:space="preserve"> </t>
    </r>
  </si>
  <si>
    <t>de Referência</t>
  </si>
  <si>
    <t>AG006 - Volume de água produzido</t>
  </si>
  <si>
    <t>(mil m³/ano)</t>
  </si>
  <si>
    <t>AG008 - Volume de água micro medido</t>
  </si>
  <si>
    <t>AG010 - Volume de água consumido</t>
  </si>
  <si>
    <t>AG011 - Volume de água faturado</t>
  </si>
  <si>
    <t>IN014_AE - Consumo micro medido por economia</t>
  </si>
  <si>
    <t>(m³/mês)</t>
  </si>
  <si>
    <t>IN017_AE - Consumo de água faturado por economia</t>
  </si>
  <si>
    <t>IN022_AE - Consumo médio per capita de água</t>
  </si>
  <si>
    <t>(l/hab./dia)</t>
  </si>
  <si>
    <t>IN025_AE - Volume de água disponibilizado por economia</t>
  </si>
  <si>
    <t>(m³/mês/econ.)</t>
  </si>
  <si>
    <r>
      <t>Ano</t>
    </r>
    <r>
      <rPr>
        <sz val="7"/>
        <color rgb="FFFFFFFF"/>
        <rFont val="Arial"/>
        <family val="2"/>
      </rPr>
      <t xml:space="preserve"> de Referência</t>
    </r>
  </si>
  <si>
    <t>k Comer</t>
  </si>
  <si>
    <t>k Ind</t>
  </si>
  <si>
    <t>Vago</t>
  </si>
  <si>
    <t>k Vago</t>
  </si>
  <si>
    <t>ATENDIMENTO</t>
  </si>
  <si>
    <t>Densidade de Morador por Domicilio</t>
  </si>
  <si>
    <t>ECONOMIAS E LIGAÇÕES DE ESGOTO</t>
  </si>
  <si>
    <t>k Publico</t>
  </si>
  <si>
    <t>Residencial Urbano Total - Hab Eco Constante</t>
  </si>
  <si>
    <t>Eco/Lig Comercial</t>
  </si>
  <si>
    <t>Eco/Lig industial</t>
  </si>
  <si>
    <t>Eco/Lig Industrial</t>
  </si>
  <si>
    <t>Diminuição de Lotes vago sobre móveis</t>
  </si>
  <si>
    <t>Diminuição de Lote vago Sobreligações total</t>
  </si>
  <si>
    <t>Perda na Cap/ETA</t>
  </si>
  <si>
    <t>Vazão Total de Esgotamento - MÁXIMA</t>
  </si>
  <si>
    <t>Investimento Esgoto</t>
  </si>
  <si>
    <t>População</t>
  </si>
  <si>
    <t>VAZÕES DE ÁGUA (L/s)</t>
  </si>
  <si>
    <t>Consumido por Economais INDUSTRIAL</t>
  </si>
  <si>
    <t>Disponibilizado por Economia INDUSTRIAL</t>
  </si>
  <si>
    <t>Consumido por Economais COMERCIAL</t>
  </si>
  <si>
    <t>Disponibilizado por Economia COMERCIAL</t>
  </si>
  <si>
    <t>m</t>
  </si>
  <si>
    <t>m³</t>
  </si>
  <si>
    <t>Economias Totais de Água (Com e Sem Atendimento)</t>
  </si>
  <si>
    <t>Ligações Totais de Água (Com e Sem Atendimento)</t>
  </si>
  <si>
    <t>Economias Totais de Esgoto (Com e Sem Atendimento)</t>
  </si>
  <si>
    <t>Ligações Totais de Esgoto (Com e Sem Atendimento)</t>
  </si>
  <si>
    <t>m³/mês (categoria)</t>
  </si>
  <si>
    <t>Medido Por Economia</t>
  </si>
  <si>
    <t xml:space="preserve"> Medido Por Ligação</t>
  </si>
  <si>
    <t>População Atendida Água</t>
  </si>
  <si>
    <t>população Atendida Esgoto</t>
  </si>
  <si>
    <t xml:space="preserve">Vol Consumido Total </t>
  </si>
  <si>
    <t>m³/Ano</t>
  </si>
  <si>
    <t>Sede</t>
  </si>
  <si>
    <t>Atafona</t>
  </si>
  <si>
    <t>Grussaí</t>
  </si>
  <si>
    <t>Cajueiro</t>
  </si>
  <si>
    <t>Pipeiras</t>
  </si>
  <si>
    <t>Barcelos</t>
  </si>
  <si>
    <t>Hab.</t>
  </si>
  <si>
    <t xml:space="preserve">1º Ciclo </t>
  </si>
  <si>
    <t xml:space="preserve">2º Ciclo </t>
  </si>
  <si>
    <t xml:space="preserve">3º Ciclo </t>
  </si>
  <si>
    <t xml:space="preserve">4º Ciclo </t>
  </si>
  <si>
    <t xml:space="preserve">5º Ciclo </t>
  </si>
  <si>
    <t xml:space="preserve">6º Ciclo </t>
  </si>
  <si>
    <t xml:space="preserve">7º Ciclo </t>
  </si>
  <si>
    <t xml:space="preserve">8º Ciclo </t>
  </si>
  <si>
    <t>Ações de Curto Prazo</t>
  </si>
  <si>
    <t>Ações de Médio Prazo</t>
  </si>
  <si>
    <t>Ações de Longo Prazo</t>
  </si>
  <si>
    <t>Ano Base</t>
  </si>
  <si>
    <t>Ano Zero</t>
  </si>
  <si>
    <t>Unidade</t>
  </si>
  <si>
    <t>hab./economia</t>
  </si>
  <si>
    <t>háb./domicílio</t>
  </si>
  <si>
    <t>Incremento anual de rede de Água</t>
  </si>
  <si>
    <t>Incremento anual de rede de Esgoto</t>
  </si>
  <si>
    <t>Volume de Reservação RET</t>
  </si>
  <si>
    <t>Volume de Reservação REL</t>
  </si>
  <si>
    <t>Volume de Reservação Total</t>
  </si>
  <si>
    <t>Volume instalado RET</t>
  </si>
  <si>
    <t>Volume instalado REL</t>
  </si>
  <si>
    <t>Volume instalado Total</t>
  </si>
  <si>
    <t>Volume acrescido Total</t>
  </si>
  <si>
    <t>Volume acrescido RET</t>
  </si>
  <si>
    <t>Volume acrescido REL</t>
  </si>
  <si>
    <t>Defict ou Superavit de Reservação RET</t>
  </si>
  <si>
    <t>Defict ou Superavit de Reservação REL</t>
  </si>
  <si>
    <t>Defict ou Superavit de Reservação</t>
  </si>
  <si>
    <t>Reservasão/</t>
  </si>
  <si>
    <t>Ligações Esgoto</t>
  </si>
  <si>
    <t>Ligações de Água</t>
  </si>
  <si>
    <t>Uniade</t>
  </si>
  <si>
    <t xml:space="preserve"> Total Urbano Permanente</t>
  </si>
  <si>
    <t>Total  Urbano Sazonal</t>
  </si>
  <si>
    <t>Não Resid. Urbano Permanente</t>
  </si>
  <si>
    <t>Não Resid. Urbano Sazonal</t>
  </si>
  <si>
    <t>Imóveis</t>
  </si>
  <si>
    <t>SJB</t>
  </si>
  <si>
    <t>% atendimento Esgoto</t>
  </si>
  <si>
    <t>Rede por Ligação de Esgoto</t>
  </si>
  <si>
    <t>m/lig E</t>
  </si>
  <si>
    <t>CENSO</t>
  </si>
  <si>
    <t xml:space="preserve">Urbana </t>
  </si>
  <si>
    <t xml:space="preserve">Municipal </t>
  </si>
  <si>
    <t>Imóveis Saturação Urbana</t>
  </si>
  <si>
    <t xml:space="preserve">Residencial Urbano </t>
  </si>
  <si>
    <t>Densidade de Morador por Domicilio  (Rural e Urbano)</t>
  </si>
  <si>
    <t xml:space="preserve">Densidade de Morador por Domicilio Urbano </t>
  </si>
  <si>
    <t xml:space="preserve">Densidade de Morador por Domicilio Rural </t>
  </si>
  <si>
    <t xml:space="preserve">Rural </t>
  </si>
  <si>
    <t>Residencial Total (Urbano e Rural)</t>
  </si>
  <si>
    <t>Residencial Rural</t>
  </si>
  <si>
    <t xml:space="preserve">Pop/Eco Urb </t>
  </si>
  <si>
    <t xml:space="preserve">Economia Residencial </t>
  </si>
  <si>
    <t xml:space="preserve">Per Capita Disponibilizado Resid. </t>
  </si>
  <si>
    <t xml:space="preserve">Disponibilizado por Economia Resid </t>
  </si>
  <si>
    <t xml:space="preserve">Consumido por Economia Resid </t>
  </si>
  <si>
    <t xml:space="preserve">Ligação Residencial </t>
  </si>
  <si>
    <t>Economia Residencial</t>
  </si>
  <si>
    <t xml:space="preserve">Eco/Lig Residencial </t>
  </si>
  <si>
    <t xml:space="preserve">Disponibilizado Por Economia  </t>
  </si>
  <si>
    <t>MEDIDO Por Economia  Residencial</t>
  </si>
  <si>
    <t>MEDIDO Por Economia  Comercial</t>
  </si>
  <si>
    <t>MEDIDO Por Economia  Industrial</t>
  </si>
  <si>
    <t>TCG Rural</t>
  </si>
  <si>
    <t>TCG Municipal</t>
  </si>
  <si>
    <t>TCG Urbana</t>
  </si>
  <si>
    <t>Especial</t>
  </si>
  <si>
    <t>k Especial</t>
  </si>
  <si>
    <t xml:space="preserve">Economia Pública </t>
  </si>
  <si>
    <t xml:space="preserve">Ligação Pública </t>
  </si>
  <si>
    <t>Eco/Lig Especial</t>
  </si>
  <si>
    <t>Economia Especial</t>
  </si>
  <si>
    <t>Ligação Especial</t>
  </si>
  <si>
    <t>Diminuição de Lotes Vagos</t>
  </si>
  <si>
    <t xml:space="preserve">Eco/Lig Pública </t>
  </si>
  <si>
    <t xml:space="preserve">Disponibilizado por Economia PÚBLICO </t>
  </si>
  <si>
    <t xml:space="preserve">Consumido por Economais PÚBLICO </t>
  </si>
  <si>
    <t xml:space="preserve">MEDIDO Por Economia  Público </t>
  </si>
  <si>
    <t>Disponibilizado por Economia Especial</t>
  </si>
  <si>
    <t>Consumido por Economais Especial</t>
  </si>
  <si>
    <t>MEDIDO Por Economia  Especial</t>
  </si>
  <si>
    <t>Q Água Resid Cons</t>
  </si>
  <si>
    <t>Q Água Com Cons</t>
  </si>
  <si>
    <t>Q Água Ind Cons</t>
  </si>
  <si>
    <t>Q Água Públ Cons</t>
  </si>
  <si>
    <t>Q Água Esp Cons</t>
  </si>
  <si>
    <t>Incremento Médio de Rede de Água por Ligação</t>
  </si>
  <si>
    <t>Q Água Esp Medido</t>
  </si>
  <si>
    <t>Q Água Públ Medido</t>
  </si>
  <si>
    <t>Q Água Ind Medido</t>
  </si>
  <si>
    <t>Q Água Com Medido</t>
  </si>
  <si>
    <t>Q Água Resid Medido</t>
  </si>
  <si>
    <t>Q Medido Total</t>
  </si>
  <si>
    <t>Q Água Cons</t>
  </si>
  <si>
    <t xml:space="preserve">Perdas  </t>
  </si>
  <si>
    <t>VAZÕES DE ESGOTO (L/s)</t>
  </si>
  <si>
    <t>un.</t>
  </si>
  <si>
    <t>hab.</t>
  </si>
  <si>
    <t>m³/ano</t>
  </si>
  <si>
    <t>Infiltração L/s.km</t>
  </si>
  <si>
    <t xml:space="preserve">ECONOMIAS E LIGAÇÕES ÁGUA </t>
  </si>
  <si>
    <t>VOLUMES DE ÁGUA - DISPONIBILIZADO, MEDIDO E CONSUMIDO - POR CATEGORIA</t>
  </si>
  <si>
    <t>COTA PER CAPITA</t>
  </si>
  <si>
    <t>Cota per capita Disponibilidada Média</t>
  </si>
  <si>
    <t>Cota per capita Consumida Média</t>
  </si>
  <si>
    <t>Cota per capita Medida Média</t>
  </si>
  <si>
    <t xml:space="preserve">Vol Medido Total </t>
  </si>
  <si>
    <t xml:space="preserve">Vol Disponibilizado Total </t>
  </si>
  <si>
    <t>DN 50 mm</t>
  </si>
  <si>
    <t>DN 75 mm</t>
  </si>
  <si>
    <t>DN 100 mm</t>
  </si>
  <si>
    <t>DN 150 mm</t>
  </si>
  <si>
    <t>DN 200 mm</t>
  </si>
  <si>
    <t>DN 250 mm</t>
  </si>
  <si>
    <t>DN 300 mm</t>
  </si>
  <si>
    <t>DN 400 mm</t>
  </si>
  <si>
    <t>DN 500 mm</t>
  </si>
  <si>
    <t>DN 600 mm</t>
  </si>
  <si>
    <t>REDE DE ÁGUA</t>
  </si>
  <si>
    <t>REDE DE ESGOTO</t>
  </si>
  <si>
    <t>Rede de Água DN 50 mm</t>
  </si>
  <si>
    <t>Rede de Água DN 75 mm</t>
  </si>
  <si>
    <t>Rede de Água DN 100 mm</t>
  </si>
  <si>
    <t>Rede de Água DN 150 mm</t>
  </si>
  <si>
    <t>Rede de Água DN 200 mm</t>
  </si>
  <si>
    <t>Rede de Água DN 250 mm</t>
  </si>
  <si>
    <t>Rede de Água DN 300 mm</t>
  </si>
  <si>
    <t>Rede de Água DN 400 mm</t>
  </si>
  <si>
    <t xml:space="preserve">População Urbana </t>
  </si>
  <si>
    <t>Índice de atendimento</t>
  </si>
  <si>
    <t>Atendimento Água</t>
  </si>
  <si>
    <t>Atendimento Esgoto</t>
  </si>
  <si>
    <t>Extensão da rede de esgoto</t>
  </si>
  <si>
    <t>Cota per capita Disponibilizada</t>
  </si>
  <si>
    <t>l/hab.dia</t>
  </si>
  <si>
    <t>Cota per capita Consumida</t>
  </si>
  <si>
    <t>Cota per capita Medida</t>
  </si>
  <si>
    <t>Perda Total</t>
  </si>
  <si>
    <t xml:space="preserve">   Perda Física</t>
  </si>
  <si>
    <t xml:space="preserve">   Perda Aparente</t>
  </si>
  <si>
    <t>Perda Produção</t>
  </si>
  <si>
    <t>Inadimplência</t>
  </si>
  <si>
    <t>Volume Faturado sobre Medido</t>
  </si>
  <si>
    <t>Água</t>
  </si>
  <si>
    <t>Econ.</t>
  </si>
  <si>
    <t>Esgoto</t>
  </si>
  <si>
    <t>Lig.</t>
  </si>
  <si>
    <t>Economias Ativas</t>
  </si>
  <si>
    <t>Ligações Ativas</t>
  </si>
  <si>
    <t>Volume Medido</t>
  </si>
  <si>
    <t>Volume Gerado</t>
  </si>
  <si>
    <t>Volume Infiltrado</t>
  </si>
  <si>
    <t>Volume Tratado</t>
  </si>
  <si>
    <t>Volume Lodo Gerado</t>
  </si>
  <si>
    <t>Sólidos Grosseiros Gerado</t>
  </si>
  <si>
    <t>ton/ano</t>
  </si>
  <si>
    <t>Umidade da Torta de Lodo</t>
  </si>
  <si>
    <t>Lodo Gerado em ton ST/hab.dia</t>
  </si>
  <si>
    <t>Solidos Grosseiros t/m³.ano</t>
  </si>
  <si>
    <t>Quantidade de Lodo ΔX L.A.A.P.</t>
  </si>
  <si>
    <t>ton ST/hab.dia</t>
  </si>
  <si>
    <t>* Ref. Tabela 5.3 - Principais características dos sistemas de lodos ativados utilizados para o tratamento de esgoto doméstico. Livro: "Pós-Tratamento de Efluentes de Reatores Anaeróbios" - PROSAB - pág. 293</t>
  </si>
  <si>
    <t>Quantidade de Lodo ΔX UASB</t>
  </si>
  <si>
    <t>Lodo Gerado em ton ST/m³</t>
  </si>
  <si>
    <t>Captação Subterrânea</t>
  </si>
  <si>
    <t>Captação Superficial</t>
  </si>
  <si>
    <t>Volume de Lodo Gerada em ETA</t>
  </si>
  <si>
    <t>Volume de Sólidos Grosseiros na captação</t>
  </si>
  <si>
    <t xml:space="preserve">Volume Consumido Total </t>
  </si>
  <si>
    <t>Volume Capitado Total</t>
  </si>
  <si>
    <t xml:space="preserve">Volume Disponibilizado Total </t>
  </si>
  <si>
    <t>DISTRIBUIÇÃO DA CAPATAÇÃO</t>
  </si>
  <si>
    <t>Volume na Captação Superficial</t>
  </si>
  <si>
    <t>Volume na Captação Subterrânea</t>
  </si>
  <si>
    <t xml:space="preserve">Vazão Consumida Média Categoria Resid </t>
  </si>
  <si>
    <t>Vazão Consumida Média Categoria Comercial</t>
  </si>
  <si>
    <t>Vazão Consumida  Média Categoria Industral</t>
  </si>
  <si>
    <t>Vazão Consumida  Média Categoria Público</t>
  </si>
  <si>
    <t>Vazão Consumida  Média Categoria  Especial</t>
  </si>
  <si>
    <t>Vazão Consumida Média por todas a Categorias</t>
  </si>
  <si>
    <t xml:space="preserve">Vazão Média de Perdas Física </t>
  </si>
  <si>
    <t xml:space="preserve">Vazão Disponibilizada Média  </t>
  </si>
  <si>
    <t xml:space="preserve"> Vazaão de Captação</t>
  </si>
  <si>
    <t>Vazão do Dia de Maior Consumo</t>
  </si>
  <si>
    <t>Vazão da Hora de Maior Consumo</t>
  </si>
  <si>
    <t>Vazão Minima Noturna</t>
  </si>
  <si>
    <t>Vazão do do Dia e Hora de Maior Consumo</t>
  </si>
  <si>
    <t>Rede de Esgoto DN 100 mm</t>
  </si>
  <si>
    <t>Rede de Esgoto DN 150 mm</t>
  </si>
  <si>
    <t>Rede de Esgoto DN 200 mm</t>
  </si>
  <si>
    <t>Rede de Esgoto DN 250 mm</t>
  </si>
  <si>
    <t>Rede de Esgoto DN 300 mm</t>
  </si>
  <si>
    <t>Rede de Esgoto DN 400 mm</t>
  </si>
  <si>
    <t>Rede de Esgoto DN 500 mm</t>
  </si>
  <si>
    <t>Rede de Esgoto DN 600 mm</t>
  </si>
  <si>
    <t>Total de Rede de Água</t>
  </si>
  <si>
    <t>Total de Rede de Esgoto</t>
  </si>
  <si>
    <t xml:space="preserve">Extensão da rede </t>
  </si>
  <si>
    <t>Extensão da rede de Água</t>
  </si>
  <si>
    <t>Saturação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</si>
</sst>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0.0000"/>
    <numFmt numFmtId="165" formatCode="0.0000000"/>
    <numFmt numFmtId="166" formatCode="0.0000%"/>
    <numFmt numFmtId="167" formatCode="#,##0.0000"/>
    <numFmt numFmtId="168" formatCode="0.000000"/>
    <numFmt numFmtId="169" formatCode="0.000"/>
  </numFmts>
  <fonts count="28" x14ac:knownFonts="1">
    <font>
      <sz val="10"/>
      <name val="Courie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urier"/>
      <family val="3"/>
    </font>
    <font>
      <sz val="8"/>
      <name val="Courier"/>
    </font>
    <font>
      <sz val="10"/>
      <name val="Courier"/>
    </font>
    <font>
      <sz val="10"/>
      <name val="Arial"/>
      <family val="2"/>
    </font>
    <font>
      <sz val="10"/>
      <name val="Times New Roman"/>
      <family val="1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FFFFFF"/>
      <name val="Arial"/>
      <family val="2"/>
    </font>
    <font>
      <sz val="7"/>
      <color rgb="FFFFFFFF"/>
      <name val="Arial"/>
      <family val="2"/>
    </font>
    <font>
      <b/>
      <sz val="7"/>
      <name val="Arial"/>
      <family val="2"/>
    </font>
    <font>
      <sz val="7"/>
      <color rgb="FFFF0000"/>
      <name val="Arial"/>
      <family val="2"/>
    </font>
    <font>
      <b/>
      <sz val="9"/>
      <color indexed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theme="0"/>
      <name val="Courier"/>
    </font>
    <font>
      <b/>
      <sz val="8"/>
      <color rgb="FF1A171B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10"/>
      <color theme="0"/>
      <name val="Courie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urie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86C2E6"/>
        <bgColor indexed="64"/>
      </patternFill>
    </fill>
    <fill>
      <patternFill patternType="solid">
        <fgColor rgb="FFE6F2FA"/>
        <bgColor indexed="64"/>
      </patternFill>
    </fill>
    <fill>
      <patternFill patternType="solid">
        <fgColor rgb="FF003D7D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1AC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86C2E6"/>
      </left>
      <right/>
      <top style="medium">
        <color rgb="FF86C2E6"/>
      </top>
      <bottom style="medium">
        <color rgb="FF86C2E6"/>
      </bottom>
      <diagonal/>
    </border>
    <border>
      <left/>
      <right/>
      <top style="medium">
        <color rgb="FF86C2E6"/>
      </top>
      <bottom style="medium">
        <color rgb="FF86C2E6"/>
      </bottom>
      <diagonal/>
    </border>
    <border>
      <left/>
      <right style="medium">
        <color rgb="FF86C2E6"/>
      </right>
      <top style="medium">
        <color rgb="FF86C2E6"/>
      </top>
      <bottom style="medium">
        <color rgb="FF86C2E6"/>
      </bottom>
      <diagonal/>
    </border>
    <border>
      <left style="medium">
        <color rgb="FFB6DAF0"/>
      </left>
      <right style="medium">
        <color rgb="FFB6DAF0"/>
      </right>
      <top/>
      <bottom style="medium">
        <color rgb="FFB6DAF0"/>
      </bottom>
      <diagonal/>
    </border>
    <border>
      <left/>
      <right style="medium">
        <color rgb="FFB6DAF0"/>
      </right>
      <top/>
      <bottom style="medium">
        <color rgb="FFB6DAF0"/>
      </bottom>
      <diagonal/>
    </border>
    <border>
      <left style="medium">
        <color rgb="FF86C2E6"/>
      </left>
      <right/>
      <top style="medium">
        <color rgb="FF86C2E6"/>
      </top>
      <bottom/>
      <diagonal/>
    </border>
    <border>
      <left style="medium">
        <color rgb="FF86C2E6"/>
      </left>
      <right/>
      <top/>
      <bottom/>
      <diagonal/>
    </border>
    <border>
      <left style="medium">
        <color rgb="FF86C2E6"/>
      </left>
      <right/>
      <top/>
      <bottom style="medium">
        <color rgb="FF86C2E6"/>
      </bottom>
      <diagonal/>
    </border>
    <border>
      <left/>
      <right/>
      <top style="medium">
        <color rgb="FF86C2E6"/>
      </top>
      <bottom/>
      <diagonal/>
    </border>
    <border>
      <left/>
      <right/>
      <top/>
      <bottom style="medium">
        <color rgb="FF86C2E6"/>
      </bottom>
      <diagonal/>
    </border>
    <border>
      <left/>
      <right style="medium">
        <color rgb="FF86C2E6"/>
      </right>
      <top style="medium">
        <color rgb="FF86C2E6"/>
      </top>
      <bottom/>
      <diagonal/>
    </border>
    <border>
      <left/>
      <right style="medium">
        <color rgb="FF86C2E6"/>
      </right>
      <top/>
      <bottom/>
      <diagonal/>
    </border>
    <border>
      <left/>
      <right style="medium">
        <color rgb="FF86C2E6"/>
      </right>
      <top/>
      <bottom style="medium">
        <color rgb="FF86C2E6"/>
      </bottom>
      <diagonal/>
    </border>
    <border>
      <left style="medium">
        <color rgb="FF86C2E6"/>
      </left>
      <right style="medium">
        <color rgb="FF86C2E6"/>
      </right>
      <top style="medium">
        <color rgb="FF86C2E6"/>
      </top>
      <bottom/>
      <diagonal/>
    </border>
    <border>
      <left style="medium">
        <color rgb="FF86C2E6"/>
      </left>
      <right style="medium">
        <color rgb="FF86C2E6"/>
      </right>
      <top/>
      <bottom/>
      <diagonal/>
    </border>
    <border>
      <left style="medium">
        <color rgb="FF86C2E6"/>
      </left>
      <right style="medium">
        <color rgb="FF86C2E6"/>
      </right>
      <top/>
      <bottom style="medium">
        <color rgb="FF86C2E6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86C2E6"/>
      </left>
      <right style="medium">
        <color rgb="FF86C2E6"/>
      </right>
      <top style="medium">
        <color indexed="64"/>
      </top>
      <bottom style="medium">
        <color rgb="FF86C2E6"/>
      </bottom>
      <diagonal/>
    </border>
    <border>
      <left style="medium">
        <color rgb="FF86C2E6"/>
      </left>
      <right style="medium">
        <color rgb="FF86C2E6"/>
      </right>
      <top style="medium">
        <color rgb="FF86C2E6"/>
      </top>
      <bottom style="medium">
        <color rgb="FF86C2E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/>
      <bottom style="thin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</cellStyleXfs>
  <cellXfs count="276">
    <xf numFmtId="0" fontId="0" fillId="0" borderId="0" xfId="0"/>
    <xf numFmtId="44" fontId="0" fillId="0" borderId="0" xfId="2" applyFont="1"/>
    <xf numFmtId="44" fontId="0" fillId="0" borderId="0" xfId="0" applyNumberFormat="1"/>
    <xf numFmtId="0" fontId="8" fillId="5" borderId="8" xfId="0" applyFont="1" applyFill="1" applyBorder="1" applyAlignment="1">
      <alignment horizontal="center" vertical="center"/>
    </xf>
    <xf numFmtId="3" fontId="8" fillId="5" borderId="9" xfId="0" applyNumberFormat="1" applyFont="1" applyFill="1" applyBorder="1" applyAlignment="1">
      <alignment horizontal="center" vertical="center"/>
    </xf>
    <xf numFmtId="3" fontId="8" fillId="5" borderId="10" xfId="0" applyNumberFormat="1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3" fontId="9" fillId="6" borderId="12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vertical="top" wrapText="1"/>
    </xf>
    <xf numFmtId="0" fontId="10" fillId="7" borderId="18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3" fontId="8" fillId="6" borderId="11" xfId="0" applyNumberFormat="1" applyFont="1" applyFill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5" borderId="8" xfId="0" applyNumberFormat="1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0" fontId="0" fillId="7" borderId="14" xfId="0" applyFill="1" applyBorder="1" applyAlignment="1">
      <alignment vertical="top" wrapText="1"/>
    </xf>
    <xf numFmtId="0" fontId="0" fillId="7" borderId="15" xfId="0" applyFill="1" applyBorder="1" applyAlignment="1">
      <alignment vertical="top" wrapText="1"/>
    </xf>
    <xf numFmtId="4" fontId="9" fillId="6" borderId="12" xfId="0" applyNumberFormat="1" applyFont="1" applyFill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0" fontId="7" fillId="6" borderId="12" xfId="0" applyFont="1" applyFill="1" applyBorder="1" applyAlignment="1">
      <alignment vertical="center"/>
    </xf>
    <xf numFmtId="4" fontId="13" fillId="6" borderId="12" xfId="0" applyNumberFormat="1" applyFont="1" applyFill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3" fontId="15" fillId="0" borderId="0" xfId="0" applyNumberFormat="1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/>
    </xf>
    <xf numFmtId="166" fontId="15" fillId="0" borderId="0" xfId="1" applyNumberFormat="1" applyFont="1"/>
    <xf numFmtId="10" fontId="16" fillId="0" borderId="0" xfId="1" applyNumberFormat="1" applyFont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3" fontId="15" fillId="0" borderId="24" xfId="0" applyNumberFormat="1" applyFont="1" applyBorder="1" applyAlignment="1">
      <alignment horizontal="center" vertical="center"/>
    </xf>
    <xf numFmtId="10" fontId="15" fillId="0" borderId="0" xfId="1" applyNumberFormat="1" applyFont="1" applyAlignment="1">
      <alignment horizontal="center" vertical="center"/>
    </xf>
    <xf numFmtId="4" fontId="15" fillId="0" borderId="24" xfId="0" applyNumberFormat="1" applyFont="1" applyBorder="1" applyAlignment="1">
      <alignment horizontal="center" vertical="center"/>
    </xf>
    <xf numFmtId="10" fontId="15" fillId="0" borderId="24" xfId="1" applyNumberFormat="1" applyFont="1" applyBorder="1" applyAlignment="1">
      <alignment horizontal="center" vertical="center"/>
    </xf>
    <xf numFmtId="164" fontId="15" fillId="0" borderId="24" xfId="1" applyNumberFormat="1" applyFont="1" applyBorder="1" applyAlignment="1">
      <alignment horizontal="center" vertical="center"/>
    </xf>
    <xf numFmtId="3" fontId="16" fillId="3" borderId="24" xfId="0" applyNumberFormat="1" applyFont="1" applyFill="1" applyBorder="1" applyAlignment="1">
      <alignment horizontal="center" vertical="center"/>
    </xf>
    <xf numFmtId="4" fontId="16" fillId="3" borderId="24" xfId="0" applyNumberFormat="1" applyFont="1" applyFill="1" applyBorder="1" applyAlignment="1">
      <alignment horizontal="center" vertical="center"/>
    </xf>
    <xf numFmtId="10" fontId="16" fillId="3" borderId="24" xfId="1" applyNumberFormat="1" applyFont="1" applyFill="1" applyBorder="1" applyAlignment="1">
      <alignment horizontal="center" vertical="center"/>
    </xf>
    <xf numFmtId="164" fontId="16" fillId="3" borderId="24" xfId="1" applyNumberFormat="1" applyFont="1" applyFill="1" applyBorder="1" applyAlignment="1">
      <alignment horizontal="center" vertical="center"/>
    </xf>
    <xf numFmtId="3" fontId="16" fillId="2" borderId="24" xfId="0" applyNumberFormat="1" applyFont="1" applyFill="1" applyBorder="1" applyAlignment="1">
      <alignment horizontal="center" vertical="center"/>
    </xf>
    <xf numFmtId="4" fontId="16" fillId="2" borderId="24" xfId="0" applyNumberFormat="1" applyFont="1" applyFill="1" applyBorder="1" applyAlignment="1">
      <alignment horizontal="center" vertical="center"/>
    </xf>
    <xf numFmtId="10" fontId="16" fillId="2" borderId="24" xfId="1" applyNumberFormat="1" applyFont="1" applyFill="1" applyBorder="1" applyAlignment="1">
      <alignment horizontal="center" vertical="center"/>
    </xf>
    <xf numFmtId="164" fontId="16" fillId="2" borderId="24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3" fontId="19" fillId="5" borderId="28" xfId="0" applyNumberFormat="1" applyFont="1" applyFill="1" applyBorder="1" applyAlignment="1">
      <alignment horizontal="center" vertical="center" wrapText="1"/>
    </xf>
    <xf numFmtId="3" fontId="20" fillId="6" borderId="11" xfId="0" applyNumberFormat="1" applyFont="1" applyFill="1" applyBorder="1" applyAlignment="1">
      <alignment horizontal="center" vertical="center" wrapText="1"/>
    </xf>
    <xf numFmtId="3" fontId="20" fillId="0" borderId="11" xfId="0" applyNumberFormat="1" applyFont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 wrapText="1"/>
    </xf>
    <xf numFmtId="3" fontId="19" fillId="5" borderId="29" xfId="0" applyNumberFormat="1" applyFont="1" applyFill="1" applyBorder="1" applyAlignment="1">
      <alignment horizontal="center" vertical="center" wrapText="1"/>
    </xf>
    <xf numFmtId="3" fontId="19" fillId="5" borderId="0" xfId="0" applyNumberFormat="1" applyFont="1" applyFill="1" applyAlignment="1">
      <alignment horizontal="center" vertical="center" wrapText="1"/>
    </xf>
    <xf numFmtId="3" fontId="20" fillId="6" borderId="0" xfId="0" applyNumberFormat="1" applyFont="1" applyFill="1" applyAlignment="1">
      <alignment horizontal="center" vertical="center" wrapText="1"/>
    </xf>
    <xf numFmtId="3" fontId="20" fillId="0" borderId="0" xfId="0" applyNumberFormat="1" applyFont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9" fontId="20" fillId="6" borderId="0" xfId="1" applyFont="1" applyFill="1" applyBorder="1" applyAlignment="1">
      <alignment horizontal="center" vertical="center" wrapText="1"/>
    </xf>
    <xf numFmtId="3" fontId="21" fillId="0" borderId="24" xfId="0" applyNumberFormat="1" applyFont="1" applyBorder="1" applyAlignment="1">
      <alignment horizontal="center" vertical="center"/>
    </xf>
    <xf numFmtId="4" fontId="21" fillId="0" borderId="24" xfId="0" applyNumberFormat="1" applyFont="1" applyBorder="1" applyAlignment="1">
      <alignment horizontal="center" vertical="center"/>
    </xf>
    <xf numFmtId="10" fontId="21" fillId="0" borderId="24" xfId="1" applyNumberFormat="1" applyFont="1" applyBorder="1" applyAlignment="1">
      <alignment horizontal="center" vertical="center"/>
    </xf>
    <xf numFmtId="164" fontId="21" fillId="0" borderId="24" xfId="1" applyNumberFormat="1" applyFont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3" fontId="21" fillId="0" borderId="24" xfId="1" applyNumberFormat="1" applyFont="1" applyBorder="1" applyAlignment="1">
      <alignment horizontal="center" vertical="center"/>
    </xf>
    <xf numFmtId="3" fontId="15" fillId="0" borderId="24" xfId="1" applyNumberFormat="1" applyFont="1" applyBorder="1" applyAlignment="1">
      <alignment horizontal="center" vertical="center"/>
    </xf>
    <xf numFmtId="3" fontId="16" fillId="3" borderId="24" xfId="1" applyNumberFormat="1" applyFont="1" applyFill="1" applyBorder="1" applyAlignment="1">
      <alignment horizontal="center" vertical="center"/>
    </xf>
    <xf numFmtId="3" fontId="16" fillId="2" borderId="24" xfId="1" applyNumberFormat="1" applyFont="1" applyFill="1" applyBorder="1" applyAlignment="1">
      <alignment horizontal="center" vertical="center"/>
    </xf>
    <xf numFmtId="3" fontId="0" fillId="0" borderId="0" xfId="0" applyNumberFormat="1"/>
    <xf numFmtId="10" fontId="0" fillId="0" borderId="0" xfId="0" applyNumberFormat="1"/>
    <xf numFmtId="0" fontId="17" fillId="8" borderId="0" xfId="0" applyFont="1" applyFill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textRotation="90"/>
    </xf>
    <xf numFmtId="0" fontId="17" fillId="10" borderId="27" xfId="0" applyFont="1" applyFill="1" applyBorder="1" applyAlignment="1">
      <alignment horizontal="center" vertical="center" wrapText="1"/>
    </xf>
    <xf numFmtId="0" fontId="17" fillId="10" borderId="25" xfId="0" applyFont="1" applyFill="1" applyBorder="1" applyAlignment="1">
      <alignment horizontal="center" vertical="center" wrapText="1"/>
    </xf>
    <xf numFmtId="3" fontId="16" fillId="0" borderId="0" xfId="1" applyNumberFormat="1" applyFont="1" applyAlignment="1">
      <alignment horizontal="center" vertical="center"/>
    </xf>
    <xf numFmtId="0" fontId="22" fillId="11" borderId="0" xfId="0" applyFont="1" applyFill="1" applyAlignment="1">
      <alignment horizontal="center" vertical="center"/>
    </xf>
    <xf numFmtId="3" fontId="17" fillId="9" borderId="2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169" fontId="15" fillId="0" borderId="0" xfId="0" applyNumberFormat="1" applyFont="1" applyAlignment="1">
      <alignment horizontal="center" vertical="center"/>
    </xf>
    <xf numFmtId="166" fontId="15" fillId="0" borderId="0" xfId="1" applyNumberFormat="1" applyFont="1" applyFill="1"/>
    <xf numFmtId="0" fontId="16" fillId="0" borderId="0" xfId="0" applyFont="1" applyAlignment="1">
      <alignment horizontal="center" vertical="center" wrapText="1"/>
    </xf>
    <xf numFmtId="165" fontId="15" fillId="0" borderId="0" xfId="0" applyNumberFormat="1" applyFont="1" applyAlignment="1">
      <alignment horizontal="center" vertical="center"/>
    </xf>
    <xf numFmtId="0" fontId="16" fillId="0" borderId="0" xfId="0" applyFont="1"/>
    <xf numFmtId="0" fontId="16" fillId="0" borderId="2" xfId="0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/>
    <xf numFmtId="3" fontId="1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15" fillId="0" borderId="0" xfId="0" applyNumberFormat="1" applyFont="1"/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10" fontId="16" fillId="0" borderId="2" xfId="1" applyNumberFormat="1" applyFont="1" applyFill="1" applyBorder="1" applyAlignment="1">
      <alignment horizontal="center" vertical="center"/>
    </xf>
    <xf numFmtId="3" fontId="15" fillId="0" borderId="2" xfId="0" applyNumberFormat="1" applyFont="1" applyBorder="1" applyAlignment="1">
      <alignment horizontal="center" vertical="center"/>
    </xf>
    <xf numFmtId="10" fontId="15" fillId="0" borderId="2" xfId="1" applyNumberFormat="1" applyFont="1" applyFill="1" applyBorder="1" applyAlignment="1">
      <alignment horizontal="center" vertical="center"/>
    </xf>
    <xf numFmtId="10" fontId="16" fillId="0" borderId="2" xfId="1" applyNumberFormat="1" applyFont="1" applyFill="1" applyBorder="1" applyAlignment="1" applyProtection="1">
      <alignment horizontal="center" vertical="center"/>
    </xf>
    <xf numFmtId="167" fontId="16" fillId="0" borderId="2" xfId="0" applyNumberFormat="1" applyFont="1" applyBorder="1" applyAlignment="1">
      <alignment horizontal="center" vertical="center"/>
    </xf>
    <xf numFmtId="10" fontId="15" fillId="0" borderId="2" xfId="1" applyNumberFormat="1" applyFont="1" applyFill="1" applyBorder="1" applyAlignment="1" applyProtection="1">
      <alignment horizontal="center" vertical="center"/>
    </xf>
    <xf numFmtId="167" fontId="15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Fill="1" applyBorder="1" applyAlignment="1">
      <alignment horizontal="center" vertical="center"/>
    </xf>
    <xf numFmtId="0" fontId="17" fillId="8" borderId="44" xfId="0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2" fontId="16" fillId="0" borderId="2" xfId="1" applyNumberFormat="1" applyFont="1" applyFill="1" applyBorder="1" applyAlignment="1">
      <alignment horizontal="center" vertical="center"/>
    </xf>
    <xf numFmtId="3" fontId="16" fillId="0" borderId="2" xfId="1" applyNumberFormat="1" applyFont="1" applyFill="1" applyBorder="1" applyAlignment="1">
      <alignment horizontal="center" vertical="center"/>
    </xf>
    <xf numFmtId="2" fontId="15" fillId="0" borderId="2" xfId="1" applyNumberFormat="1" applyFont="1" applyFill="1" applyBorder="1" applyAlignment="1">
      <alignment horizontal="center" vertical="center"/>
    </xf>
    <xf numFmtId="3" fontId="15" fillId="0" borderId="2" xfId="1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7" fillId="8" borderId="4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vertical="center"/>
    </xf>
    <xf numFmtId="0" fontId="17" fillId="8" borderId="38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3" fontId="15" fillId="12" borderId="2" xfId="0" applyNumberFormat="1" applyFont="1" applyFill="1" applyBorder="1" applyAlignment="1">
      <alignment horizontal="center" vertical="center"/>
    </xf>
    <xf numFmtId="3" fontId="16" fillId="12" borderId="2" xfId="0" applyNumberFormat="1" applyFont="1" applyFill="1" applyBorder="1" applyAlignment="1">
      <alignment horizontal="center" vertical="center"/>
    </xf>
    <xf numFmtId="10" fontId="15" fillId="12" borderId="2" xfId="1" applyNumberFormat="1" applyFont="1" applyFill="1" applyBorder="1" applyAlignment="1" applyProtection="1">
      <alignment horizontal="center" vertical="center"/>
    </xf>
    <xf numFmtId="10" fontId="16" fillId="12" borderId="2" xfId="1" applyNumberFormat="1" applyFont="1" applyFill="1" applyBorder="1" applyAlignment="1" applyProtection="1">
      <alignment horizontal="center" vertical="center"/>
    </xf>
    <xf numFmtId="0" fontId="17" fillId="8" borderId="4" xfId="0" applyFont="1" applyFill="1" applyBorder="1" applyAlignment="1">
      <alignment horizontal="center" vertical="center" wrapText="1"/>
    </xf>
    <xf numFmtId="0" fontId="17" fillId="8" borderId="47" xfId="0" applyFont="1" applyFill="1" applyBorder="1" applyAlignment="1">
      <alignment horizontal="center" vertical="center" wrapText="1"/>
    </xf>
    <xf numFmtId="0" fontId="17" fillId="8" borderId="48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10" fontId="16" fillId="12" borderId="2" xfId="1" applyNumberFormat="1" applyFont="1" applyFill="1" applyBorder="1" applyAlignment="1">
      <alignment horizontal="center" vertical="center"/>
    </xf>
    <xf numFmtId="10" fontId="15" fillId="12" borderId="2" xfId="1" applyNumberFormat="1" applyFont="1" applyFill="1" applyBorder="1" applyAlignment="1">
      <alignment horizontal="center" vertical="center"/>
    </xf>
    <xf numFmtId="167" fontId="16" fillId="12" borderId="2" xfId="0" applyNumberFormat="1" applyFont="1" applyFill="1" applyBorder="1" applyAlignment="1">
      <alignment horizontal="center" vertical="center"/>
    </xf>
    <xf numFmtId="167" fontId="15" fillId="12" borderId="2" xfId="0" applyNumberFormat="1" applyFont="1" applyFill="1" applyBorder="1" applyAlignment="1">
      <alignment horizontal="center" vertical="center"/>
    </xf>
    <xf numFmtId="10" fontId="16" fillId="0" borderId="52" xfId="1" applyNumberFormat="1" applyFont="1" applyFill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4" fontId="16" fillId="0" borderId="52" xfId="0" applyNumberFormat="1" applyFont="1" applyBorder="1" applyAlignment="1">
      <alignment horizontal="center" vertical="center"/>
    </xf>
    <xf numFmtId="4" fontId="15" fillId="0" borderId="52" xfId="0" applyNumberFormat="1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4" fontId="16" fillId="0" borderId="55" xfId="0" applyNumberFormat="1" applyFont="1" applyBorder="1" applyAlignment="1">
      <alignment horizontal="center" vertical="center"/>
    </xf>
    <xf numFmtId="4" fontId="16" fillId="0" borderId="56" xfId="0" applyNumberFormat="1" applyFont="1" applyBorder="1" applyAlignment="1">
      <alignment horizontal="center" vertical="center"/>
    </xf>
    <xf numFmtId="0" fontId="17" fillId="8" borderId="60" xfId="0" applyFont="1" applyFill="1" applyBorder="1" applyAlignment="1">
      <alignment horizontal="center" vertical="center" wrapText="1"/>
    </xf>
    <xf numFmtId="0" fontId="26" fillId="0" borderId="0" xfId="0" applyFont="1"/>
    <xf numFmtId="0" fontId="16" fillId="12" borderId="2" xfId="0" applyFont="1" applyFill="1" applyBorder="1" applyAlignment="1">
      <alignment horizontal="center" vertical="center"/>
    </xf>
    <xf numFmtId="9" fontId="16" fillId="12" borderId="2" xfId="1" applyFont="1" applyFill="1" applyBorder="1" applyAlignment="1">
      <alignment horizontal="center" vertical="center"/>
    </xf>
    <xf numFmtId="10" fontId="15" fillId="0" borderId="0" xfId="0" applyNumberFormat="1" applyFont="1" applyAlignment="1">
      <alignment horizontal="center" vertical="center"/>
    </xf>
    <xf numFmtId="165" fontId="16" fillId="12" borderId="2" xfId="0" applyNumberFormat="1" applyFont="1" applyFill="1" applyBorder="1" applyAlignment="1">
      <alignment horizontal="center" vertical="center"/>
    </xf>
    <xf numFmtId="10" fontId="16" fillId="13" borderId="2" xfId="1" applyNumberFormat="1" applyFont="1" applyFill="1" applyBorder="1" applyAlignment="1">
      <alignment horizontal="center" vertical="center"/>
    </xf>
    <xf numFmtId="0" fontId="24" fillId="8" borderId="61" xfId="4" applyFont="1" applyFill="1" applyBorder="1" applyAlignment="1">
      <alignment horizontal="center"/>
    </xf>
    <xf numFmtId="0" fontId="25" fillId="0" borderId="2" xfId="4" applyFont="1" applyBorder="1" applyAlignment="1">
      <alignment horizontal="center"/>
    </xf>
    <xf numFmtId="0" fontId="25" fillId="0" borderId="2" xfId="4" applyFont="1" applyBorder="1"/>
    <xf numFmtId="3" fontId="2" fillId="13" borderId="2" xfId="4" applyNumberFormat="1" applyFill="1" applyBorder="1" applyAlignment="1">
      <alignment horizontal="right"/>
    </xf>
    <xf numFmtId="3" fontId="1" fillId="13" borderId="2" xfId="4" applyNumberFormat="1" applyFont="1" applyFill="1" applyBorder="1" applyAlignment="1">
      <alignment horizontal="right"/>
    </xf>
    <xf numFmtId="3" fontId="25" fillId="13" borderId="2" xfId="4" applyNumberFormat="1" applyFont="1" applyFill="1" applyBorder="1" applyAlignment="1">
      <alignment horizontal="right"/>
    </xf>
    <xf numFmtId="0" fontId="25" fillId="0" borderId="7" xfId="4" applyFont="1" applyBorder="1" applyAlignment="1">
      <alignment horizontal="center"/>
    </xf>
    <xf numFmtId="10" fontId="27" fillId="0" borderId="7" xfId="5" applyNumberFormat="1" applyFont="1" applyBorder="1" applyAlignment="1">
      <alignment horizontal="right"/>
    </xf>
    <xf numFmtId="3" fontId="2" fillId="0" borderId="7" xfId="4" applyNumberFormat="1" applyBorder="1" applyAlignment="1">
      <alignment horizontal="right"/>
    </xf>
    <xf numFmtId="10" fontId="2" fillId="13" borderId="2" xfId="4" applyNumberFormat="1" applyFill="1" applyBorder="1"/>
    <xf numFmtId="4" fontId="2" fillId="13" borderId="2" xfId="4" applyNumberFormat="1" applyFill="1" applyBorder="1"/>
    <xf numFmtId="4" fontId="27" fillId="13" borderId="2" xfId="4" applyNumberFormat="1" applyFont="1" applyFill="1" applyBorder="1" applyAlignment="1">
      <alignment horizontal="right"/>
    </xf>
    <xf numFmtId="10" fontId="27" fillId="13" borderId="2" xfId="5" applyNumberFormat="1" applyFont="1" applyFill="1" applyBorder="1" applyAlignment="1">
      <alignment horizontal="right"/>
    </xf>
    <xf numFmtId="10" fontId="27" fillId="12" borderId="2" xfId="5" applyNumberFormat="1" applyFont="1" applyFill="1" applyBorder="1" applyAlignment="1">
      <alignment horizontal="right"/>
    </xf>
    <xf numFmtId="3" fontId="2" fillId="13" borderId="2" xfId="4" applyNumberFormat="1" applyFill="1" applyBorder="1"/>
    <xf numFmtId="3" fontId="2" fillId="13" borderId="7" xfId="4" applyNumberFormat="1" applyFill="1" applyBorder="1"/>
    <xf numFmtId="0" fontId="25" fillId="13" borderId="2" xfId="4" applyFont="1" applyFill="1" applyBorder="1"/>
    <xf numFmtId="0" fontId="17" fillId="8" borderId="62" xfId="0" applyFont="1" applyFill="1" applyBorder="1" applyAlignment="1">
      <alignment horizontal="center" vertical="center" wrapText="1"/>
    </xf>
    <xf numFmtId="3" fontId="16" fillId="0" borderId="52" xfId="0" applyNumberFormat="1" applyFont="1" applyBorder="1" applyAlignment="1">
      <alignment horizontal="center" vertical="center"/>
    </xf>
    <xf numFmtId="3" fontId="15" fillId="0" borderId="52" xfId="0" applyNumberFormat="1" applyFont="1" applyBorder="1" applyAlignment="1">
      <alignment horizontal="center" vertical="center"/>
    </xf>
    <xf numFmtId="3" fontId="16" fillId="0" borderId="55" xfId="0" applyNumberFormat="1" applyFont="1" applyBorder="1" applyAlignment="1">
      <alignment horizontal="center" vertical="center"/>
    </xf>
    <xf numFmtId="3" fontId="16" fillId="0" borderId="56" xfId="0" applyNumberFormat="1" applyFont="1" applyBorder="1" applyAlignment="1">
      <alignment horizontal="center" vertical="center"/>
    </xf>
    <xf numFmtId="9" fontId="16" fillId="0" borderId="2" xfId="1" applyFont="1" applyBorder="1" applyAlignment="1">
      <alignment horizontal="center" vertical="center"/>
    </xf>
    <xf numFmtId="2" fontId="0" fillId="0" borderId="0" xfId="0" applyNumberFormat="1"/>
    <xf numFmtId="2" fontId="26" fillId="0" borderId="0" xfId="0" applyNumberFormat="1" applyFont="1"/>
    <xf numFmtId="10" fontId="16" fillId="0" borderId="0" xfId="0" applyNumberFormat="1" applyFont="1" applyAlignment="1">
      <alignment horizontal="center" vertical="center"/>
    </xf>
    <xf numFmtId="0" fontId="17" fillId="8" borderId="63" xfId="0" applyFont="1" applyFill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/>
    </xf>
    <xf numFmtId="10" fontId="15" fillId="0" borderId="52" xfId="1" applyNumberFormat="1" applyFont="1" applyFill="1" applyBorder="1" applyAlignment="1">
      <alignment horizontal="center" vertical="center"/>
    </xf>
    <xf numFmtId="10" fontId="16" fillId="0" borderId="55" xfId="1" applyNumberFormat="1" applyFont="1" applyFill="1" applyBorder="1" applyAlignment="1">
      <alignment horizontal="center" vertical="center"/>
    </xf>
    <xf numFmtId="10" fontId="16" fillId="0" borderId="56" xfId="1" applyNumberFormat="1" applyFont="1" applyFill="1" applyBorder="1" applyAlignment="1">
      <alignment horizontal="center" vertical="center"/>
    </xf>
    <xf numFmtId="0" fontId="17" fillId="8" borderId="64" xfId="0" applyFont="1" applyFill="1" applyBorder="1" applyAlignment="1">
      <alignment horizontal="center" vertical="center" wrapText="1"/>
    </xf>
    <xf numFmtId="0" fontId="24" fillId="8" borderId="66" xfId="4" applyFont="1" applyFill="1" applyBorder="1" applyAlignment="1">
      <alignment horizontal="center"/>
    </xf>
    <xf numFmtId="0" fontId="24" fillId="8" borderId="67" xfId="4" applyFont="1" applyFill="1" applyBorder="1" applyAlignment="1">
      <alignment horizontal="center"/>
    </xf>
    <xf numFmtId="0" fontId="24" fillId="8" borderId="69" xfId="4" applyFont="1" applyFill="1" applyBorder="1" applyAlignment="1">
      <alignment horizontal="center"/>
    </xf>
    <xf numFmtId="0" fontId="25" fillId="0" borderId="53" xfId="4" applyFont="1" applyBorder="1"/>
    <xf numFmtId="0" fontId="25" fillId="0" borderId="52" xfId="4" applyFont="1" applyBorder="1"/>
    <xf numFmtId="3" fontId="2" fillId="13" borderId="52" xfId="4" applyNumberFormat="1" applyFill="1" applyBorder="1" applyAlignment="1">
      <alignment horizontal="right"/>
    </xf>
    <xf numFmtId="0" fontId="25" fillId="0" borderId="70" xfId="4" applyFont="1" applyBorder="1"/>
    <xf numFmtId="3" fontId="2" fillId="0" borderId="60" xfId="4" applyNumberFormat="1" applyBorder="1" applyAlignment="1">
      <alignment horizontal="right"/>
    </xf>
    <xf numFmtId="10" fontId="2" fillId="13" borderId="52" xfId="4" applyNumberFormat="1" applyFill="1" applyBorder="1"/>
    <xf numFmtId="4" fontId="2" fillId="13" borderId="52" xfId="4" applyNumberFormat="1" applyFill="1" applyBorder="1"/>
    <xf numFmtId="4" fontId="27" fillId="13" borderId="52" xfId="4" applyNumberFormat="1" applyFont="1" applyFill="1" applyBorder="1" applyAlignment="1">
      <alignment horizontal="right"/>
    </xf>
    <xf numFmtId="10" fontId="27" fillId="13" borderId="52" xfId="5" applyNumberFormat="1" applyFont="1" applyFill="1" applyBorder="1" applyAlignment="1">
      <alignment horizontal="right"/>
    </xf>
    <xf numFmtId="10" fontId="27" fillId="12" borderId="52" xfId="5" applyNumberFormat="1" applyFont="1" applyFill="1" applyBorder="1" applyAlignment="1">
      <alignment horizontal="right"/>
    </xf>
    <xf numFmtId="0" fontId="25" fillId="13" borderId="53" xfId="4" applyFont="1" applyFill="1" applyBorder="1"/>
    <xf numFmtId="3" fontId="2" fillId="13" borderId="52" xfId="4" applyNumberFormat="1" applyFill="1" applyBorder="1"/>
    <xf numFmtId="3" fontId="2" fillId="13" borderId="60" xfId="4" applyNumberFormat="1" applyFill="1" applyBorder="1"/>
    <xf numFmtId="0" fontId="25" fillId="13" borderId="52" xfId="4" applyFont="1" applyFill="1" applyBorder="1"/>
    <xf numFmtId="0" fontId="25" fillId="0" borderId="71" xfId="4" applyFont="1" applyBorder="1"/>
    <xf numFmtId="0" fontId="25" fillId="0" borderId="72" xfId="4" applyFont="1" applyBorder="1" applyAlignment="1">
      <alignment horizontal="center"/>
    </xf>
    <xf numFmtId="10" fontId="27" fillId="0" borderId="72" xfId="5" applyNumberFormat="1" applyFont="1" applyBorder="1" applyAlignment="1">
      <alignment horizontal="right"/>
    </xf>
    <xf numFmtId="3" fontId="2" fillId="0" borderId="72" xfId="4" applyNumberFormat="1" applyBorder="1" applyAlignment="1">
      <alignment horizontal="right"/>
    </xf>
    <xf numFmtId="3" fontId="2" fillId="0" borderId="73" xfId="4" applyNumberFormat="1" applyBorder="1" applyAlignment="1">
      <alignment horizontal="right"/>
    </xf>
    <xf numFmtId="167" fontId="16" fillId="13" borderId="2" xfId="0" applyNumberFormat="1" applyFont="1" applyFill="1" applyBorder="1" applyAlignment="1">
      <alignment horizontal="center" vertical="center"/>
    </xf>
    <xf numFmtId="167" fontId="15" fillId="13" borderId="2" xfId="0" applyNumberFormat="1" applyFont="1" applyFill="1" applyBorder="1" applyAlignment="1">
      <alignment horizontal="center" vertical="center"/>
    </xf>
    <xf numFmtId="167" fontId="16" fillId="14" borderId="2" xfId="0" applyNumberFormat="1" applyFont="1" applyFill="1" applyBorder="1" applyAlignment="1">
      <alignment horizontal="center" vertical="center"/>
    </xf>
    <xf numFmtId="167" fontId="15" fillId="14" borderId="2" xfId="0" applyNumberFormat="1" applyFont="1" applyFill="1" applyBorder="1" applyAlignment="1">
      <alignment horizontal="center" vertical="center"/>
    </xf>
    <xf numFmtId="0" fontId="17" fillId="8" borderId="34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33" xfId="0" applyFont="1" applyFill="1" applyBorder="1" applyAlignment="1">
      <alignment horizontal="center" vertical="center" wrapText="1"/>
    </xf>
    <xf numFmtId="0" fontId="17" fillId="8" borderId="38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3" fillId="0" borderId="4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17" fillId="8" borderId="36" xfId="0" applyFont="1" applyFill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 wrapText="1"/>
    </xf>
    <xf numFmtId="0" fontId="17" fillId="8" borderId="37" xfId="0" applyFont="1" applyFill="1" applyBorder="1" applyAlignment="1">
      <alignment horizontal="center" vertical="center" wrapText="1"/>
    </xf>
    <xf numFmtId="0" fontId="17" fillId="8" borderId="45" xfId="0" applyFont="1" applyFill="1" applyBorder="1" applyAlignment="1">
      <alignment horizontal="center" vertical="center" wrapText="1"/>
    </xf>
    <xf numFmtId="0" fontId="17" fillId="8" borderId="46" xfId="0" applyFont="1" applyFill="1" applyBorder="1" applyAlignment="1">
      <alignment horizontal="center" vertical="center" wrapText="1"/>
    </xf>
    <xf numFmtId="0" fontId="17" fillId="8" borderId="53" xfId="0" applyFont="1" applyFill="1" applyBorder="1" applyAlignment="1">
      <alignment horizontal="center" vertical="center" wrapText="1"/>
    </xf>
    <xf numFmtId="0" fontId="17" fillId="8" borderId="5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23" fillId="0" borderId="57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vertical="center"/>
    </xf>
    <xf numFmtId="0" fontId="23" fillId="0" borderId="5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24" fillId="8" borderId="65" xfId="4" applyFont="1" applyFill="1" applyBorder="1" applyAlignment="1">
      <alignment horizontal="center" vertical="center"/>
    </xf>
    <xf numFmtId="0" fontId="24" fillId="8" borderId="68" xfId="4" applyFont="1" applyFill="1" applyBorder="1" applyAlignment="1">
      <alignment horizontal="center" vertical="center"/>
    </xf>
    <xf numFmtId="0" fontId="24" fillId="8" borderId="66" xfId="4" applyFont="1" applyFill="1" applyBorder="1" applyAlignment="1">
      <alignment horizontal="center" vertical="center"/>
    </xf>
    <xf numFmtId="0" fontId="24" fillId="8" borderId="61" xfId="4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textRotation="90" wrapText="1"/>
    </xf>
    <xf numFmtId="0" fontId="0" fillId="0" borderId="40" xfId="0" applyBorder="1" applyAlignment="1">
      <alignment horizontal="center" vertical="center" textRotation="90" wrapText="1"/>
    </xf>
    <xf numFmtId="0" fontId="0" fillId="0" borderId="41" xfId="0" applyBorder="1" applyAlignment="1">
      <alignment horizontal="center" vertical="center" textRotation="90" wrapText="1"/>
    </xf>
  </cellXfs>
  <cellStyles count="6">
    <cellStyle name="Moeda" xfId="2" builtinId="4"/>
    <cellStyle name="Normal" xfId="0" builtinId="0"/>
    <cellStyle name="Normal 16 2" xfId="3" xr:uid="{00000000-0005-0000-0000-000002000000}"/>
    <cellStyle name="Normal 2" xfId="4" xr:uid="{00000000-0005-0000-0000-000003000000}"/>
    <cellStyle name="Porcentagem" xfId="1" builtinId="5"/>
    <cellStyle name="Porcentagem 2" xfId="5" xr:uid="{00000000-0005-0000-0000-000005000000}"/>
  </cellStyles>
  <dxfs count="0"/>
  <tableStyles count="0" defaultTableStyle="TableStyleMedium2" defaultPivotStyle="PivotStyleLight16"/>
  <colors>
    <mruColors>
      <color rgb="FF00FF00"/>
      <color rgb="FFFA1ACF"/>
      <color rgb="FF5E02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worksheet" Target="worksheets/sheet1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5.xml"/><Relationship Id="rId12" Type="http://schemas.openxmlformats.org/officeDocument/2006/relationships/worksheet" Target="worksheets/sheet10.xml"/><Relationship Id="rId17" Type="http://schemas.openxmlformats.org/officeDocument/2006/relationships/styles" Target="styles.xml"/><Relationship Id="rId2" Type="http://schemas.openxmlformats.org/officeDocument/2006/relationships/chartsheet" Target="chart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worksheet" Target="worksheets/sheet9.xml"/><Relationship Id="rId5" Type="http://schemas.openxmlformats.org/officeDocument/2006/relationships/worksheet" Target="worksheets/sheet3.xml"/><Relationship Id="rId15" Type="http://schemas.openxmlformats.org/officeDocument/2006/relationships/worksheet" Target="worksheets/sheet13.xml"/><Relationship Id="rId10" Type="http://schemas.openxmlformats.org/officeDocument/2006/relationships/worksheet" Target="worksheets/sheet8.xml"/><Relationship Id="rId19" Type="http://schemas.openxmlformats.org/officeDocument/2006/relationships/sheetMetadata" Target="metadata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4" Type="http://schemas.openxmlformats.org/officeDocument/2006/relationships/worksheet" Target="worksheets/sheet12.xml"/><Relationship Id="rId22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4118833417522535"/>
          <c:y val="4.85456901199465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6.6666666666666666E-2"/>
          <c:y val="3.5353535353535352E-2"/>
          <c:w val="0.90625"/>
          <c:h val="0.895622895622895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Pt>
            <c:idx val="0"/>
            <c:marker>
              <c:symbol val="diamond"/>
              <c:size val="8"/>
              <c:spPr>
                <a:solidFill>
                  <a:schemeClr val="accent2">
                    <a:lumMod val="75000"/>
                  </a:schemeClr>
                </a:solidFill>
                <a:ln w="9525">
                  <a:solidFill>
                    <a:schemeClr val="accent2">
                      <a:lumMod val="7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rnd">
                <a:solidFill>
                  <a:schemeClr val="accent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56C4-40C4-84A4-EB9076048D08}"/>
              </c:ext>
            </c:extLst>
          </c:dPt>
          <c:dPt>
            <c:idx val="10"/>
            <c:marker>
              <c:symbol val="diamond"/>
              <c:size val="8"/>
              <c:spPr>
                <a:solidFill>
                  <a:schemeClr val="accent2">
                    <a:lumMod val="75000"/>
                  </a:schemeClr>
                </a:solidFill>
                <a:ln w="9525">
                  <a:solidFill>
                    <a:schemeClr val="accent2">
                      <a:lumMod val="75000"/>
                      <a:alpha val="95000"/>
                    </a:schemeClr>
                  </a:solidFill>
                  <a:round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56C4-40C4-84A4-EB9076048D08}"/>
              </c:ext>
            </c:extLst>
          </c:dPt>
          <c:dPt>
            <c:idx val="20"/>
            <c:marker>
              <c:symbol val="diamond"/>
              <c:size val="8"/>
              <c:spPr>
                <a:solidFill>
                  <a:schemeClr val="accent2">
                    <a:lumMod val="75000"/>
                  </a:schemeClr>
                </a:solidFill>
                <a:ln w="9525">
                  <a:solidFill>
                    <a:schemeClr val="accent1"/>
                  </a:solidFill>
                  <a:round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56C4-40C4-84A4-EB9076048D0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og"/>
            <c:dispRSqr val="0"/>
            <c:dispEq val="1"/>
            <c:trendlineLbl>
              <c:layout>
                <c:manualLayout>
                  <c:x val="8.8692371422157676E-2"/>
                  <c:y val="-5.239726960823744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8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914E-4F0A-A324-BB04657220A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-382307728"/>
        <c:axId val="-382314256"/>
      </c:scatterChart>
      <c:valAx>
        <c:axId val="-382307728"/>
        <c:scaling>
          <c:orientation val="minMax"/>
          <c:min val="199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314256"/>
        <c:crosses val="autoZero"/>
        <c:crossBetween val="midCat"/>
        <c:majorUnit val="2"/>
      </c:valAx>
      <c:valAx>
        <c:axId val="-382314256"/>
        <c:scaling>
          <c:orientation val="minMax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307728"/>
        <c:crosses val="autoZero"/>
        <c:crossBetween val="midCat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PROJEÇÃO POPULACIONAL</a:t>
            </a:r>
          </a:p>
        </c:rich>
      </c:tx>
      <c:layout>
        <c:manualLayout>
          <c:xMode val="edge"/>
          <c:yMode val="edge"/>
          <c:x val="0.42130861227476735"/>
          <c:y val="3.65451018638384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9.7317817573688251E-2"/>
          <c:y val="8.9043047095528155E-2"/>
          <c:w val="0.85683534248484428"/>
          <c:h val="0.75409894517902243"/>
        </c:manualLayout>
      </c:layout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03884634045595E-2"/>
                  <c:y val="2.90244989753280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EE0-46A7-8645-2E2A85915F57}"/>
                </c:ext>
              </c:extLst>
            </c:dLbl>
            <c:dLbl>
              <c:idx val="1"/>
              <c:layout>
                <c:manualLayout>
                  <c:x val="-2.3315949420502871E-2"/>
                  <c:y val="3.00989074601440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EE0-46A7-8645-2E2A85915F57}"/>
                </c:ext>
              </c:extLst>
            </c:dLbl>
            <c:dLbl>
              <c:idx val="2"/>
              <c:layout>
                <c:manualLayout>
                  <c:x val="-2.2160084676367296E-2"/>
                  <c:y val="2.84800588188325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EE0-46A7-8645-2E2A85915F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7D66-4731-A248-4F2ABB67FDEA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7D66-4731-A248-4F2ABB67FDEA}"/>
            </c:ext>
          </c:extLst>
        </c:ser>
        <c:ser>
          <c:idx val="5"/>
          <c:order val="2"/>
          <c:spPr>
            <a:ln w="1905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7D66-4731-A248-4F2ABB67FDEA}"/>
            </c:ext>
          </c:extLst>
        </c:ser>
        <c:ser>
          <c:idx val="2"/>
          <c:order val="3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7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7D66-4731-A248-4F2ABB67FDEA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7D66-4731-A248-4F2ABB67FDEA}"/>
              </c:ext>
            </c:extLst>
          </c:dPt>
          <c:dPt>
            <c:idx val="9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B-7D66-4731-A248-4F2ABB67FDEA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D-7D66-4731-A248-4F2ABB67FDEA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F-7D66-4731-A248-4F2ABB67FDEA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1-7D66-4731-A248-4F2ABB67FDEA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3-7D66-4731-A248-4F2ABB67FDEA}"/>
              </c:ext>
            </c:extLst>
          </c:dPt>
          <c:dPt>
            <c:idx val="14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5-7D66-4731-A248-4F2ABB67FDEA}"/>
              </c:ext>
            </c:extLst>
          </c:dPt>
          <c:dPt>
            <c:idx val="15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7-7D66-4731-A248-4F2ABB67FDEA}"/>
              </c:ext>
            </c:extLst>
          </c:dPt>
          <c:dPt>
            <c:idx val="16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9-7D66-4731-A248-4F2ABB67FDEA}"/>
              </c:ext>
            </c:extLst>
          </c:dPt>
          <c:dPt>
            <c:idx val="17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B-7D66-4731-A248-4F2ABB67FDEA}"/>
              </c:ext>
            </c:extLst>
          </c:dPt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1C-7D66-4731-A248-4F2ABB67FDEA}"/>
            </c:ext>
          </c:extLst>
        </c:ser>
        <c:ser>
          <c:idx val="4"/>
          <c:order val="4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1E-7D66-4731-A248-4F2ABB67FDEA}"/>
            </c:ext>
          </c:extLst>
        </c:ser>
        <c:ser>
          <c:idx val="6"/>
          <c:order val="5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1F-7D66-4731-A248-4F2ABB67FDEA}"/>
            </c:ext>
          </c:extLst>
        </c:ser>
        <c:ser>
          <c:idx val="7"/>
          <c:order val="6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20-7D66-4731-A248-4F2ABB67FDEA}"/>
            </c:ext>
          </c:extLst>
        </c:ser>
        <c:ser>
          <c:idx val="3"/>
          <c:order val="9"/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B-7B52-4710-B881-1C9130652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291408"/>
        <c:axId val="-382290864"/>
        <c:extLst>
          <c:ext xmlns:c15="http://schemas.microsoft.com/office/drawing/2012/chart" uri="{02D57815-91ED-43cb-92C2-25804820EDAC}">
            <c15:filteredScatterSeries>
              <c15:ser>
                <c:idx val="8"/>
                <c:order val="7"/>
                <c:spPr>
                  <a:ln w="1905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yVal>
                <c:smooth val="1"/>
                <c:extLst>
                  <c:ext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21-7D66-4731-A248-4F2ABB67FDEA}"/>
                  </c:ext>
                </c:extLst>
              </c15:ser>
            </c15:filteredScatterSeries>
            <c15:filteredScatterSeries>
              <c15:ser>
                <c:idx val="9"/>
                <c:order val="8"/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#REF!</c15:sqref>
                        </c15:formulaRef>
                      </c:ext>
                    </c:extLst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5="http://schemas.microsoft.com/office/drawing/2012/chart" uri="{02D57815-91ED-43cb-92C2-25804820EDAC}">
                    <c15:filteredSeriesTitle>
                      <c15:tx>
                        <c:strRef>
                          <c:extLst>
                            <c:ext uri="{02D57815-91ED-43cb-92C2-25804820EDAC}">
                              <c15:formulaRef>
                                <c15:sqref>#REF!</c15:sqref>
                              </c15:formulaRef>
                            </c:ext>
                          </c:extLst>
                          <c:strCache>
                            <c:ptCount val="1"/>
                            <c:pt idx="0">
                              <c:v>#REF!</c:v>
                            </c:pt>
                          </c:strCache>
                        </c:strRef>
                      </c15:tx>
                    </c15:filteredSeriesTitle>
                  </c:ext>
                  <c:ext xmlns:c16="http://schemas.microsoft.com/office/drawing/2014/chart" uri="{C3380CC4-5D6E-409C-BE32-E72D297353CC}">
                    <c16:uniqueId val="{00000022-7D66-4731-A248-4F2ABB67FDEA}"/>
                  </c:ext>
                </c:extLst>
              </c15:ser>
            </c15:filteredScatterSeries>
          </c:ext>
        </c:extLst>
      </c:scatterChart>
      <c:valAx>
        <c:axId val="-382291408"/>
        <c:scaling>
          <c:orientation val="minMax"/>
          <c:max val="2058"/>
          <c:min val="199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layout>
            <c:manualLayout>
              <c:xMode val="edge"/>
              <c:yMode val="edge"/>
              <c:x val="0.50786244860985297"/>
              <c:y val="0.880846456692913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0864"/>
        <c:crosses val="autoZero"/>
        <c:crossBetween val="midCat"/>
        <c:majorUnit val="2"/>
      </c:valAx>
      <c:valAx>
        <c:axId val="-382290864"/>
        <c:scaling>
          <c:orientation val="minMax"/>
          <c:max val="75000"/>
          <c:min val="2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POPULAÇÃO  (hab)</a:t>
                </a:r>
              </a:p>
            </c:rich>
          </c:tx>
          <c:layout>
            <c:manualLayout>
              <c:xMode val="edge"/>
              <c:yMode val="edge"/>
              <c:x val="1.238603581631942E-2"/>
              <c:y val="0.36945290447184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1408"/>
        <c:crosses val="autoZero"/>
        <c:crossBetween val="midCat"/>
        <c:majorUnit val="25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População de Projeto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4"/>
          <c:order val="0"/>
          <c:tx>
            <c:strRef>
              <c:f>População!$D$6</c:f>
              <c:strCache>
                <c:ptCount val="1"/>
                <c:pt idx="0">
                  <c:v>Municipal 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População!$C$8:$C$47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População!$D$8:$D$47</c:f>
              <c:numCache>
                <c:formatCode>#,##0</c:formatCode>
                <c:ptCount val="40"/>
                <c:pt idx="0">
                  <c:v>46099</c:v>
                </c:pt>
                <c:pt idx="1">
                  <c:v>46410.389286607584</c:v>
                </c:pt>
                <c:pt idx="2">
                  <c:v>47001.047468737517</c:v>
                </c:pt>
                <c:pt idx="3">
                  <c:v>47574.248761036477</c:v>
                </c:pt>
                <c:pt idx="4">
                  <c:v>48129.934308474782</c:v>
                </c:pt>
                <c:pt idx="5">
                  <c:v>48668.099693066652</c:v>
                </c:pt>
                <c:pt idx="6">
                  <c:v>49188.791631129308</c:v>
                </c:pt>
                <c:pt idx="7">
                  <c:v>49692.104532988749</c:v>
                </c:pt>
                <c:pt idx="8">
                  <c:v>50178.176972132591</c:v>
                </c:pt>
                <c:pt idx="9">
                  <c:v>50647.188107419621</c:v>
                </c:pt>
                <c:pt idx="10">
                  <c:v>51099.354098197487</c:v>
                </c:pt>
                <c:pt idx="11">
                  <c:v>51534.924548176983</c:v>
                </c:pt>
                <c:pt idx="12">
                  <c:v>51954.179009778287</c:v>
                </c:pt>
                <c:pt idx="13">
                  <c:v>52357.423576502828</c:v>
                </c:pt>
                <c:pt idx="14">
                  <c:v>52744.987586780422</c:v>
                </c:pt>
                <c:pt idx="15">
                  <c:v>53117.220458769429</c:v>
                </c:pt>
                <c:pt idx="16">
                  <c:v>53474.488671807332</c:v>
                </c:pt>
                <c:pt idx="17">
                  <c:v>53817.172906665335</c:v>
                </c:pt>
                <c:pt idx="18">
                  <c:v>54145.665353488075</c:v>
                </c:pt>
                <c:pt idx="19">
                  <c:v>54460.367193320133</c:v>
                </c:pt>
                <c:pt idx="20">
                  <c:v>54761.686256446563</c:v>
                </c:pt>
                <c:pt idx="21">
                  <c:v>55050.034858409446</c:v>
                </c:pt>
                <c:pt idx="22">
                  <c:v>55325.827812502503</c:v>
                </c:pt>
                <c:pt idx="23">
                  <c:v>55589.480615780878</c:v>
                </c:pt>
                <c:pt idx="24">
                  <c:v>55841.407804141396</c:v>
                </c:pt>
                <c:pt idx="25">
                  <c:v>56082.021470808475</c:v>
                </c:pt>
                <c:pt idx="26">
                  <c:v>56311.729941586789</c:v>
                </c:pt>
                <c:pt idx="27">
                  <c:v>56530.936599488814</c:v>
                </c:pt>
                <c:pt idx="28">
                  <c:v>56740.038850792793</c:v>
                </c:pt>
                <c:pt idx="29">
                  <c:v>56939.427224211664</c:v>
                </c:pt>
                <c:pt idx="30">
                  <c:v>57129.484594635185</c:v>
                </c:pt>
                <c:pt idx="31">
                  <c:v>57310.585522822483</c:v>
                </c:pt>
                <c:pt idx="32">
                  <c:v>57483.095702453269</c:v>
                </c:pt>
                <c:pt idx="33">
                  <c:v>57647.37150607325</c:v>
                </c:pt>
                <c:pt idx="34">
                  <c:v>57803.759621674704</c:v>
                </c:pt>
                <c:pt idx="35">
                  <c:v>57952.596771923781</c:v>
                </c:pt>
                <c:pt idx="36">
                  <c:v>58094.209508365813</c:v>
                </c:pt>
                <c:pt idx="37">
                  <c:v>58228.914073297063</c:v>
                </c:pt>
                <c:pt idx="38">
                  <c:v>58228.914073297063</c:v>
                </c:pt>
                <c:pt idx="39">
                  <c:v>58228.914073297063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FD-431C-B79E-69FBE5C5A34E}"/>
            </c:ext>
          </c:extLst>
        </c:ser>
        <c:ser>
          <c:idx val="0"/>
          <c:order val="1"/>
          <c:tx>
            <c:strRef>
              <c:f>População!$E$6</c:f>
              <c:strCache>
                <c:ptCount val="1"/>
                <c:pt idx="0">
                  <c:v>Rural </c:v>
                </c:pt>
              </c:strCache>
            </c:strRef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2">
                    <a:lumMod val="75000"/>
                  </a:schemeClr>
                </a:solidFill>
              </a:ln>
              <a:effectLst/>
            </c:spPr>
          </c:marker>
          <c:xVal>
            <c:numRef>
              <c:f>População!$C$8:$C$47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População!$E$8:$E$47</c:f>
              <c:numCache>
                <c:formatCode>#,##0</c:formatCode>
                <c:ptCount val="40"/>
                <c:pt idx="0">
                  <c:v>2524</c:v>
                </c:pt>
                <c:pt idx="1">
                  <c:v>2197.8233766137523</c:v>
                </c:pt>
                <c:pt idx="2">
                  <c:v>2169.8520025264429</c:v>
                </c:pt>
                <c:pt idx="3">
                  <c:v>2143.3895716035377</c:v>
                </c:pt>
                <c:pt idx="4">
                  <c:v>2118.3539559398482</c:v>
                </c:pt>
                <c:pt idx="5">
                  <c:v>2094.667558113219</c:v>
                </c:pt>
                <c:pt idx="6">
                  <c:v>2072.2570568339524</c:v>
                </c:pt>
                <c:pt idx="7">
                  <c:v>2051.0531671247827</c:v>
                </c:pt>
                <c:pt idx="8">
                  <c:v>2030.990414195971</c:v>
                </c:pt>
                <c:pt idx="9">
                  <c:v>2012.0069202271059</c:v>
                </c:pt>
                <c:pt idx="10">
                  <c:v>1994.0442033116699</c:v>
                </c:pt>
                <c:pt idx="11">
                  <c:v>1977.0469878625979</c:v>
                </c:pt>
                <c:pt idx="12">
                  <c:v>1960.9630258169771</c:v>
                </c:pt>
                <c:pt idx="13">
                  <c:v>1945.7429280158053</c:v>
                </c:pt>
                <c:pt idx="14">
                  <c:v>1931.340005170505</c:v>
                </c:pt>
                <c:pt idx="15">
                  <c:v>1917.7101178617049</c:v>
                </c:pt>
                <c:pt idx="16">
                  <c:v>1904.811535047776</c:v>
                </c:pt>
                <c:pt idx="17">
                  <c:v>1892.6048005908522</c:v>
                </c:pt>
                <c:pt idx="18">
                  <c:v>1881.0526073366138</c:v>
                </c:pt>
                <c:pt idx="19">
                  <c:v>1870.1196783110852</c:v>
                </c:pt>
                <c:pt idx="20">
                  <c:v>1859.7726546231488</c:v>
                </c:pt>
                <c:pt idx="21">
                  <c:v>1849.9799896855116</c:v>
                </c:pt>
                <c:pt idx="22">
                  <c:v>1840.7118493894939</c:v>
                </c:pt>
                <c:pt idx="23">
                  <c:v>1831.9400178903982</c:v>
                </c:pt>
                <c:pt idx="24">
                  <c:v>1823.6378086803118</c:v>
                </c:pt>
                <c:pt idx="25">
                  <c:v>1815.7799806442008</c:v>
                </c:pt>
                <c:pt idx="26">
                  <c:v>1808.342658812983</c:v>
                </c:pt>
                <c:pt idx="27">
                  <c:v>1801.3032595441052</c:v>
                </c:pt>
                <c:pt idx="28">
                  <c:v>1794.6404198759708</c:v>
                </c:pt>
                <c:pt idx="29">
                  <c:v>1788.3339308174807</c:v>
                </c:pt>
                <c:pt idx="30">
                  <c:v>1782.3646743479355</c:v>
                </c:pt>
                <c:pt idx="31">
                  <c:v>1776.7145639157652</c:v>
                </c:pt>
                <c:pt idx="32">
                  <c:v>1771.3664882369417</c:v>
                </c:pt>
                <c:pt idx="33">
                  <c:v>1766.3042582055796</c:v>
                </c:pt>
                <c:pt idx="34">
                  <c:v>1761.5125567402233</c:v>
                </c:pt>
                <c:pt idx="35">
                  <c:v>1756.9768913996099</c:v>
                </c:pt>
                <c:pt idx="36">
                  <c:v>1752.6835496113943</c:v>
                </c:pt>
                <c:pt idx="37">
                  <c:v>1748.6195563664469</c:v>
                </c:pt>
                <c:pt idx="38">
                  <c:v>1748.6195563664469</c:v>
                </c:pt>
                <c:pt idx="39">
                  <c:v>1748.6195563664469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22FD-431C-B79E-69FBE5C5A34E}"/>
            </c:ext>
          </c:extLst>
        </c:ser>
        <c:ser>
          <c:idx val="3"/>
          <c:order val="3"/>
          <c:tx>
            <c:strRef>
              <c:f>População!$G$6</c:f>
              <c:strCache>
                <c:ptCount val="1"/>
                <c:pt idx="0">
                  <c:v>Urbana 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População!$C$8:$C$47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População!$G$8:$G$47</c:f>
              <c:numCache>
                <c:formatCode>#,##0</c:formatCode>
                <c:ptCount val="40"/>
                <c:pt idx="0">
                  <c:v>43575</c:v>
                </c:pt>
                <c:pt idx="1">
                  <c:v>44212.565909993835</c:v>
                </c:pt>
                <c:pt idx="2">
                  <c:v>44831.195466211073</c:v>
                </c:pt>
                <c:pt idx="3">
                  <c:v>45430.859189432937</c:v>
                </c:pt>
                <c:pt idx="4">
                  <c:v>46011.580352534933</c:v>
                </c:pt>
                <c:pt idx="5">
                  <c:v>46573.432134953429</c:v>
                </c:pt>
                <c:pt idx="6">
                  <c:v>47116.534574295358</c:v>
                </c:pt>
                <c:pt idx="7">
                  <c:v>47641.051365863968</c:v>
                </c:pt>
                <c:pt idx="8">
                  <c:v>48147.18655793662</c:v>
                </c:pt>
                <c:pt idx="9">
                  <c:v>48635.181187192517</c:v>
                </c:pt>
                <c:pt idx="10">
                  <c:v>49105.309894885817</c:v>
                </c:pt>
                <c:pt idx="11">
                  <c:v>49557.877560314388</c:v>
                </c:pt>
                <c:pt idx="12">
                  <c:v>49993.215983961309</c:v>
                </c:pt>
                <c:pt idx="13">
                  <c:v>50411.680648487025</c:v>
                </c:pt>
                <c:pt idx="14">
                  <c:v>50813.647581609919</c:v>
                </c:pt>
                <c:pt idx="15">
                  <c:v>51199.510340907727</c:v>
                </c:pt>
                <c:pt idx="16">
                  <c:v>51569.677136759557</c:v>
                </c:pt>
                <c:pt idx="17">
                  <c:v>51924.568106074483</c:v>
                </c:pt>
                <c:pt idx="18">
                  <c:v>52264.612746151462</c:v>
                </c:pt>
                <c:pt idx="19">
                  <c:v>52590.247515009047</c:v>
                </c:pt>
                <c:pt idx="20">
                  <c:v>52901.913601823413</c:v>
                </c:pt>
                <c:pt idx="21">
                  <c:v>53200.054868723935</c:v>
                </c:pt>
                <c:pt idx="22">
                  <c:v>53485.115963113007</c:v>
                </c:pt>
                <c:pt idx="23">
                  <c:v>53757.540597890482</c:v>
                </c:pt>
                <c:pt idx="24">
                  <c:v>54017.769995461087</c:v>
                </c:pt>
                <c:pt idx="25">
                  <c:v>54266.241490164277</c:v>
                </c:pt>
                <c:pt idx="26">
                  <c:v>54503.387282773809</c:v>
                </c:pt>
                <c:pt idx="27">
                  <c:v>54729.63333994471</c:v>
                </c:pt>
                <c:pt idx="28">
                  <c:v>54945.398430916823</c:v>
                </c:pt>
                <c:pt idx="29">
                  <c:v>55151.09329339418</c:v>
                </c:pt>
                <c:pt idx="30">
                  <c:v>55347.119920287252</c:v>
                </c:pt>
                <c:pt idx="31">
                  <c:v>55533.870958906715</c:v>
                </c:pt>
                <c:pt idx="32">
                  <c:v>55711.729214216328</c:v>
                </c:pt>
                <c:pt idx="33">
                  <c:v>55881.067247867672</c:v>
                </c:pt>
                <c:pt idx="34">
                  <c:v>56042.247064934483</c:v>
                </c:pt>
                <c:pt idx="35">
                  <c:v>56195.619880524173</c:v>
                </c:pt>
                <c:pt idx="36">
                  <c:v>56341.525958754421</c:v>
                </c:pt>
                <c:pt idx="37">
                  <c:v>56480.294516930619</c:v>
                </c:pt>
                <c:pt idx="38">
                  <c:v>56615</c:v>
                </c:pt>
                <c:pt idx="39">
                  <c:v>56482.294516930597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2FD-431C-B79E-69FBE5C5A34E}"/>
            </c:ext>
          </c:extLst>
        </c:ser>
        <c:ser>
          <c:idx val="2"/>
          <c:order val="4"/>
          <c:tx>
            <c:strRef>
              <c:f>População!$L$6</c:f>
              <c:strCache>
                <c:ptCount val="1"/>
                <c:pt idx="0">
                  <c:v>Saturação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dPt>
            <c:idx val="58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22FD-431C-B79E-69FBE5C5A34E}"/>
              </c:ext>
            </c:extLst>
          </c:dPt>
          <c:xVal>
            <c:numRef>
              <c:f>População!$C$8:$C$47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População!$L$8:$L$47</c:f>
              <c:numCache>
                <c:formatCode>General</c:formatCode>
                <c:ptCount val="40"/>
                <c:pt idx="0">
                  <c:v>60730</c:v>
                </c:pt>
                <c:pt idx="1">
                  <c:v>60730</c:v>
                </c:pt>
                <c:pt idx="2">
                  <c:v>60730</c:v>
                </c:pt>
                <c:pt idx="3">
                  <c:v>60730</c:v>
                </c:pt>
                <c:pt idx="4">
                  <c:v>60730</c:v>
                </c:pt>
                <c:pt idx="5">
                  <c:v>60730</c:v>
                </c:pt>
                <c:pt idx="6">
                  <c:v>60730</c:v>
                </c:pt>
                <c:pt idx="7">
                  <c:v>60730</c:v>
                </c:pt>
                <c:pt idx="8">
                  <c:v>60730</c:v>
                </c:pt>
                <c:pt idx="9">
                  <c:v>60730</c:v>
                </c:pt>
                <c:pt idx="10">
                  <c:v>60730</c:v>
                </c:pt>
                <c:pt idx="11">
                  <c:v>60730</c:v>
                </c:pt>
                <c:pt idx="12">
                  <c:v>60730</c:v>
                </c:pt>
                <c:pt idx="13">
                  <c:v>60730</c:v>
                </c:pt>
                <c:pt idx="14">
                  <c:v>60730</c:v>
                </c:pt>
                <c:pt idx="15">
                  <c:v>60730</c:v>
                </c:pt>
                <c:pt idx="16">
                  <c:v>60730</c:v>
                </c:pt>
                <c:pt idx="17">
                  <c:v>60730</c:v>
                </c:pt>
                <c:pt idx="18">
                  <c:v>60730</c:v>
                </c:pt>
                <c:pt idx="19">
                  <c:v>60730</c:v>
                </c:pt>
                <c:pt idx="20">
                  <c:v>60730</c:v>
                </c:pt>
                <c:pt idx="21">
                  <c:v>60730</c:v>
                </c:pt>
                <c:pt idx="22">
                  <c:v>60730</c:v>
                </c:pt>
                <c:pt idx="23">
                  <c:v>60730</c:v>
                </c:pt>
                <c:pt idx="24">
                  <c:v>60730</c:v>
                </c:pt>
                <c:pt idx="25">
                  <c:v>60730</c:v>
                </c:pt>
                <c:pt idx="26">
                  <c:v>60730</c:v>
                </c:pt>
                <c:pt idx="27">
                  <c:v>60730</c:v>
                </c:pt>
                <c:pt idx="28">
                  <c:v>60730</c:v>
                </c:pt>
                <c:pt idx="29">
                  <c:v>60730</c:v>
                </c:pt>
                <c:pt idx="30">
                  <c:v>60730</c:v>
                </c:pt>
                <c:pt idx="31">
                  <c:v>60730</c:v>
                </c:pt>
                <c:pt idx="32">
                  <c:v>60730</c:v>
                </c:pt>
                <c:pt idx="33">
                  <c:v>60730</c:v>
                </c:pt>
                <c:pt idx="34">
                  <c:v>60730</c:v>
                </c:pt>
                <c:pt idx="35">
                  <c:v>60730</c:v>
                </c:pt>
                <c:pt idx="36">
                  <c:v>60730</c:v>
                </c:pt>
                <c:pt idx="37">
                  <c:v>60730</c:v>
                </c:pt>
                <c:pt idx="38">
                  <c:v>60730</c:v>
                </c:pt>
                <c:pt idx="39">
                  <c:v>60730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2FD-431C-B79E-69FBE5C5A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287056"/>
        <c:axId val="-382296304"/>
        <c:extLst/>
      </c:scatterChart>
      <c:scatterChart>
        <c:scatterStyle val="smoothMarker"/>
        <c:varyColors val="0"/>
        <c:ser>
          <c:idx val="1"/>
          <c:order val="2"/>
          <c:tx>
            <c:strRef>
              <c:f>População!$J$6</c:f>
              <c:strCache>
                <c:ptCount val="1"/>
                <c:pt idx="0">
                  <c:v>TCG Municipal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População!$C$8:$C$47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População!$J$8:$J$47</c:f>
              <c:numCache>
                <c:formatCode>0.00%</c:formatCode>
                <c:ptCount val="40"/>
                <c:pt idx="0">
                  <c:v>8.6E-3</c:v>
                </c:pt>
                <c:pt idx="1">
                  <c:v>6.7094737060832133E-3</c:v>
                </c:pt>
                <c:pt idx="2">
                  <c:v>1.2566915291043368E-2</c:v>
                </c:pt>
                <c:pt idx="3">
                  <c:v>1.2048562136590557E-2</c:v>
                </c:pt>
                <c:pt idx="4">
                  <c:v>1.154552889843552E-2</c:v>
                </c:pt>
                <c:pt idx="5">
                  <c:v>1.1057867226908269E-2</c:v>
                </c:pt>
                <c:pt idx="6">
                  <c:v>1.058558099917084E-2</c:v>
                </c:pt>
                <c:pt idx="7">
                  <c:v>1.0128629217651897E-2</c:v>
                </c:pt>
                <c:pt idx="8">
                  <c:v>9.6869290292029842E-3</c:v>
                </c:pt>
                <c:pt idx="9">
                  <c:v>9.2603588237175627E-3</c:v>
                </c:pt>
                <c:pt idx="10">
                  <c:v>8.8487613739489657E-3</c:v>
                </c:pt>
                <c:pt idx="11">
                  <c:v>8.4519469815524939E-3</c:v>
                </c:pt>
                <c:pt idx="12">
                  <c:v>8.0696965978885871E-3</c:v>
                </c:pt>
                <c:pt idx="13">
                  <c:v>7.7017648917604431E-3</c:v>
                </c:pt>
                <c:pt idx="14">
                  <c:v>7.3478832398992111E-3</c:v>
                </c:pt>
                <c:pt idx="15">
                  <c:v>7.0077626196186626E-3</c:v>
                </c:pt>
                <c:pt idx="16">
                  <c:v>6.681096386551566E-3</c:v>
                </c:pt>
                <c:pt idx="17">
                  <c:v>6.3675629236845666E-3</c:v>
                </c:pt>
                <c:pt idx="18">
                  <c:v>6.0668281510291022E-3</c:v>
                </c:pt>
                <c:pt idx="19">
                  <c:v>5.7785478881356989E-3</c:v>
                </c:pt>
                <c:pt idx="20">
                  <c:v>5.5023700642702345E-3</c:v>
                </c:pt>
                <c:pt idx="21">
                  <c:v>5.2379367734194382E-3</c:v>
                </c:pt>
                <c:pt idx="22">
                  <c:v>4.9848861733746697E-3</c:v>
                </c:pt>
                <c:pt idx="23">
                  <c:v>4.7428542299337018E-3</c:v>
                </c:pt>
                <c:pt idx="24">
                  <c:v>4.5114763088376364E-3</c:v>
                </c:pt>
                <c:pt idx="25">
                  <c:v>4.2903886193247365E-3</c:v>
                </c:pt>
                <c:pt idx="26">
                  <c:v>4.0792295142877411E-3</c:v>
                </c:pt>
                <c:pt idx="27">
                  <c:v>3.8776406528527874E-3</c:v>
                </c:pt>
                <c:pt idx="28">
                  <c:v>3.6852680318716358E-3</c:v>
                </c:pt>
                <c:pt idx="29">
                  <c:v>3.5017628932889622E-3</c:v>
                </c:pt>
                <c:pt idx="30">
                  <c:v>3.3267825147046404E-3</c:v>
                </c:pt>
                <c:pt idx="31">
                  <c:v>3.1599908906040364E-3</c:v>
                </c:pt>
                <c:pt idx="32">
                  <c:v>3.0010593118322548E-3</c:v>
                </c:pt>
                <c:pt idx="33">
                  <c:v>2.8496668508585232E-3</c:v>
                </c:pt>
                <c:pt idx="34">
                  <c:v>2.7055007602447834E-3</c:v>
                </c:pt>
                <c:pt idx="35">
                  <c:v>2.5682567915780163E-3</c:v>
                </c:pt>
                <c:pt idx="36">
                  <c:v>2.4376394418730296E-3</c:v>
                </c:pt>
                <c:pt idx="37">
                  <c:v>2.3133621341742128E-3</c:v>
                </c:pt>
                <c:pt idx="38">
                  <c:v>0</c:v>
                </c:pt>
                <c:pt idx="3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2FD-431C-B79E-69FBE5C5A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9103280"/>
        <c:axId val="969104720"/>
      </c:scatterChart>
      <c:valAx>
        <c:axId val="-382287056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6304"/>
        <c:crosses val="autoZero"/>
        <c:crossBetween val="midCat"/>
        <c:majorUnit val="2"/>
      </c:valAx>
      <c:valAx>
        <c:axId val="-3822963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87056"/>
        <c:crosses val="autoZero"/>
        <c:crossBetween val="midCat"/>
        <c:majorUnit val="10000"/>
      </c:valAx>
      <c:valAx>
        <c:axId val="969104720"/>
        <c:scaling>
          <c:orientation val="minMax"/>
          <c:max val="5.000000000000001E-2"/>
          <c:min val="-1.0000000000000002E-2"/>
        </c:scaling>
        <c:delete val="0"/>
        <c:axPos val="r"/>
        <c:numFmt formatCode="0.0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69103280"/>
        <c:crosses val="max"/>
        <c:crossBetween val="midCat"/>
        <c:majorUnit val="5.000000000000001E-3"/>
      </c:valAx>
      <c:valAx>
        <c:axId val="969103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69104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Imóveis</a:t>
            </a:r>
            <a:r>
              <a:rPr lang="pt-BR" baseline="0"/>
              <a:t> Urbanos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0"/>
          <c:tx>
            <c:strRef>
              <c:f>Imóveis!$Q$6</c:f>
              <c:strCache>
                <c:ptCount val="1"/>
                <c:pt idx="0">
                  <c:v>Total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Imóveis!$C$8:$C$47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Imóveis!$Q$8:$Q$47</c:f>
              <c:numCache>
                <c:formatCode>#,##0</c:formatCode>
                <c:ptCount val="40"/>
                <c:pt idx="0">
                  <c:v>17805.832576742534</c:v>
                </c:pt>
                <c:pt idx="1">
                  <c:v>18237.923910957299</c:v>
                </c:pt>
                <c:pt idx="2">
                  <c:v>18667.240623326885</c:v>
                </c:pt>
                <c:pt idx="3">
                  <c:v>19092.107788670124</c:v>
                </c:pt>
                <c:pt idx="4">
                  <c:v>19516.01352733386</c:v>
                </c:pt>
                <c:pt idx="5">
                  <c:v>19936.455752029884</c:v>
                </c:pt>
                <c:pt idx="6">
                  <c:v>20351.944589677849</c:v>
                </c:pt>
                <c:pt idx="7">
                  <c:v>20765.004675096694</c:v>
                </c:pt>
                <c:pt idx="8">
                  <c:v>21173.17729456622</c:v>
                </c:pt>
                <c:pt idx="9">
                  <c:v>21576.022359909388</c:v>
                </c:pt>
                <c:pt idx="10">
                  <c:v>21974.120196650016</c:v>
                </c:pt>
                <c:pt idx="11">
                  <c:v>22366.073132905625</c:v>
                </c:pt>
                <c:pt idx="12">
                  <c:v>22750.506878903503</c:v>
                </c:pt>
                <c:pt idx="13">
                  <c:v>23131.071690283647</c:v>
                </c:pt>
                <c:pt idx="14">
                  <c:v>23503.443311600149</c:v>
                </c:pt>
                <c:pt idx="15">
                  <c:v>23868.32369958342</c:v>
                </c:pt>
                <c:pt idx="16">
                  <c:v>24227.441528716725</c:v>
                </c:pt>
                <c:pt idx="17">
                  <c:v>24576.552484457436</c:v>
                </c:pt>
                <c:pt idx="18">
                  <c:v>24918.439351950165</c:v>
                </c:pt>
                <c:pt idx="19">
                  <c:v>25252.911910301696</c:v>
                </c:pt>
                <c:pt idx="20">
                  <c:v>25579.806644389853</c:v>
                </c:pt>
                <c:pt idx="21">
                  <c:v>25897.986287747164</c:v>
                </c:pt>
                <c:pt idx="22">
                  <c:v>26208.339211288378</c:v>
                </c:pt>
                <c:pt idx="23">
                  <c:v>26508.778673544235</c:v>
                </c:pt>
                <c:pt idx="24">
                  <c:v>26803.241948632414</c:v>
                </c:pt>
                <c:pt idx="25">
                  <c:v>27087.689348459844</c:v>
                </c:pt>
                <c:pt idx="26">
                  <c:v>27364.103155631776</c:v>
                </c:pt>
                <c:pt idx="27">
                  <c:v>27631.486483270179</c:v>
                </c:pt>
                <c:pt idx="28">
                  <c:v>27890.862077448597</c:v>
                </c:pt>
                <c:pt idx="29">
                  <c:v>28141.271077264348</c:v>
                </c:pt>
                <c:pt idx="30">
                  <c:v>28385.771746725739</c:v>
                </c:pt>
                <c:pt idx="31">
                  <c:v>28619.438191664158</c:v>
                </c:pt>
                <c:pt idx="32">
                  <c:v>28846.359073820513</c:v>
                </c:pt>
                <c:pt idx="33">
                  <c:v>29064.636333131584</c:v>
                </c:pt>
                <c:pt idx="34">
                  <c:v>29275.383928082472</c:v>
                </c:pt>
                <c:pt idx="35">
                  <c:v>29478.726602820454</c:v>
                </c:pt>
                <c:pt idx="36">
                  <c:v>29673.798688565061</c:v>
                </c:pt>
                <c:pt idx="37">
                  <c:v>29861.742945717364</c:v>
                </c:pt>
                <c:pt idx="38">
                  <c:v>30028.873763443942</c:v>
                </c:pt>
                <c:pt idx="39">
                  <c:v>30223.249778240403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B0A-4BB3-B5A0-DE442174D709}"/>
            </c:ext>
          </c:extLst>
        </c:ser>
        <c:ser>
          <c:idx val="4"/>
          <c:order val="1"/>
          <c:tx>
            <c:strRef>
              <c:f>Imóveis!$D$6</c:f>
              <c:strCache>
                <c:ptCount val="1"/>
                <c:pt idx="0">
                  <c:v>Imóveis Saturação Urbana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Imóveis!$C$8:$C$47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Imóveis!$D$8:$D$47</c:f>
              <c:numCache>
                <c:formatCode>#,##0</c:formatCode>
                <c:ptCount val="40"/>
                <c:pt idx="0">
                  <c:v>32697.499963584902</c:v>
                </c:pt>
                <c:pt idx="1">
                  <c:v>32697.499963584902</c:v>
                </c:pt>
                <c:pt idx="2">
                  <c:v>32697.499963584902</c:v>
                </c:pt>
                <c:pt idx="3">
                  <c:v>32697.499963584902</c:v>
                </c:pt>
                <c:pt idx="4">
                  <c:v>32697.499963584902</c:v>
                </c:pt>
                <c:pt idx="5">
                  <c:v>32697.499963584902</c:v>
                </c:pt>
                <c:pt idx="6">
                  <c:v>32697.499963584902</c:v>
                </c:pt>
                <c:pt idx="7">
                  <c:v>32697.499963584902</c:v>
                </c:pt>
                <c:pt idx="8">
                  <c:v>32697.499963584902</c:v>
                </c:pt>
                <c:pt idx="9">
                  <c:v>32697.499963584902</c:v>
                </c:pt>
                <c:pt idx="10">
                  <c:v>32697.499963584902</c:v>
                </c:pt>
                <c:pt idx="11">
                  <c:v>32697.499963584902</c:v>
                </c:pt>
                <c:pt idx="12">
                  <c:v>32697.499963584902</c:v>
                </c:pt>
                <c:pt idx="13">
                  <c:v>32697.499963584902</c:v>
                </c:pt>
                <c:pt idx="14">
                  <c:v>32697.499963584902</c:v>
                </c:pt>
                <c:pt idx="15">
                  <c:v>32697.499963584902</c:v>
                </c:pt>
                <c:pt idx="16">
                  <c:v>32697.499963584902</c:v>
                </c:pt>
                <c:pt idx="17">
                  <c:v>32697.499963584902</c:v>
                </c:pt>
                <c:pt idx="18">
                  <c:v>32697.499963584902</c:v>
                </c:pt>
                <c:pt idx="19">
                  <c:v>32697.499963584902</c:v>
                </c:pt>
                <c:pt idx="20">
                  <c:v>32697.499963584902</c:v>
                </c:pt>
                <c:pt idx="21">
                  <c:v>32697.499963584902</c:v>
                </c:pt>
                <c:pt idx="22">
                  <c:v>32697.499963584902</c:v>
                </c:pt>
                <c:pt idx="23">
                  <c:v>32697.499963584902</c:v>
                </c:pt>
                <c:pt idx="24">
                  <c:v>32697.499963584902</c:v>
                </c:pt>
                <c:pt idx="25">
                  <c:v>32697.499963584902</c:v>
                </c:pt>
                <c:pt idx="26">
                  <c:v>32697.499963584902</c:v>
                </c:pt>
                <c:pt idx="27">
                  <c:v>32697.499963584902</c:v>
                </c:pt>
                <c:pt idx="28">
                  <c:v>32697.499963584902</c:v>
                </c:pt>
                <c:pt idx="29">
                  <c:v>32697.499963584902</c:v>
                </c:pt>
                <c:pt idx="30">
                  <c:v>32697.499963584902</c:v>
                </c:pt>
                <c:pt idx="31">
                  <c:v>32697.499963584902</c:v>
                </c:pt>
                <c:pt idx="32">
                  <c:v>32697.499963584902</c:v>
                </c:pt>
                <c:pt idx="33">
                  <c:v>32697.499963584902</c:v>
                </c:pt>
                <c:pt idx="34">
                  <c:v>32697.499963584902</c:v>
                </c:pt>
                <c:pt idx="35">
                  <c:v>32697.499963584902</c:v>
                </c:pt>
                <c:pt idx="36">
                  <c:v>32697.499963584902</c:v>
                </c:pt>
                <c:pt idx="37">
                  <c:v>32697.499963584902</c:v>
                </c:pt>
                <c:pt idx="38">
                  <c:v>32697.499963584902</c:v>
                </c:pt>
                <c:pt idx="39">
                  <c:v>32697.499963584902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B0A-4BB3-B5A0-DE442174D709}"/>
            </c:ext>
          </c:extLst>
        </c:ser>
        <c:ser>
          <c:idx val="0"/>
          <c:order val="2"/>
          <c:tx>
            <c:strRef>
              <c:f>Imóveis!$G$6</c:f>
              <c:strCache>
                <c:ptCount val="1"/>
                <c:pt idx="0">
                  <c:v>Residencial Rural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Imóveis!$C$8:$C$47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Imóveis!$G$8:$G$47</c:f>
              <c:numCache>
                <c:formatCode>#,##0</c:formatCode>
                <c:ptCount val="40"/>
                <c:pt idx="0">
                  <c:v>841.00000000000171</c:v>
                </c:pt>
                <c:pt idx="1">
                  <c:v>845.20500000000163</c:v>
                </c:pt>
                <c:pt idx="2">
                  <c:v>849.43102500000157</c:v>
                </c:pt>
                <c:pt idx="3">
                  <c:v>853.67818012500152</c:v>
                </c:pt>
                <c:pt idx="4">
                  <c:v>857.94657102562644</c:v>
                </c:pt>
                <c:pt idx="5">
                  <c:v>862.23630388075446</c:v>
                </c:pt>
                <c:pt idx="6">
                  <c:v>866.54748540015817</c:v>
                </c:pt>
                <c:pt idx="7">
                  <c:v>870.88022282715883</c:v>
                </c:pt>
                <c:pt idx="8">
                  <c:v>875.23462394129456</c:v>
                </c:pt>
                <c:pt idx="9">
                  <c:v>879.61079706100088</c:v>
                </c:pt>
                <c:pt idx="10">
                  <c:v>884.00885104630584</c:v>
                </c:pt>
                <c:pt idx="11">
                  <c:v>888.4288953015373</c:v>
                </c:pt>
                <c:pt idx="12">
                  <c:v>892.87103977804486</c:v>
                </c:pt>
                <c:pt idx="13">
                  <c:v>897.33539497693494</c:v>
                </c:pt>
                <c:pt idx="14">
                  <c:v>901.82207195181957</c:v>
                </c:pt>
                <c:pt idx="15">
                  <c:v>906.33118231157857</c:v>
                </c:pt>
                <c:pt idx="16">
                  <c:v>910.86283822313635</c:v>
                </c:pt>
                <c:pt idx="17">
                  <c:v>915.41715241425197</c:v>
                </c:pt>
                <c:pt idx="18">
                  <c:v>919.99423817632317</c:v>
                </c:pt>
                <c:pt idx="19">
                  <c:v>924.59420936720471</c:v>
                </c:pt>
                <c:pt idx="20">
                  <c:v>929.21718041404063</c:v>
                </c:pt>
                <c:pt idx="21">
                  <c:v>933.86326631611075</c:v>
                </c:pt>
                <c:pt idx="22">
                  <c:v>938.53258264769124</c:v>
                </c:pt>
                <c:pt idx="23">
                  <c:v>943.22524556092958</c:v>
                </c:pt>
                <c:pt idx="24">
                  <c:v>947.94137178873416</c:v>
                </c:pt>
                <c:pt idx="25">
                  <c:v>952.68107864767774</c:v>
                </c:pt>
                <c:pt idx="26">
                  <c:v>957.444484040916</c:v>
                </c:pt>
                <c:pt idx="27">
                  <c:v>962.23170646112044</c:v>
                </c:pt>
                <c:pt idx="28">
                  <c:v>967.04286499342595</c:v>
                </c:pt>
                <c:pt idx="29">
                  <c:v>971.87807931839302</c:v>
                </c:pt>
                <c:pt idx="30">
                  <c:v>976.73746971498485</c:v>
                </c:pt>
                <c:pt idx="31">
                  <c:v>981.62115706355962</c:v>
                </c:pt>
                <c:pt idx="32">
                  <c:v>986.52926284887735</c:v>
                </c:pt>
                <c:pt idx="33">
                  <c:v>991.46190916312162</c:v>
                </c:pt>
                <c:pt idx="34">
                  <c:v>996.41921870893714</c:v>
                </c:pt>
                <c:pt idx="35">
                  <c:v>1001.4013148024817</c:v>
                </c:pt>
                <c:pt idx="36">
                  <c:v>1006.408321376494</c:v>
                </c:pt>
                <c:pt idx="37">
                  <c:v>1011.4403629833763</c:v>
                </c:pt>
                <c:pt idx="38">
                  <c:v>1016</c:v>
                </c:pt>
                <c:pt idx="39">
                  <c:v>1021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B0A-4BB3-B5A0-DE442174D709}"/>
            </c:ext>
          </c:extLst>
        </c:ser>
        <c:ser>
          <c:idx val="1"/>
          <c:order val="3"/>
          <c:tx>
            <c:strRef>
              <c:f>Imóveis!$I$6</c:f>
              <c:strCache>
                <c:ptCount val="1"/>
                <c:pt idx="0">
                  <c:v>Residencial Urbano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Imóveis!$C$8:$C$47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Imóveis!$I$8:$I$47</c:f>
              <c:numCache>
                <c:formatCode>#,##0</c:formatCode>
                <c:ptCount val="40"/>
                <c:pt idx="0">
                  <c:v>15817.832576742532</c:v>
                </c:pt>
                <c:pt idx="1">
                  <c:v>16225.923910957299</c:v>
                </c:pt>
                <c:pt idx="2">
                  <c:v>16633.075623326884</c:v>
                </c:pt>
                <c:pt idx="3">
                  <c:v>17038.768613670123</c:v>
                </c:pt>
                <c:pt idx="4">
                  <c:v>17442.49104820886</c:v>
                </c:pt>
                <c:pt idx="5">
                  <c:v>17843.740885300511</c:v>
                </c:pt>
                <c:pt idx="6">
                  <c:v>18242.028297282122</c:v>
                </c:pt>
                <c:pt idx="7">
                  <c:v>18636.877964162944</c:v>
                </c:pt>
                <c:pt idx="8">
                  <c:v>19027.83121718714</c:v>
                </c:pt>
                <c:pt idx="9">
                  <c:v>19414.448012917201</c:v>
                </c:pt>
                <c:pt idx="10">
                  <c:v>19796.30872139279</c:v>
                </c:pt>
                <c:pt idx="11">
                  <c:v>20173.015715024689</c:v>
                </c:pt>
                <c:pt idx="12">
                  <c:v>20544.194748111968</c:v>
                </c:pt>
                <c:pt idx="13">
                  <c:v>20909.496120146072</c:v>
                </c:pt>
                <c:pt idx="14">
                  <c:v>21268.595619313262</c:v>
                </c:pt>
                <c:pt idx="15">
                  <c:v>21621.195245757965</c:v>
                </c:pt>
                <c:pt idx="16">
                  <c:v>21967.023717160399</c:v>
                </c:pt>
                <c:pt idx="17">
                  <c:v>22305.83676195889</c:v>
                </c:pt>
                <c:pt idx="18">
                  <c:v>22637.417208064111</c:v>
                </c:pt>
                <c:pt idx="19">
                  <c:v>22961.574877135074</c:v>
                </c:pt>
                <c:pt idx="20">
                  <c:v>23278.146296389066</c:v>
                </c:pt>
                <c:pt idx="21">
                  <c:v>23586.99424148638</c:v>
                </c:pt>
                <c:pt idx="22">
                  <c:v>23888.007125258897</c:v>
                </c:pt>
                <c:pt idx="23">
                  <c:v>24181.098247944901</c:v>
                </c:pt>
                <c:pt idx="24">
                  <c:v>24466.204925161077</c:v>
                </c:pt>
                <c:pt idx="25">
                  <c:v>24743.287510105863</c:v>
                </c:pt>
                <c:pt idx="26">
                  <c:v>25012.328326469567</c:v>
                </c:pt>
                <c:pt idx="27">
                  <c:v>25273.33052825378</c:v>
                </c:pt>
                <c:pt idx="28">
                  <c:v>25526.31690220728</c:v>
                </c:pt>
                <c:pt idx="29">
                  <c:v>25771.328627899238</c:v>
                </c:pt>
                <c:pt idx="30">
                  <c:v>26008.424009607454</c:v>
                </c:pt>
                <c:pt idx="31">
                  <c:v>26237.677193231466</c:v>
                </c:pt>
                <c:pt idx="32">
                  <c:v>26459.176880379982</c:v>
                </c:pt>
                <c:pt idx="33">
                  <c:v>26673.025050658256</c:v>
                </c:pt>
                <c:pt idx="34">
                  <c:v>26879.335702021512</c:v>
                </c:pt>
                <c:pt idx="35">
                  <c:v>27078.233617889797</c:v>
                </c:pt>
                <c:pt idx="36">
                  <c:v>27269.853168559057</c:v>
                </c:pt>
                <c:pt idx="37">
                  <c:v>27454.33715331139</c:v>
                </c:pt>
                <c:pt idx="38">
                  <c:v>27618</c:v>
                </c:pt>
                <c:pt idx="39">
                  <c:v>27818.90038361368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B0A-4BB3-B5A0-DE442174D7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294672"/>
        <c:axId val="-382294128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4"/>
                <c:tx>
                  <c:strRef>
                    <c:extLst>
                      <c:ext uri="{02D57815-91ED-43cb-92C2-25804820EDAC}">
                        <c15:formulaRef>
                          <c15:sqref>Imóveis!$L$6</c15:sqref>
                        </c15:formulaRef>
                      </c:ext>
                    </c:extLst>
                    <c:strCache>
                      <c:ptCount val="1"/>
                      <c:pt idx="0">
                        <c:v>Comercial</c:v>
                      </c:pt>
                    </c:strCache>
                  </c:strRef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Imóveis!$L$8:$L$47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1235</c:v>
                      </c:pt>
                      <c:pt idx="1">
                        <c:v>1253</c:v>
                      </c:pt>
                      <c:pt idx="2">
                        <c:v>1271</c:v>
                      </c:pt>
                      <c:pt idx="3">
                        <c:v>1288</c:v>
                      </c:pt>
                      <c:pt idx="4">
                        <c:v>1304</c:v>
                      </c:pt>
                      <c:pt idx="5">
                        <c:v>1320</c:v>
                      </c:pt>
                      <c:pt idx="6">
                        <c:v>1335</c:v>
                      </c:pt>
                      <c:pt idx="7">
                        <c:v>1350</c:v>
                      </c:pt>
                      <c:pt idx="8">
                        <c:v>1365</c:v>
                      </c:pt>
                      <c:pt idx="9">
                        <c:v>1378</c:v>
                      </c:pt>
                      <c:pt idx="10">
                        <c:v>1392</c:v>
                      </c:pt>
                      <c:pt idx="11">
                        <c:v>1405</c:v>
                      </c:pt>
                      <c:pt idx="12">
                        <c:v>1417</c:v>
                      </c:pt>
                      <c:pt idx="13">
                        <c:v>1429</c:v>
                      </c:pt>
                      <c:pt idx="14">
                        <c:v>1440</c:v>
                      </c:pt>
                      <c:pt idx="15">
                        <c:v>1451</c:v>
                      </c:pt>
                      <c:pt idx="16">
                        <c:v>1462</c:v>
                      </c:pt>
                      <c:pt idx="17">
                        <c:v>1472</c:v>
                      </c:pt>
                      <c:pt idx="18">
                        <c:v>1481</c:v>
                      </c:pt>
                      <c:pt idx="19">
                        <c:v>1490</c:v>
                      </c:pt>
                      <c:pt idx="20">
                        <c:v>1499</c:v>
                      </c:pt>
                      <c:pt idx="21">
                        <c:v>1508</c:v>
                      </c:pt>
                      <c:pt idx="22">
                        <c:v>1516</c:v>
                      </c:pt>
                      <c:pt idx="23">
                        <c:v>1523</c:v>
                      </c:pt>
                      <c:pt idx="24">
                        <c:v>1531</c:v>
                      </c:pt>
                      <c:pt idx="25">
                        <c:v>1538</c:v>
                      </c:pt>
                      <c:pt idx="26">
                        <c:v>1545</c:v>
                      </c:pt>
                      <c:pt idx="27">
                        <c:v>1551</c:v>
                      </c:pt>
                      <c:pt idx="28">
                        <c:v>1557</c:v>
                      </c:pt>
                      <c:pt idx="29">
                        <c:v>1563</c:v>
                      </c:pt>
                      <c:pt idx="30">
                        <c:v>1569</c:v>
                      </c:pt>
                      <c:pt idx="31">
                        <c:v>1574</c:v>
                      </c:pt>
                      <c:pt idx="32">
                        <c:v>1579</c:v>
                      </c:pt>
                      <c:pt idx="33">
                        <c:v>1584</c:v>
                      </c:pt>
                      <c:pt idx="34">
                        <c:v>1588</c:v>
                      </c:pt>
                      <c:pt idx="35">
                        <c:v>1593</c:v>
                      </c:pt>
                      <c:pt idx="36">
                        <c:v>1597</c:v>
                      </c:pt>
                      <c:pt idx="37">
                        <c:v>1601</c:v>
                      </c:pt>
                      <c:pt idx="38">
                        <c:v>1604</c:v>
                      </c:pt>
                      <c:pt idx="39">
                        <c:v>1601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8-1B0A-4BB3-B5A0-DE442174D709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Imóveis!$M$6</c15:sqref>
                        </c15:formulaRef>
                      </c:ext>
                    </c:extLst>
                    <c:strCache>
                      <c:ptCount val="1"/>
                      <c:pt idx="0">
                        <c:v>Industrial</c:v>
                      </c:pt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Imóveis!$M$8:$M$47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128</c:v>
                      </c:pt>
                      <c:pt idx="3">
                        <c:v>129</c:v>
                      </c:pt>
                      <c:pt idx="4">
                        <c:v>131</c:v>
                      </c:pt>
                      <c:pt idx="5">
                        <c:v>133</c:v>
                      </c:pt>
                      <c:pt idx="6">
                        <c:v>134</c:v>
                      </c:pt>
                      <c:pt idx="7">
                        <c:v>136</c:v>
                      </c:pt>
                      <c:pt idx="8">
                        <c:v>137</c:v>
                      </c:pt>
                      <c:pt idx="9">
                        <c:v>139</c:v>
                      </c:pt>
                      <c:pt idx="10">
                        <c:v>140</c:v>
                      </c:pt>
                      <c:pt idx="11">
                        <c:v>141</c:v>
                      </c:pt>
                      <c:pt idx="12">
                        <c:v>142</c:v>
                      </c:pt>
                      <c:pt idx="13">
                        <c:v>144</c:v>
                      </c:pt>
                      <c:pt idx="14">
                        <c:v>145</c:v>
                      </c:pt>
                      <c:pt idx="15">
                        <c:v>146</c:v>
                      </c:pt>
                      <c:pt idx="16">
                        <c:v>147</c:v>
                      </c:pt>
                      <c:pt idx="17">
                        <c:v>148</c:v>
                      </c:pt>
                      <c:pt idx="18">
                        <c:v>149</c:v>
                      </c:pt>
                      <c:pt idx="19">
                        <c:v>150</c:v>
                      </c:pt>
                      <c:pt idx="20">
                        <c:v>151</c:v>
                      </c:pt>
                      <c:pt idx="21">
                        <c:v>151</c:v>
                      </c:pt>
                      <c:pt idx="22">
                        <c:v>152</c:v>
                      </c:pt>
                      <c:pt idx="23">
                        <c:v>153</c:v>
                      </c:pt>
                      <c:pt idx="24">
                        <c:v>154</c:v>
                      </c:pt>
                      <c:pt idx="25">
                        <c:v>155</c:v>
                      </c:pt>
                      <c:pt idx="26">
                        <c:v>155</c:v>
                      </c:pt>
                      <c:pt idx="27">
                        <c:v>156</c:v>
                      </c:pt>
                      <c:pt idx="28">
                        <c:v>156</c:v>
                      </c:pt>
                      <c:pt idx="29">
                        <c:v>157</c:v>
                      </c:pt>
                      <c:pt idx="30">
                        <c:v>158</c:v>
                      </c:pt>
                      <c:pt idx="31">
                        <c:v>158</c:v>
                      </c:pt>
                      <c:pt idx="32">
                        <c:v>159</c:v>
                      </c:pt>
                      <c:pt idx="33">
                        <c:v>159</c:v>
                      </c:pt>
                      <c:pt idx="34">
                        <c:v>160</c:v>
                      </c:pt>
                      <c:pt idx="35">
                        <c:v>160</c:v>
                      </c:pt>
                      <c:pt idx="36">
                        <c:v>160</c:v>
                      </c:pt>
                      <c:pt idx="37">
                        <c:v>161</c:v>
                      </c:pt>
                      <c:pt idx="38">
                        <c:v>161</c:v>
                      </c:pt>
                      <c:pt idx="39">
                        <c:v>161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1B0A-4BB3-B5A0-DE442174D709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Imóveis!$M$6</c15:sqref>
                        </c15:formulaRef>
                      </c:ext>
                    </c:extLst>
                    <c:strCache>
                      <c:ptCount val="1"/>
                      <c:pt idx="0">
                        <c:v>Industrial</c:v>
                      </c:pt>
                    </c:strCache>
                  </c:strRef>
                </c:tx>
                <c:spPr>
                  <a:ln w="190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Imóveis!$M$8:$M$47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128</c:v>
                      </c:pt>
                      <c:pt idx="3">
                        <c:v>129</c:v>
                      </c:pt>
                      <c:pt idx="4">
                        <c:v>131</c:v>
                      </c:pt>
                      <c:pt idx="5">
                        <c:v>133</c:v>
                      </c:pt>
                      <c:pt idx="6">
                        <c:v>134</c:v>
                      </c:pt>
                      <c:pt idx="7">
                        <c:v>136</c:v>
                      </c:pt>
                      <c:pt idx="8">
                        <c:v>137</c:v>
                      </c:pt>
                      <c:pt idx="9">
                        <c:v>139</c:v>
                      </c:pt>
                      <c:pt idx="10">
                        <c:v>140</c:v>
                      </c:pt>
                      <c:pt idx="11">
                        <c:v>141</c:v>
                      </c:pt>
                      <c:pt idx="12">
                        <c:v>142</c:v>
                      </c:pt>
                      <c:pt idx="13">
                        <c:v>144</c:v>
                      </c:pt>
                      <c:pt idx="14">
                        <c:v>145</c:v>
                      </c:pt>
                      <c:pt idx="15">
                        <c:v>146</c:v>
                      </c:pt>
                      <c:pt idx="16">
                        <c:v>147</c:v>
                      </c:pt>
                      <c:pt idx="17">
                        <c:v>148</c:v>
                      </c:pt>
                      <c:pt idx="18">
                        <c:v>149</c:v>
                      </c:pt>
                      <c:pt idx="19">
                        <c:v>150</c:v>
                      </c:pt>
                      <c:pt idx="20">
                        <c:v>151</c:v>
                      </c:pt>
                      <c:pt idx="21">
                        <c:v>151</c:v>
                      </c:pt>
                      <c:pt idx="22">
                        <c:v>152</c:v>
                      </c:pt>
                      <c:pt idx="23">
                        <c:v>153</c:v>
                      </c:pt>
                      <c:pt idx="24">
                        <c:v>154</c:v>
                      </c:pt>
                      <c:pt idx="25">
                        <c:v>155</c:v>
                      </c:pt>
                      <c:pt idx="26">
                        <c:v>155</c:v>
                      </c:pt>
                      <c:pt idx="27">
                        <c:v>156</c:v>
                      </c:pt>
                      <c:pt idx="28">
                        <c:v>156</c:v>
                      </c:pt>
                      <c:pt idx="29">
                        <c:v>157</c:v>
                      </c:pt>
                      <c:pt idx="30">
                        <c:v>158</c:v>
                      </c:pt>
                      <c:pt idx="31">
                        <c:v>158</c:v>
                      </c:pt>
                      <c:pt idx="32">
                        <c:v>159</c:v>
                      </c:pt>
                      <c:pt idx="33">
                        <c:v>159</c:v>
                      </c:pt>
                      <c:pt idx="34">
                        <c:v>160</c:v>
                      </c:pt>
                      <c:pt idx="35">
                        <c:v>160</c:v>
                      </c:pt>
                      <c:pt idx="36">
                        <c:v>160</c:v>
                      </c:pt>
                      <c:pt idx="37">
                        <c:v>161</c:v>
                      </c:pt>
                      <c:pt idx="38">
                        <c:v>161</c:v>
                      </c:pt>
                      <c:pt idx="39">
                        <c:v>161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1B0A-4BB3-B5A0-DE442174D709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Imóveis!$N$6</c15:sqref>
                        </c15:formulaRef>
                      </c:ext>
                    </c:extLst>
                    <c:strCache>
                      <c:ptCount val="1"/>
                      <c:pt idx="0">
                        <c:v>Público</c:v>
                      </c:pt>
                    </c:strCache>
                  </c:strRef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Imóveis!$N$8:$N$47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94</c:v>
                      </c:pt>
                      <c:pt idx="1">
                        <c:v>96</c:v>
                      </c:pt>
                      <c:pt idx="2">
                        <c:v>97</c:v>
                      </c:pt>
                      <c:pt idx="3">
                        <c:v>98</c:v>
                      </c:pt>
                      <c:pt idx="4">
                        <c:v>100</c:v>
                      </c:pt>
                      <c:pt idx="5">
                        <c:v>101</c:v>
                      </c:pt>
                      <c:pt idx="6">
                        <c:v>102</c:v>
                      </c:pt>
                      <c:pt idx="7">
                        <c:v>103</c:v>
                      </c:pt>
                      <c:pt idx="8">
                        <c:v>104</c:v>
                      </c:pt>
                      <c:pt idx="9">
                        <c:v>105</c:v>
                      </c:pt>
                      <c:pt idx="10">
                        <c:v>106</c:v>
                      </c:pt>
                      <c:pt idx="11">
                        <c:v>107</c:v>
                      </c:pt>
                      <c:pt idx="12">
                        <c:v>108</c:v>
                      </c:pt>
                      <c:pt idx="13">
                        <c:v>109</c:v>
                      </c:pt>
                      <c:pt idx="14">
                        <c:v>110</c:v>
                      </c:pt>
                      <c:pt idx="15">
                        <c:v>111</c:v>
                      </c:pt>
                      <c:pt idx="16">
                        <c:v>112</c:v>
                      </c:pt>
                      <c:pt idx="17">
                        <c:v>112</c:v>
                      </c:pt>
                      <c:pt idx="18">
                        <c:v>113</c:v>
                      </c:pt>
                      <c:pt idx="19">
                        <c:v>114</c:v>
                      </c:pt>
                      <c:pt idx="20">
                        <c:v>114</c:v>
                      </c:pt>
                      <c:pt idx="21">
                        <c:v>115</c:v>
                      </c:pt>
                      <c:pt idx="22">
                        <c:v>116</c:v>
                      </c:pt>
                      <c:pt idx="23">
                        <c:v>116</c:v>
                      </c:pt>
                      <c:pt idx="24">
                        <c:v>117</c:v>
                      </c:pt>
                      <c:pt idx="25">
                        <c:v>117</c:v>
                      </c:pt>
                      <c:pt idx="26">
                        <c:v>118</c:v>
                      </c:pt>
                      <c:pt idx="27">
                        <c:v>118</c:v>
                      </c:pt>
                      <c:pt idx="28">
                        <c:v>119</c:v>
                      </c:pt>
                      <c:pt idx="29">
                        <c:v>119</c:v>
                      </c:pt>
                      <c:pt idx="30">
                        <c:v>120</c:v>
                      </c:pt>
                      <c:pt idx="31">
                        <c:v>120</c:v>
                      </c:pt>
                      <c:pt idx="32">
                        <c:v>121</c:v>
                      </c:pt>
                      <c:pt idx="33">
                        <c:v>121</c:v>
                      </c:pt>
                      <c:pt idx="34">
                        <c:v>121</c:v>
                      </c:pt>
                      <c:pt idx="35">
                        <c:v>122</c:v>
                      </c:pt>
                      <c:pt idx="36">
                        <c:v>122</c:v>
                      </c:pt>
                      <c:pt idx="37">
                        <c:v>122</c:v>
                      </c:pt>
                      <c:pt idx="38">
                        <c:v>123</c:v>
                      </c:pt>
                      <c:pt idx="39">
                        <c:v>122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B0A-4BB3-B5A0-DE442174D709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Imóveis!$O$6</c15:sqref>
                        </c15:formulaRef>
                      </c:ext>
                    </c:extLst>
                    <c:strCache>
                      <c:ptCount val="1"/>
                      <c:pt idx="0">
                        <c:v>Especial</c:v>
                      </c:pt>
                    </c:strCache>
                  </c:strRef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Imóveis!$O$8:$O$47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168</c:v>
                      </c:pt>
                      <c:pt idx="1">
                        <c:v>170</c:v>
                      </c:pt>
                      <c:pt idx="2">
                        <c:v>173</c:v>
                      </c:pt>
                      <c:pt idx="3">
                        <c:v>175</c:v>
                      </c:pt>
                      <c:pt idx="4">
                        <c:v>177</c:v>
                      </c:pt>
                      <c:pt idx="5">
                        <c:v>179</c:v>
                      </c:pt>
                      <c:pt idx="6">
                        <c:v>181</c:v>
                      </c:pt>
                      <c:pt idx="7">
                        <c:v>183</c:v>
                      </c:pt>
                      <c:pt idx="8">
                        <c:v>185</c:v>
                      </c:pt>
                      <c:pt idx="9">
                        <c:v>187</c:v>
                      </c:pt>
                      <c:pt idx="10">
                        <c:v>189</c:v>
                      </c:pt>
                      <c:pt idx="11">
                        <c:v>191</c:v>
                      </c:pt>
                      <c:pt idx="12">
                        <c:v>192</c:v>
                      </c:pt>
                      <c:pt idx="13">
                        <c:v>194</c:v>
                      </c:pt>
                      <c:pt idx="14">
                        <c:v>196</c:v>
                      </c:pt>
                      <c:pt idx="15">
                        <c:v>197</c:v>
                      </c:pt>
                      <c:pt idx="16">
                        <c:v>199</c:v>
                      </c:pt>
                      <c:pt idx="17">
                        <c:v>200</c:v>
                      </c:pt>
                      <c:pt idx="18">
                        <c:v>201</c:v>
                      </c:pt>
                      <c:pt idx="19">
                        <c:v>202</c:v>
                      </c:pt>
                      <c:pt idx="20">
                        <c:v>204</c:v>
                      </c:pt>
                      <c:pt idx="21">
                        <c:v>205</c:v>
                      </c:pt>
                      <c:pt idx="22">
                        <c:v>206</c:v>
                      </c:pt>
                      <c:pt idx="23">
                        <c:v>207</c:v>
                      </c:pt>
                      <c:pt idx="24">
                        <c:v>208</c:v>
                      </c:pt>
                      <c:pt idx="25">
                        <c:v>209</c:v>
                      </c:pt>
                      <c:pt idx="26">
                        <c:v>210</c:v>
                      </c:pt>
                      <c:pt idx="27">
                        <c:v>211</c:v>
                      </c:pt>
                      <c:pt idx="28">
                        <c:v>212</c:v>
                      </c:pt>
                      <c:pt idx="29">
                        <c:v>212</c:v>
                      </c:pt>
                      <c:pt idx="30">
                        <c:v>213</c:v>
                      </c:pt>
                      <c:pt idx="31">
                        <c:v>214</c:v>
                      </c:pt>
                      <c:pt idx="32">
                        <c:v>214</c:v>
                      </c:pt>
                      <c:pt idx="33">
                        <c:v>215</c:v>
                      </c:pt>
                      <c:pt idx="34">
                        <c:v>216</c:v>
                      </c:pt>
                      <c:pt idx="35">
                        <c:v>216</c:v>
                      </c:pt>
                      <c:pt idx="36">
                        <c:v>217</c:v>
                      </c:pt>
                      <c:pt idx="37">
                        <c:v>217</c:v>
                      </c:pt>
                      <c:pt idx="38">
                        <c:v>218</c:v>
                      </c:pt>
                      <c:pt idx="39">
                        <c:v>217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1B0A-4BB3-B5A0-DE442174D709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Imóveis!$P$6</c15:sqref>
                        </c15:formulaRef>
                      </c:ext>
                    </c:extLst>
                    <c:strCache>
                      <c:ptCount val="1"/>
                      <c:pt idx="0">
                        <c:v>Vago</c:v>
                      </c:pt>
                    </c:strCache>
                  </c:strRef>
                </c:tx>
                <c:spPr>
                  <a:ln w="190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Imóveis!$C$8:$C$47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Imóveis!$P$8:$P$47</c15:sqref>
                        </c15:formulaRef>
                      </c:ext>
                    </c:extLst>
                    <c:numCache>
                      <c:formatCode>#,##0</c:formatCode>
                      <c:ptCount val="40"/>
                      <c:pt idx="0">
                        <c:v>367</c:v>
                      </c:pt>
                      <c:pt idx="1">
                        <c:v>367</c:v>
                      </c:pt>
                      <c:pt idx="2">
                        <c:v>365.16500000000002</c:v>
                      </c:pt>
                      <c:pt idx="3">
                        <c:v>363.33917500000001</c:v>
                      </c:pt>
                      <c:pt idx="4">
                        <c:v>361.52247912500002</c:v>
                      </c:pt>
                      <c:pt idx="5">
                        <c:v>359.71486672937499</c:v>
                      </c:pt>
                      <c:pt idx="6">
                        <c:v>357.91629239572814</c:v>
                      </c:pt>
                      <c:pt idx="7">
                        <c:v>356.12671093374951</c:v>
                      </c:pt>
                      <c:pt idx="8">
                        <c:v>354.34607737908078</c:v>
                      </c:pt>
                      <c:pt idx="9">
                        <c:v>352.57434699218538</c:v>
                      </c:pt>
                      <c:pt idx="10">
                        <c:v>350.81147525722446</c:v>
                      </c:pt>
                      <c:pt idx="11">
                        <c:v>349.05741788093832</c:v>
                      </c:pt>
                      <c:pt idx="12">
                        <c:v>347.3121307915336</c:v>
                      </c:pt>
                      <c:pt idx="13">
                        <c:v>345.57557013757594</c:v>
                      </c:pt>
                      <c:pt idx="14">
                        <c:v>343.84769228688805</c:v>
                      </c:pt>
                      <c:pt idx="15">
                        <c:v>342.12845382545362</c:v>
                      </c:pt>
                      <c:pt idx="16">
                        <c:v>340.41781155632634</c:v>
                      </c:pt>
                      <c:pt idx="17">
                        <c:v>338.71572249854472</c:v>
                      </c:pt>
                      <c:pt idx="18">
                        <c:v>337.02214388605199</c:v>
                      </c:pt>
                      <c:pt idx="19">
                        <c:v>335.33703316662172</c:v>
                      </c:pt>
                      <c:pt idx="20">
                        <c:v>333.66034800078859</c:v>
                      </c:pt>
                      <c:pt idx="21">
                        <c:v>331.99204626078466</c:v>
                      </c:pt>
                      <c:pt idx="22">
                        <c:v>330.33208602948076</c:v>
                      </c:pt>
                      <c:pt idx="23">
                        <c:v>328.68042559933338</c:v>
                      </c:pt>
                      <c:pt idx="24">
                        <c:v>327.03702347133668</c:v>
                      </c:pt>
                      <c:pt idx="25">
                        <c:v>325.40183835398</c:v>
                      </c:pt>
                      <c:pt idx="26">
                        <c:v>323.7748291622101</c:v>
                      </c:pt>
                      <c:pt idx="27">
                        <c:v>322.15595501639905</c:v>
                      </c:pt>
                      <c:pt idx="28">
                        <c:v>320.54517524131705</c:v>
                      </c:pt>
                      <c:pt idx="29">
                        <c:v>318.94244936511046</c:v>
                      </c:pt>
                      <c:pt idx="30">
                        <c:v>317.3477371182849</c:v>
                      </c:pt>
                      <c:pt idx="31">
                        <c:v>315.7609984326935</c:v>
                      </c:pt>
                      <c:pt idx="32">
                        <c:v>314.18219344053006</c:v>
                      </c:pt>
                      <c:pt idx="33">
                        <c:v>312.61128247332738</c:v>
                      </c:pt>
                      <c:pt idx="34">
                        <c:v>311.04822606096076</c:v>
                      </c:pt>
                      <c:pt idx="35">
                        <c:v>309.49298493065595</c:v>
                      </c:pt>
                      <c:pt idx="36">
                        <c:v>307.94552000600265</c:v>
                      </c:pt>
                      <c:pt idx="37">
                        <c:v>306.40579240597265</c:v>
                      </c:pt>
                      <c:pt idx="38">
                        <c:v>304.87376344394278</c:v>
                      </c:pt>
                      <c:pt idx="39">
                        <c:v>303.34939462672304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1B0A-4BB3-B5A0-DE442174D709}"/>
                  </c:ext>
                </c:extLst>
              </c15:ser>
            </c15:filteredScatterSeries>
          </c:ext>
        </c:extLst>
      </c:scatterChart>
      <c:valAx>
        <c:axId val="-382294672"/>
        <c:scaling>
          <c:orientation val="minMax"/>
          <c:max val="2063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4128"/>
        <c:crosses val="autoZero"/>
        <c:crossBetween val="midCat"/>
        <c:majorUnit val="2"/>
      </c:valAx>
      <c:valAx>
        <c:axId val="-38229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4672"/>
        <c:crosses val="autoZero"/>
        <c:crossBetween val="midCat"/>
        <c:majorUnit val="5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Densidade de Morador por Domicílio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1"/>
          <c:tx>
            <c:strRef>
              <c:f>Imóveis!$W$6</c:f>
              <c:strCache>
                <c:ptCount val="1"/>
                <c:pt idx="0">
                  <c:v>Densidade de Morador por Domicilio Rural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Imóveis!$T$8:$T$47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Imóveis!$W$8:$W$46</c:f>
              <c:numCache>
                <c:formatCode>#,##0.0000</c:formatCode>
                <c:ptCount val="39"/>
                <c:pt idx="0">
                  <c:v>3.0011890606420866</c:v>
                </c:pt>
                <c:pt idx="1">
                  <c:v>2.6003435576147185</c:v>
                </c:pt>
                <c:pt idx="2">
                  <c:v>2.554476983609633</c:v>
                </c:pt>
                <c:pt idx="3">
                  <c:v>2.510770008540792</c:v>
                </c:pt>
                <c:pt idx="4">
                  <c:v>2.4690977590917766</c:v>
                </c:pt>
                <c:pt idx="5">
                  <c:v>2.4293428016026883</c:v>
                </c:pt>
                <c:pt idx="6">
                  <c:v>2.3913946918639044</c:v>
                </c:pt>
                <c:pt idx="7">
                  <c:v>2.3551495525600532</c:v>
                </c:pt>
                <c:pt idx="8">
                  <c:v>2.3205096766512261</c:v>
                </c:pt>
                <c:pt idx="9">
                  <c:v>2.2873831550837291</c:v>
                </c:pt>
                <c:pt idx="10">
                  <c:v>2.2556835273216271</c:v>
                </c:pt>
                <c:pt idx="11">
                  <c:v>2.2253294532834595</c:v>
                </c:pt>
                <c:pt idx="12">
                  <c:v>2.1962444053560577</c:v>
                </c:pt>
                <c:pt idx="13">
                  <c:v>2.1683563792396918</c:v>
                </c:pt>
                <c:pt idx="14">
                  <c:v>2.1415976224561604</c:v>
                </c:pt>
                <c:pt idx="15">
                  <c:v>2.1159043794241148</c:v>
                </c:pt>
                <c:pt idx="16">
                  <c:v>2.0912166520741837</c:v>
                </c:pt>
                <c:pt idx="17">
                  <c:v>2.0674779750406023</c:v>
                </c:pt>
                <c:pt idx="18">
                  <c:v>2.0446352045262453</c:v>
                </c:pt>
                <c:pt idx="19">
                  <c:v>2.022638319994456</c:v>
                </c:pt>
                <c:pt idx="20">
                  <c:v>2.0014402378940854</c:v>
                </c:pt>
                <c:pt idx="21">
                  <c:v>1.9809966366738931</c:v>
                </c:pt>
                <c:pt idx="22">
                  <c:v>1.9612657923890799</c:v>
                </c:pt>
                <c:pt idx="23">
                  <c:v>1.9422084242464863</c:v>
                </c:pt>
                <c:pt idx="24">
                  <c:v>1.923787549475942</c:v>
                </c:pt>
                <c:pt idx="25">
                  <c:v>1.9059683469537196</c:v>
                </c:pt>
                <c:pt idx="26">
                  <c:v>1.8887180290400045</c:v>
                </c:pt>
                <c:pt idx="27">
                  <c:v>1.8720057211260561</c:v>
                </c:pt>
                <c:pt idx="28">
                  <c:v>1.8558023484183102</c:v>
                </c:pt>
                <c:pt idx="29">
                  <c:v>1.8400805295163076</c:v>
                </c:pt>
                <c:pt idx="30">
                  <c:v>1.8248144763690035</c:v>
                </c:pt>
                <c:pt idx="31">
                  <c:v>1.809979900220023</c:v>
                </c:pt>
                <c:pt idx="32">
                  <c:v>1.7955539231767224</c:v>
                </c:pt>
                <c:pt idx="33">
                  <c:v>1.7815149950606686</c:v>
                </c:pt>
                <c:pt idx="34">
                  <c:v>1.7678428152184975</c:v>
                </c:pt>
                <c:pt idx="35">
                  <c:v>1.75451825899206</c:v>
                </c:pt>
                <c:pt idx="36">
                  <c:v>1.7415233085654518</c:v>
                </c:pt>
                <c:pt idx="37">
                  <c:v>1.7288409879240567</c:v>
                </c:pt>
                <c:pt idx="38">
                  <c:v>1.7210822405181563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60D-4A4C-BC0A-BC026ECDBE0C}"/>
            </c:ext>
          </c:extLst>
        </c:ser>
        <c:ser>
          <c:idx val="3"/>
          <c:order val="2"/>
          <c:tx>
            <c:strRef>
              <c:f>Imóveis!$V$6</c:f>
              <c:strCache>
                <c:ptCount val="1"/>
                <c:pt idx="0">
                  <c:v>Densidade de Morador por Domicilio Urbano 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Imóveis!$T$8:$T$46</c:f>
              <c:numCache>
                <c:formatCode>General</c:formatCode>
                <c:ptCount val="39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</c:numCache>
            </c:numRef>
          </c:xVal>
          <c:yVal>
            <c:numRef>
              <c:f>Imóveis!$V$8:$V$47</c:f>
              <c:numCache>
                <c:formatCode>#,##0.0000</c:formatCode>
                <c:ptCount val="40"/>
                <c:pt idx="0">
                  <c:v>2.7548022011605893</c:v>
                </c:pt>
                <c:pt idx="1">
                  <c:v>2.7248103807597222</c:v>
                </c:pt>
                <c:pt idx="2">
                  <c:v>2.6953040124063423</c:v>
                </c:pt>
                <c:pt idx="3">
                  <c:v>2.666322914496531</c:v>
                </c:pt>
                <c:pt idx="4">
                  <c:v>2.6379019043417991</c:v>
                </c:pt>
                <c:pt idx="5">
                  <c:v>2.6100710851119868</c:v>
                </c:pt>
                <c:pt idx="6">
                  <c:v>2.5828561279731841</c:v>
                </c:pt>
                <c:pt idx="7">
                  <c:v>2.5562785493081761</c:v>
                </c:pt>
                <c:pt idx="8">
                  <c:v>2.5303559826853541</c:v>
                </c:pt>
                <c:pt idx="9">
                  <c:v>2.5051024450879882</c:v>
                </c:pt>
                <c:pt idx="10">
                  <c:v>2.4805285968196884</c:v>
                </c:pt>
                <c:pt idx="11">
                  <c:v>2.4566419944542108</c:v>
                </c:pt>
                <c:pt idx="12">
                  <c:v>2.4334473361899831</c:v>
                </c:pt>
                <c:pt idx="13">
                  <c:v>2.4109466989936652</c:v>
                </c:pt>
                <c:pt idx="14">
                  <c:v>2.3891397669655179</c:v>
                </c:pt>
                <c:pt idx="15">
                  <c:v>2.3680240504258419</c:v>
                </c:pt>
                <c:pt idx="16">
                  <c:v>2.3475950953006843</c:v>
                </c:pt>
                <c:pt idx="17">
                  <c:v>2.327846682471395</c:v>
                </c:pt>
                <c:pt idx="18">
                  <c:v>2.3087710168425608</c:v>
                </c:pt>
                <c:pt idx="19">
                  <c:v>2.2903589059728624</c:v>
                </c:pt>
                <c:pt idx="20">
                  <c:v>2.2725999282008815</c:v>
                </c:pt>
                <c:pt idx="21">
                  <c:v>2.2554825902807121</c:v>
                </c:pt>
                <c:pt idx="22">
                  <c:v>2.2389944746189596</c:v>
                </c:pt>
                <c:pt idx="23">
                  <c:v>2.2231223762741719</c:v>
                </c:pt>
                <c:pt idx="24">
                  <c:v>2.207852429941398</c:v>
                </c:pt>
                <c:pt idx="25">
                  <c:v>2.1931702271979985</c:v>
                </c:pt>
                <c:pt idx="26">
                  <c:v>2.1790609243320627</c:v>
                </c:pt>
                <c:pt idx="27">
                  <c:v>2.1655093411120028</c:v>
                </c:pt>
                <c:pt idx="28">
                  <c:v>2.1525000508853531</c:v>
                </c:pt>
                <c:pt idx="29">
                  <c:v>2.1400174624171036</c:v>
                </c:pt>
                <c:pt idx="30">
                  <c:v>2.128045893893538</c:v>
                </c:pt>
                <c:pt idx="31">
                  <c:v>2.1165696395271145</c:v>
                </c:pt>
                <c:pt idx="32">
                  <c:v>2.1055730292021182</c:v>
                </c:pt>
                <c:pt idx="33">
                  <c:v>2.0950404816002899</c:v>
                </c:pt>
                <c:pt idx="34">
                  <c:v>2.0849565512409489</c:v>
                </c:pt>
                <c:pt idx="35">
                  <c:v>2.0753059698619842</c:v>
                </c:pt>
                <c:pt idx="36">
                  <c:v>2.0660736825570343</c:v>
                </c:pt>
                <c:pt idx="37">
                  <c:v>2.0572448790707112</c:v>
                </c:pt>
                <c:pt idx="38">
                  <c:v>2.0499312042870592</c:v>
                </c:pt>
                <c:pt idx="39">
                  <c:v>2.0303568343125695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60D-4A4C-BC0A-BC026ECDB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295760"/>
        <c:axId val="-382295216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Imóveis!$U$6</c15:sqref>
                        </c15:formulaRef>
                      </c:ext>
                    </c:extLst>
                    <c:strCache>
                      <c:ptCount val="1"/>
                      <c:pt idx="0">
                        <c:v>Densidade de Morador por Domicilio  (Rural e Urbano)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Imóveis!$T$8:$T$47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Imóveis!$U$8:$U$47</c15:sqref>
                        </c15:formulaRef>
                      </c:ext>
                    </c:extLst>
                    <c:numCache>
                      <c:formatCode>#,##0.0000</c:formatCode>
                      <c:ptCount val="40"/>
                      <c:pt idx="0">
                        <c:v>2.7672407287626508</c:v>
                      </c:pt>
                      <c:pt idx="1">
                        <c:v>2.7186479305899063</c:v>
                      </c:pt>
                      <c:pt idx="2">
                        <c:v>2.6884615812936423</c:v>
                      </c:pt>
                      <c:pt idx="3">
                        <c:v>2.6589012285080336</c:v>
                      </c:pt>
                      <c:pt idx="4">
                        <c:v>2.629988162572042</c:v>
                      </c:pt>
                      <c:pt idx="5">
                        <c:v>2.6017405667111682</c:v>
                      </c:pt>
                      <c:pt idx="6">
                        <c:v>2.5741736166286198</c:v>
                      </c:pt>
                      <c:pt idx="7">
                        <c:v>2.5472995952004802</c:v>
                      </c:pt>
                      <c:pt idx="8">
                        <c:v>2.5211280198070058</c:v>
                      </c:pt>
                      <c:pt idx="9">
                        <c:v>2.4956657799038884</c:v>
                      </c:pt>
                      <c:pt idx="10">
                        <c:v>2.4709172825420342</c:v>
                      </c:pt>
                      <c:pt idx="11">
                        <c:v>2.4468846036757563</c:v>
                      </c:pt>
                      <c:pt idx="12">
                        <c:v>2.4235676432512356</c:v>
                      </c:pt>
                      <c:pt idx="13">
                        <c:v>2.4009642822338968</c:v>
                      </c:pt>
                      <c:pt idx="14">
                        <c:v>2.3790705399096472</c:v>
                      </c:pt>
                      <c:pt idx="15">
                        <c:v>2.3578807299759634</c:v>
                      </c:pt>
                      <c:pt idx="16">
                        <c:v>2.3373876141204977</c:v>
                      </c:pt>
                      <c:pt idx="17">
                        <c:v>2.3175825519635009</c:v>
                      </c:pt>
                      <c:pt idx="18">
                        <c:v>2.2984556464131063</c:v>
                      </c:pt>
                      <c:pt idx="19">
                        <c:v>2.2799958836469463</c:v>
                      </c:pt>
                      <c:pt idx="20">
                        <c:v>2.2621912670878994</c:v>
                      </c:pt>
                      <c:pt idx="21">
                        <c:v>2.2450289448846816</c:v>
                      </c:pt>
                      <c:pt idx="22">
                        <c:v>2.2284953305386619</c:v>
                      </c:pt>
                      <c:pt idx="23">
                        <c:v>2.2125762164362244</c:v>
                      </c:pt>
                      <c:pt idx="24">
                        <c:v>2.1972568801511718</c:v>
                      </c:pt>
                      <c:pt idx="25">
                        <c:v>2.182522183474108</c:v>
                      </c:pt>
                      <c:pt idx="26">
                        <c:v>2.1683566642060232</c:v>
                      </c:pt>
                      <c:pt idx="27">
                        <c:v>2.1547446208218504</c:v>
                      </c:pt>
                      <c:pt idx="28">
                        <c:v>2.1416701901673516</c:v>
                      </c:pt>
                      <c:pt idx="29">
                        <c:v>2.1291174184001083</c:v>
                      </c:pt>
                      <c:pt idx="30">
                        <c:v>2.1170703254235121</c:v>
                      </c:pt>
                      <c:pt idx="31">
                        <c:v>2.1055129630922798</c:v>
                      </c:pt>
                      <c:pt idx="32">
                        <c:v>2.0944294674901247</c:v>
                      </c:pt>
                      <c:pt idx="33">
                        <c:v>2.0838041055956551</c:v>
                      </c:pt>
                      <c:pt idx="34">
                        <c:v>2.0736213166620865</c:v>
                      </c:pt>
                      <c:pt idx="35">
                        <c:v>2.0638657486408878</c:v>
                      </c:pt>
                      <c:pt idx="36">
                        <c:v>2.0545222899796514</c:v>
                      </c:pt>
                      <c:pt idx="37">
                        <c:v>2.0455760971210037</c:v>
                      </c:pt>
                      <c:pt idx="38">
                        <c:v>2.0335584994515981</c:v>
                      </c:pt>
                      <c:pt idx="39">
                        <c:v>2.019040055574592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960D-4A4C-BC0A-BC026ECDBE0C}"/>
                  </c:ext>
                </c:extLst>
              </c15:ser>
            </c15:filteredScatterSeries>
          </c:ext>
        </c:extLst>
      </c:scatterChart>
      <c:valAx>
        <c:axId val="-382295760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5216"/>
        <c:crosses val="autoZero"/>
        <c:crossBetween val="midCat"/>
        <c:majorUnit val="2"/>
      </c:valAx>
      <c:valAx>
        <c:axId val="-382295216"/>
        <c:scaling>
          <c:orientation val="minMax"/>
          <c:max val="3.5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5760"/>
        <c:crosses val="autoZero"/>
        <c:crossBetween val="midCat"/>
        <c:majorUnit val="0.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9691009824484339E-2"/>
          <c:y val="0.91476995301883157"/>
          <c:w val="0.92880031116760431"/>
          <c:h val="6.10231023836216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Índice de Atendimento Urbano</a:t>
            </a:r>
            <a:r>
              <a:rPr lang="pt-BR" baseline="0"/>
              <a:t> de Água e Esgoto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'Atendimento '!$D$6</c:f>
              <c:strCache>
                <c:ptCount val="1"/>
                <c:pt idx="0">
                  <c:v>Índice de Atendimento Total de Água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'Atendimento 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'Atendimento '!$D$8:$D$47</c:f>
              <c:numCache>
                <c:formatCode>0.00%</c:formatCode>
                <c:ptCount val="40"/>
                <c:pt idx="0">
                  <c:v>0.96399999999999997</c:v>
                </c:pt>
                <c:pt idx="1">
                  <c:v>0.96399999999999997</c:v>
                </c:pt>
                <c:pt idx="2">
                  <c:v>0.96399999999999997</c:v>
                </c:pt>
                <c:pt idx="3">
                  <c:v>0.96399999999999997</c:v>
                </c:pt>
                <c:pt idx="4">
                  <c:v>0.96399999999999997</c:v>
                </c:pt>
                <c:pt idx="5">
                  <c:v>0.96399999999999997</c:v>
                </c:pt>
                <c:pt idx="6">
                  <c:v>0.99399999999999999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2F-4FD7-AA8D-81FB5CFE3224}"/>
            </c:ext>
          </c:extLst>
        </c:ser>
        <c:ser>
          <c:idx val="1"/>
          <c:order val="1"/>
          <c:tx>
            <c:strRef>
              <c:f>'Atendimento '!$F$6</c:f>
              <c:strCache>
                <c:ptCount val="1"/>
                <c:pt idx="0">
                  <c:v>Índice de Atendimento Total de Esgoto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'Atendimento 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'Atendimento '!$F$8:$F$47</c:f>
              <c:numCache>
                <c:formatCode>0.00%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</c:v>
                </c:pt>
                <c:pt idx="7">
                  <c:v>0.4</c:v>
                </c:pt>
                <c:pt idx="8">
                  <c:v>0.6</c:v>
                </c:pt>
                <c:pt idx="9">
                  <c:v>0.8</c:v>
                </c:pt>
                <c:pt idx="10">
                  <c:v>0.85</c:v>
                </c:pt>
                <c:pt idx="11">
                  <c:v>0.9</c:v>
                </c:pt>
                <c:pt idx="12">
                  <c:v>0.92</c:v>
                </c:pt>
                <c:pt idx="13">
                  <c:v>0.94</c:v>
                </c:pt>
                <c:pt idx="14">
                  <c:v>0.96</c:v>
                </c:pt>
                <c:pt idx="15">
                  <c:v>0.98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2F-4FD7-AA8D-81FB5CFE32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310992"/>
        <c:axId val="-382300656"/>
        <c:extLst/>
      </c:scatterChart>
      <c:valAx>
        <c:axId val="-382310992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300656"/>
        <c:crosses val="autoZero"/>
        <c:crossBetween val="midCat"/>
        <c:majorUnit val="2"/>
      </c:valAx>
      <c:valAx>
        <c:axId val="-382300656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310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Economias e Ligações de Água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9.5614691876090341E-2"/>
          <c:y val="0.13076601904068144"/>
          <c:w val="0.85943307086614174"/>
          <c:h val="0.5975914043210476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'Economais e Ligações Água'!$S$6</c:f>
              <c:strCache>
                <c:ptCount val="1"/>
                <c:pt idx="0">
                  <c:v>Economias Ativas Totais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'Economais e Ligações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Água'!$S$8:$S$47</c:f>
              <c:numCache>
                <c:formatCode>#,##0</c:formatCode>
                <c:ptCount val="40"/>
                <c:pt idx="0">
                  <c:v>16811.034603979802</c:v>
                </c:pt>
                <c:pt idx="1">
                  <c:v>17227.570650162837</c:v>
                </c:pt>
                <c:pt idx="2">
                  <c:v>17643.200900887117</c:v>
                </c:pt>
                <c:pt idx="3">
                  <c:v>18054.532943578</c:v>
                </c:pt>
                <c:pt idx="4">
                  <c:v>18464.929370473343</c:v>
                </c:pt>
                <c:pt idx="5">
                  <c:v>18871.978213429691</c:v>
                </c:pt>
                <c:pt idx="6">
                  <c:v>19874.06412749843</c:v>
                </c:pt>
                <c:pt idx="7">
                  <c:v>20408.877964162944</c:v>
                </c:pt>
                <c:pt idx="8">
                  <c:v>20818.83121718714</c:v>
                </c:pt>
                <c:pt idx="9">
                  <c:v>21223.448012917201</c:v>
                </c:pt>
                <c:pt idx="10">
                  <c:v>21623.30872139279</c:v>
                </c:pt>
                <c:pt idx="11">
                  <c:v>22017.015715024689</c:v>
                </c:pt>
                <c:pt idx="12">
                  <c:v>22403.194748111968</c:v>
                </c:pt>
                <c:pt idx="13">
                  <c:v>22785.496120146072</c:v>
                </c:pt>
                <c:pt idx="14">
                  <c:v>23159.595619313262</c:v>
                </c:pt>
                <c:pt idx="15">
                  <c:v>23526.195245757965</c:v>
                </c:pt>
                <c:pt idx="16">
                  <c:v>23887.023717160399</c:v>
                </c:pt>
                <c:pt idx="17">
                  <c:v>24237.83676195889</c:v>
                </c:pt>
                <c:pt idx="18">
                  <c:v>24581.417208064111</c:v>
                </c:pt>
                <c:pt idx="19">
                  <c:v>24917.574877135074</c:v>
                </c:pt>
                <c:pt idx="20">
                  <c:v>25246.146296389066</c:v>
                </c:pt>
                <c:pt idx="21">
                  <c:v>25565.99424148638</c:v>
                </c:pt>
                <c:pt idx="22">
                  <c:v>25878.007125258897</c:v>
                </c:pt>
                <c:pt idx="23">
                  <c:v>26180.098247944901</c:v>
                </c:pt>
                <c:pt idx="24">
                  <c:v>26476.204925161077</c:v>
                </c:pt>
                <c:pt idx="25">
                  <c:v>26762.287510105863</c:v>
                </c:pt>
                <c:pt idx="26">
                  <c:v>27040.328326469567</c:v>
                </c:pt>
                <c:pt idx="27">
                  <c:v>27309.33052825378</c:v>
                </c:pt>
                <c:pt idx="28">
                  <c:v>27570.31690220728</c:v>
                </c:pt>
                <c:pt idx="29">
                  <c:v>27822.328627899238</c:v>
                </c:pt>
                <c:pt idx="30">
                  <c:v>28068.424009607454</c:v>
                </c:pt>
                <c:pt idx="31">
                  <c:v>28303.677193231466</c:v>
                </c:pt>
                <c:pt idx="32">
                  <c:v>28532.176880379982</c:v>
                </c:pt>
                <c:pt idx="33">
                  <c:v>28752.025050658256</c:v>
                </c:pt>
                <c:pt idx="34">
                  <c:v>28964.335702021512</c:v>
                </c:pt>
                <c:pt idx="35">
                  <c:v>29169.233617889797</c:v>
                </c:pt>
                <c:pt idx="36">
                  <c:v>29365.853168559057</c:v>
                </c:pt>
                <c:pt idx="37">
                  <c:v>29555.33715331139</c:v>
                </c:pt>
                <c:pt idx="38">
                  <c:v>29724</c:v>
                </c:pt>
                <c:pt idx="39">
                  <c:v>29919.90038361368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68-410D-8E97-8B0CA2CC5F8F}"/>
            </c:ext>
          </c:extLst>
        </c:ser>
        <c:ser>
          <c:idx val="1"/>
          <c:order val="1"/>
          <c:tx>
            <c:strRef>
              <c:f>'Economais e Ligações Água'!$T$6</c:f>
              <c:strCache>
                <c:ptCount val="1"/>
                <c:pt idx="0">
                  <c:v>Ligações Ativas Totais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'Economais e Ligações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Água'!$T$8:$T$47</c:f>
              <c:numCache>
                <c:formatCode>#,##0</c:formatCode>
                <c:ptCount val="40"/>
                <c:pt idx="0">
                  <c:v>12711.056730148444</c:v>
                </c:pt>
                <c:pt idx="1">
                  <c:v>13024.866248174316</c:v>
                </c:pt>
                <c:pt idx="2">
                  <c:v>13338.007429770314</c:v>
                </c:pt>
                <c:pt idx="3">
                  <c:v>13647.44425039473</c:v>
                </c:pt>
                <c:pt idx="4">
                  <c:v>13956.606742615624</c:v>
                </c:pt>
                <c:pt idx="5">
                  <c:v>14263.030023655514</c:v>
                </c:pt>
                <c:pt idx="6">
                  <c:v>15018.914358680637</c:v>
                </c:pt>
                <c:pt idx="7">
                  <c:v>15421.87037397998</c:v>
                </c:pt>
                <c:pt idx="8">
                  <c:v>15730.27452445744</c:v>
                </c:pt>
                <c:pt idx="9">
                  <c:v>16034.858398967119</c:v>
                </c:pt>
                <c:pt idx="10">
                  <c:v>16335.678051152905</c:v>
                </c:pt>
                <c:pt idx="11">
                  <c:v>16631.863418293153</c:v>
                </c:pt>
                <c:pt idx="12">
                  <c:v>16922.134187526706</c:v>
                </c:pt>
                <c:pt idx="13">
                  <c:v>17209.978534797559</c:v>
                </c:pt>
                <c:pt idx="14">
                  <c:v>17491.42752810369</c:v>
                </c:pt>
                <c:pt idx="15">
                  <c:v>17767.008067569303</c:v>
                </c:pt>
                <c:pt idx="16">
                  <c:v>18038.516960684621</c:v>
                </c:pt>
                <c:pt idx="17">
                  <c:v>18302.007621380697</c:v>
                </c:pt>
                <c:pt idx="18">
                  <c:v>18560.296408482667</c:v>
                </c:pt>
                <c:pt idx="19">
                  <c:v>18813.025479432843</c:v>
                </c:pt>
                <c:pt idx="20">
                  <c:v>19060.082880698832</c:v>
                </c:pt>
                <c:pt idx="21">
                  <c:v>19300.368861944557</c:v>
                </c:pt>
                <c:pt idx="22">
                  <c:v>19534.98819997656</c:v>
                </c:pt>
                <c:pt idx="23">
                  <c:v>19761.91045420547</c:v>
                </c:pt>
                <c:pt idx="24">
                  <c:v>19984.615923196699</c:v>
                </c:pt>
                <c:pt idx="25">
                  <c:v>20199.547661553224</c:v>
                </c:pt>
                <c:pt idx="26">
                  <c:v>20408.469574957722</c:v>
                </c:pt>
                <c:pt idx="27">
                  <c:v>20610.58287103938</c:v>
                </c:pt>
                <c:pt idx="28">
                  <c:v>20806.705771987272</c:v>
                </c:pt>
                <c:pt idx="29">
                  <c:v>20995.842080508257</c:v>
                </c:pt>
                <c:pt idx="30">
                  <c:v>21181.038498679936</c:v>
                </c:pt>
                <c:pt idx="31">
                  <c:v>21357.621435708657</c:v>
                </c:pt>
                <c:pt idx="32">
                  <c:v>21529.362447034182</c:v>
                </c:pt>
                <c:pt idx="33">
                  <c:v>21694.406912528382</c:v>
                </c:pt>
                <c:pt idx="34">
                  <c:v>21854.007596324689</c:v>
                </c:pt>
                <c:pt idx="35">
                  <c:v>22007.843719348963</c:v>
                </c:pt>
                <c:pt idx="36">
                  <c:v>22155.464666957148</c:v>
                </c:pt>
                <c:pt idx="37">
                  <c:v>22297.717012343659</c:v>
                </c:pt>
                <c:pt idx="38">
                  <c:v>22315.613574720126</c:v>
                </c:pt>
                <c:pt idx="39">
                  <c:v>22426.110963085644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068-410D-8E97-8B0CA2CC5F8F}"/>
            </c:ext>
          </c:extLst>
        </c:ser>
        <c:ser>
          <c:idx val="2"/>
          <c:order val="2"/>
          <c:tx>
            <c:strRef>
              <c:f>'Economais e Ligações Água'!$W$6</c:f>
              <c:strCache>
                <c:ptCount val="1"/>
                <c:pt idx="0">
                  <c:v>Economias Totais de Água (Com e Sem Atendimento)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'Economais e Ligações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Água'!$W$8:$W$47</c:f>
              <c:numCache>
                <c:formatCode>#,##0</c:formatCode>
                <c:ptCount val="40"/>
                <c:pt idx="0">
                  <c:v>17438.832576742534</c:v>
                </c:pt>
                <c:pt idx="1">
                  <c:v>17870.923910957299</c:v>
                </c:pt>
                <c:pt idx="2">
                  <c:v>18302.075623326888</c:v>
                </c:pt>
                <c:pt idx="3">
                  <c:v>18728.768613670127</c:v>
                </c:pt>
                <c:pt idx="4">
                  <c:v>19154.491048208864</c:v>
                </c:pt>
                <c:pt idx="5">
                  <c:v>19576.740885300511</c:v>
                </c:pt>
                <c:pt idx="6">
                  <c:v>19994.028297282122</c:v>
                </c:pt>
                <c:pt idx="7">
                  <c:v>20408.877964162944</c:v>
                </c:pt>
                <c:pt idx="8">
                  <c:v>20818.83121718714</c:v>
                </c:pt>
                <c:pt idx="9">
                  <c:v>21223.448012917201</c:v>
                </c:pt>
                <c:pt idx="10">
                  <c:v>21623.30872139279</c:v>
                </c:pt>
                <c:pt idx="11">
                  <c:v>22017.015715024689</c:v>
                </c:pt>
                <c:pt idx="12">
                  <c:v>22403.194748111968</c:v>
                </c:pt>
                <c:pt idx="13">
                  <c:v>22785.496120146072</c:v>
                </c:pt>
                <c:pt idx="14">
                  <c:v>23159.595619313262</c:v>
                </c:pt>
                <c:pt idx="15">
                  <c:v>23526.195245757965</c:v>
                </c:pt>
                <c:pt idx="16">
                  <c:v>23887.023717160399</c:v>
                </c:pt>
                <c:pt idx="17">
                  <c:v>24237.83676195889</c:v>
                </c:pt>
                <c:pt idx="18">
                  <c:v>24581.417208064111</c:v>
                </c:pt>
                <c:pt idx="19">
                  <c:v>24917.574877135074</c:v>
                </c:pt>
                <c:pt idx="20">
                  <c:v>25246.146296389066</c:v>
                </c:pt>
                <c:pt idx="21">
                  <c:v>25565.99424148638</c:v>
                </c:pt>
                <c:pt idx="22">
                  <c:v>25878.007125258897</c:v>
                </c:pt>
                <c:pt idx="23">
                  <c:v>26180.098247944901</c:v>
                </c:pt>
                <c:pt idx="24">
                  <c:v>26476.204925161077</c:v>
                </c:pt>
                <c:pt idx="25">
                  <c:v>26762.287510105863</c:v>
                </c:pt>
                <c:pt idx="26">
                  <c:v>27040.328326469567</c:v>
                </c:pt>
                <c:pt idx="27">
                  <c:v>27309.33052825378</c:v>
                </c:pt>
                <c:pt idx="28">
                  <c:v>27570.31690220728</c:v>
                </c:pt>
                <c:pt idx="29">
                  <c:v>27822.328627899238</c:v>
                </c:pt>
                <c:pt idx="30">
                  <c:v>28068.424009607454</c:v>
                </c:pt>
                <c:pt idx="31">
                  <c:v>28303.677193231466</c:v>
                </c:pt>
                <c:pt idx="32">
                  <c:v>28532.176880379982</c:v>
                </c:pt>
                <c:pt idx="33">
                  <c:v>28752.025050658256</c:v>
                </c:pt>
                <c:pt idx="34">
                  <c:v>28964.335702021512</c:v>
                </c:pt>
                <c:pt idx="35">
                  <c:v>29169.233617889797</c:v>
                </c:pt>
                <c:pt idx="36">
                  <c:v>29365.853168559057</c:v>
                </c:pt>
                <c:pt idx="37">
                  <c:v>29555.33715331139</c:v>
                </c:pt>
                <c:pt idx="38">
                  <c:v>29724</c:v>
                </c:pt>
                <c:pt idx="39">
                  <c:v>29919.90038361368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068-410D-8E97-8B0CA2CC5F8F}"/>
            </c:ext>
          </c:extLst>
        </c:ser>
        <c:ser>
          <c:idx val="3"/>
          <c:order val="3"/>
          <c:tx>
            <c:strRef>
              <c:f>'Economais e Ligações Água'!$X$6</c:f>
              <c:strCache>
                <c:ptCount val="1"/>
                <c:pt idx="0">
                  <c:v>Ligações Totais de Água (Com e Sem Atendimento)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'Economais e Ligações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Água'!$X$8:$X$47</c:f>
              <c:numCache>
                <c:formatCode>#,##0</c:formatCode>
                <c:ptCount val="40"/>
                <c:pt idx="0">
                  <c:v>13185.74349600461</c:v>
                </c:pt>
                <c:pt idx="1">
                  <c:v>13511.272041674601</c:v>
                </c:pt>
                <c:pt idx="2">
                  <c:v>13836.107292292858</c:v>
                </c:pt>
                <c:pt idx="3">
                  <c:v>14157.099844807812</c:v>
                </c:pt>
                <c:pt idx="4">
                  <c:v>14477.807824290066</c:v>
                </c:pt>
                <c:pt idx="5">
                  <c:v>14795.674298397837</c:v>
                </c:pt>
                <c:pt idx="6">
                  <c:v>15109.571789417139</c:v>
                </c:pt>
                <c:pt idx="7">
                  <c:v>15421.87037397998</c:v>
                </c:pt>
                <c:pt idx="8">
                  <c:v>15730.27452445744</c:v>
                </c:pt>
                <c:pt idx="9">
                  <c:v>16034.858398967119</c:v>
                </c:pt>
                <c:pt idx="10">
                  <c:v>16335.678051152905</c:v>
                </c:pt>
                <c:pt idx="11">
                  <c:v>16631.863418293153</c:v>
                </c:pt>
                <c:pt idx="12">
                  <c:v>16922.134187526706</c:v>
                </c:pt>
                <c:pt idx="13">
                  <c:v>17209.978534797559</c:v>
                </c:pt>
                <c:pt idx="14">
                  <c:v>17491.42752810369</c:v>
                </c:pt>
                <c:pt idx="15">
                  <c:v>17767.008067569303</c:v>
                </c:pt>
                <c:pt idx="16">
                  <c:v>18038.516960684621</c:v>
                </c:pt>
                <c:pt idx="17">
                  <c:v>18302.007621380697</c:v>
                </c:pt>
                <c:pt idx="18">
                  <c:v>18560.296408482667</c:v>
                </c:pt>
                <c:pt idx="19">
                  <c:v>18813.025479432843</c:v>
                </c:pt>
                <c:pt idx="20">
                  <c:v>19060.082880698832</c:v>
                </c:pt>
                <c:pt idx="21">
                  <c:v>19300.368861944557</c:v>
                </c:pt>
                <c:pt idx="22">
                  <c:v>19534.98819997656</c:v>
                </c:pt>
                <c:pt idx="23">
                  <c:v>19761.91045420547</c:v>
                </c:pt>
                <c:pt idx="24">
                  <c:v>19984.615923196699</c:v>
                </c:pt>
                <c:pt idx="25">
                  <c:v>20199.547661553224</c:v>
                </c:pt>
                <c:pt idx="26">
                  <c:v>20408.469574957722</c:v>
                </c:pt>
                <c:pt idx="27">
                  <c:v>20610.58287103938</c:v>
                </c:pt>
                <c:pt idx="28">
                  <c:v>20806.705771987272</c:v>
                </c:pt>
                <c:pt idx="29">
                  <c:v>20995.842080508257</c:v>
                </c:pt>
                <c:pt idx="30">
                  <c:v>21181.038498679936</c:v>
                </c:pt>
                <c:pt idx="31">
                  <c:v>21357.621435708657</c:v>
                </c:pt>
                <c:pt idx="32">
                  <c:v>21529.362447034182</c:v>
                </c:pt>
                <c:pt idx="33">
                  <c:v>21694.406912528382</c:v>
                </c:pt>
                <c:pt idx="34">
                  <c:v>21854.007596324689</c:v>
                </c:pt>
                <c:pt idx="35">
                  <c:v>22007.843719348963</c:v>
                </c:pt>
                <c:pt idx="36">
                  <c:v>22155.464666957148</c:v>
                </c:pt>
                <c:pt idx="37">
                  <c:v>22297.717012343659</c:v>
                </c:pt>
                <c:pt idx="38">
                  <c:v>22315.613574720126</c:v>
                </c:pt>
                <c:pt idx="39">
                  <c:v>22426.110963085644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068-410D-8E97-8B0CA2CC5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82313712"/>
        <c:axId val="-382299568"/>
        <c:extLst/>
      </c:scatterChart>
      <c:valAx>
        <c:axId val="-382313712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299568"/>
        <c:crosses val="autoZero"/>
        <c:crossBetween val="midCat"/>
        <c:majorUnit val="2"/>
      </c:valAx>
      <c:valAx>
        <c:axId val="-382299568"/>
        <c:scaling>
          <c:orientation val="minMax"/>
          <c:max val="30000"/>
          <c:min val="1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82313712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2088735913998788E-2"/>
          <c:y val="0.83076757365396858"/>
          <c:w val="0.91103210901032583"/>
          <c:h val="0.148078581259914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Economias e Ligações de Esgoto Totais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'Economais e Ligações Esgoto'!$R$6</c:f>
              <c:strCache>
                <c:ptCount val="1"/>
                <c:pt idx="0">
                  <c:v>Economias Ativas Totais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'Economais e Ligações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Esgoto'!$R$8:$R$47</c:f>
              <c:numCache>
                <c:formatCode>#,##0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3998.8056594564246</c:v>
                </c:pt>
                <c:pt idx="7">
                  <c:v>8163.5511856651774</c:v>
                </c:pt>
                <c:pt idx="8">
                  <c:v>12491.298730312285</c:v>
                </c:pt>
                <c:pt idx="9">
                  <c:v>16978.758410333761</c:v>
                </c:pt>
                <c:pt idx="10">
                  <c:v>18379.81241318387</c:v>
                </c:pt>
                <c:pt idx="11">
                  <c:v>19815.314143522224</c:v>
                </c:pt>
                <c:pt idx="12">
                  <c:v>20610.939168263008</c:v>
                </c:pt>
                <c:pt idx="13">
                  <c:v>21418.366352937304</c:v>
                </c:pt>
                <c:pt idx="14">
                  <c:v>22233.211794540734</c:v>
                </c:pt>
                <c:pt idx="15">
                  <c:v>23055.671340842808</c:v>
                </c:pt>
                <c:pt idx="16">
                  <c:v>23887.023717160399</c:v>
                </c:pt>
                <c:pt idx="17">
                  <c:v>24237.83676195889</c:v>
                </c:pt>
                <c:pt idx="18">
                  <c:v>24581.417208064111</c:v>
                </c:pt>
                <c:pt idx="19">
                  <c:v>24917.574877135074</c:v>
                </c:pt>
                <c:pt idx="20">
                  <c:v>25246.146296389066</c:v>
                </c:pt>
                <c:pt idx="21">
                  <c:v>25565.99424148638</c:v>
                </c:pt>
                <c:pt idx="22">
                  <c:v>25878.007125258897</c:v>
                </c:pt>
                <c:pt idx="23">
                  <c:v>26180.098247944901</c:v>
                </c:pt>
                <c:pt idx="24">
                  <c:v>26476.204925161077</c:v>
                </c:pt>
                <c:pt idx="25">
                  <c:v>26762.287510105863</c:v>
                </c:pt>
                <c:pt idx="26">
                  <c:v>27040.328326469567</c:v>
                </c:pt>
                <c:pt idx="27">
                  <c:v>27309.33052825378</c:v>
                </c:pt>
                <c:pt idx="28">
                  <c:v>27570.31690220728</c:v>
                </c:pt>
                <c:pt idx="29">
                  <c:v>27822.328627899238</c:v>
                </c:pt>
                <c:pt idx="30">
                  <c:v>28068.424009607454</c:v>
                </c:pt>
                <c:pt idx="31">
                  <c:v>28303.677193231466</c:v>
                </c:pt>
                <c:pt idx="32">
                  <c:v>28532.176880379982</c:v>
                </c:pt>
                <c:pt idx="33">
                  <c:v>28752.025050658256</c:v>
                </c:pt>
                <c:pt idx="34">
                  <c:v>28964.335702021512</c:v>
                </c:pt>
                <c:pt idx="35">
                  <c:v>29169.233617889797</c:v>
                </c:pt>
                <c:pt idx="36">
                  <c:v>29365.853168559057</c:v>
                </c:pt>
                <c:pt idx="37">
                  <c:v>29555.33715331139</c:v>
                </c:pt>
                <c:pt idx="38">
                  <c:v>29724</c:v>
                </c:pt>
                <c:pt idx="39">
                  <c:v>29919.90038361368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7F-4CAD-888C-D54468EC9EE2}"/>
            </c:ext>
          </c:extLst>
        </c:ser>
        <c:ser>
          <c:idx val="1"/>
          <c:order val="1"/>
          <c:tx>
            <c:strRef>
              <c:f>'Economais e Ligações Esgoto'!$S$6</c:f>
              <c:strCache>
                <c:ptCount val="1"/>
                <c:pt idx="0">
                  <c:v>Ligações Ativas Totais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'Economais e Ligações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Esgoto'!$S$8:$S$47</c:f>
              <c:numCache>
                <c:formatCode>#,##0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3021.9143578834273</c:v>
                </c:pt>
                <c:pt idx="7">
                  <c:v>6168.7481495919919</c:v>
                </c:pt>
                <c:pt idx="8">
                  <c:v>9438.1647146744654</c:v>
                </c:pt>
                <c:pt idx="9">
                  <c:v>12827.886719173694</c:v>
                </c:pt>
                <c:pt idx="10">
                  <c:v>13885.326343479968</c:v>
                </c:pt>
                <c:pt idx="11">
                  <c:v>14968.677076463839</c:v>
                </c:pt>
                <c:pt idx="12">
                  <c:v>15568.363452524569</c:v>
                </c:pt>
                <c:pt idx="13">
                  <c:v>16177.3798227097</c:v>
                </c:pt>
                <c:pt idx="14">
                  <c:v>16791.770426979547</c:v>
                </c:pt>
                <c:pt idx="15">
                  <c:v>17411.667906217917</c:v>
                </c:pt>
                <c:pt idx="16">
                  <c:v>18038.516960684621</c:v>
                </c:pt>
                <c:pt idx="17">
                  <c:v>18302.007621380697</c:v>
                </c:pt>
                <c:pt idx="18">
                  <c:v>18560.296408482667</c:v>
                </c:pt>
                <c:pt idx="19">
                  <c:v>18813.025479432843</c:v>
                </c:pt>
                <c:pt idx="20">
                  <c:v>19060.082880698832</c:v>
                </c:pt>
                <c:pt idx="21">
                  <c:v>19300.368861944557</c:v>
                </c:pt>
                <c:pt idx="22">
                  <c:v>19534.98819997656</c:v>
                </c:pt>
                <c:pt idx="23">
                  <c:v>19761.91045420547</c:v>
                </c:pt>
                <c:pt idx="24">
                  <c:v>19984.615923196699</c:v>
                </c:pt>
                <c:pt idx="25">
                  <c:v>20199.547661553224</c:v>
                </c:pt>
                <c:pt idx="26">
                  <c:v>20408.469574957722</c:v>
                </c:pt>
                <c:pt idx="27">
                  <c:v>20610.58287103938</c:v>
                </c:pt>
                <c:pt idx="28">
                  <c:v>20806.705771987272</c:v>
                </c:pt>
                <c:pt idx="29">
                  <c:v>20995.842080508257</c:v>
                </c:pt>
                <c:pt idx="30">
                  <c:v>21181.038498679936</c:v>
                </c:pt>
                <c:pt idx="31">
                  <c:v>21357.621435708657</c:v>
                </c:pt>
                <c:pt idx="32">
                  <c:v>21529.362447034182</c:v>
                </c:pt>
                <c:pt idx="33">
                  <c:v>21694.406912528382</c:v>
                </c:pt>
                <c:pt idx="34">
                  <c:v>21854.007596324689</c:v>
                </c:pt>
                <c:pt idx="35">
                  <c:v>22007.843719348963</c:v>
                </c:pt>
                <c:pt idx="36">
                  <c:v>22155.464666957148</c:v>
                </c:pt>
                <c:pt idx="37">
                  <c:v>22297.717012343659</c:v>
                </c:pt>
                <c:pt idx="38">
                  <c:v>22315.613574720126</c:v>
                </c:pt>
                <c:pt idx="39">
                  <c:v>22426.110963085644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7F-4CAD-888C-D54468EC9EE2}"/>
            </c:ext>
          </c:extLst>
        </c:ser>
        <c:ser>
          <c:idx val="2"/>
          <c:order val="2"/>
          <c:tx>
            <c:strRef>
              <c:f>'Economais e Ligações Esgoto'!$T$6</c:f>
              <c:strCache>
                <c:ptCount val="1"/>
                <c:pt idx="0">
                  <c:v>Economias Totais de Esgoto (Com e Sem Atendimento)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'Economais e Ligações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Esgoto'!$T$8:$T$47</c:f>
              <c:numCache>
                <c:formatCode>#,##0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19994.028297282122</c:v>
                </c:pt>
                <c:pt idx="7">
                  <c:v>20408.877964162941</c:v>
                </c:pt>
                <c:pt idx="8">
                  <c:v>20818.83121718714</c:v>
                </c:pt>
                <c:pt idx="9">
                  <c:v>21223.448012917201</c:v>
                </c:pt>
                <c:pt idx="10">
                  <c:v>21623.30872139279</c:v>
                </c:pt>
                <c:pt idx="11">
                  <c:v>22017.015715024692</c:v>
                </c:pt>
                <c:pt idx="12">
                  <c:v>22403.194748111964</c:v>
                </c:pt>
                <c:pt idx="13">
                  <c:v>22785.496120146068</c:v>
                </c:pt>
                <c:pt idx="14">
                  <c:v>23159.595619313266</c:v>
                </c:pt>
                <c:pt idx="15">
                  <c:v>23526.195245757968</c:v>
                </c:pt>
                <c:pt idx="16">
                  <c:v>23887.023717160399</c:v>
                </c:pt>
                <c:pt idx="17">
                  <c:v>24237.83676195889</c:v>
                </c:pt>
                <c:pt idx="18">
                  <c:v>24581.417208064111</c:v>
                </c:pt>
                <c:pt idx="19">
                  <c:v>24917.574877135074</c:v>
                </c:pt>
                <c:pt idx="20">
                  <c:v>25246.146296389066</c:v>
                </c:pt>
                <c:pt idx="21">
                  <c:v>25565.99424148638</c:v>
                </c:pt>
                <c:pt idx="22">
                  <c:v>25878.007125258897</c:v>
                </c:pt>
                <c:pt idx="23">
                  <c:v>26180.098247944901</c:v>
                </c:pt>
                <c:pt idx="24">
                  <c:v>26476.204925161077</c:v>
                </c:pt>
                <c:pt idx="25">
                  <c:v>26762.287510105863</c:v>
                </c:pt>
                <c:pt idx="26">
                  <c:v>27040.328326469567</c:v>
                </c:pt>
                <c:pt idx="27">
                  <c:v>27309.33052825378</c:v>
                </c:pt>
                <c:pt idx="28">
                  <c:v>27570.31690220728</c:v>
                </c:pt>
                <c:pt idx="29">
                  <c:v>27822.328627899238</c:v>
                </c:pt>
                <c:pt idx="30">
                  <c:v>28068.424009607454</c:v>
                </c:pt>
                <c:pt idx="31">
                  <c:v>28303.677193231466</c:v>
                </c:pt>
                <c:pt idx="32">
                  <c:v>28532.176880379982</c:v>
                </c:pt>
                <c:pt idx="33">
                  <c:v>28752.025050658256</c:v>
                </c:pt>
                <c:pt idx="34">
                  <c:v>28964.335702021512</c:v>
                </c:pt>
                <c:pt idx="35">
                  <c:v>29169.233617889797</c:v>
                </c:pt>
                <c:pt idx="36">
                  <c:v>29365.853168559057</c:v>
                </c:pt>
                <c:pt idx="37">
                  <c:v>29555.33715331139</c:v>
                </c:pt>
                <c:pt idx="38">
                  <c:v>29724</c:v>
                </c:pt>
                <c:pt idx="39">
                  <c:v>29919.90038361368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87F-4CAD-888C-D54468EC9EE2}"/>
            </c:ext>
          </c:extLst>
        </c:ser>
        <c:ser>
          <c:idx val="3"/>
          <c:order val="3"/>
          <c:tx>
            <c:strRef>
              <c:f>'Economais e Ligações Esgoto'!$U$6</c:f>
              <c:strCache>
                <c:ptCount val="1"/>
                <c:pt idx="0">
                  <c:v>Ligações Totais de Esgoto (Com e Sem Atendimento)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'Economais e Ligações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'Economais e Ligações Esgoto'!$U$8:$U$47</c:f>
              <c:numCache>
                <c:formatCode>#,##0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15109.571789417136</c:v>
                </c:pt>
                <c:pt idx="7">
                  <c:v>15421.870373979978</c:v>
                </c:pt>
                <c:pt idx="8">
                  <c:v>15730.274524457443</c:v>
                </c:pt>
                <c:pt idx="9">
                  <c:v>16034.858398967117</c:v>
                </c:pt>
                <c:pt idx="10">
                  <c:v>16335.678051152905</c:v>
                </c:pt>
                <c:pt idx="11">
                  <c:v>16631.863418293153</c:v>
                </c:pt>
                <c:pt idx="12">
                  <c:v>16922.134187526706</c:v>
                </c:pt>
                <c:pt idx="13">
                  <c:v>17209.978534797552</c:v>
                </c:pt>
                <c:pt idx="14">
                  <c:v>17491.427528103693</c:v>
                </c:pt>
                <c:pt idx="15">
                  <c:v>17767.008067569303</c:v>
                </c:pt>
                <c:pt idx="16">
                  <c:v>18038.516960684621</c:v>
                </c:pt>
                <c:pt idx="17">
                  <c:v>18302.007621380697</c:v>
                </c:pt>
                <c:pt idx="18">
                  <c:v>18560.296408482667</c:v>
                </c:pt>
                <c:pt idx="19">
                  <c:v>18813.025479432843</c:v>
                </c:pt>
                <c:pt idx="20">
                  <c:v>19060.082880698832</c:v>
                </c:pt>
                <c:pt idx="21">
                  <c:v>19300.368861944557</c:v>
                </c:pt>
                <c:pt idx="22">
                  <c:v>19534.98819997656</c:v>
                </c:pt>
                <c:pt idx="23">
                  <c:v>19761.91045420547</c:v>
                </c:pt>
                <c:pt idx="24">
                  <c:v>19984.615923196699</c:v>
                </c:pt>
                <c:pt idx="25">
                  <c:v>20199.547661553224</c:v>
                </c:pt>
                <c:pt idx="26">
                  <c:v>20408.469574957722</c:v>
                </c:pt>
                <c:pt idx="27">
                  <c:v>20610.58287103938</c:v>
                </c:pt>
                <c:pt idx="28">
                  <c:v>20806.705771987272</c:v>
                </c:pt>
                <c:pt idx="29">
                  <c:v>20995.842080508257</c:v>
                </c:pt>
                <c:pt idx="30">
                  <c:v>21181.038498679936</c:v>
                </c:pt>
                <c:pt idx="31">
                  <c:v>21357.621435708657</c:v>
                </c:pt>
                <c:pt idx="32">
                  <c:v>21529.362447034182</c:v>
                </c:pt>
                <c:pt idx="33">
                  <c:v>21694.406912528382</c:v>
                </c:pt>
                <c:pt idx="34">
                  <c:v>21854.007596324689</c:v>
                </c:pt>
                <c:pt idx="35">
                  <c:v>22007.843719348963</c:v>
                </c:pt>
                <c:pt idx="36">
                  <c:v>22155.464666957148</c:v>
                </c:pt>
                <c:pt idx="37">
                  <c:v>22297.717012343659</c:v>
                </c:pt>
                <c:pt idx="38">
                  <c:v>22315.613574720126</c:v>
                </c:pt>
                <c:pt idx="39">
                  <c:v>22426.110963085644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87F-4CAD-888C-D54468EC9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7229568"/>
        <c:axId val="-834368656"/>
        <c:extLst/>
      </c:scatterChart>
      <c:valAx>
        <c:axId val="-747229568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834368656"/>
        <c:crosses val="autoZero"/>
        <c:crossBetween val="midCat"/>
        <c:majorUnit val="2"/>
      </c:valAx>
      <c:valAx>
        <c:axId val="-8343686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29568"/>
        <c:crosses val="autoZero"/>
        <c:crossBetween val="midCat"/>
        <c:majorUnit val="4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Consumo per Capita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0"/>
          <c:tx>
            <c:strRef>
              <c:f>'Cota per capita e por economia '!$G$6</c:f>
              <c:strCache>
                <c:ptCount val="1"/>
                <c:pt idx="0">
                  <c:v>Cota per capita Disponibilidada Média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'Cota per capita e por economia 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'!$G$8:$G$47</c:f>
              <c:numCache>
                <c:formatCode>#,##0.00</c:formatCode>
                <c:ptCount val="40"/>
                <c:pt idx="0">
                  <c:v>272.35000000000002</c:v>
                </c:pt>
                <c:pt idx="1">
                  <c:v>272.39999999999998</c:v>
                </c:pt>
                <c:pt idx="2">
                  <c:v>272.41000000000003</c:v>
                </c:pt>
                <c:pt idx="3">
                  <c:v>272.33</c:v>
                </c:pt>
                <c:pt idx="4">
                  <c:v>273.72000000000003</c:v>
                </c:pt>
                <c:pt idx="5">
                  <c:v>258.32</c:v>
                </c:pt>
                <c:pt idx="6">
                  <c:v>245.71</c:v>
                </c:pt>
                <c:pt idx="7">
                  <c:v>238.34</c:v>
                </c:pt>
                <c:pt idx="8">
                  <c:v>230.11</c:v>
                </c:pt>
                <c:pt idx="9">
                  <c:v>223.27</c:v>
                </c:pt>
                <c:pt idx="10">
                  <c:v>217.43</c:v>
                </c:pt>
                <c:pt idx="11">
                  <c:v>211.08</c:v>
                </c:pt>
                <c:pt idx="12">
                  <c:v>209.74</c:v>
                </c:pt>
                <c:pt idx="13">
                  <c:v>208.52</c:v>
                </c:pt>
                <c:pt idx="14">
                  <c:v>207.28</c:v>
                </c:pt>
                <c:pt idx="15">
                  <c:v>206.09</c:v>
                </c:pt>
                <c:pt idx="16">
                  <c:v>204.95</c:v>
                </c:pt>
                <c:pt idx="17">
                  <c:v>203.79</c:v>
                </c:pt>
                <c:pt idx="18">
                  <c:v>202.7</c:v>
                </c:pt>
                <c:pt idx="19">
                  <c:v>201.66</c:v>
                </c:pt>
                <c:pt idx="20">
                  <c:v>200.62</c:v>
                </c:pt>
                <c:pt idx="21">
                  <c:v>199.61</c:v>
                </c:pt>
                <c:pt idx="22">
                  <c:v>198.67</c:v>
                </c:pt>
                <c:pt idx="23">
                  <c:v>198.65</c:v>
                </c:pt>
                <c:pt idx="24">
                  <c:v>198.69</c:v>
                </c:pt>
                <c:pt idx="25">
                  <c:v>198.68</c:v>
                </c:pt>
                <c:pt idx="26">
                  <c:v>198.67</c:v>
                </c:pt>
                <c:pt idx="27">
                  <c:v>198.66</c:v>
                </c:pt>
                <c:pt idx="28">
                  <c:v>198.66</c:v>
                </c:pt>
                <c:pt idx="29">
                  <c:v>198.65</c:v>
                </c:pt>
                <c:pt idx="30">
                  <c:v>198.71</c:v>
                </c:pt>
                <c:pt idx="31">
                  <c:v>198.66</c:v>
                </c:pt>
                <c:pt idx="32">
                  <c:v>198.7</c:v>
                </c:pt>
                <c:pt idx="33">
                  <c:v>198.67</c:v>
                </c:pt>
                <c:pt idx="34">
                  <c:v>198.68</c:v>
                </c:pt>
                <c:pt idx="35">
                  <c:v>198.69</c:v>
                </c:pt>
                <c:pt idx="36">
                  <c:v>198.66</c:v>
                </c:pt>
                <c:pt idx="37">
                  <c:v>198.67</c:v>
                </c:pt>
                <c:pt idx="38">
                  <c:v>198.68</c:v>
                </c:pt>
                <c:pt idx="39">
                  <c:v>198.67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0C-424F-99D9-436499A6C8A3}"/>
            </c:ext>
          </c:extLst>
        </c:ser>
        <c:ser>
          <c:idx val="1"/>
          <c:order val="1"/>
          <c:tx>
            <c:strRef>
              <c:f>'Cota per capita e por economia '!$H$6</c:f>
              <c:strCache>
                <c:ptCount val="1"/>
                <c:pt idx="0">
                  <c:v>Cota per capita Consumida Média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'Cota per capita e por economia 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'!$H$8:$H$47</c:f>
              <c:numCache>
                <c:formatCode>#,##0.00</c:formatCode>
                <c:ptCount val="40"/>
                <c:pt idx="0">
                  <c:v>168.86</c:v>
                </c:pt>
                <c:pt idx="1">
                  <c:v>168.89</c:v>
                </c:pt>
                <c:pt idx="2">
                  <c:v>168.9</c:v>
                </c:pt>
                <c:pt idx="3">
                  <c:v>168.85</c:v>
                </c:pt>
                <c:pt idx="4">
                  <c:v>168.89</c:v>
                </c:pt>
                <c:pt idx="5">
                  <c:v>168.9</c:v>
                </c:pt>
                <c:pt idx="6">
                  <c:v>168.86</c:v>
                </c:pt>
                <c:pt idx="7">
                  <c:v>168.88</c:v>
                </c:pt>
                <c:pt idx="8">
                  <c:v>168.86</c:v>
                </c:pt>
                <c:pt idx="9">
                  <c:v>168.88</c:v>
                </c:pt>
                <c:pt idx="10">
                  <c:v>168.87</c:v>
                </c:pt>
                <c:pt idx="11">
                  <c:v>168.86</c:v>
                </c:pt>
                <c:pt idx="12">
                  <c:v>168.85</c:v>
                </c:pt>
                <c:pt idx="13">
                  <c:v>168.89</c:v>
                </c:pt>
                <c:pt idx="14">
                  <c:v>168.89</c:v>
                </c:pt>
                <c:pt idx="15">
                  <c:v>168.89</c:v>
                </c:pt>
                <c:pt idx="16">
                  <c:v>168.9</c:v>
                </c:pt>
                <c:pt idx="17">
                  <c:v>168.87</c:v>
                </c:pt>
                <c:pt idx="18">
                  <c:v>168.87</c:v>
                </c:pt>
                <c:pt idx="19">
                  <c:v>168.88</c:v>
                </c:pt>
                <c:pt idx="20">
                  <c:v>168.87</c:v>
                </c:pt>
                <c:pt idx="21">
                  <c:v>168.85</c:v>
                </c:pt>
                <c:pt idx="22">
                  <c:v>168.87</c:v>
                </c:pt>
                <c:pt idx="23">
                  <c:v>168.85</c:v>
                </c:pt>
                <c:pt idx="24">
                  <c:v>168.88</c:v>
                </c:pt>
                <c:pt idx="25">
                  <c:v>168.88</c:v>
                </c:pt>
                <c:pt idx="26">
                  <c:v>168.87</c:v>
                </c:pt>
                <c:pt idx="27">
                  <c:v>168.86</c:v>
                </c:pt>
                <c:pt idx="28">
                  <c:v>168.86</c:v>
                </c:pt>
                <c:pt idx="29">
                  <c:v>168.86</c:v>
                </c:pt>
                <c:pt idx="30">
                  <c:v>168.9</c:v>
                </c:pt>
                <c:pt idx="31">
                  <c:v>168.86</c:v>
                </c:pt>
                <c:pt idx="32">
                  <c:v>168.9</c:v>
                </c:pt>
                <c:pt idx="33">
                  <c:v>168.87</c:v>
                </c:pt>
                <c:pt idx="34">
                  <c:v>168.88</c:v>
                </c:pt>
                <c:pt idx="35">
                  <c:v>168.88</c:v>
                </c:pt>
                <c:pt idx="36">
                  <c:v>168.86</c:v>
                </c:pt>
                <c:pt idx="37">
                  <c:v>168.87</c:v>
                </c:pt>
                <c:pt idx="38">
                  <c:v>168.88</c:v>
                </c:pt>
                <c:pt idx="39">
                  <c:v>168.87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0C-424F-99D9-436499A6C8A3}"/>
            </c:ext>
          </c:extLst>
        </c:ser>
        <c:ser>
          <c:idx val="2"/>
          <c:order val="2"/>
          <c:tx>
            <c:strRef>
              <c:f>'Cota per capita e por economia '!$I$6</c:f>
              <c:strCache>
                <c:ptCount val="1"/>
                <c:pt idx="0">
                  <c:v>Cota per capita Medida Média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'Cota per capita e por economia 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'!$I$8:$I$47</c:f>
              <c:numCache>
                <c:formatCode>#,##0.00</c:formatCode>
                <c:ptCount val="40"/>
                <c:pt idx="0">
                  <c:v>145.24</c:v>
                </c:pt>
                <c:pt idx="1">
                  <c:v>145.27000000000001</c:v>
                </c:pt>
                <c:pt idx="2">
                  <c:v>145.28</c:v>
                </c:pt>
                <c:pt idx="3">
                  <c:v>145.24</c:v>
                </c:pt>
                <c:pt idx="4">
                  <c:v>145.97999999999999</c:v>
                </c:pt>
                <c:pt idx="5">
                  <c:v>148.05000000000001</c:v>
                </c:pt>
                <c:pt idx="6">
                  <c:v>149.77000000000001</c:v>
                </c:pt>
                <c:pt idx="7">
                  <c:v>153.22</c:v>
                </c:pt>
                <c:pt idx="8">
                  <c:v>154.94</c:v>
                </c:pt>
                <c:pt idx="9">
                  <c:v>156.56</c:v>
                </c:pt>
                <c:pt idx="10">
                  <c:v>158</c:v>
                </c:pt>
                <c:pt idx="11">
                  <c:v>158.31</c:v>
                </c:pt>
                <c:pt idx="12">
                  <c:v>158.36000000000001</c:v>
                </c:pt>
                <c:pt idx="13">
                  <c:v>158.46</c:v>
                </c:pt>
                <c:pt idx="14">
                  <c:v>158.52000000000001</c:v>
                </c:pt>
                <c:pt idx="15">
                  <c:v>158.58000000000001</c:v>
                </c:pt>
                <c:pt idx="16">
                  <c:v>158.65</c:v>
                </c:pt>
                <c:pt idx="17">
                  <c:v>158.68</c:v>
                </c:pt>
                <c:pt idx="18">
                  <c:v>158.74</c:v>
                </c:pt>
                <c:pt idx="19">
                  <c:v>158.80000000000001</c:v>
                </c:pt>
                <c:pt idx="20">
                  <c:v>158.84</c:v>
                </c:pt>
                <c:pt idx="21">
                  <c:v>158.87</c:v>
                </c:pt>
                <c:pt idx="22">
                  <c:v>158.94</c:v>
                </c:pt>
                <c:pt idx="23">
                  <c:v>158.91999999999999</c:v>
                </c:pt>
                <c:pt idx="24">
                  <c:v>158.94999999999999</c:v>
                </c:pt>
                <c:pt idx="25">
                  <c:v>158.94</c:v>
                </c:pt>
                <c:pt idx="26">
                  <c:v>158.94</c:v>
                </c:pt>
                <c:pt idx="27">
                  <c:v>158.93</c:v>
                </c:pt>
                <c:pt idx="28">
                  <c:v>158.93</c:v>
                </c:pt>
                <c:pt idx="29">
                  <c:v>158.91999999999999</c:v>
                </c:pt>
                <c:pt idx="30">
                  <c:v>158.96</c:v>
                </c:pt>
                <c:pt idx="31">
                  <c:v>158.93</c:v>
                </c:pt>
                <c:pt idx="32">
                  <c:v>158.96</c:v>
                </c:pt>
                <c:pt idx="33">
                  <c:v>158.94</c:v>
                </c:pt>
                <c:pt idx="34">
                  <c:v>158.94</c:v>
                </c:pt>
                <c:pt idx="35">
                  <c:v>158.94999999999999</c:v>
                </c:pt>
                <c:pt idx="36">
                  <c:v>158.91999999999999</c:v>
                </c:pt>
                <c:pt idx="37">
                  <c:v>158.94</c:v>
                </c:pt>
                <c:pt idx="38">
                  <c:v>158.94</c:v>
                </c:pt>
                <c:pt idx="39">
                  <c:v>158.94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0C-424F-99D9-436499A6C8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31317440"/>
        <c:axId val="-431316896"/>
        <c:extLst/>
      </c:scatterChart>
      <c:valAx>
        <c:axId val="-431317440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6896"/>
        <c:crosses val="autoZero"/>
        <c:crossBetween val="midCat"/>
        <c:majorUnit val="2"/>
      </c:valAx>
      <c:valAx>
        <c:axId val="-431316896"/>
        <c:scaling>
          <c:orientation val="minMax"/>
          <c:min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7440"/>
        <c:crosses val="autoZero"/>
        <c:crossBetween val="midCat"/>
        <c:majorUnit val="20"/>
        <c:minorUnit val="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5247403595899053E-2"/>
          <c:y val="0.82467421274525732"/>
          <c:w val="0.90505838939423855"/>
          <c:h val="0.147128621215588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Volumes Mensais por</a:t>
            </a:r>
            <a:r>
              <a:rPr lang="pt-BR" baseline="0"/>
              <a:t> Economia m³/mês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'Cota per capita e por economia '!$AO$6</c:f>
              <c:strCache>
                <c:ptCount val="1"/>
                <c:pt idx="0">
                  <c:v>Disponibilizado Por Economia 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'!$AO$8:$AO$47</c:f>
              <c:numCache>
                <c:formatCode>#,##0.00</c:formatCode>
                <c:ptCount val="40"/>
                <c:pt idx="0">
                  <c:v>20.713553982116451</c:v>
                </c:pt>
                <c:pt idx="1">
                  <c:v>20.512432044118622</c:v>
                </c:pt>
                <c:pt idx="2">
                  <c:v>20.310230529970347</c:v>
                </c:pt>
                <c:pt idx="3">
                  <c:v>20.107010037480052</c:v>
                </c:pt>
                <c:pt idx="4">
                  <c:v>20.013242473836577</c:v>
                </c:pt>
                <c:pt idx="5">
                  <c:v>18.705662267963845</c:v>
                </c:pt>
                <c:pt idx="6">
                  <c:v>17.623826782185159</c:v>
                </c:pt>
                <c:pt idx="7">
                  <c:v>16.934659372438528</c:v>
                </c:pt>
                <c:pt idx="8">
                  <c:v>16.198056967098935</c:v>
                </c:pt>
                <c:pt idx="9">
                  <c:v>15.573124474263835</c:v>
                </c:pt>
                <c:pt idx="10">
                  <c:v>15.02887924505413</c:v>
                </c:pt>
                <c:pt idx="11">
                  <c:v>14.461201810845264</c:v>
                </c:pt>
                <c:pt idx="12">
                  <c:v>14.246031443106366</c:v>
                </c:pt>
                <c:pt idx="13">
                  <c:v>14.042113910453841</c:v>
                </c:pt>
                <c:pt idx="14">
                  <c:v>13.842885688337384</c:v>
                </c:pt>
                <c:pt idx="15">
                  <c:v>13.65145745212153</c:v>
                </c:pt>
                <c:pt idx="16">
                  <c:v>13.467432810591522</c:v>
                </c:pt>
                <c:pt idx="17">
                  <c:v>13.288193012731526</c:v>
                </c:pt>
                <c:pt idx="18">
                  <c:v>13.118197329531625</c:v>
                </c:pt>
                <c:pt idx="19">
                  <c:v>12.954930934473124</c:v>
                </c:pt>
                <c:pt idx="20">
                  <c:v>12.795867871511303</c:v>
                </c:pt>
                <c:pt idx="21">
                  <c:v>12.64272284114476</c:v>
                </c:pt>
                <c:pt idx="22">
                  <c:v>12.498197709901595</c:v>
                </c:pt>
                <c:pt idx="23">
                  <c:v>12.415580306133883</c:v>
                </c:pt>
                <c:pt idx="24">
                  <c:v>12.338469635706955</c:v>
                </c:pt>
                <c:pt idx="25">
                  <c:v>12.26221012137847</c:v>
                </c:pt>
                <c:pt idx="26">
                  <c:v>12.188585662659669</c:v>
                </c:pt>
                <c:pt idx="27">
                  <c:v>12.118251405402331</c:v>
                </c:pt>
                <c:pt idx="28">
                  <c:v>12.050398093846699</c:v>
                </c:pt>
                <c:pt idx="29">
                  <c:v>11.985823738420629</c:v>
                </c:pt>
                <c:pt idx="30">
                  <c:v>11.926010158226896</c:v>
                </c:pt>
                <c:pt idx="31">
                  <c:v>11.864230318303138</c:v>
                </c:pt>
                <c:pt idx="32">
                  <c:v>11.809492287492823</c:v>
                </c:pt>
                <c:pt idx="33">
                  <c:v>11.752828447861814</c:v>
                </c:pt>
                <c:pt idx="34">
                  <c:v>11.700844136115053</c:v>
                </c:pt>
                <c:pt idx="35">
                  <c:v>11.650944165878874</c:v>
                </c:pt>
                <c:pt idx="36">
                  <c:v>11.601195656977401</c:v>
                </c:pt>
                <c:pt idx="37">
                  <c:v>11.555991272319273</c:v>
                </c:pt>
                <c:pt idx="38">
                  <c:v>11.518166669142147</c:v>
                </c:pt>
                <c:pt idx="39">
                  <c:v>11.415530935393443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89-489B-B92D-D131C1A3B2AC}"/>
            </c:ext>
          </c:extLst>
        </c:ser>
        <c:ser>
          <c:idx val="1"/>
          <c:order val="1"/>
          <c:tx>
            <c:strRef>
              <c:f>'Cota per capita e por economia '!$AP$6</c:f>
              <c:strCache>
                <c:ptCount val="1"/>
                <c:pt idx="0">
                  <c:v>Consumido Por Economia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'!$AP$8:$AP$47</c:f>
              <c:numCache>
                <c:formatCode>#,##0.00</c:formatCode>
                <c:ptCount val="40"/>
                <c:pt idx="0">
                  <c:v>12.842403468912199</c:v>
                </c:pt>
                <c:pt idx="1">
                  <c:v>12.717707867353546</c:v>
                </c:pt>
                <c:pt idx="2">
                  <c:v>12.592342928581616</c:v>
                </c:pt>
                <c:pt idx="3">
                  <c:v>12.466346223237633</c:v>
                </c:pt>
                <c:pt idx="4">
                  <c:v>12.348170606357169</c:v>
                </c:pt>
                <c:pt idx="5">
                  <c:v>12.230081171556551</c:v>
                </c:pt>
                <c:pt idx="6">
                  <c:v>12.111747374722576</c:v>
                </c:pt>
                <c:pt idx="7">
                  <c:v>11.999051081049782</c:v>
                </c:pt>
                <c:pt idx="8">
                  <c:v>11.886467512317132</c:v>
                </c:pt>
                <c:pt idx="9">
                  <c:v>11.779380835142883</c:v>
                </c:pt>
                <c:pt idx="10">
                  <c:v>11.672702221603577</c:v>
                </c:pt>
                <c:pt idx="11">
                  <c:v>11.569005110312805</c:v>
                </c:pt>
                <c:pt idx="12">
                  <c:v>11.468375517624146</c:v>
                </c:pt>
                <c:pt idx="13">
                  <c:v>11.37328593735651</c:v>
                </c:pt>
                <c:pt idx="14">
                  <c:v>11.278644389646651</c:v>
                </c:pt>
                <c:pt idx="15">
                  <c:v>11.18715391880065</c:v>
                </c:pt>
                <c:pt idx="16">
                  <c:v>11.098680120107382</c:v>
                </c:pt>
                <c:pt idx="17">
                  <c:v>11.011233429717993</c:v>
                </c:pt>
                <c:pt idx="18">
                  <c:v>10.928668371686905</c:v>
                </c:pt>
                <c:pt idx="19">
                  <c:v>10.849072293789964</c:v>
                </c:pt>
                <c:pt idx="20">
                  <c:v>10.77047361748895</c:v>
                </c:pt>
                <c:pt idx="21">
                  <c:v>10.694440537350113</c:v>
                </c:pt>
                <c:pt idx="22">
                  <c:v>10.62340473782977</c:v>
                </c:pt>
                <c:pt idx="23">
                  <c:v>10.553180363165112</c:v>
                </c:pt>
                <c:pt idx="24">
                  <c:v>10.487636683943133</c:v>
                </c:pt>
                <c:pt idx="25">
                  <c:v>10.422816483092893</c:v>
                </c:pt>
                <c:pt idx="26">
                  <c:v>10.360236066161754</c:v>
                </c:pt>
                <c:pt idx="27">
                  <c:v>10.30045230380477</c:v>
                </c:pt>
                <c:pt idx="28">
                  <c:v>10.242777332725822</c:v>
                </c:pt>
                <c:pt idx="29">
                  <c:v>10.187889457745886</c:v>
                </c:pt>
                <c:pt idx="30">
                  <c:v>10.137048217595456</c:v>
                </c:pt>
                <c:pt idx="31">
                  <c:v>10.084535666635531</c:v>
                </c:pt>
                <c:pt idx="32">
                  <c:v>10.038008617748389</c:v>
                </c:pt>
                <c:pt idx="33">
                  <c:v>9.9898446411197597</c:v>
                </c:pt>
                <c:pt idx="34">
                  <c:v>9.9456582394863595</c:v>
                </c:pt>
                <c:pt idx="35">
                  <c:v>9.9032435175777263</c:v>
                </c:pt>
                <c:pt idx="36">
                  <c:v>9.8609575370362936</c:v>
                </c:pt>
                <c:pt idx="37">
                  <c:v>9.8225340390812743</c:v>
                </c:pt>
                <c:pt idx="38">
                  <c:v>9.7903833179993001</c:v>
                </c:pt>
                <c:pt idx="39">
                  <c:v>9.7031434642632046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189-489B-B92D-D131C1A3B2AC}"/>
            </c:ext>
          </c:extLst>
        </c:ser>
        <c:ser>
          <c:idx val="2"/>
          <c:order val="2"/>
          <c:tx>
            <c:strRef>
              <c:f>'Cota per capita e por economia '!$AQ$6</c:f>
              <c:strCache>
                <c:ptCount val="1"/>
                <c:pt idx="0">
                  <c:v>Medido Por Economia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'!$AQ$8:$AQ$47</c:f>
              <c:numCache>
                <c:formatCode>#,##0.00</c:formatCode>
                <c:ptCount val="40"/>
                <c:pt idx="0">
                  <c:v>11.046538338662703</c:v>
                </c:pt>
                <c:pt idx="1">
                  <c:v>10.939280009128462</c:v>
                </c:pt>
                <c:pt idx="2">
                  <c:v>10.831445941633186</c:v>
                </c:pt>
                <c:pt idx="3">
                  <c:v>10.723068452988112</c:v>
                </c:pt>
                <c:pt idx="4">
                  <c:v>10.673062211297047</c:v>
                </c:pt>
                <c:pt idx="5">
                  <c:v>10.720534226531868</c:v>
                </c:pt>
                <c:pt idx="6">
                  <c:v>10.742376033746789</c:v>
                </c:pt>
                <c:pt idx="7">
                  <c:v>10.88644396028057</c:v>
                </c:pt>
                <c:pt idx="8">
                  <c:v>10.906485065807647</c:v>
                </c:pt>
                <c:pt idx="9">
                  <c:v>10.919744364163519</c:v>
                </c:pt>
                <c:pt idx="10">
                  <c:v>10.921258259350871</c:v>
                </c:pt>
                <c:pt idx="11">
                  <c:v>10.845945019770541</c:v>
                </c:pt>
                <c:pt idx="12">
                  <c:v>10.756073945468827</c:v>
                </c:pt>
                <c:pt idx="13">
                  <c:v>10.671180241833818</c:v>
                </c:pt>
                <c:pt idx="14">
                  <c:v>10.586500105229781</c:v>
                </c:pt>
                <c:pt idx="15">
                  <c:v>10.504581046194573</c:v>
                </c:pt>
                <c:pt idx="16">
                  <c:v>10.425308479577806</c:v>
                </c:pt>
                <c:pt idx="17">
                  <c:v>10.346823779081417</c:v>
                </c:pt>
                <c:pt idx="18">
                  <c:v>10.272758505210325</c:v>
                </c:pt>
                <c:pt idx="19">
                  <c:v>10.201325747066308</c:v>
                </c:pt>
                <c:pt idx="20">
                  <c:v>10.130680223913384</c:v>
                </c:pt>
                <c:pt idx="21">
                  <c:v>10.062304395292875</c:v>
                </c:pt>
                <c:pt idx="22">
                  <c:v>9.998494852334689</c:v>
                </c:pt>
                <c:pt idx="23">
                  <c:v>9.9324013478584181</c:v>
                </c:pt>
                <c:pt idx="24">
                  <c:v>9.8707132021577859</c:v>
                </c:pt>
                <c:pt idx="25">
                  <c:v>9.8097059770239703</c:v>
                </c:pt>
                <c:pt idx="26">
                  <c:v>9.7508067830287697</c:v>
                </c:pt>
                <c:pt idx="27">
                  <c:v>9.6945397335346524</c:v>
                </c:pt>
                <c:pt idx="28">
                  <c:v>9.6402574280334878</c:v>
                </c:pt>
                <c:pt idx="29">
                  <c:v>9.5885982708248552</c:v>
                </c:pt>
                <c:pt idx="30">
                  <c:v>9.540747709684112</c:v>
                </c:pt>
                <c:pt idx="31">
                  <c:v>9.4913241507203754</c:v>
                </c:pt>
                <c:pt idx="32">
                  <c:v>9.4475340033737485</c:v>
                </c:pt>
                <c:pt idx="33">
                  <c:v>9.4022032187266689</c:v>
                </c:pt>
                <c:pt idx="34">
                  <c:v>9.3606160326806069</c:v>
                </c:pt>
                <c:pt idx="35">
                  <c:v>9.3206963092837825</c:v>
                </c:pt>
                <c:pt idx="36">
                  <c:v>9.2808977541874231</c:v>
                </c:pt>
                <c:pt idx="37">
                  <c:v>9.2447344754653109</c:v>
                </c:pt>
                <c:pt idx="38">
                  <c:v>9.2144749845421927</c:v>
                </c:pt>
                <c:pt idx="39">
                  <c:v>9.1323669174935329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189-489B-B92D-D131C1A3B2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31322880"/>
        <c:axId val="-431312000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'Cota per capita e por economia '!$AR$6</c15:sqref>
                        </c15:formulaRef>
                      </c:ext>
                    </c:extLst>
                    <c:strCache>
                      <c:ptCount val="1"/>
                      <c:pt idx="0">
                        <c:v>Disponibilizado Por Ligação</c:v>
                      </c:pt>
                    </c:strCache>
                  </c:strRef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'Cota per capita e por economia '!$AR$8:$AR$47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27.394754044237256</c:v>
                      </c:pt>
                      <c:pt idx="1">
                        <c:v>27.131132520938596</c:v>
                      </c:pt>
                      <c:pt idx="2">
                        <c:v>26.865892785738879</c:v>
                      </c:pt>
                      <c:pt idx="3">
                        <c:v>26.600048218408165</c:v>
                      </c:pt>
                      <c:pt idx="4">
                        <c:v>26.478005404076686</c:v>
                      </c:pt>
                      <c:pt idx="5">
                        <c:v>24.7502003573791</c:v>
                      </c:pt>
                      <c:pt idx="6">
                        <c:v>23.321064044727741</c:v>
                      </c:pt>
                      <c:pt idx="7">
                        <c:v>22.410861206556191</c:v>
                      </c:pt>
                      <c:pt idx="8">
                        <c:v>21.437935715622636</c:v>
                      </c:pt>
                      <c:pt idx="9">
                        <c:v>20.612305357153456</c:v>
                      </c:pt>
                      <c:pt idx="10">
                        <c:v>19.893517406178479</c:v>
                      </c:pt>
                      <c:pt idx="11">
                        <c:v>19.143525864776414</c:v>
                      </c:pt>
                      <c:pt idx="12">
                        <c:v>18.860305282467774</c:v>
                      </c:pt>
                      <c:pt idx="13">
                        <c:v>18.591338238938647</c:v>
                      </c:pt>
                      <c:pt idx="14">
                        <c:v>18.328728986308739</c:v>
                      </c:pt>
                      <c:pt idx="15">
                        <c:v>18.076586231420976</c:v>
                      </c:pt>
                      <c:pt idx="16">
                        <c:v>17.833887766772062</c:v>
                      </c:pt>
                      <c:pt idx="17">
                        <c:v>17.59790836977545</c:v>
                      </c:pt>
                      <c:pt idx="18">
                        <c:v>17.373854084978554</c:v>
                      </c:pt>
                      <c:pt idx="19">
                        <c:v>17.158615021318685</c:v>
                      </c:pt>
                      <c:pt idx="20">
                        <c:v>16.948842997979376</c:v>
                      </c:pt>
                      <c:pt idx="21">
                        <c:v>16.747026011027735</c:v>
                      </c:pt>
                      <c:pt idx="22">
                        <c:v>16.556367788853642</c:v>
                      </c:pt>
                      <c:pt idx="23">
                        <c:v>16.44785877221015</c:v>
                      </c:pt>
                      <c:pt idx="24">
                        <c:v>16.346366214557726</c:v>
                      </c:pt>
                      <c:pt idx="25">
                        <c:v>16.246145620491919</c:v>
                      </c:pt>
                      <c:pt idx="26">
                        <c:v>16.149342161258062</c:v>
                      </c:pt>
                      <c:pt idx="27">
                        <c:v>16.056864336409664</c:v>
                      </c:pt>
                      <c:pt idx="28">
                        <c:v>15.967606688243952</c:v>
                      </c:pt>
                      <c:pt idx="29">
                        <c:v>15.882836499137069</c:v>
                      </c:pt>
                      <c:pt idx="30">
                        <c:v>15.803961164834314</c:v>
                      </c:pt>
                      <c:pt idx="31">
                        <c:v>15.722787581296958</c:v>
                      </c:pt>
                      <c:pt idx="32">
                        <c:v>15.650743195168129</c:v>
                      </c:pt>
                      <c:pt idx="33">
                        <c:v>15.576255175423423</c:v>
                      </c:pt>
                      <c:pt idx="34">
                        <c:v>15.507781630517153</c:v>
                      </c:pt>
                      <c:pt idx="35">
                        <c:v>15.442181277610624</c:v>
                      </c:pt>
                      <c:pt idx="36">
                        <c:v>15.376748507135353</c:v>
                      </c:pt>
                      <c:pt idx="37">
                        <c:v>15.317317822494932</c:v>
                      </c:pt>
                      <c:pt idx="38">
                        <c:v>15.341992947100719</c:v>
                      </c:pt>
                      <c:pt idx="39">
                        <c:v>15.230083761524272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3-1189-489B-B92D-D131C1A3B2AC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'!$AS$6</c15:sqref>
                        </c15:formulaRef>
                      </c:ext>
                    </c:extLst>
                    <c:strCache>
                      <c:ptCount val="1"/>
                      <c:pt idx="0">
                        <c:v> Consumido Por Ligação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'!$AS$8:$AS$47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16.984747507427098</c:v>
                      </c:pt>
                      <c:pt idx="1">
                        <c:v>16.821302162981929</c:v>
                      </c:pt>
                      <c:pt idx="2">
                        <c:v>16.656853527158106</c:v>
                      </c:pt>
                      <c:pt idx="3">
                        <c:v>16.492029895413062</c:v>
                      </c:pt>
                      <c:pt idx="4">
                        <c:v>16.336929334315315</c:v>
                      </c:pt>
                      <c:pt idx="5">
                        <c:v>16.18210331432353</c:v>
                      </c:pt>
                      <c:pt idx="6">
                        <c:v>16.02710011340945</c:v>
                      </c:pt>
                      <c:pt idx="7">
                        <c:v>15.879213302951884</c:v>
                      </c:pt>
                      <c:pt idx="8">
                        <c:v>15.731598359758699</c:v>
                      </c:pt>
                      <c:pt idx="9">
                        <c:v>15.590975021962889</c:v>
                      </c:pt>
                      <c:pt idx="10">
                        <c:v>15.450992787704218</c:v>
                      </c:pt>
                      <c:pt idx="11">
                        <c:v>15.31487849045228</c:v>
                      </c:pt>
                      <c:pt idx="12">
                        <c:v>15.18296967265481</c:v>
                      </c:pt>
                      <c:pt idx="13">
                        <c:v>15.057889937222804</c:v>
                      </c:pt>
                      <c:pt idx="14">
                        <c:v>14.933534886078638</c:v>
                      </c:pt>
                      <c:pt idx="15">
                        <c:v>14.81347711089645</c:v>
                      </c:pt>
                      <c:pt idx="16">
                        <c:v>14.697130359219935</c:v>
                      </c:pt>
                      <c:pt idx="17">
                        <c:v>14.582470073149027</c:v>
                      </c:pt>
                      <c:pt idx="18">
                        <c:v>14.474022982210142</c:v>
                      </c:pt>
                      <c:pt idx="19">
                        <c:v>14.369436299520324</c:v>
                      </c:pt>
                      <c:pt idx="20">
                        <c:v>14.266094976107219</c:v>
                      </c:pt>
                      <c:pt idx="21">
                        <c:v>14.166258020742532</c:v>
                      </c:pt>
                      <c:pt idx="22">
                        <c:v>14.072828746341283</c:v>
                      </c:pt>
                      <c:pt idx="23">
                        <c:v>13.980596631898537</c:v>
                      </c:pt>
                      <c:pt idx="24">
                        <c:v>13.894328472052976</c:v>
                      </c:pt>
                      <c:pt idx="25">
                        <c:v>13.8091414748123</c:v>
                      </c:pt>
                      <c:pt idx="26">
                        <c:v>13.726859024867654</c:v>
                      </c:pt>
                      <c:pt idx="27">
                        <c:v>13.648253342237082</c:v>
                      </c:pt>
                      <c:pt idx="28">
                        <c:v>13.572384793473452</c:v>
                      </c:pt>
                      <c:pt idx="29">
                        <c:v>13.500330562176458</c:v>
                      </c:pt>
                      <c:pt idx="30">
                        <c:v>13.433286927599775</c:v>
                      </c:pt>
                      <c:pt idx="31">
                        <c:v>13.364289792816558</c:v>
                      </c:pt>
                      <c:pt idx="32">
                        <c:v>13.303052429582282</c:v>
                      </c:pt>
                      <c:pt idx="33">
                        <c:v>13.239737990153904</c:v>
                      </c:pt>
                      <c:pt idx="34">
                        <c:v>13.181535823869002</c:v>
                      </c:pt>
                      <c:pt idx="35">
                        <c:v>13.125775856228355</c:v>
                      </c:pt>
                      <c:pt idx="36">
                        <c:v>13.070158332805308</c:v>
                      </c:pt>
                      <c:pt idx="37">
                        <c:v>13.019642551935453</c:v>
                      </c:pt>
                      <c:pt idx="38">
                        <c:v>13.040616282846749</c:v>
                      </c:pt>
                      <c:pt idx="39">
                        <c:v>12.945494042036168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189-489B-B92D-D131C1A3B2AC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'!$AT$6</c15:sqref>
                        </c15:formulaRef>
                      </c:ext>
                    </c:extLst>
                    <c:strCache>
                      <c:ptCount val="1"/>
                      <c:pt idx="0">
                        <c:v> Medido Por Ligação</c:v>
                      </c:pt>
                    </c:strCache>
                  </c:strRef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'!$AT$8:$AT$47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14.609622331791728</c:v>
                      </c:pt>
                      <c:pt idx="1">
                        <c:v>14.469032973416553</c:v>
                      </c:pt>
                      <c:pt idx="2">
                        <c:v>14.327580622634544</c:v>
                      </c:pt>
                      <c:pt idx="3">
                        <c:v>14.185805714877075</c:v>
                      </c:pt>
                      <c:pt idx="4">
                        <c:v>14.120720281994096</c:v>
                      </c:pt>
                      <c:pt idx="5">
                        <c:v>14.184762145483038</c:v>
                      </c:pt>
                      <c:pt idx="6">
                        <c:v>14.215053437134104</c:v>
                      </c:pt>
                      <c:pt idx="7">
                        <c:v>14.40681972168114</c:v>
                      </c:pt>
                      <c:pt idx="8">
                        <c:v>14.43460324896353</c:v>
                      </c:pt>
                      <c:pt idx="9">
                        <c:v>14.453175766248018</c:v>
                      </c:pt>
                      <c:pt idx="10">
                        <c:v>14.456316917395295</c:v>
                      </c:pt>
                      <c:pt idx="11">
                        <c:v>14.357702197213458</c:v>
                      </c:pt>
                      <c:pt idx="12">
                        <c:v>14.239954408531419</c:v>
                      </c:pt>
                      <c:pt idx="13">
                        <c:v>14.12832302527587</c:v>
                      </c:pt>
                      <c:pt idx="14">
                        <c:v>14.017098436763199</c:v>
                      </c:pt>
                      <c:pt idx="15">
                        <c:v>13.909647799325402</c:v>
                      </c:pt>
                      <c:pt idx="16">
                        <c:v>13.80543597088133</c:v>
                      </c:pt>
                      <c:pt idx="17">
                        <c:v>13.702574654660257</c:v>
                      </c:pt>
                      <c:pt idx="18">
                        <c:v>13.605330277961214</c:v>
                      </c:pt>
                      <c:pt idx="19">
                        <c:v>13.511505548454391</c:v>
                      </c:pt>
                      <c:pt idx="20">
                        <c:v>13.418652826208252</c:v>
                      </c:pt>
                      <c:pt idx="21">
                        <c:v>13.328906720191146</c:v>
                      </c:pt>
                      <c:pt idx="22">
                        <c:v>13.2450103568986</c:v>
                      </c:pt>
                      <c:pt idx="23">
                        <c:v>13.158203693288028</c:v>
                      </c:pt>
                      <c:pt idx="24">
                        <c:v>13.077010161325088</c:v>
                      </c:pt>
                      <c:pt idx="25">
                        <c:v>12.996834193787704</c:v>
                      </c:pt>
                      <c:pt idx="26">
                        <c:v>12.91939191680475</c:v>
                      </c:pt>
                      <c:pt idx="27">
                        <c:v>12.845410125416597</c:v>
                      </c:pt>
                      <c:pt idx="28">
                        <c:v>12.774004459061253</c:v>
                      </c:pt>
                      <c:pt idx="29">
                        <c:v>12.706188737219605</c:v>
                      </c:pt>
                      <c:pt idx="30">
                        <c:v>12.643088869358058</c:v>
                      </c:pt>
                      <c:pt idx="31">
                        <c:v>12.578150413751709</c:v>
                      </c:pt>
                      <c:pt idx="32">
                        <c:v>12.520515269823875</c:v>
                      </c:pt>
                      <c:pt idx="33">
                        <c:v>12.460925231382731</c:v>
                      </c:pt>
                      <c:pt idx="34">
                        <c:v>12.406146742343143</c:v>
                      </c:pt>
                      <c:pt idx="35">
                        <c:v>12.353666792347823</c:v>
                      </c:pt>
                      <c:pt idx="36">
                        <c:v>12.30132090744854</c:v>
                      </c:pt>
                      <c:pt idx="37">
                        <c:v>12.253776660810706</c:v>
                      </c:pt>
                      <c:pt idx="38">
                        <c:v>12.273516635491713</c:v>
                      </c:pt>
                      <c:pt idx="39">
                        <c:v>12.183989853959954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189-489B-B92D-D131C1A3B2AC}"/>
                  </c:ext>
                </c:extLst>
              </c15:ser>
            </c15:filteredScatterSeries>
          </c:ext>
        </c:extLst>
      </c:scatterChart>
      <c:valAx>
        <c:axId val="-431322880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2000"/>
        <c:crosses val="autoZero"/>
        <c:crossBetween val="midCat"/>
        <c:majorUnit val="2"/>
      </c:valAx>
      <c:valAx>
        <c:axId val="-431312000"/>
        <c:scaling>
          <c:orientation val="minMax"/>
          <c:max val="28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2880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Volumes Anuais em m³/ano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'Cota per capita e por economia '!$AU$6</c:f>
              <c:strCache>
                <c:ptCount val="1"/>
                <c:pt idx="0">
                  <c:v>Vol Disponibilizado Total 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'!$AU$8:$AU$47</c:f>
              <c:numCache>
                <c:formatCode>#,##0.00</c:formatCode>
                <c:ptCount val="40"/>
                <c:pt idx="0">
                  <c:v>4178595.273177159</c:v>
                </c:pt>
                <c:pt idx="1">
                  <c:v>4240552.4669606127</c:v>
                </c:pt>
                <c:pt idx="2">
                  <c:v>4300049.7310031746</c:v>
                </c:pt>
                <c:pt idx="3">
                  <c:v>4356272.1014224449</c:v>
                </c:pt>
                <c:pt idx="4">
                  <c:v>4434517.3050425947</c:v>
                </c:pt>
                <c:pt idx="5">
                  <c:v>4236154.2094654506</c:v>
                </c:pt>
                <c:pt idx="6">
                  <c:v>4203084.7636928651</c:v>
                </c:pt>
                <c:pt idx="7">
                  <c:v>4147408.7579611936</c:v>
                </c:pt>
                <c:pt idx="8">
                  <c:v>4046695.3685329794</c:v>
                </c:pt>
                <c:pt idx="9">
                  <c:v>3966184.7721387246</c:v>
                </c:pt>
                <c:pt idx="10">
                  <c:v>3899689.1478280565</c:v>
                </c:pt>
                <c:pt idx="11">
                  <c:v>3820710.0903302841</c:v>
                </c:pt>
                <c:pt idx="12">
                  <c:v>3829879.4016916621</c:v>
                </c:pt>
                <c:pt idx="13">
                  <c:v>3839478.3843035423</c:v>
                </c:pt>
                <c:pt idx="14">
                  <c:v>3847147.6169552729</c:v>
                </c:pt>
                <c:pt idx="15">
                  <c:v>3854002.2408932243</c:v>
                </c:pt>
                <c:pt idx="16">
                  <c:v>3860362.6434703656</c:v>
                </c:pt>
                <c:pt idx="17">
                  <c:v>3864924.6372478735</c:v>
                </c:pt>
                <c:pt idx="18">
                  <c:v>3869566.5788991521</c:v>
                </c:pt>
                <c:pt idx="19">
                  <c:v>3873665.5390541703</c:v>
                </c:pt>
                <c:pt idx="20">
                  <c:v>3876556.2272812673</c:v>
                </c:pt>
                <c:pt idx="21">
                  <c:v>3878685.3522409829</c:v>
                </c:pt>
                <c:pt idx="22">
                  <c:v>3881141.3926767348</c:v>
                </c:pt>
                <c:pt idx="23">
                  <c:v>3900493.3466380183</c:v>
                </c:pt>
                <c:pt idx="24">
                  <c:v>3920110.2064542584</c:v>
                </c:pt>
                <c:pt idx="25">
                  <c:v>3937977.5133319283</c:v>
                </c:pt>
                <c:pt idx="26">
                  <c:v>3955000.297843405</c:v>
                </c:pt>
                <c:pt idx="27">
                  <c:v>3971295.9966552975</c:v>
                </c:pt>
                <c:pt idx="28">
                  <c:v>3986799.5309412964</c:v>
                </c:pt>
                <c:pt idx="29">
                  <c:v>4001682.3231169749</c:v>
                </c:pt>
                <c:pt idx="30">
                  <c:v>4016931.7183679785</c:v>
                </c:pt>
                <c:pt idx="31">
                  <c:v>4029616.1409048219</c:v>
                </c:pt>
                <c:pt idx="32">
                  <c:v>4043406.2737707412</c:v>
                </c:pt>
                <c:pt idx="33">
                  <c:v>4055011.4153881422</c:v>
                </c:pt>
                <c:pt idx="34">
                  <c:v>4066886.1306655956</c:v>
                </c:pt>
                <c:pt idx="35">
                  <c:v>4078189.3469221331</c:v>
                </c:pt>
                <c:pt idx="36">
                  <c:v>4088148.0989102805</c:v>
                </c:pt>
                <c:pt idx="37">
                  <c:v>4098494.6183294398</c:v>
                </c:pt>
                <c:pt idx="38">
                  <c:v>4108391.8328829738</c:v>
                </c:pt>
                <c:pt idx="39">
                  <c:v>4098618.580956385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DF-498E-BB06-AC5DF0535120}"/>
            </c:ext>
          </c:extLst>
        </c:ser>
        <c:ser>
          <c:idx val="6"/>
          <c:order val="1"/>
          <c:tx>
            <c:strRef>
              <c:f>'Cota per capita e por economia '!$AV$6</c:f>
              <c:strCache>
                <c:ptCount val="1"/>
                <c:pt idx="0">
                  <c:v>Vol Consumido Total 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'!$AV$8:$AV$47</c:f>
              <c:numCache>
                <c:formatCode>#,##0.00</c:formatCode>
                <c:ptCount val="40"/>
                <c:pt idx="0">
                  <c:v>2590729.0693698386</c:v>
                </c:pt>
                <c:pt idx="1">
                  <c:v>2629142.5295155793</c:v>
                </c:pt>
                <c:pt idx="2">
                  <c:v>2666030.8332219683</c:v>
                </c:pt>
                <c:pt idx="3">
                  <c:v>2700888.7028819164</c:v>
                </c:pt>
                <c:pt idx="4">
                  <c:v>2736097.1772112814</c:v>
                </c:pt>
                <c:pt idx="5">
                  <c:v>2769669.9050171031</c:v>
                </c:pt>
                <c:pt idx="6">
                  <c:v>2888515.7282555667</c:v>
                </c:pt>
                <c:pt idx="7">
                  <c:v>2938646.0303868293</c:v>
                </c:pt>
                <c:pt idx="8">
                  <c:v>2969548.3308901042</c:v>
                </c:pt>
                <c:pt idx="9">
                  <c:v>2999988.9213480982</c:v>
                </c:pt>
                <c:pt idx="10">
                  <c:v>3028829.3250074596</c:v>
                </c:pt>
                <c:pt idx="11">
                  <c:v>3056579.6078514955</c:v>
                </c:pt>
                <c:pt idx="12">
                  <c:v>3083139.0019897576</c:v>
                </c:pt>
                <c:pt idx="13">
                  <c:v>3109751.5511873835</c:v>
                </c:pt>
                <c:pt idx="14">
                  <c:v>3134506.1183790322</c:v>
                </c:pt>
                <c:pt idx="15">
                  <c:v>3158294.0080566052</c:v>
                </c:pt>
                <c:pt idx="16">
                  <c:v>3181373.2230981798</c:v>
                </c:pt>
                <c:pt idx="17">
                  <c:v>3202661.741007953</c:v>
                </c:pt>
                <c:pt idx="18">
                  <c:v>3223705.881276126</c:v>
                </c:pt>
                <c:pt idx="19">
                  <c:v>3243990.8547355561</c:v>
                </c:pt>
                <c:pt idx="20">
                  <c:v>3262955.4315422978</c:v>
                </c:pt>
                <c:pt idx="21">
                  <c:v>3280968.0623257379</c:v>
                </c:pt>
                <c:pt idx="22">
                  <c:v>3298950.5220008148</c:v>
                </c:pt>
                <c:pt idx="23">
                  <c:v>3315399.5848313458</c:v>
                </c:pt>
                <c:pt idx="24">
                  <c:v>3332073.8162965821</c:v>
                </c:pt>
                <c:pt idx="25">
                  <c:v>3347260.9366272292</c:v>
                </c:pt>
                <c:pt idx="26">
                  <c:v>3361730.2172249439</c:v>
                </c:pt>
                <c:pt idx="27">
                  <c:v>3375581.4786614105</c:v>
                </c:pt>
                <c:pt idx="28">
                  <c:v>3388759.4042639565</c:v>
                </c:pt>
                <c:pt idx="29">
                  <c:v>3401409.7022173945</c:v>
                </c:pt>
                <c:pt idx="30">
                  <c:v>3414371.6109276572</c:v>
                </c:pt>
                <c:pt idx="31">
                  <c:v>3425153.3058249764</c:v>
                </c:pt>
                <c:pt idx="32">
                  <c:v>3436874.8489005072</c:v>
                </c:pt>
                <c:pt idx="33">
                  <c:v>3446739.1604839135</c:v>
                </c:pt>
                <c:pt idx="34">
                  <c:v>3456832.6083127102</c:v>
                </c:pt>
                <c:pt idx="35">
                  <c:v>3466440.2848689295</c:v>
                </c:pt>
                <c:pt idx="36">
                  <c:v>3474905.1736080428</c:v>
                </c:pt>
                <c:pt idx="37">
                  <c:v>3483699.662699095</c:v>
                </c:pt>
                <c:pt idx="38">
                  <c:v>3492112.2449305346</c:v>
                </c:pt>
                <c:pt idx="39">
                  <c:v>3483805.0303040063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FDF-498E-BB06-AC5DF0535120}"/>
            </c:ext>
          </c:extLst>
        </c:ser>
        <c:ser>
          <c:idx val="4"/>
          <c:order val="2"/>
          <c:tx>
            <c:strRef>
              <c:f>'Cota per capita e por economia '!$AW$6</c:f>
              <c:strCache>
                <c:ptCount val="1"/>
                <c:pt idx="0">
                  <c:v>Vol Medido Total 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'!$AW$8:$AW$47</c:f>
              <c:numCache>
                <c:formatCode>#,##0.00</c:formatCode>
                <c:ptCount val="40"/>
                <c:pt idx="0">
                  <c:v>2228444.859185379</c:v>
                </c:pt>
                <c:pt idx="1">
                  <c:v>2261486.6306300946</c:v>
                </c:pt>
                <c:pt idx="2">
                  <c:v>2293216.5215439927</c:v>
                </c:pt>
                <c:pt idx="3">
                  <c:v>2323199.9116885904</c:v>
                </c:pt>
                <c:pt idx="4">
                  <c:v>2364928.0787792164</c:v>
                </c:pt>
                <c:pt idx="5">
                  <c:v>2427812.2603132408</c:v>
                </c:pt>
                <c:pt idx="6">
                  <c:v>2561936.0421166308</c:v>
                </c:pt>
                <c:pt idx="7">
                  <c:v>2666161.2749887789</c:v>
                </c:pt>
                <c:pt idx="8">
                  <c:v>2724723.2610938591</c:v>
                </c:pt>
                <c:pt idx="9">
                  <c:v>2781055.5219260403</c:v>
                </c:pt>
                <c:pt idx="10">
                  <c:v>2833844.8676160569</c:v>
                </c:pt>
                <c:pt idx="11">
                  <c:v>2865544.103334981</c:v>
                </c:pt>
                <c:pt idx="12">
                  <c:v>2891645.0319051743</c:v>
                </c:pt>
                <c:pt idx="13">
                  <c:v>2917777.6319722068</c:v>
                </c:pt>
                <c:pt idx="14">
                  <c:v>2942148.7375312685</c:v>
                </c:pt>
                <c:pt idx="15">
                  <c:v>2965593.8960119439</c:v>
                </c:pt>
                <c:pt idx="16">
                  <c:v>2988355.0909246616</c:v>
                </c:pt>
                <c:pt idx="17">
                  <c:v>3009415.5091455597</c:v>
                </c:pt>
                <c:pt idx="18">
                  <c:v>3030227.5523311682</c:v>
                </c:pt>
                <c:pt idx="19">
                  <c:v>3050307.5777828475</c:v>
                </c:pt>
                <c:pt idx="20">
                  <c:v>3069127.6201782338</c:v>
                </c:pt>
                <c:pt idx="21">
                  <c:v>3087033.794713689</c:v>
                </c:pt>
                <c:pt idx="22">
                  <c:v>3104893.4523669779</c:v>
                </c:pt>
                <c:pt idx="23">
                  <c:v>3120374.9174994449</c:v>
                </c:pt>
                <c:pt idx="24">
                  <c:v>3136068.3059738693</c:v>
                </c:pt>
                <c:pt idx="25">
                  <c:v>3150362.0609606337</c:v>
                </c:pt>
                <c:pt idx="26">
                  <c:v>3163980.2023327732</c:v>
                </c:pt>
                <c:pt idx="27">
                  <c:v>3177016.678828646</c:v>
                </c:pt>
                <c:pt idx="28">
                  <c:v>3189419.4277168913</c:v>
                </c:pt>
                <c:pt idx="29">
                  <c:v>3201325.5860615466</c:v>
                </c:pt>
                <c:pt idx="30">
                  <c:v>3213525.0250092587</c:v>
                </c:pt>
                <c:pt idx="31">
                  <c:v>3223672.4987797355</c:v>
                </c:pt>
                <c:pt idx="32">
                  <c:v>3234704.5352119706</c:v>
                </c:pt>
                <c:pt idx="33">
                  <c:v>3243988.5897145062</c:v>
                </c:pt>
                <c:pt idx="34">
                  <c:v>3253488.3017794304</c:v>
                </c:pt>
                <c:pt idx="35">
                  <c:v>3262530.8175228224</c:v>
                </c:pt>
                <c:pt idx="36">
                  <c:v>3270497.7686625281</c:v>
                </c:pt>
                <c:pt idx="37">
                  <c:v>3278774.9317826228</c:v>
                </c:pt>
                <c:pt idx="38">
                  <c:v>3286692.6532863853</c:v>
                </c:pt>
                <c:pt idx="39">
                  <c:v>3278874.101256188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FDF-498E-BB06-AC5DF0535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7234464"/>
        <c:axId val="-747231200"/>
        <c:extLst/>
      </c:scatterChart>
      <c:valAx>
        <c:axId val="-747234464"/>
        <c:scaling>
          <c:orientation val="minMax"/>
          <c:max val="2063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31200"/>
        <c:crosses val="autoZero"/>
        <c:crossBetween val="midCat"/>
        <c:majorUnit val="2"/>
      </c:valAx>
      <c:valAx>
        <c:axId val="-747231200"/>
        <c:scaling>
          <c:orientation val="minMax"/>
          <c:min val="2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34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Volumes Mensais por Ligação m³/mês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3"/>
          <c:tx>
            <c:strRef>
              <c:f>'Cota per capita e por economia '!$AR$6</c:f>
              <c:strCache>
                <c:ptCount val="1"/>
                <c:pt idx="0">
                  <c:v>Disponibilizado Por Ligação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'!$AR$8:$AR$47</c:f>
              <c:numCache>
                <c:formatCode>#,##0.00</c:formatCode>
                <c:ptCount val="40"/>
                <c:pt idx="0">
                  <c:v>27.394754044237256</c:v>
                </c:pt>
                <c:pt idx="1">
                  <c:v>27.131132520938596</c:v>
                </c:pt>
                <c:pt idx="2">
                  <c:v>26.865892785738879</c:v>
                </c:pt>
                <c:pt idx="3">
                  <c:v>26.600048218408165</c:v>
                </c:pt>
                <c:pt idx="4">
                  <c:v>26.478005404076686</c:v>
                </c:pt>
                <c:pt idx="5">
                  <c:v>24.7502003573791</c:v>
                </c:pt>
                <c:pt idx="6">
                  <c:v>23.321064044727741</c:v>
                </c:pt>
                <c:pt idx="7">
                  <c:v>22.410861206556191</c:v>
                </c:pt>
                <c:pt idx="8">
                  <c:v>21.437935715622636</c:v>
                </c:pt>
                <c:pt idx="9">
                  <c:v>20.612305357153456</c:v>
                </c:pt>
                <c:pt idx="10">
                  <c:v>19.893517406178479</c:v>
                </c:pt>
                <c:pt idx="11">
                  <c:v>19.143525864776414</c:v>
                </c:pt>
                <c:pt idx="12">
                  <c:v>18.860305282467774</c:v>
                </c:pt>
                <c:pt idx="13">
                  <c:v>18.591338238938647</c:v>
                </c:pt>
                <c:pt idx="14">
                  <c:v>18.328728986308739</c:v>
                </c:pt>
                <c:pt idx="15">
                  <c:v>18.076586231420976</c:v>
                </c:pt>
                <c:pt idx="16">
                  <c:v>17.833887766772062</c:v>
                </c:pt>
                <c:pt idx="17">
                  <c:v>17.59790836977545</c:v>
                </c:pt>
                <c:pt idx="18">
                  <c:v>17.373854084978554</c:v>
                </c:pt>
                <c:pt idx="19">
                  <c:v>17.158615021318685</c:v>
                </c:pt>
                <c:pt idx="20">
                  <c:v>16.948842997979376</c:v>
                </c:pt>
                <c:pt idx="21">
                  <c:v>16.747026011027735</c:v>
                </c:pt>
                <c:pt idx="22">
                  <c:v>16.556367788853642</c:v>
                </c:pt>
                <c:pt idx="23">
                  <c:v>16.44785877221015</c:v>
                </c:pt>
                <c:pt idx="24">
                  <c:v>16.346366214557726</c:v>
                </c:pt>
                <c:pt idx="25">
                  <c:v>16.246145620491919</c:v>
                </c:pt>
                <c:pt idx="26">
                  <c:v>16.149342161258062</c:v>
                </c:pt>
                <c:pt idx="27">
                  <c:v>16.056864336409664</c:v>
                </c:pt>
                <c:pt idx="28">
                  <c:v>15.967606688243952</c:v>
                </c:pt>
                <c:pt idx="29">
                  <c:v>15.882836499137069</c:v>
                </c:pt>
                <c:pt idx="30">
                  <c:v>15.803961164834314</c:v>
                </c:pt>
                <c:pt idx="31">
                  <c:v>15.722787581296958</c:v>
                </c:pt>
                <c:pt idx="32">
                  <c:v>15.650743195168129</c:v>
                </c:pt>
                <c:pt idx="33">
                  <c:v>15.576255175423423</c:v>
                </c:pt>
                <c:pt idx="34">
                  <c:v>15.507781630517153</c:v>
                </c:pt>
                <c:pt idx="35">
                  <c:v>15.442181277610624</c:v>
                </c:pt>
                <c:pt idx="36">
                  <c:v>15.376748507135353</c:v>
                </c:pt>
                <c:pt idx="37">
                  <c:v>15.317317822494932</c:v>
                </c:pt>
                <c:pt idx="38">
                  <c:v>15.341992947100719</c:v>
                </c:pt>
                <c:pt idx="39">
                  <c:v>15.230083761524272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EDDD-4527-9783-8A87A972052F}"/>
            </c:ext>
          </c:extLst>
        </c:ser>
        <c:ser>
          <c:idx val="4"/>
          <c:order val="4"/>
          <c:tx>
            <c:strRef>
              <c:f>'Cota per capita e por economia '!$AS$6</c:f>
              <c:strCache>
                <c:ptCount val="1"/>
                <c:pt idx="0">
                  <c:v> Consumido Por Ligação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'!$AS$8:$AS$47</c:f>
              <c:numCache>
                <c:formatCode>#,##0.00</c:formatCode>
                <c:ptCount val="40"/>
                <c:pt idx="0">
                  <c:v>16.984747507427098</c:v>
                </c:pt>
                <c:pt idx="1">
                  <c:v>16.821302162981929</c:v>
                </c:pt>
                <c:pt idx="2">
                  <c:v>16.656853527158106</c:v>
                </c:pt>
                <c:pt idx="3">
                  <c:v>16.492029895413062</c:v>
                </c:pt>
                <c:pt idx="4">
                  <c:v>16.336929334315315</c:v>
                </c:pt>
                <c:pt idx="5">
                  <c:v>16.18210331432353</c:v>
                </c:pt>
                <c:pt idx="6">
                  <c:v>16.02710011340945</c:v>
                </c:pt>
                <c:pt idx="7">
                  <c:v>15.879213302951884</c:v>
                </c:pt>
                <c:pt idx="8">
                  <c:v>15.731598359758699</c:v>
                </c:pt>
                <c:pt idx="9">
                  <c:v>15.590975021962889</c:v>
                </c:pt>
                <c:pt idx="10">
                  <c:v>15.450992787704218</c:v>
                </c:pt>
                <c:pt idx="11">
                  <c:v>15.31487849045228</c:v>
                </c:pt>
                <c:pt idx="12">
                  <c:v>15.18296967265481</c:v>
                </c:pt>
                <c:pt idx="13">
                  <c:v>15.057889937222804</c:v>
                </c:pt>
                <c:pt idx="14">
                  <c:v>14.933534886078638</c:v>
                </c:pt>
                <c:pt idx="15">
                  <c:v>14.81347711089645</c:v>
                </c:pt>
                <c:pt idx="16">
                  <c:v>14.697130359219935</c:v>
                </c:pt>
                <c:pt idx="17">
                  <c:v>14.582470073149027</c:v>
                </c:pt>
                <c:pt idx="18">
                  <c:v>14.474022982210142</c:v>
                </c:pt>
                <c:pt idx="19">
                  <c:v>14.369436299520324</c:v>
                </c:pt>
                <c:pt idx="20">
                  <c:v>14.266094976107219</c:v>
                </c:pt>
                <c:pt idx="21">
                  <c:v>14.166258020742532</c:v>
                </c:pt>
                <c:pt idx="22">
                  <c:v>14.072828746341283</c:v>
                </c:pt>
                <c:pt idx="23">
                  <c:v>13.980596631898537</c:v>
                </c:pt>
                <c:pt idx="24">
                  <c:v>13.894328472052976</c:v>
                </c:pt>
                <c:pt idx="25">
                  <c:v>13.8091414748123</c:v>
                </c:pt>
                <c:pt idx="26">
                  <c:v>13.726859024867654</c:v>
                </c:pt>
                <c:pt idx="27">
                  <c:v>13.648253342237082</c:v>
                </c:pt>
                <c:pt idx="28">
                  <c:v>13.572384793473452</c:v>
                </c:pt>
                <c:pt idx="29">
                  <c:v>13.500330562176458</c:v>
                </c:pt>
                <c:pt idx="30">
                  <c:v>13.433286927599775</c:v>
                </c:pt>
                <c:pt idx="31">
                  <c:v>13.364289792816558</c:v>
                </c:pt>
                <c:pt idx="32">
                  <c:v>13.303052429582282</c:v>
                </c:pt>
                <c:pt idx="33">
                  <c:v>13.239737990153904</c:v>
                </c:pt>
                <c:pt idx="34">
                  <c:v>13.181535823869002</c:v>
                </c:pt>
                <c:pt idx="35">
                  <c:v>13.125775856228355</c:v>
                </c:pt>
                <c:pt idx="36">
                  <c:v>13.070158332805308</c:v>
                </c:pt>
                <c:pt idx="37">
                  <c:v>13.019642551935453</c:v>
                </c:pt>
                <c:pt idx="38">
                  <c:v>13.040616282846749</c:v>
                </c:pt>
                <c:pt idx="39">
                  <c:v>12.945494042036168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EDDD-4527-9783-8A87A972052F}"/>
            </c:ext>
          </c:extLst>
        </c:ser>
        <c:ser>
          <c:idx val="5"/>
          <c:order val="5"/>
          <c:tx>
            <c:strRef>
              <c:f>'Cota per capita e por economia '!$AT$6</c:f>
              <c:strCache>
                <c:ptCount val="1"/>
                <c:pt idx="0">
                  <c:v> Medido Por Ligação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'Cota per capita e por economia '!$M$8:$M$47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'Cota per capita e por economia '!$AT$8:$AT$47</c:f>
              <c:numCache>
                <c:formatCode>#,##0.00</c:formatCode>
                <c:ptCount val="40"/>
                <c:pt idx="0">
                  <c:v>14.609622331791728</c:v>
                </c:pt>
                <c:pt idx="1">
                  <c:v>14.469032973416553</c:v>
                </c:pt>
                <c:pt idx="2">
                  <c:v>14.327580622634544</c:v>
                </c:pt>
                <c:pt idx="3">
                  <c:v>14.185805714877075</c:v>
                </c:pt>
                <c:pt idx="4">
                  <c:v>14.120720281994096</c:v>
                </c:pt>
                <c:pt idx="5">
                  <c:v>14.184762145483038</c:v>
                </c:pt>
                <c:pt idx="6">
                  <c:v>14.215053437134104</c:v>
                </c:pt>
                <c:pt idx="7">
                  <c:v>14.40681972168114</c:v>
                </c:pt>
                <c:pt idx="8">
                  <c:v>14.43460324896353</c:v>
                </c:pt>
                <c:pt idx="9">
                  <c:v>14.453175766248018</c:v>
                </c:pt>
                <c:pt idx="10">
                  <c:v>14.456316917395295</c:v>
                </c:pt>
                <c:pt idx="11">
                  <c:v>14.357702197213458</c:v>
                </c:pt>
                <c:pt idx="12">
                  <c:v>14.239954408531419</c:v>
                </c:pt>
                <c:pt idx="13">
                  <c:v>14.12832302527587</c:v>
                </c:pt>
                <c:pt idx="14">
                  <c:v>14.017098436763199</c:v>
                </c:pt>
                <c:pt idx="15">
                  <c:v>13.909647799325402</c:v>
                </c:pt>
                <c:pt idx="16">
                  <c:v>13.80543597088133</c:v>
                </c:pt>
                <c:pt idx="17">
                  <c:v>13.702574654660257</c:v>
                </c:pt>
                <c:pt idx="18">
                  <c:v>13.605330277961214</c:v>
                </c:pt>
                <c:pt idx="19">
                  <c:v>13.511505548454391</c:v>
                </c:pt>
                <c:pt idx="20">
                  <c:v>13.418652826208252</c:v>
                </c:pt>
                <c:pt idx="21">
                  <c:v>13.328906720191146</c:v>
                </c:pt>
                <c:pt idx="22">
                  <c:v>13.2450103568986</c:v>
                </c:pt>
                <c:pt idx="23">
                  <c:v>13.158203693288028</c:v>
                </c:pt>
                <c:pt idx="24">
                  <c:v>13.077010161325088</c:v>
                </c:pt>
                <c:pt idx="25">
                  <c:v>12.996834193787704</c:v>
                </c:pt>
                <c:pt idx="26">
                  <c:v>12.91939191680475</c:v>
                </c:pt>
                <c:pt idx="27">
                  <c:v>12.845410125416597</c:v>
                </c:pt>
                <c:pt idx="28">
                  <c:v>12.774004459061253</c:v>
                </c:pt>
                <c:pt idx="29">
                  <c:v>12.706188737219605</c:v>
                </c:pt>
                <c:pt idx="30">
                  <c:v>12.643088869358058</c:v>
                </c:pt>
                <c:pt idx="31">
                  <c:v>12.578150413751709</c:v>
                </c:pt>
                <c:pt idx="32">
                  <c:v>12.520515269823875</c:v>
                </c:pt>
                <c:pt idx="33">
                  <c:v>12.460925231382731</c:v>
                </c:pt>
                <c:pt idx="34">
                  <c:v>12.406146742343143</c:v>
                </c:pt>
                <c:pt idx="35">
                  <c:v>12.353666792347823</c:v>
                </c:pt>
                <c:pt idx="36">
                  <c:v>12.30132090744854</c:v>
                </c:pt>
                <c:pt idx="37">
                  <c:v>12.253776660810706</c:v>
                </c:pt>
                <c:pt idx="38">
                  <c:v>12.273516635491713</c:v>
                </c:pt>
                <c:pt idx="39">
                  <c:v>12.183989853959954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DDD-4527-9783-8A87A9720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31322880"/>
        <c:axId val="-43131200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'Cota per capita e por economia '!$AO$6</c15:sqref>
                        </c15:formulaRef>
                      </c:ext>
                    </c:extLst>
                    <c:strCache>
                      <c:ptCount val="1"/>
                      <c:pt idx="0">
                        <c:v>Disponibilizado Por Economia 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'Cota per capita e por economia '!$AO$8:$AO$47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20.713553982116451</c:v>
                      </c:pt>
                      <c:pt idx="1">
                        <c:v>20.512432044118622</c:v>
                      </c:pt>
                      <c:pt idx="2">
                        <c:v>20.310230529970347</c:v>
                      </c:pt>
                      <c:pt idx="3">
                        <c:v>20.107010037480052</c:v>
                      </c:pt>
                      <c:pt idx="4">
                        <c:v>20.013242473836577</c:v>
                      </c:pt>
                      <c:pt idx="5">
                        <c:v>18.705662267963845</c:v>
                      </c:pt>
                      <c:pt idx="6">
                        <c:v>17.623826782185159</c:v>
                      </c:pt>
                      <c:pt idx="7">
                        <c:v>16.934659372438528</c:v>
                      </c:pt>
                      <c:pt idx="8">
                        <c:v>16.198056967098935</c:v>
                      </c:pt>
                      <c:pt idx="9">
                        <c:v>15.573124474263835</c:v>
                      </c:pt>
                      <c:pt idx="10">
                        <c:v>15.02887924505413</c:v>
                      </c:pt>
                      <c:pt idx="11">
                        <c:v>14.461201810845264</c:v>
                      </c:pt>
                      <c:pt idx="12">
                        <c:v>14.246031443106366</c:v>
                      </c:pt>
                      <c:pt idx="13">
                        <c:v>14.042113910453841</c:v>
                      </c:pt>
                      <c:pt idx="14">
                        <c:v>13.842885688337384</c:v>
                      </c:pt>
                      <c:pt idx="15">
                        <c:v>13.65145745212153</c:v>
                      </c:pt>
                      <c:pt idx="16">
                        <c:v>13.467432810591522</c:v>
                      </c:pt>
                      <c:pt idx="17">
                        <c:v>13.288193012731526</c:v>
                      </c:pt>
                      <c:pt idx="18">
                        <c:v>13.118197329531625</c:v>
                      </c:pt>
                      <c:pt idx="19">
                        <c:v>12.954930934473124</c:v>
                      </c:pt>
                      <c:pt idx="20">
                        <c:v>12.795867871511303</c:v>
                      </c:pt>
                      <c:pt idx="21">
                        <c:v>12.64272284114476</c:v>
                      </c:pt>
                      <c:pt idx="22">
                        <c:v>12.498197709901595</c:v>
                      </c:pt>
                      <c:pt idx="23">
                        <c:v>12.415580306133883</c:v>
                      </c:pt>
                      <c:pt idx="24">
                        <c:v>12.338469635706955</c:v>
                      </c:pt>
                      <c:pt idx="25">
                        <c:v>12.26221012137847</c:v>
                      </c:pt>
                      <c:pt idx="26">
                        <c:v>12.188585662659669</c:v>
                      </c:pt>
                      <c:pt idx="27">
                        <c:v>12.118251405402331</c:v>
                      </c:pt>
                      <c:pt idx="28">
                        <c:v>12.050398093846699</c:v>
                      </c:pt>
                      <c:pt idx="29">
                        <c:v>11.985823738420629</c:v>
                      </c:pt>
                      <c:pt idx="30">
                        <c:v>11.926010158226896</c:v>
                      </c:pt>
                      <c:pt idx="31">
                        <c:v>11.864230318303138</c:v>
                      </c:pt>
                      <c:pt idx="32">
                        <c:v>11.809492287492823</c:v>
                      </c:pt>
                      <c:pt idx="33">
                        <c:v>11.752828447861814</c:v>
                      </c:pt>
                      <c:pt idx="34">
                        <c:v>11.700844136115053</c:v>
                      </c:pt>
                      <c:pt idx="35">
                        <c:v>11.650944165878874</c:v>
                      </c:pt>
                      <c:pt idx="36">
                        <c:v>11.601195656977401</c:v>
                      </c:pt>
                      <c:pt idx="37">
                        <c:v>11.555991272319273</c:v>
                      </c:pt>
                      <c:pt idx="38">
                        <c:v>11.518166669142147</c:v>
                      </c:pt>
                      <c:pt idx="39">
                        <c:v>11.415530935393443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EDDD-4527-9783-8A87A972052F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'!$AP$6</c15:sqref>
                        </c15:formulaRef>
                      </c:ext>
                    </c:extLst>
                    <c:strCache>
                      <c:ptCount val="1"/>
                      <c:pt idx="0">
                        <c:v>Consumido Por Economia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'!$AP$8:$AP$47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12.842403468912199</c:v>
                      </c:pt>
                      <c:pt idx="1">
                        <c:v>12.717707867353546</c:v>
                      </c:pt>
                      <c:pt idx="2">
                        <c:v>12.592342928581616</c:v>
                      </c:pt>
                      <c:pt idx="3">
                        <c:v>12.466346223237633</c:v>
                      </c:pt>
                      <c:pt idx="4">
                        <c:v>12.348170606357169</c:v>
                      </c:pt>
                      <c:pt idx="5">
                        <c:v>12.230081171556551</c:v>
                      </c:pt>
                      <c:pt idx="6">
                        <c:v>12.111747374722576</c:v>
                      </c:pt>
                      <c:pt idx="7">
                        <c:v>11.999051081049782</c:v>
                      </c:pt>
                      <c:pt idx="8">
                        <c:v>11.886467512317132</c:v>
                      </c:pt>
                      <c:pt idx="9">
                        <c:v>11.779380835142883</c:v>
                      </c:pt>
                      <c:pt idx="10">
                        <c:v>11.672702221603577</c:v>
                      </c:pt>
                      <c:pt idx="11">
                        <c:v>11.569005110312805</c:v>
                      </c:pt>
                      <c:pt idx="12">
                        <c:v>11.468375517624146</c:v>
                      </c:pt>
                      <c:pt idx="13">
                        <c:v>11.37328593735651</c:v>
                      </c:pt>
                      <c:pt idx="14">
                        <c:v>11.278644389646651</c:v>
                      </c:pt>
                      <c:pt idx="15">
                        <c:v>11.18715391880065</c:v>
                      </c:pt>
                      <c:pt idx="16">
                        <c:v>11.098680120107382</c:v>
                      </c:pt>
                      <c:pt idx="17">
                        <c:v>11.011233429717993</c:v>
                      </c:pt>
                      <c:pt idx="18">
                        <c:v>10.928668371686905</c:v>
                      </c:pt>
                      <c:pt idx="19">
                        <c:v>10.849072293789964</c:v>
                      </c:pt>
                      <c:pt idx="20">
                        <c:v>10.77047361748895</c:v>
                      </c:pt>
                      <c:pt idx="21">
                        <c:v>10.694440537350113</c:v>
                      </c:pt>
                      <c:pt idx="22">
                        <c:v>10.62340473782977</c:v>
                      </c:pt>
                      <c:pt idx="23">
                        <c:v>10.553180363165112</c:v>
                      </c:pt>
                      <c:pt idx="24">
                        <c:v>10.487636683943133</c:v>
                      </c:pt>
                      <c:pt idx="25">
                        <c:v>10.422816483092893</c:v>
                      </c:pt>
                      <c:pt idx="26">
                        <c:v>10.360236066161754</c:v>
                      </c:pt>
                      <c:pt idx="27">
                        <c:v>10.30045230380477</c:v>
                      </c:pt>
                      <c:pt idx="28">
                        <c:v>10.242777332725822</c:v>
                      </c:pt>
                      <c:pt idx="29">
                        <c:v>10.187889457745886</c:v>
                      </c:pt>
                      <c:pt idx="30">
                        <c:v>10.137048217595456</c:v>
                      </c:pt>
                      <c:pt idx="31">
                        <c:v>10.084535666635531</c:v>
                      </c:pt>
                      <c:pt idx="32">
                        <c:v>10.038008617748389</c:v>
                      </c:pt>
                      <c:pt idx="33">
                        <c:v>9.9898446411197597</c:v>
                      </c:pt>
                      <c:pt idx="34">
                        <c:v>9.9456582394863595</c:v>
                      </c:pt>
                      <c:pt idx="35">
                        <c:v>9.9032435175777263</c:v>
                      </c:pt>
                      <c:pt idx="36">
                        <c:v>9.8609575370362936</c:v>
                      </c:pt>
                      <c:pt idx="37">
                        <c:v>9.8225340390812743</c:v>
                      </c:pt>
                      <c:pt idx="38">
                        <c:v>9.7903833179993001</c:v>
                      </c:pt>
                      <c:pt idx="39">
                        <c:v>9.7031434642632046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DDD-4527-9783-8A87A972052F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'!$AQ$6</c15:sqref>
                        </c15:formulaRef>
                      </c:ext>
                    </c:extLst>
                    <c:strCache>
                      <c:ptCount val="1"/>
                      <c:pt idx="0">
                        <c:v>Medido Por Economia</c:v>
                      </c:pt>
                    </c:strCache>
                  </c:strRef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'!$M$8:$M$47</c15:sqref>
                        </c15:formulaRef>
                      </c:ext>
                    </c:extLst>
                    <c:numCache>
                      <c:formatCode>General</c:formatCode>
                      <c:ptCount val="40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  <c:pt idx="6">
                        <c:v>2028</c:v>
                      </c:pt>
                      <c:pt idx="7">
                        <c:v>2029</c:v>
                      </c:pt>
                      <c:pt idx="8">
                        <c:v>2030</c:v>
                      </c:pt>
                      <c:pt idx="9">
                        <c:v>2031</c:v>
                      </c:pt>
                      <c:pt idx="10">
                        <c:v>2032</c:v>
                      </c:pt>
                      <c:pt idx="11">
                        <c:v>2033</c:v>
                      </c:pt>
                      <c:pt idx="12">
                        <c:v>2034</c:v>
                      </c:pt>
                      <c:pt idx="13">
                        <c:v>2035</c:v>
                      </c:pt>
                      <c:pt idx="14">
                        <c:v>2036</c:v>
                      </c:pt>
                      <c:pt idx="15">
                        <c:v>2037</c:v>
                      </c:pt>
                      <c:pt idx="16">
                        <c:v>2038</c:v>
                      </c:pt>
                      <c:pt idx="17">
                        <c:v>2039</c:v>
                      </c:pt>
                      <c:pt idx="18">
                        <c:v>2040</c:v>
                      </c:pt>
                      <c:pt idx="19">
                        <c:v>2041</c:v>
                      </c:pt>
                      <c:pt idx="20">
                        <c:v>2042</c:v>
                      </c:pt>
                      <c:pt idx="21">
                        <c:v>2043</c:v>
                      </c:pt>
                      <c:pt idx="22">
                        <c:v>2044</c:v>
                      </c:pt>
                      <c:pt idx="23">
                        <c:v>2045</c:v>
                      </c:pt>
                      <c:pt idx="24">
                        <c:v>2046</c:v>
                      </c:pt>
                      <c:pt idx="25">
                        <c:v>2047</c:v>
                      </c:pt>
                      <c:pt idx="26">
                        <c:v>2048</c:v>
                      </c:pt>
                      <c:pt idx="27">
                        <c:v>2049</c:v>
                      </c:pt>
                      <c:pt idx="28">
                        <c:v>2050</c:v>
                      </c:pt>
                      <c:pt idx="29">
                        <c:v>2051</c:v>
                      </c:pt>
                      <c:pt idx="30">
                        <c:v>2052</c:v>
                      </c:pt>
                      <c:pt idx="31">
                        <c:v>2053</c:v>
                      </c:pt>
                      <c:pt idx="32">
                        <c:v>2054</c:v>
                      </c:pt>
                      <c:pt idx="33">
                        <c:v>2055</c:v>
                      </c:pt>
                      <c:pt idx="34">
                        <c:v>2056</c:v>
                      </c:pt>
                      <c:pt idx="35">
                        <c:v>2057</c:v>
                      </c:pt>
                      <c:pt idx="36">
                        <c:v>2058</c:v>
                      </c:pt>
                      <c:pt idx="37">
                        <c:v>2059</c:v>
                      </c:pt>
                      <c:pt idx="38">
                        <c:v>2060</c:v>
                      </c:pt>
                      <c:pt idx="39">
                        <c:v>2061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'Cota per capita e por economia '!$AQ$8:$AQ$47</c15:sqref>
                        </c15:formulaRef>
                      </c:ext>
                    </c:extLst>
                    <c:numCache>
                      <c:formatCode>#,##0.00</c:formatCode>
                      <c:ptCount val="40"/>
                      <c:pt idx="0">
                        <c:v>11.046538338662703</c:v>
                      </c:pt>
                      <c:pt idx="1">
                        <c:v>10.939280009128462</c:v>
                      </c:pt>
                      <c:pt idx="2">
                        <c:v>10.831445941633186</c:v>
                      </c:pt>
                      <c:pt idx="3">
                        <c:v>10.723068452988112</c:v>
                      </c:pt>
                      <c:pt idx="4">
                        <c:v>10.673062211297047</c:v>
                      </c:pt>
                      <c:pt idx="5">
                        <c:v>10.720534226531868</c:v>
                      </c:pt>
                      <c:pt idx="6">
                        <c:v>10.742376033746789</c:v>
                      </c:pt>
                      <c:pt idx="7">
                        <c:v>10.88644396028057</c:v>
                      </c:pt>
                      <c:pt idx="8">
                        <c:v>10.906485065807647</c:v>
                      </c:pt>
                      <c:pt idx="9">
                        <c:v>10.919744364163519</c:v>
                      </c:pt>
                      <c:pt idx="10">
                        <c:v>10.921258259350871</c:v>
                      </c:pt>
                      <c:pt idx="11">
                        <c:v>10.845945019770541</c:v>
                      </c:pt>
                      <c:pt idx="12">
                        <c:v>10.756073945468827</c:v>
                      </c:pt>
                      <c:pt idx="13">
                        <c:v>10.671180241833818</c:v>
                      </c:pt>
                      <c:pt idx="14">
                        <c:v>10.586500105229781</c:v>
                      </c:pt>
                      <c:pt idx="15">
                        <c:v>10.504581046194573</c:v>
                      </c:pt>
                      <c:pt idx="16">
                        <c:v>10.425308479577806</c:v>
                      </c:pt>
                      <c:pt idx="17">
                        <c:v>10.346823779081417</c:v>
                      </c:pt>
                      <c:pt idx="18">
                        <c:v>10.272758505210325</c:v>
                      </c:pt>
                      <c:pt idx="19">
                        <c:v>10.201325747066308</c:v>
                      </c:pt>
                      <c:pt idx="20">
                        <c:v>10.130680223913384</c:v>
                      </c:pt>
                      <c:pt idx="21">
                        <c:v>10.062304395292875</c:v>
                      </c:pt>
                      <c:pt idx="22">
                        <c:v>9.998494852334689</c:v>
                      </c:pt>
                      <c:pt idx="23">
                        <c:v>9.9324013478584181</c:v>
                      </c:pt>
                      <c:pt idx="24">
                        <c:v>9.8707132021577859</c:v>
                      </c:pt>
                      <c:pt idx="25">
                        <c:v>9.8097059770239703</c:v>
                      </c:pt>
                      <c:pt idx="26">
                        <c:v>9.7508067830287697</c:v>
                      </c:pt>
                      <c:pt idx="27">
                        <c:v>9.6945397335346524</c:v>
                      </c:pt>
                      <c:pt idx="28">
                        <c:v>9.6402574280334878</c:v>
                      </c:pt>
                      <c:pt idx="29">
                        <c:v>9.5885982708248552</c:v>
                      </c:pt>
                      <c:pt idx="30">
                        <c:v>9.540747709684112</c:v>
                      </c:pt>
                      <c:pt idx="31">
                        <c:v>9.4913241507203754</c:v>
                      </c:pt>
                      <c:pt idx="32">
                        <c:v>9.4475340033737485</c:v>
                      </c:pt>
                      <c:pt idx="33">
                        <c:v>9.4022032187266689</c:v>
                      </c:pt>
                      <c:pt idx="34">
                        <c:v>9.3606160326806069</c:v>
                      </c:pt>
                      <c:pt idx="35">
                        <c:v>9.3206963092837825</c:v>
                      </c:pt>
                      <c:pt idx="36">
                        <c:v>9.2808977541874231</c:v>
                      </c:pt>
                      <c:pt idx="37">
                        <c:v>9.2447344754653109</c:v>
                      </c:pt>
                      <c:pt idx="38">
                        <c:v>9.2144749845421927</c:v>
                      </c:pt>
                      <c:pt idx="39">
                        <c:v>9.1323669174935329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DDD-4527-9783-8A87A972052F}"/>
                  </c:ext>
                </c:extLst>
              </c15:ser>
            </c15:filteredScatterSeries>
          </c:ext>
        </c:extLst>
      </c:scatterChart>
      <c:valAx>
        <c:axId val="-431322880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2000"/>
        <c:crosses val="autoZero"/>
        <c:crossBetween val="midCat"/>
        <c:majorUnit val="2"/>
      </c:valAx>
      <c:valAx>
        <c:axId val="-431312000"/>
        <c:scaling>
          <c:orientation val="minMax"/>
          <c:max val="28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2880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Perdas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'Perdas e Vazões de Água'!$D$6</c:f>
              <c:strCache>
                <c:ptCount val="1"/>
                <c:pt idx="0">
                  <c:v>Perdas Fisicas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'Perdas e Vazões de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Água'!$D$8:$D$47</c:f>
              <c:numCache>
                <c:formatCode>0.00%</c:formatCode>
                <c:ptCount val="40"/>
                <c:pt idx="0">
                  <c:v>0.38</c:v>
                </c:pt>
                <c:pt idx="1">
                  <c:v>0.38</c:v>
                </c:pt>
                <c:pt idx="2">
                  <c:v>0.38</c:v>
                </c:pt>
                <c:pt idx="3">
                  <c:v>0.38</c:v>
                </c:pt>
                <c:pt idx="4">
                  <c:v>0.38300000000000001</c:v>
                </c:pt>
                <c:pt idx="5">
                  <c:v>0.34618293667675504</c:v>
                </c:pt>
                <c:pt idx="6">
                  <c:v>0.31276291327570271</c:v>
                </c:pt>
                <c:pt idx="7">
                  <c:v>0.29145010731196291</c:v>
                </c:pt>
                <c:pt idx="8">
                  <c:v>0.26617942284925844</c:v>
                </c:pt>
                <c:pt idx="9">
                  <c:v>0.24360838092513151</c:v>
                </c:pt>
                <c:pt idx="10">
                  <c:v>0.22331518995703153</c:v>
                </c:pt>
                <c:pt idx="11">
                  <c:v>0.19999698077399347</c:v>
                </c:pt>
                <c:pt idx="12">
                  <c:v>0.19497752314918021</c:v>
                </c:pt>
                <c:pt idx="13">
                  <c:v>0.19005884656087901</c:v>
                </c:pt>
                <c:pt idx="14">
                  <c:v>0.18523892752008375</c:v>
                </c:pt>
                <c:pt idx="15">
                  <c:v>0.18051578316554834</c:v>
                </c:pt>
                <c:pt idx="16">
                  <c:v>0.17588747044805936</c:v>
                </c:pt>
                <c:pt idx="17">
                  <c:v>0.17135208533108742</c:v>
                </c:pt>
                <c:pt idx="18">
                  <c:v>0.16690776200748736</c:v>
                </c:pt>
                <c:pt idx="19">
                  <c:v>0.16255267213192626</c:v>
                </c:pt>
                <c:pt idx="20">
                  <c:v>0.15828502406872202</c:v>
                </c:pt>
                <c:pt idx="21">
                  <c:v>0.15410306215478464</c:v>
                </c:pt>
                <c:pt idx="22">
                  <c:v>0.1500050659773558</c:v>
                </c:pt>
                <c:pt idx="23">
                  <c:v>0.1500050659773558</c:v>
                </c:pt>
                <c:pt idx="24">
                  <c:v>0.1500050659773558</c:v>
                </c:pt>
                <c:pt idx="25">
                  <c:v>0.1500050659773558</c:v>
                </c:pt>
                <c:pt idx="26">
                  <c:v>0.1500050659773558</c:v>
                </c:pt>
                <c:pt idx="27">
                  <c:v>0.1500050659773558</c:v>
                </c:pt>
                <c:pt idx="28">
                  <c:v>0.1500050659773558</c:v>
                </c:pt>
                <c:pt idx="29">
                  <c:v>0.1500050659773558</c:v>
                </c:pt>
                <c:pt idx="30">
                  <c:v>0.1500050659773558</c:v>
                </c:pt>
                <c:pt idx="31">
                  <c:v>0.1500050659773558</c:v>
                </c:pt>
                <c:pt idx="32">
                  <c:v>0.1500050659773558</c:v>
                </c:pt>
                <c:pt idx="33">
                  <c:v>0.1500050659773558</c:v>
                </c:pt>
                <c:pt idx="34">
                  <c:v>0.1500050659773558</c:v>
                </c:pt>
                <c:pt idx="35">
                  <c:v>0.1500050659773558</c:v>
                </c:pt>
                <c:pt idx="36">
                  <c:v>0.1500050659773558</c:v>
                </c:pt>
                <c:pt idx="37">
                  <c:v>0.1500050659773558</c:v>
                </c:pt>
                <c:pt idx="38">
                  <c:v>0.1500050659773558</c:v>
                </c:pt>
                <c:pt idx="39">
                  <c:v>0.1500050659773558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AE-47F9-9B04-2A21FB4C4432}"/>
            </c:ext>
          </c:extLst>
        </c:ser>
        <c:ser>
          <c:idx val="1"/>
          <c:order val="1"/>
          <c:tx>
            <c:strRef>
              <c:f>'Perdas e Vazões de Água'!$E$6</c:f>
              <c:strCache>
                <c:ptCount val="1"/>
                <c:pt idx="0">
                  <c:v>Perdas Aparentes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'Perdas e Vazões de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Água'!$E$8:$E$47</c:f>
              <c:numCache>
                <c:formatCode>0.00%</c:formatCode>
                <c:ptCount val="40"/>
                <c:pt idx="0">
                  <c:v>8.6699999999999999E-2</c:v>
                </c:pt>
                <c:pt idx="1">
                  <c:v>8.6699999999999999E-2</c:v>
                </c:pt>
                <c:pt idx="2">
                  <c:v>8.6699999999999999E-2</c:v>
                </c:pt>
                <c:pt idx="3">
                  <c:v>8.6699999999999999E-2</c:v>
                </c:pt>
                <c:pt idx="4">
                  <c:v>8.3699999999999997E-2</c:v>
                </c:pt>
                <c:pt idx="5">
                  <c:v>8.0699999999999994E-2</c:v>
                </c:pt>
                <c:pt idx="6">
                  <c:v>7.7699999999999991E-2</c:v>
                </c:pt>
                <c:pt idx="7">
                  <c:v>6.5699999999999995E-2</c:v>
                </c:pt>
                <c:pt idx="8">
                  <c:v>6.0499999999999998E-2</c:v>
                </c:pt>
                <c:pt idx="9">
                  <c:v>5.5199999999999999E-2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AE-47F9-9B04-2A21FB4C4432}"/>
            </c:ext>
          </c:extLst>
        </c:ser>
        <c:ser>
          <c:idx val="2"/>
          <c:order val="2"/>
          <c:tx>
            <c:strRef>
              <c:f>'Perdas e Vazões de Água'!$F$6</c:f>
              <c:strCache>
                <c:ptCount val="1"/>
                <c:pt idx="0">
                  <c:v>Perdas Totais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'Perdas e Vazões de Água'!$C$8:$C$47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Água'!$F$8:$F$47</c:f>
              <c:numCache>
                <c:formatCode>0.00%</c:formatCode>
                <c:ptCount val="40"/>
                <c:pt idx="0">
                  <c:v>0.4667</c:v>
                </c:pt>
                <c:pt idx="1">
                  <c:v>0.4667</c:v>
                </c:pt>
                <c:pt idx="2">
                  <c:v>0.4667</c:v>
                </c:pt>
                <c:pt idx="3">
                  <c:v>0.4667</c:v>
                </c:pt>
                <c:pt idx="4">
                  <c:v>0.4667</c:v>
                </c:pt>
                <c:pt idx="5">
                  <c:v>0.42688293667675503</c:v>
                </c:pt>
                <c:pt idx="6">
                  <c:v>0.39046291327570271</c:v>
                </c:pt>
                <c:pt idx="7">
                  <c:v>0.35715010731196289</c:v>
                </c:pt>
                <c:pt idx="8">
                  <c:v>0.32667942284925844</c:v>
                </c:pt>
                <c:pt idx="9">
                  <c:v>0.29880838092513151</c:v>
                </c:pt>
                <c:pt idx="10">
                  <c:v>0.27331518995703152</c:v>
                </c:pt>
                <c:pt idx="11">
                  <c:v>0.24999698077399349</c:v>
                </c:pt>
                <c:pt idx="12">
                  <c:v>0.2449775231491802</c:v>
                </c:pt>
                <c:pt idx="13">
                  <c:v>0.240058846560879</c:v>
                </c:pt>
                <c:pt idx="14">
                  <c:v>0.23523892752008377</c:v>
                </c:pt>
                <c:pt idx="15">
                  <c:v>0.23051578316554835</c:v>
                </c:pt>
                <c:pt idx="16">
                  <c:v>0.22588747044805937</c:v>
                </c:pt>
                <c:pt idx="17">
                  <c:v>0.22135208533108741</c:v>
                </c:pt>
                <c:pt idx="18">
                  <c:v>0.21690776200748738</c:v>
                </c:pt>
                <c:pt idx="19">
                  <c:v>0.21255267213192625</c:v>
                </c:pt>
                <c:pt idx="20">
                  <c:v>0.20828502406872201</c:v>
                </c:pt>
                <c:pt idx="21">
                  <c:v>0.20410306215478466</c:v>
                </c:pt>
                <c:pt idx="22">
                  <c:v>0.20000506597735582</c:v>
                </c:pt>
                <c:pt idx="23">
                  <c:v>0.20000506597735582</c:v>
                </c:pt>
                <c:pt idx="24">
                  <c:v>0.20000506597735582</c:v>
                </c:pt>
                <c:pt idx="25">
                  <c:v>0.20000506597735582</c:v>
                </c:pt>
                <c:pt idx="26">
                  <c:v>0.20000506597735582</c:v>
                </c:pt>
                <c:pt idx="27">
                  <c:v>0.20000506597735582</c:v>
                </c:pt>
                <c:pt idx="28">
                  <c:v>0.20000506597735582</c:v>
                </c:pt>
                <c:pt idx="29">
                  <c:v>0.20000506597735582</c:v>
                </c:pt>
                <c:pt idx="30">
                  <c:v>0.20000506597735582</c:v>
                </c:pt>
                <c:pt idx="31">
                  <c:v>0.20000506597735582</c:v>
                </c:pt>
                <c:pt idx="32">
                  <c:v>0.20000506597735582</c:v>
                </c:pt>
                <c:pt idx="33">
                  <c:v>0.20000506597735582</c:v>
                </c:pt>
                <c:pt idx="34">
                  <c:v>0.20000506597735582</c:v>
                </c:pt>
                <c:pt idx="35">
                  <c:v>0.20000506597735582</c:v>
                </c:pt>
                <c:pt idx="36">
                  <c:v>0.20000506597735582</c:v>
                </c:pt>
                <c:pt idx="37">
                  <c:v>0.20000506597735582</c:v>
                </c:pt>
                <c:pt idx="38">
                  <c:v>0.20000506597735582</c:v>
                </c:pt>
                <c:pt idx="39">
                  <c:v>0.20000506597735582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6AE-47F9-9B04-2A21FB4C44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7230112"/>
        <c:axId val="-747228480"/>
        <c:extLst/>
      </c:scatterChart>
      <c:valAx>
        <c:axId val="-747230112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28480"/>
        <c:crosses val="autoZero"/>
        <c:crossBetween val="midCat"/>
        <c:majorUnit val="2"/>
      </c:valAx>
      <c:valAx>
        <c:axId val="-74722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30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Vazões de Água L/s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'Perdas e Vazões de Água'!$O$6</c:f>
              <c:strCache>
                <c:ptCount val="1"/>
                <c:pt idx="0">
                  <c:v>Vazão Consumida Média por todas a Categorias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Água'!$O$8:$O$47</c:f>
              <c:numCache>
                <c:formatCode>#,##0.00</c:formatCode>
                <c:ptCount val="40"/>
                <c:pt idx="0">
                  <c:v>82.095250252548922</c:v>
                </c:pt>
                <c:pt idx="1">
                  <c:v>83.31249935088789</c:v>
                </c:pt>
                <c:pt idx="2">
                  <c:v>84.481419158046464</c:v>
                </c:pt>
                <c:pt idx="3">
                  <c:v>85.585998392840906</c:v>
                </c:pt>
                <c:pt idx="4">
                  <c:v>86.701687619187808</c:v>
                </c:pt>
                <c:pt idx="5">
                  <c:v>87.765543166055181</c:v>
                </c:pt>
                <c:pt idx="6">
                  <c:v>91.531540049166168</c:v>
                </c:pt>
                <c:pt idx="7">
                  <c:v>93.120073465245412</c:v>
                </c:pt>
                <c:pt idx="8">
                  <c:v>94.099308277248753</c:v>
                </c:pt>
                <c:pt idx="9">
                  <c:v>95.063912380792502</c:v>
                </c:pt>
                <c:pt idx="10">
                  <c:v>95.977809624542402</c:v>
                </c:pt>
                <c:pt idx="11">
                  <c:v>96.857163024168329</c:v>
                </c:pt>
                <c:pt idx="12">
                  <c:v>97.69877943790901</c:v>
                </c:pt>
                <c:pt idx="13">
                  <c:v>98.542080233838533</c:v>
                </c:pt>
                <c:pt idx="14">
                  <c:v>99.326505132805806</c:v>
                </c:pt>
                <c:pt idx="15">
                  <c:v>100.08029786981916</c:v>
                </c:pt>
                <c:pt idx="16">
                  <c:v>100.81163406273544</c:v>
                </c:pt>
                <c:pt idx="17">
                  <c:v>101.48622648769086</c:v>
                </c:pt>
                <c:pt idx="18">
                  <c:v>102.15307505247947</c:v>
                </c:pt>
                <c:pt idx="19">
                  <c:v>102.79586707276714</c:v>
                </c:pt>
                <c:pt idx="20">
                  <c:v>103.39681824797506</c:v>
                </c:pt>
                <c:pt idx="21">
                  <c:v>103.96760407400238</c:v>
                </c:pt>
                <c:pt idx="22">
                  <c:v>104.53743383529846</c:v>
                </c:pt>
                <c:pt idx="23">
                  <c:v>105.05867318273081</c:v>
                </c:pt>
                <c:pt idx="24">
                  <c:v>105.58704769363266</c:v>
                </c:pt>
                <c:pt idx="25">
                  <c:v>106.06829849631245</c:v>
                </c:pt>
                <c:pt idx="26">
                  <c:v>106.52680233049863</c:v>
                </c:pt>
                <c:pt idx="27">
                  <c:v>106.96572231923247</c:v>
                </c:pt>
                <c:pt idx="28">
                  <c:v>107.38330558293269</c:v>
                </c:pt>
                <c:pt idx="29">
                  <c:v>107.78416933535482</c:v>
                </c:pt>
                <c:pt idx="30">
                  <c:v>108.19490743680305</c:v>
                </c:pt>
                <c:pt idx="31">
                  <c:v>108.53655873149339</c:v>
                </c:pt>
                <c:pt idx="32">
                  <c:v>108.90799201778673</c:v>
                </c:pt>
                <c:pt idx="33">
                  <c:v>109.22057318946665</c:v>
                </c:pt>
                <c:pt idx="34">
                  <c:v>109.5404152506119</c:v>
                </c:pt>
                <c:pt idx="35">
                  <c:v>109.84486414901416</c:v>
                </c:pt>
                <c:pt idx="36">
                  <c:v>110.11310028671514</c:v>
                </c:pt>
                <c:pt idx="37">
                  <c:v>110.39178082931193</c:v>
                </c:pt>
                <c:pt idx="38">
                  <c:v>110.65835947380452</c:v>
                </c:pt>
                <c:pt idx="39">
                  <c:v>110.39511972722913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D8-43A3-9901-22C9E59D90D7}"/>
            </c:ext>
          </c:extLst>
        </c:ser>
        <c:ser>
          <c:idx val="1"/>
          <c:order val="1"/>
          <c:tx>
            <c:strRef>
              <c:f>'Perdas e Vazões de Água'!$Q$6</c:f>
              <c:strCache>
                <c:ptCount val="1"/>
                <c:pt idx="0">
                  <c:v>Vazão Disponibilizada Média 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Água'!$Q$8:$Q$47</c:f>
              <c:numCache>
                <c:formatCode>#,##0.00</c:formatCode>
                <c:ptCount val="40"/>
                <c:pt idx="0">
                  <c:v>132.41169395572408</c:v>
                </c:pt>
                <c:pt idx="1">
                  <c:v>134.37499895304498</c:v>
                </c:pt>
                <c:pt idx="2">
                  <c:v>136.26035348072011</c:v>
                </c:pt>
                <c:pt idx="3">
                  <c:v>138.04193289167887</c:v>
                </c:pt>
                <c:pt idx="4">
                  <c:v>140.52137377502075</c:v>
                </c:pt>
                <c:pt idx="5">
                  <c:v>134.23562658330957</c:v>
                </c:pt>
                <c:pt idx="6">
                  <c:v>133.18771908170663</c:v>
                </c:pt>
                <c:pt idx="7">
                  <c:v>131.42345292294701</c:v>
                </c:pt>
                <c:pt idx="8">
                  <c:v>128.23203819469737</c:v>
                </c:pt>
                <c:pt idx="9">
                  <c:v>125.68081134619626</c:v>
                </c:pt>
                <c:pt idx="10">
                  <c:v>123.57369216379118</c:v>
                </c:pt>
                <c:pt idx="11">
                  <c:v>121.07099685433248</c:v>
                </c:pt>
                <c:pt idx="12">
                  <c:v>121.36155479794603</c:v>
                </c:pt>
                <c:pt idx="13">
                  <c:v>121.6657282018766</c:v>
                </c:pt>
                <c:pt idx="14">
                  <c:v>121.90875151961092</c:v>
                </c:pt>
                <c:pt idx="15">
                  <c:v>122.12596144488884</c:v>
                </c:pt>
                <c:pt idx="16">
                  <c:v>122.32751044028589</c:v>
                </c:pt>
                <c:pt idx="17">
                  <c:v>122.47207129971459</c:v>
                </c:pt>
                <c:pt idx="18">
                  <c:v>122.61916555438793</c:v>
                </c:pt>
                <c:pt idx="19">
                  <c:v>122.74905376372634</c:v>
                </c:pt>
                <c:pt idx="20">
                  <c:v>122.84065414610957</c:v>
                </c:pt>
                <c:pt idx="21">
                  <c:v>122.90812204480007</c:v>
                </c:pt>
                <c:pt idx="22">
                  <c:v>122.98594926980299</c:v>
                </c:pt>
                <c:pt idx="23">
                  <c:v>123.59917568630121</c:v>
                </c:pt>
                <c:pt idx="24">
                  <c:v>124.2207964627937</c:v>
                </c:pt>
                <c:pt idx="25">
                  <c:v>124.78697725213352</c:v>
                </c:pt>
                <c:pt idx="26">
                  <c:v>125.32639674257247</c:v>
                </c:pt>
                <c:pt idx="27">
                  <c:v>125.84277627751467</c:v>
                </c:pt>
                <c:pt idx="28">
                  <c:v>126.33405363339725</c:v>
                </c:pt>
                <c:pt idx="29">
                  <c:v>126.80566085877801</c:v>
                </c:pt>
                <c:pt idx="30">
                  <c:v>127.28888503460267</c:v>
                </c:pt>
                <c:pt idx="31">
                  <c:v>127.69083012982043</c:v>
                </c:pt>
                <c:pt idx="32">
                  <c:v>128.12781307104279</c:v>
                </c:pt>
                <c:pt idx="33">
                  <c:v>128.49555781770925</c:v>
                </c:pt>
                <c:pt idx="34">
                  <c:v>128.87184483818783</c:v>
                </c:pt>
                <c:pt idx="35">
                  <c:v>129.23002214750593</c:v>
                </c:pt>
                <c:pt idx="36">
                  <c:v>129.54559595502445</c:v>
                </c:pt>
                <c:pt idx="37">
                  <c:v>129.87345737094833</c:v>
                </c:pt>
                <c:pt idx="38">
                  <c:v>130.18708117483501</c:v>
                </c:pt>
                <c:pt idx="39">
                  <c:v>129.87738550955663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1D8-43A3-9901-22C9E59D90D7}"/>
            </c:ext>
          </c:extLst>
        </c:ser>
        <c:ser>
          <c:idx val="2"/>
          <c:order val="2"/>
          <c:tx>
            <c:strRef>
              <c:f>'Perdas e Vazões de Água'!$P$6</c:f>
              <c:strCache>
                <c:ptCount val="1"/>
                <c:pt idx="0">
                  <c:v>Vazão Média de Perdas Física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Água'!$P$8:$P$47</c:f>
              <c:numCache>
                <c:formatCode>#,##0.00</c:formatCode>
                <c:ptCount val="40"/>
                <c:pt idx="0">
                  <c:v>50.316443703175153</c:v>
                </c:pt>
                <c:pt idx="1">
                  <c:v>51.062499602157089</c:v>
                </c:pt>
                <c:pt idx="2">
                  <c:v>51.778934322673649</c:v>
                </c:pt>
                <c:pt idx="3">
                  <c:v>52.455934498837962</c:v>
                </c:pt>
                <c:pt idx="4">
                  <c:v>53.81968615583294</c:v>
                </c:pt>
                <c:pt idx="5">
                  <c:v>46.470083417254386</c:v>
                </c:pt>
                <c:pt idx="6">
                  <c:v>41.656179032540464</c:v>
                </c:pt>
                <c:pt idx="7">
                  <c:v>38.303379457701595</c:v>
                </c:pt>
                <c:pt idx="8">
                  <c:v>34.132729917448614</c:v>
                </c:pt>
                <c:pt idx="9">
                  <c:v>30.616898965403763</c:v>
                </c:pt>
                <c:pt idx="10">
                  <c:v>27.595882539248777</c:v>
                </c:pt>
                <c:pt idx="11">
                  <c:v>24.213833830164148</c:v>
                </c:pt>
                <c:pt idx="12">
                  <c:v>23.662775360037017</c:v>
                </c:pt>
                <c:pt idx="13">
                  <c:v>23.123647968038071</c:v>
                </c:pt>
                <c:pt idx="14">
                  <c:v>22.58224638680511</c:v>
                </c:pt>
                <c:pt idx="15">
                  <c:v>22.045663575069682</c:v>
                </c:pt>
                <c:pt idx="16">
                  <c:v>21.515876377550455</c:v>
                </c:pt>
                <c:pt idx="17">
                  <c:v>20.985844812023728</c:v>
                </c:pt>
                <c:pt idx="18">
                  <c:v>20.466090501908468</c:v>
                </c:pt>
                <c:pt idx="19">
                  <c:v>19.9531866909592</c:v>
                </c:pt>
                <c:pt idx="20">
                  <c:v>19.443835898134509</c:v>
                </c:pt>
                <c:pt idx="21">
                  <c:v>18.940517970797686</c:v>
                </c:pt>
                <c:pt idx="22">
                  <c:v>18.448515434504529</c:v>
                </c:pt>
                <c:pt idx="23">
                  <c:v>18.540502503570394</c:v>
                </c:pt>
                <c:pt idx="24">
                  <c:v>18.633748769161045</c:v>
                </c:pt>
                <c:pt idx="25">
                  <c:v>18.718678755821074</c:v>
                </c:pt>
                <c:pt idx="26">
                  <c:v>18.799594412073844</c:v>
                </c:pt>
                <c:pt idx="27">
                  <c:v>18.877053958282204</c:v>
                </c:pt>
                <c:pt idx="28">
                  <c:v>18.950748050464554</c:v>
                </c:pt>
                <c:pt idx="29">
                  <c:v>19.021491523423194</c:v>
                </c:pt>
                <c:pt idx="30">
                  <c:v>19.093977597799622</c:v>
                </c:pt>
                <c:pt idx="31">
                  <c:v>19.15427139832704</c:v>
                </c:pt>
                <c:pt idx="32">
                  <c:v>19.219821053256069</c:v>
                </c:pt>
                <c:pt idx="33">
                  <c:v>19.274984628242606</c:v>
                </c:pt>
                <c:pt idx="34">
                  <c:v>19.331429587575926</c:v>
                </c:pt>
                <c:pt idx="35">
                  <c:v>19.385157998491778</c:v>
                </c:pt>
                <c:pt idx="36">
                  <c:v>19.432495668309315</c:v>
                </c:pt>
                <c:pt idx="37">
                  <c:v>19.481676541636403</c:v>
                </c:pt>
                <c:pt idx="38">
                  <c:v>19.528721701030491</c:v>
                </c:pt>
                <c:pt idx="39">
                  <c:v>19.482265782327502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1D8-43A3-9901-22C9E59D90D7}"/>
            </c:ext>
          </c:extLst>
        </c:ser>
        <c:ser>
          <c:idx val="3"/>
          <c:order val="3"/>
          <c:tx>
            <c:strRef>
              <c:f>'Perdas e Vazões de Água'!$R$6</c:f>
              <c:strCache>
                <c:ptCount val="1"/>
                <c:pt idx="0">
                  <c:v> Vazaão de Captação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Água'!$R$8:$R$47</c:f>
              <c:numCache>
                <c:formatCode>#,##0.00</c:formatCode>
                <c:ptCount val="40"/>
                <c:pt idx="0">
                  <c:v>186.92294012341654</c:v>
                </c:pt>
                <c:pt idx="1">
                  <c:v>189.69449852203454</c:v>
                </c:pt>
                <c:pt idx="2">
                  <c:v>192.35601580166298</c:v>
                </c:pt>
                <c:pt idx="3">
                  <c:v>194.87103582452525</c:v>
                </c:pt>
                <c:pt idx="4">
                  <c:v>198.09129435416145</c:v>
                </c:pt>
                <c:pt idx="5">
                  <c:v>192.51194724557021</c:v>
                </c:pt>
                <c:pt idx="6">
                  <c:v>193.96466167435295</c:v>
                </c:pt>
                <c:pt idx="7">
                  <c:v>193.25518170386997</c:v>
                </c:pt>
                <c:pt idx="8">
                  <c:v>190.71397889079054</c:v>
                </c:pt>
                <c:pt idx="9">
                  <c:v>188.80324916704245</c:v>
                </c:pt>
                <c:pt idx="10">
                  <c:v>187.30295775448732</c:v>
                </c:pt>
                <c:pt idx="11">
                  <c:v>185.38415310238025</c:v>
                </c:pt>
                <c:pt idx="12">
                  <c:v>186.23354434471759</c:v>
                </c:pt>
                <c:pt idx="13">
                  <c:v>187.09766947714536</c:v>
                </c:pt>
                <c:pt idx="14">
                  <c:v>187.86155092779396</c:v>
                </c:pt>
                <c:pt idx="15">
                  <c:v>188.57927923044878</c:v>
                </c:pt>
                <c:pt idx="16">
                  <c:v>189.26643545794221</c:v>
                </c:pt>
                <c:pt idx="17">
                  <c:v>189.85892568754133</c:v>
                </c:pt>
                <c:pt idx="18">
                  <c:v>190.4488073892343</c:v>
                </c:pt>
                <c:pt idx="19">
                  <c:v>191.00550950004373</c:v>
                </c:pt>
                <c:pt idx="20">
                  <c:v>191.49614146276502</c:v>
                </c:pt>
                <c:pt idx="21">
                  <c:v>191.94261114993765</c:v>
                </c:pt>
                <c:pt idx="22">
                  <c:v>192.39880533644117</c:v>
                </c:pt>
                <c:pt idx="23">
                  <c:v>193.35813467963445</c:v>
                </c:pt>
                <c:pt idx="24">
                  <c:v>194.33059613136578</c:v>
                </c:pt>
                <c:pt idx="25">
                  <c:v>195.21632745368498</c:v>
                </c:pt>
                <c:pt idx="26">
                  <c:v>196.06019349002355</c:v>
                </c:pt>
                <c:pt idx="27">
                  <c:v>196.86801589748504</c:v>
                </c:pt>
                <c:pt idx="28">
                  <c:v>197.63656854046457</c:v>
                </c:pt>
                <c:pt idx="29">
                  <c:v>198.37434929745359</c:v>
                </c:pt>
                <c:pt idx="30">
                  <c:v>199.13030357263989</c:v>
                </c:pt>
                <c:pt idx="31">
                  <c:v>199.75910512753202</c:v>
                </c:pt>
                <c:pt idx="32">
                  <c:v>200.44271977085316</c:v>
                </c:pt>
                <c:pt idx="33">
                  <c:v>201.01801841551509</c:v>
                </c:pt>
                <c:pt idx="34">
                  <c:v>201.60668056459411</c:v>
                </c:pt>
                <c:pt idx="35">
                  <c:v>202.16701194245132</c:v>
                </c:pt>
                <c:pt idx="36">
                  <c:v>202.66069454540332</c:v>
                </c:pt>
                <c:pt idx="37">
                  <c:v>203.17359984161143</c:v>
                </c:pt>
                <c:pt idx="38">
                  <c:v>203.66423186544122</c:v>
                </c:pt>
                <c:pt idx="39">
                  <c:v>203.17974500843678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1D8-43A3-9901-22C9E59D90D7}"/>
            </c:ext>
          </c:extLst>
        </c:ser>
        <c:ser>
          <c:idx val="4"/>
          <c:order val="4"/>
          <c:tx>
            <c:strRef>
              <c:f>'Perdas e Vazões de Água'!$S$6</c:f>
              <c:strCache>
                <c:ptCount val="1"/>
                <c:pt idx="0">
                  <c:v>Vazão do Dia de Maior Consumo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Água'!$S$8:$S$47</c:f>
              <c:numCache>
                <c:formatCode>#,##0.00</c:formatCode>
                <c:ptCount val="40"/>
                <c:pt idx="0">
                  <c:v>148.83074400623386</c:v>
                </c:pt>
                <c:pt idx="1">
                  <c:v>151.03749882322256</c:v>
                </c:pt>
                <c:pt idx="2">
                  <c:v>153.15663731232939</c:v>
                </c:pt>
                <c:pt idx="3">
                  <c:v>155.15913257024704</c:v>
                </c:pt>
                <c:pt idx="4">
                  <c:v>157.86171129885832</c:v>
                </c:pt>
                <c:pt idx="5">
                  <c:v>151.78873521652059</c:v>
                </c:pt>
                <c:pt idx="6">
                  <c:v>151.49402709153986</c:v>
                </c:pt>
                <c:pt idx="7">
                  <c:v>150.04746761599608</c:v>
                </c:pt>
                <c:pt idx="8">
                  <c:v>147.05189985014709</c:v>
                </c:pt>
                <c:pt idx="9">
                  <c:v>144.69359382235476</c:v>
                </c:pt>
                <c:pt idx="10">
                  <c:v>142.76925408869965</c:v>
                </c:pt>
                <c:pt idx="11">
                  <c:v>140.44242945916614</c:v>
                </c:pt>
                <c:pt idx="12">
                  <c:v>140.90131068552782</c:v>
                </c:pt>
                <c:pt idx="13">
                  <c:v>141.37414424864431</c:v>
                </c:pt>
                <c:pt idx="14">
                  <c:v>141.77405254617207</c:v>
                </c:pt>
                <c:pt idx="15">
                  <c:v>142.14202101885269</c:v>
                </c:pt>
                <c:pt idx="16">
                  <c:v>142.48983725283296</c:v>
                </c:pt>
                <c:pt idx="17">
                  <c:v>142.76931659725275</c:v>
                </c:pt>
                <c:pt idx="18">
                  <c:v>143.0497805648838</c:v>
                </c:pt>
                <c:pt idx="19">
                  <c:v>143.30822717827976</c:v>
                </c:pt>
                <c:pt idx="20">
                  <c:v>143.52001779570458</c:v>
                </c:pt>
                <c:pt idx="21">
                  <c:v>143.70164285960055</c:v>
                </c:pt>
                <c:pt idx="22">
                  <c:v>143.89343603686268</c:v>
                </c:pt>
                <c:pt idx="23">
                  <c:v>144.61091032284736</c:v>
                </c:pt>
                <c:pt idx="24">
                  <c:v>145.33820600152023</c:v>
                </c:pt>
                <c:pt idx="25">
                  <c:v>146.00063695139602</c:v>
                </c:pt>
                <c:pt idx="26">
                  <c:v>146.63175720867218</c:v>
                </c:pt>
                <c:pt idx="27">
                  <c:v>147.23592074136116</c:v>
                </c:pt>
                <c:pt idx="28">
                  <c:v>147.81071474998379</c:v>
                </c:pt>
                <c:pt idx="29">
                  <c:v>148.36249472584899</c:v>
                </c:pt>
                <c:pt idx="30">
                  <c:v>148.92786652196327</c:v>
                </c:pt>
                <c:pt idx="31">
                  <c:v>149.3981418761191</c:v>
                </c:pt>
                <c:pt idx="32">
                  <c:v>149.90941147460012</c:v>
                </c:pt>
                <c:pt idx="33">
                  <c:v>150.33967245560257</c:v>
                </c:pt>
                <c:pt idx="34">
                  <c:v>150.77992788831023</c:v>
                </c:pt>
                <c:pt idx="35">
                  <c:v>151.19899497730876</c:v>
                </c:pt>
                <c:pt idx="36">
                  <c:v>151.56821601236749</c:v>
                </c:pt>
                <c:pt idx="37">
                  <c:v>151.9518135368107</c:v>
                </c:pt>
                <c:pt idx="38">
                  <c:v>152.31875306959591</c:v>
                </c:pt>
                <c:pt idx="39">
                  <c:v>151.95640945500247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1D8-43A3-9901-22C9E59D90D7}"/>
            </c:ext>
          </c:extLst>
        </c:ser>
        <c:ser>
          <c:idx val="5"/>
          <c:order val="5"/>
          <c:tx>
            <c:strRef>
              <c:f>'Perdas e Vazões de Água'!$T$6</c:f>
              <c:strCache>
                <c:ptCount val="1"/>
                <c:pt idx="0">
                  <c:v>Vazão da Hora de Maior Consumo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'Perdas e Vazões de Água'!$I$8:$I$47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'Perdas e Vazões de Água'!$T$8:$T$47</c:f>
              <c:numCache>
                <c:formatCode>#,##0.00</c:formatCode>
                <c:ptCount val="40"/>
                <c:pt idx="0">
                  <c:v>173.45931908199856</c:v>
                </c:pt>
                <c:pt idx="1">
                  <c:v>176.03124862848892</c:v>
                </c:pt>
                <c:pt idx="2">
                  <c:v>178.50106305974333</c:v>
                </c:pt>
                <c:pt idx="3">
                  <c:v>180.83493208809932</c:v>
                </c:pt>
                <c:pt idx="4">
                  <c:v>183.87221758461465</c:v>
                </c:pt>
                <c:pt idx="5">
                  <c:v>178.11839816633716</c:v>
                </c:pt>
                <c:pt idx="6">
                  <c:v>178.95348910628974</c:v>
                </c:pt>
                <c:pt idx="7">
                  <c:v>177.98348965556971</c:v>
                </c:pt>
                <c:pt idx="8">
                  <c:v>175.28169233332176</c:v>
                </c:pt>
                <c:pt idx="9">
                  <c:v>173.21276753659254</c:v>
                </c:pt>
                <c:pt idx="10">
                  <c:v>171.56259697606239</c:v>
                </c:pt>
                <c:pt idx="11">
                  <c:v>169.49957836641664</c:v>
                </c:pt>
                <c:pt idx="12">
                  <c:v>170.21094451690053</c:v>
                </c:pt>
                <c:pt idx="13">
                  <c:v>170.93676831879588</c:v>
                </c:pt>
                <c:pt idx="14">
                  <c:v>171.57200408601383</c:v>
                </c:pt>
                <c:pt idx="15">
                  <c:v>172.16611037979843</c:v>
                </c:pt>
                <c:pt idx="16">
                  <c:v>172.73332747165361</c:v>
                </c:pt>
                <c:pt idx="17">
                  <c:v>173.21518454356004</c:v>
                </c:pt>
                <c:pt idx="18">
                  <c:v>173.69570308062765</c:v>
                </c:pt>
                <c:pt idx="19">
                  <c:v>174.14698730010991</c:v>
                </c:pt>
                <c:pt idx="20">
                  <c:v>174.53906327009713</c:v>
                </c:pt>
                <c:pt idx="21">
                  <c:v>174.89192408180125</c:v>
                </c:pt>
                <c:pt idx="22">
                  <c:v>175.25466618745224</c:v>
                </c:pt>
                <c:pt idx="23">
                  <c:v>176.12851227766663</c:v>
                </c:pt>
                <c:pt idx="24">
                  <c:v>177.01432030961001</c:v>
                </c:pt>
                <c:pt idx="25">
                  <c:v>177.82112650028978</c:v>
                </c:pt>
                <c:pt idx="26">
                  <c:v>178.58979790782178</c:v>
                </c:pt>
                <c:pt idx="27">
                  <c:v>179.32563743713092</c:v>
                </c:pt>
                <c:pt idx="28">
                  <c:v>180.02570642486359</c:v>
                </c:pt>
                <c:pt idx="29">
                  <c:v>180.69774552645544</c:v>
                </c:pt>
                <c:pt idx="30">
                  <c:v>181.38633875300417</c:v>
                </c:pt>
                <c:pt idx="31">
                  <c:v>181.95910949556711</c:v>
                </c:pt>
                <c:pt idx="32">
                  <c:v>182.58180907993614</c:v>
                </c:pt>
                <c:pt idx="33">
                  <c:v>183.10584441244256</c:v>
                </c:pt>
                <c:pt idx="34">
                  <c:v>183.64205246349377</c:v>
                </c:pt>
                <c:pt idx="35">
                  <c:v>184.15245422201303</c:v>
                </c:pt>
                <c:pt idx="36">
                  <c:v>184.60214609838201</c:v>
                </c:pt>
                <c:pt idx="37">
                  <c:v>185.06934778560429</c:v>
                </c:pt>
                <c:pt idx="38">
                  <c:v>185.51626091173728</c:v>
                </c:pt>
                <c:pt idx="39">
                  <c:v>185.0749453731712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1D8-43A3-9901-22C9E59D90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31319616"/>
        <c:axId val="-431319072"/>
        <c:extLst/>
      </c:scatterChart>
      <c:valAx>
        <c:axId val="-431319616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9072"/>
        <c:crosses val="autoZero"/>
        <c:crossBetween val="midCat"/>
        <c:majorUnit val="2"/>
      </c:valAx>
      <c:valAx>
        <c:axId val="-4313190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9616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Vazões de Esgoto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'Vazões de Esgoto'!$D$6</c:f>
              <c:strCache>
                <c:ptCount val="1"/>
                <c:pt idx="0">
                  <c:v>Vazão Média Infiltração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Esgoto'!$D$8:$D$47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4.4866362471495247</c:v>
                </c:pt>
                <c:pt idx="7">
                  <c:v>9.15874037769923</c:v>
                </c:pt>
                <c:pt idx="8">
                  <c:v>14.012843151877179</c:v>
                </c:pt>
                <c:pt idx="9">
                  <c:v>19.045563411957183</c:v>
                </c:pt>
                <c:pt idx="10">
                  <c:v>20.615544022164716</c:v>
                </c:pt>
                <c:pt idx="11">
                  <c:v>22.223994855425861</c:v>
                </c:pt>
                <c:pt idx="12">
                  <c:v>23.11434921796323</c:v>
                </c:pt>
                <c:pt idx="13">
                  <c:v>24.018555822777088</c:v>
                </c:pt>
                <c:pt idx="14">
                  <c:v>24.930741552936539</c:v>
                </c:pt>
                <c:pt idx="15">
                  <c:v>25.851103340361743</c:v>
                </c:pt>
                <c:pt idx="16">
                  <c:v>26.78178613152846</c:v>
                </c:pt>
                <c:pt idx="17">
                  <c:v>27.172990715463921</c:v>
                </c:pt>
                <c:pt idx="18">
                  <c:v>27.556472077674222</c:v>
                </c:pt>
                <c:pt idx="19">
                  <c:v>27.931698929313946</c:v>
                </c:pt>
                <c:pt idx="20">
                  <c:v>28.29850505297356</c:v>
                </c:pt>
                <c:pt idx="21">
                  <c:v>28.655257649329087</c:v>
                </c:pt>
                <c:pt idx="22">
                  <c:v>29.003596980505204</c:v>
                </c:pt>
                <c:pt idx="23">
                  <c:v>29.340508451358861</c:v>
                </c:pt>
                <c:pt idx="24">
                  <c:v>29.671159261170143</c:v>
                </c:pt>
                <c:pt idx="25">
                  <c:v>29.990268413108076</c:v>
                </c:pt>
                <c:pt idx="26">
                  <c:v>30.300454777939738</c:v>
                </c:pt>
                <c:pt idx="27">
                  <c:v>30.600532388632171</c:v>
                </c:pt>
                <c:pt idx="28">
                  <c:v>30.891716059669506</c:v>
                </c:pt>
                <c:pt idx="29">
                  <c:v>31.172526736930614</c:v>
                </c:pt>
                <c:pt idx="30">
                  <c:v>31.447487858990105</c:v>
                </c:pt>
                <c:pt idx="31">
                  <c:v>31.709660545596648</c:v>
                </c:pt>
                <c:pt idx="32">
                  <c:v>31.964644425111654</c:v>
                </c:pt>
                <c:pt idx="33">
                  <c:v>32.209685943030891</c:v>
                </c:pt>
                <c:pt idx="34">
                  <c:v>32.446645078263273</c:v>
                </c:pt>
                <c:pt idx="35">
                  <c:v>32.675045570117412</c:v>
                </c:pt>
                <c:pt idx="36">
                  <c:v>32.894218391031281</c:v>
                </c:pt>
                <c:pt idx="37">
                  <c:v>33.105420448226639</c:v>
                </c:pt>
                <c:pt idx="38">
                  <c:v>33.131991474386972</c:v>
                </c:pt>
                <c:pt idx="39">
                  <c:v>33.296046946893256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4D-4C59-BA08-0E85B312A0B8}"/>
            </c:ext>
          </c:extLst>
        </c:ser>
        <c:ser>
          <c:idx val="1"/>
          <c:order val="1"/>
          <c:tx>
            <c:strRef>
              <c:f>'Vazões de Esgoto'!$G$6</c:f>
              <c:strCache>
                <c:ptCount val="1"/>
                <c:pt idx="0">
                  <c:v>Dia de Maior Consumo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Esgoto'!$G$8:$G$47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28.871992720636833</c:v>
                </c:pt>
                <c:pt idx="7">
                  <c:v>57.173930014817984</c:v>
                </c:pt>
                <c:pt idx="8">
                  <c:v>84.597755079947788</c:v>
                </c:pt>
                <c:pt idx="9">
                  <c:v>111.64946345826422</c:v>
                </c:pt>
                <c:pt idx="10">
                  <c:v>117.69863680248048</c:v>
                </c:pt>
                <c:pt idx="11">
                  <c:v>123.34254406602548</c:v>
                </c:pt>
                <c:pt idx="12">
                  <c:v>126.81771388251173</c:v>
                </c:pt>
                <c:pt idx="13">
                  <c:v>130.33191229775761</c:v>
                </c:pt>
                <c:pt idx="14">
                  <c:v>133.81321390839668</c:v>
                </c:pt>
                <c:pt idx="15">
                  <c:v>137.29044781914226</c:v>
                </c:pt>
                <c:pt idx="16">
                  <c:v>140.77365593379483</c:v>
                </c:pt>
                <c:pt idx="17">
                  <c:v>141.38844399326612</c:v>
                </c:pt>
                <c:pt idx="18">
                  <c:v>141.99629652958126</c:v>
                </c:pt>
                <c:pt idx="19">
                  <c:v>142.57828067193776</c:v>
                </c:pt>
                <c:pt idx="20">
                  <c:v>143.11451928953721</c:v>
                </c:pt>
                <c:pt idx="21">
                  <c:v>143.61657193700955</c:v>
                </c:pt>
                <c:pt idx="22">
                  <c:v>144.11834580999536</c:v>
                </c:pt>
                <c:pt idx="23">
                  <c:v>145.02923670963676</c:v>
                </c:pt>
                <c:pt idx="24">
                  <c:v>145.94172406238633</c:v>
                </c:pt>
                <c:pt idx="25">
                  <c:v>146.79077797422491</c:v>
                </c:pt>
                <c:pt idx="26">
                  <c:v>147.60586054487749</c:v>
                </c:pt>
                <c:pt idx="27">
                  <c:v>148.3892689817211</c:v>
                </c:pt>
                <c:pt idx="28">
                  <c:v>149.14028785965655</c:v>
                </c:pt>
                <c:pt idx="29">
                  <c:v>149.86252251760982</c:v>
                </c:pt>
                <c:pt idx="30">
                  <c:v>150.58978107656074</c:v>
                </c:pt>
                <c:pt idx="31">
                  <c:v>151.22817404649192</c:v>
                </c:pt>
                <c:pt idx="32">
                  <c:v>151.89217360479176</c:v>
                </c:pt>
                <c:pt idx="33">
                  <c:v>152.48142390751295</c:v>
                </c:pt>
                <c:pt idx="34">
                  <c:v>153.07058738891146</c:v>
                </c:pt>
                <c:pt idx="35">
                  <c:v>153.63424155196444</c:v>
                </c:pt>
                <c:pt idx="36">
                  <c:v>154.14879120092527</c:v>
                </c:pt>
                <c:pt idx="37">
                  <c:v>154.66687127767523</c:v>
                </c:pt>
                <c:pt idx="38">
                  <c:v>154.9869939300637</c:v>
                </c:pt>
                <c:pt idx="39">
                  <c:v>154.86117451089524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4D-4C59-BA08-0E85B312A0B8}"/>
            </c:ext>
          </c:extLst>
        </c:ser>
        <c:ser>
          <c:idx val="2"/>
          <c:order val="2"/>
          <c:tx>
            <c:strRef>
              <c:f>'Vazões de Esgoto'!$H$6</c:f>
              <c:strCache>
                <c:ptCount val="1"/>
                <c:pt idx="0">
                  <c:v>Hora de Maior Consumo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Esgoto'!$H$8:$H$47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33.292026847759544</c:v>
                </c:pt>
                <c:pt idx="7">
                  <c:v>66.113457067481548</c:v>
                </c:pt>
                <c:pt idx="8">
                  <c:v>98.148055471871629</c:v>
                </c:pt>
                <c:pt idx="9">
                  <c:v>129.90173463537641</c:v>
                </c:pt>
                <c:pt idx="10">
                  <c:v>137.27810996588715</c:v>
                </c:pt>
                <c:pt idx="11">
                  <c:v>144.26369127924585</c:v>
                </c:pt>
                <c:pt idx="12">
                  <c:v>148.38960438240204</c:v>
                </c:pt>
                <c:pt idx="13">
                  <c:v>152.56300559851161</c:v>
                </c:pt>
                <c:pt idx="14">
                  <c:v>156.69804069099519</c:v>
                </c:pt>
                <c:pt idx="15">
                  <c:v>160.82933387812369</c:v>
                </c:pt>
                <c:pt idx="16">
                  <c:v>164.96844810885136</c:v>
                </c:pt>
                <c:pt idx="17">
                  <c:v>165.74513835031198</c:v>
                </c:pt>
                <c:pt idx="18">
                  <c:v>166.51303454217634</c:v>
                </c:pt>
                <c:pt idx="19">
                  <c:v>167.24928876940189</c:v>
                </c:pt>
                <c:pt idx="20">
                  <c:v>167.92975566905127</c:v>
                </c:pt>
                <c:pt idx="21">
                  <c:v>168.5687969147701</c:v>
                </c:pt>
                <c:pt idx="22">
                  <c:v>169.20732993046698</c:v>
                </c:pt>
                <c:pt idx="23">
                  <c:v>170.24331827349218</c:v>
                </c:pt>
                <c:pt idx="24">
                  <c:v>171.28261550885816</c:v>
                </c:pt>
                <c:pt idx="25">
                  <c:v>172.24716961333991</c:v>
                </c:pt>
                <c:pt idx="26">
                  <c:v>173.17229310419717</c:v>
                </c:pt>
                <c:pt idx="27">
                  <c:v>174.0610423383369</c:v>
                </c:pt>
                <c:pt idx="28">
                  <c:v>174.91228119956037</c:v>
                </c:pt>
                <c:pt idx="29">
                  <c:v>175.73072315809497</c:v>
                </c:pt>
                <c:pt idx="30">
                  <c:v>176.55655886139346</c:v>
                </c:pt>
                <c:pt idx="31">
                  <c:v>177.27694814205034</c:v>
                </c:pt>
                <c:pt idx="32">
                  <c:v>178.03009168906058</c:v>
                </c:pt>
                <c:pt idx="33">
                  <c:v>178.69436147298495</c:v>
                </c:pt>
                <c:pt idx="34">
                  <c:v>179.36028704905829</c:v>
                </c:pt>
                <c:pt idx="35">
                  <c:v>179.99700894772786</c:v>
                </c:pt>
                <c:pt idx="36">
                  <c:v>180.57593526973687</c:v>
                </c:pt>
                <c:pt idx="37">
                  <c:v>181.16089867671008</c:v>
                </c:pt>
                <c:pt idx="38">
                  <c:v>181.54500020377679</c:v>
                </c:pt>
                <c:pt idx="39">
                  <c:v>181.35600324543023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44D-4C59-BA08-0E85B312A0B8}"/>
            </c:ext>
          </c:extLst>
        </c:ser>
        <c:ser>
          <c:idx val="3"/>
          <c:order val="3"/>
          <c:tx>
            <c:strRef>
              <c:f>'Vazões de Esgoto'!$I$6</c:f>
              <c:strCache>
                <c:ptCount val="1"/>
                <c:pt idx="0">
                  <c:v>Minima Noturna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Esgoto'!$I$8:$I$47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15.205969774852273</c:v>
                </c:pt>
                <c:pt idx="7">
                  <c:v>30.186492845370751</c:v>
                </c:pt>
                <c:pt idx="8">
                  <c:v>44.788532318604553</c:v>
                </c:pt>
                <c:pt idx="9">
                  <c:v>59.263423042739994</c:v>
                </c:pt>
                <c:pt idx="10">
                  <c:v>62.630599357853711</c:v>
                </c:pt>
                <c:pt idx="11">
                  <c:v>65.809553722985555</c:v>
                </c:pt>
                <c:pt idx="12">
                  <c:v>67.775401383607374</c:v>
                </c:pt>
                <c:pt idx="13">
                  <c:v>69.764869626682696</c:v>
                </c:pt>
                <c:pt idx="14">
                  <c:v>71.743702136467135</c:v>
                </c:pt>
                <c:pt idx="15">
                  <c:v>73.724480226758175</c:v>
                </c:pt>
                <c:pt idx="16">
                  <c:v>75.71279030764282</c:v>
                </c:pt>
                <c:pt idx="17">
                  <c:v>76.161819235349753</c:v>
                </c:pt>
                <c:pt idx="18">
                  <c:v>76.604138299429394</c:v>
                </c:pt>
                <c:pt idx="19">
                  <c:v>77.031320434804485</c:v>
                </c:pt>
                <c:pt idx="20">
                  <c:v>77.434766711417382</c:v>
                </c:pt>
                <c:pt idx="21">
                  <c:v>77.818506467249108</c:v>
                </c:pt>
                <c:pt idx="22">
                  <c:v>78.197976688426408</c:v>
                </c:pt>
                <c:pt idx="23">
                  <c:v>78.780178725879352</c:v>
                </c:pt>
                <c:pt idx="24">
                  <c:v>79.359477846287632</c:v>
                </c:pt>
                <c:pt idx="25">
                  <c:v>79.905059313961488</c:v>
                </c:pt>
                <c:pt idx="26">
                  <c:v>80.431013474968722</c:v>
                </c:pt>
                <c:pt idx="27">
                  <c:v>80.93764289963805</c:v>
                </c:pt>
                <c:pt idx="28">
                  <c:v>81.42533751302841</c:v>
                </c:pt>
                <c:pt idx="29">
                  <c:v>81.89479108044182</c:v>
                </c:pt>
                <c:pt idx="30">
                  <c:v>82.363041872831175</c:v>
                </c:pt>
                <c:pt idx="31">
                  <c:v>82.785992597524825</c:v>
                </c:pt>
                <c:pt idx="32">
                  <c:v>83.215769653528781</c:v>
                </c:pt>
                <c:pt idx="33">
                  <c:v>83.607909070114601</c:v>
                </c:pt>
                <c:pt idx="34">
                  <c:v>83.995383013538401</c:v>
                </c:pt>
                <c:pt idx="35">
                  <c:v>84.36705442911979</c:v>
                </c:pt>
                <c:pt idx="36">
                  <c:v>84.712456773041055</c:v>
                </c:pt>
                <c:pt idx="37">
                  <c:v>85.054803396605976</c:v>
                </c:pt>
                <c:pt idx="38">
                  <c:v>85.206823944320973</c:v>
                </c:pt>
                <c:pt idx="39">
                  <c:v>85.247001150715903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44D-4C59-BA08-0E85B312A0B8}"/>
            </c:ext>
          </c:extLst>
        </c:ser>
        <c:ser>
          <c:idx val="4"/>
          <c:order val="4"/>
          <c:tx>
            <c:strRef>
              <c:f>'Vazões de Esgoto'!$F$6</c:f>
              <c:strCache>
                <c:ptCount val="1"/>
                <c:pt idx="0">
                  <c:v>Vazão Total de Esgotamento - MÁXIMA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Esgoto'!$F$8:$F$47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37.712060974882256</c:v>
                </c:pt>
                <c:pt idx="7">
                  <c:v>75.052984120145098</c:v>
                </c:pt>
                <c:pt idx="8">
                  <c:v>111.69835586379543</c:v>
                </c:pt>
                <c:pt idx="9">
                  <c:v>148.15400581248855</c:v>
                </c:pt>
                <c:pt idx="10">
                  <c:v>156.8575831292938</c:v>
                </c:pt>
                <c:pt idx="11">
                  <c:v>165.18483849246624</c:v>
                </c:pt>
                <c:pt idx="12">
                  <c:v>169.9614948822923</c:v>
                </c:pt>
                <c:pt idx="13">
                  <c:v>174.79409889926552</c:v>
                </c:pt>
                <c:pt idx="14">
                  <c:v>179.58286747359364</c:v>
                </c:pt>
                <c:pt idx="15">
                  <c:v>184.36821993710518</c:v>
                </c:pt>
                <c:pt idx="16">
                  <c:v>189.16324028390787</c:v>
                </c:pt>
                <c:pt idx="17">
                  <c:v>190.10183270735774</c:v>
                </c:pt>
                <c:pt idx="18">
                  <c:v>191.02977255477143</c:v>
                </c:pt>
                <c:pt idx="19">
                  <c:v>191.92029686686598</c:v>
                </c:pt>
                <c:pt idx="20">
                  <c:v>192.74499204856528</c:v>
                </c:pt>
                <c:pt idx="21">
                  <c:v>193.52102189253068</c:v>
                </c:pt>
                <c:pt idx="22">
                  <c:v>194.29631405093861</c:v>
                </c:pt>
                <c:pt idx="23">
                  <c:v>195.45739983734754</c:v>
                </c:pt>
                <c:pt idx="24">
                  <c:v>196.62350695532999</c:v>
                </c:pt>
                <c:pt idx="25">
                  <c:v>197.70356125245488</c:v>
                </c:pt>
                <c:pt idx="26">
                  <c:v>198.73872566351682</c:v>
                </c:pt>
                <c:pt idx="27">
                  <c:v>199.73281569495268</c:v>
                </c:pt>
                <c:pt idx="28">
                  <c:v>200.68427453946421</c:v>
                </c:pt>
                <c:pt idx="29">
                  <c:v>201.59892379858013</c:v>
                </c:pt>
                <c:pt idx="30">
                  <c:v>202.52333664622623</c:v>
                </c:pt>
                <c:pt idx="31">
                  <c:v>203.32572223760877</c:v>
                </c:pt>
                <c:pt idx="32">
                  <c:v>204.1680097733294</c:v>
                </c:pt>
                <c:pt idx="33">
                  <c:v>204.90729903845693</c:v>
                </c:pt>
                <c:pt idx="34">
                  <c:v>205.64998670920517</c:v>
                </c:pt>
                <c:pt idx="35">
                  <c:v>206.35977634349123</c:v>
                </c:pt>
                <c:pt idx="36">
                  <c:v>207.00307933854853</c:v>
                </c:pt>
                <c:pt idx="37">
                  <c:v>207.65492607574492</c:v>
                </c:pt>
                <c:pt idx="38">
                  <c:v>208.10300647748988</c:v>
                </c:pt>
                <c:pt idx="39">
                  <c:v>207.85083197996522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44D-4C59-BA08-0E85B312A0B8}"/>
            </c:ext>
          </c:extLst>
        </c:ser>
        <c:ser>
          <c:idx val="5"/>
          <c:order val="5"/>
          <c:tx>
            <c:strRef>
              <c:f>'Vazões de Esgoto'!$E$6</c:f>
              <c:strCache>
                <c:ptCount val="1"/>
                <c:pt idx="0">
                  <c:v>Do Dia e Hora de Maior Consumo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'Vazões de Esgoto'!$C$8:$C$47</c:f>
              <c:numCache>
                <c:formatCode>General</c:formatCode>
                <c:ptCount val="40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  <c:pt idx="21">
                  <c:v>2043</c:v>
                </c:pt>
                <c:pt idx="22">
                  <c:v>2044</c:v>
                </c:pt>
                <c:pt idx="23">
                  <c:v>2045</c:v>
                </c:pt>
                <c:pt idx="24">
                  <c:v>2046</c:v>
                </c:pt>
                <c:pt idx="25">
                  <c:v>2047</c:v>
                </c:pt>
                <c:pt idx="26">
                  <c:v>2048</c:v>
                </c:pt>
                <c:pt idx="27">
                  <c:v>2049</c:v>
                </c:pt>
                <c:pt idx="28">
                  <c:v>2050</c:v>
                </c:pt>
                <c:pt idx="29">
                  <c:v>2051</c:v>
                </c:pt>
                <c:pt idx="30">
                  <c:v>2052</c:v>
                </c:pt>
                <c:pt idx="31">
                  <c:v>2053</c:v>
                </c:pt>
                <c:pt idx="32">
                  <c:v>2054</c:v>
                </c:pt>
                <c:pt idx="33">
                  <c:v>2055</c:v>
                </c:pt>
                <c:pt idx="34">
                  <c:v>2056</c:v>
                </c:pt>
                <c:pt idx="35">
                  <c:v>2057</c:v>
                </c:pt>
                <c:pt idx="36">
                  <c:v>2058</c:v>
                </c:pt>
                <c:pt idx="37">
                  <c:v>2059</c:v>
                </c:pt>
                <c:pt idx="38">
                  <c:v>2060</c:v>
                </c:pt>
                <c:pt idx="39">
                  <c:v>2061</c:v>
                </c:pt>
              </c:numCache>
            </c:numRef>
          </c:xVal>
          <c:yVal>
            <c:numRef>
              <c:f>'Vazões de Esgoto'!$E$8:$E$47</c:f>
              <c:numCache>
                <c:formatCode>#,##0.00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33.225424727732729</c:v>
                </c:pt>
                <c:pt idx="7">
                  <c:v>65.894243742445866</c:v>
                </c:pt>
                <c:pt idx="8">
                  <c:v>97.68551271191825</c:v>
                </c:pt>
                <c:pt idx="9">
                  <c:v>129.10844240053137</c:v>
                </c:pt>
                <c:pt idx="10">
                  <c:v>136.24203910712907</c:v>
                </c:pt>
                <c:pt idx="11">
                  <c:v>142.96084363704037</c:v>
                </c:pt>
                <c:pt idx="12">
                  <c:v>146.84714566432908</c:v>
                </c:pt>
                <c:pt idx="13">
                  <c:v>150.77554307648845</c:v>
                </c:pt>
                <c:pt idx="14">
                  <c:v>154.65212592065708</c:v>
                </c:pt>
                <c:pt idx="15">
                  <c:v>158.51711659674345</c:v>
                </c:pt>
                <c:pt idx="16">
                  <c:v>162.3814541523794</c:v>
                </c:pt>
                <c:pt idx="17">
                  <c:v>162.92884199189382</c:v>
                </c:pt>
                <c:pt idx="18">
                  <c:v>163.47330047709721</c:v>
                </c:pt>
                <c:pt idx="19">
                  <c:v>163.98859793755204</c:v>
                </c:pt>
                <c:pt idx="20">
                  <c:v>164.44648699559173</c:v>
                </c:pt>
                <c:pt idx="21">
                  <c:v>164.8657642432016</c:v>
                </c:pt>
                <c:pt idx="22">
                  <c:v>165.29271707043341</c:v>
                </c:pt>
                <c:pt idx="23">
                  <c:v>166.11689138598868</c:v>
                </c:pt>
                <c:pt idx="24">
                  <c:v>166.95234769415984</c:v>
                </c:pt>
                <c:pt idx="25">
                  <c:v>167.71329283934679</c:v>
                </c:pt>
                <c:pt idx="26">
                  <c:v>168.43827088557708</c:v>
                </c:pt>
                <c:pt idx="27">
                  <c:v>169.13228330632052</c:v>
                </c:pt>
                <c:pt idx="28">
                  <c:v>169.79255847979471</c:v>
                </c:pt>
                <c:pt idx="29">
                  <c:v>170.42639706164951</c:v>
                </c:pt>
                <c:pt idx="30">
                  <c:v>171.07584878723611</c:v>
                </c:pt>
                <c:pt idx="31">
                  <c:v>171.61606169201212</c:v>
                </c:pt>
                <c:pt idx="32">
                  <c:v>172.20336534821774</c:v>
                </c:pt>
                <c:pt idx="33">
                  <c:v>172.69761309542605</c:v>
                </c:pt>
                <c:pt idx="34">
                  <c:v>173.20334163094191</c:v>
                </c:pt>
                <c:pt idx="35">
                  <c:v>173.68473077337381</c:v>
                </c:pt>
                <c:pt idx="36">
                  <c:v>174.10886094751726</c:v>
                </c:pt>
                <c:pt idx="37">
                  <c:v>174.5495056275183</c:v>
                </c:pt>
                <c:pt idx="38">
                  <c:v>174.97101500310291</c:v>
                </c:pt>
                <c:pt idx="39">
                  <c:v>174.55478503307197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44D-4C59-BA08-0E85B312A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31310368"/>
        <c:axId val="-431317984"/>
        <c:extLst/>
      </c:scatterChart>
      <c:valAx>
        <c:axId val="-431310368"/>
        <c:scaling>
          <c:orientation val="minMax"/>
          <c:max val="2062"/>
          <c:min val="202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7984"/>
        <c:crosses val="autoZero"/>
        <c:crossBetween val="midCat"/>
        <c:majorUnit val="2"/>
      </c:valAx>
      <c:valAx>
        <c:axId val="-43131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0368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Economias e Ligações Água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Planilha1!$J$1</c:f>
              <c:strCache>
                <c:ptCount val="1"/>
                <c:pt idx="0">
                  <c:v>AG002 - Quantidade de ligações ativas de água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Planilha1!$I$5:$I$25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Planilha1!$J$5:$J$25</c:f>
              <c:numCache>
                <c:formatCode>#,##0</c:formatCode>
                <c:ptCount val="21"/>
                <c:pt idx="0">
                  <c:v>15046</c:v>
                </c:pt>
                <c:pt idx="1">
                  <c:v>12392</c:v>
                </c:pt>
                <c:pt idx="2">
                  <c:v>12372</c:v>
                </c:pt>
                <c:pt idx="3">
                  <c:v>14700</c:v>
                </c:pt>
                <c:pt idx="4">
                  <c:v>14574</c:v>
                </c:pt>
                <c:pt idx="5">
                  <c:v>14395</c:v>
                </c:pt>
                <c:pt idx="6">
                  <c:v>14127</c:v>
                </c:pt>
                <c:pt idx="7">
                  <c:v>13492</c:v>
                </c:pt>
                <c:pt idx="8">
                  <c:v>12096</c:v>
                </c:pt>
                <c:pt idx="9">
                  <c:v>12831</c:v>
                </c:pt>
                <c:pt idx="10">
                  <c:v>9558</c:v>
                </c:pt>
                <c:pt idx="11">
                  <c:v>12186</c:v>
                </c:pt>
                <c:pt idx="12">
                  <c:v>11852</c:v>
                </c:pt>
                <c:pt idx="15">
                  <c:v>11050</c:v>
                </c:pt>
                <c:pt idx="16">
                  <c:v>10830</c:v>
                </c:pt>
                <c:pt idx="17">
                  <c:v>10703</c:v>
                </c:pt>
                <c:pt idx="18">
                  <c:v>10860</c:v>
                </c:pt>
                <c:pt idx="19">
                  <c:v>9776</c:v>
                </c:pt>
                <c:pt idx="20">
                  <c:v>8820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606-4014-A36A-1E95073BDAB8}"/>
            </c:ext>
          </c:extLst>
        </c:ser>
        <c:ser>
          <c:idx val="1"/>
          <c:order val="1"/>
          <c:tx>
            <c:strRef>
              <c:f>Planilha1!$K$1</c:f>
              <c:strCache>
                <c:ptCount val="1"/>
                <c:pt idx="0">
                  <c:v>AG003 - Quantidade de economias ativas de água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Planilha1!$I$5:$I$25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Planilha1!$K$5:$K$25</c:f>
              <c:numCache>
                <c:formatCode>#,##0</c:formatCode>
                <c:ptCount val="21"/>
                <c:pt idx="0">
                  <c:v>16074</c:v>
                </c:pt>
                <c:pt idx="1">
                  <c:v>13106</c:v>
                </c:pt>
                <c:pt idx="2">
                  <c:v>13096</c:v>
                </c:pt>
                <c:pt idx="3">
                  <c:v>15600</c:v>
                </c:pt>
                <c:pt idx="4">
                  <c:v>15479</c:v>
                </c:pt>
                <c:pt idx="5">
                  <c:v>15317</c:v>
                </c:pt>
                <c:pt idx="6">
                  <c:v>15135</c:v>
                </c:pt>
                <c:pt idx="7">
                  <c:v>14416</c:v>
                </c:pt>
                <c:pt idx="8">
                  <c:v>14005</c:v>
                </c:pt>
                <c:pt idx="9">
                  <c:v>13567</c:v>
                </c:pt>
                <c:pt idx="10">
                  <c:v>10053</c:v>
                </c:pt>
                <c:pt idx="11">
                  <c:v>12835</c:v>
                </c:pt>
                <c:pt idx="12">
                  <c:v>12438</c:v>
                </c:pt>
                <c:pt idx="15">
                  <c:v>11428</c:v>
                </c:pt>
                <c:pt idx="16">
                  <c:v>11107</c:v>
                </c:pt>
                <c:pt idx="17">
                  <c:v>10982</c:v>
                </c:pt>
                <c:pt idx="18">
                  <c:v>11141</c:v>
                </c:pt>
                <c:pt idx="19">
                  <c:v>10372</c:v>
                </c:pt>
                <c:pt idx="20">
                  <c:v>9785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606-4014-A36A-1E95073BDAB8}"/>
            </c:ext>
          </c:extLst>
        </c:ser>
        <c:ser>
          <c:idx val="2"/>
          <c:order val="2"/>
          <c:tx>
            <c:strRef>
              <c:f>Planilha1!$L$1</c:f>
              <c:strCache>
                <c:ptCount val="1"/>
                <c:pt idx="0">
                  <c:v>AG004 - Quantidade de ligações ativas de água micro medidas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Planilha1!$I$5:$I$25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Planilha1!$L$5:$L$25</c:f>
              <c:numCache>
                <c:formatCode>#,##0</c:formatCode>
                <c:ptCount val="21"/>
                <c:pt idx="0">
                  <c:v>12532</c:v>
                </c:pt>
                <c:pt idx="1">
                  <c:v>10080</c:v>
                </c:pt>
                <c:pt idx="2">
                  <c:v>10018</c:v>
                </c:pt>
                <c:pt idx="3">
                  <c:v>12000</c:v>
                </c:pt>
                <c:pt idx="4">
                  <c:v>11775</c:v>
                </c:pt>
                <c:pt idx="5">
                  <c:v>11553</c:v>
                </c:pt>
                <c:pt idx="6">
                  <c:v>11207</c:v>
                </c:pt>
                <c:pt idx="7">
                  <c:v>10480</c:v>
                </c:pt>
                <c:pt idx="8">
                  <c:v>9653</c:v>
                </c:pt>
                <c:pt idx="9">
                  <c:v>9653</c:v>
                </c:pt>
                <c:pt idx="10">
                  <c:v>8866</c:v>
                </c:pt>
                <c:pt idx="11">
                  <c:v>8807</c:v>
                </c:pt>
                <c:pt idx="12">
                  <c:v>8236</c:v>
                </c:pt>
                <c:pt idx="15">
                  <c:v>6690</c:v>
                </c:pt>
                <c:pt idx="16">
                  <c:v>6228</c:v>
                </c:pt>
                <c:pt idx="17">
                  <c:v>6024</c:v>
                </c:pt>
                <c:pt idx="18">
                  <c:v>5858</c:v>
                </c:pt>
                <c:pt idx="19">
                  <c:v>4966</c:v>
                </c:pt>
                <c:pt idx="20">
                  <c:v>4592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606-4014-A36A-1E95073BDAB8}"/>
            </c:ext>
          </c:extLst>
        </c:ser>
        <c:ser>
          <c:idx val="3"/>
          <c:order val="3"/>
          <c:tx>
            <c:strRef>
              <c:f>Planilha1!$M$1</c:f>
              <c:strCache>
                <c:ptCount val="1"/>
                <c:pt idx="0">
                  <c:v>AG021 - Quantidade de ligações totais de água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Planilha1!$I$5:$I$25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Planilha1!$M$5:$M$25</c:f>
              <c:numCache>
                <c:formatCode>#,##0</c:formatCode>
                <c:ptCount val="21"/>
                <c:pt idx="0">
                  <c:v>15410</c:v>
                </c:pt>
                <c:pt idx="1">
                  <c:v>14984</c:v>
                </c:pt>
                <c:pt idx="2">
                  <c:v>15609</c:v>
                </c:pt>
                <c:pt idx="3">
                  <c:v>15396</c:v>
                </c:pt>
                <c:pt idx="4">
                  <c:v>15243</c:v>
                </c:pt>
                <c:pt idx="5">
                  <c:v>15019</c:v>
                </c:pt>
                <c:pt idx="6">
                  <c:v>14731</c:v>
                </c:pt>
                <c:pt idx="7">
                  <c:v>14070</c:v>
                </c:pt>
                <c:pt idx="8">
                  <c:v>13705</c:v>
                </c:pt>
                <c:pt idx="9">
                  <c:v>13330</c:v>
                </c:pt>
                <c:pt idx="10">
                  <c:v>13059</c:v>
                </c:pt>
                <c:pt idx="11">
                  <c:v>12692</c:v>
                </c:pt>
                <c:pt idx="12">
                  <c:v>12362</c:v>
                </c:pt>
                <c:pt idx="15">
                  <c:v>11725</c:v>
                </c:pt>
                <c:pt idx="16">
                  <c:v>11469</c:v>
                </c:pt>
                <c:pt idx="17">
                  <c:v>11181</c:v>
                </c:pt>
                <c:pt idx="18">
                  <c:v>10902</c:v>
                </c:pt>
                <c:pt idx="19">
                  <c:v>10174</c:v>
                </c:pt>
                <c:pt idx="20">
                  <c:v>10174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606-4014-A36A-1E95073BD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834367024"/>
        <c:axId val="-559666576"/>
      </c:scatterChart>
      <c:valAx>
        <c:axId val="-834367024"/>
        <c:scaling>
          <c:orientation val="minMax"/>
          <c:max val="202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6576"/>
        <c:crosses val="autoZero"/>
        <c:crossBetween val="midCat"/>
      </c:valAx>
      <c:valAx>
        <c:axId val="-559666576"/>
        <c:scaling>
          <c:orientation val="minMax"/>
          <c:max val="18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834367024"/>
        <c:crosses val="autoZero"/>
        <c:crossBetween val="midCat"/>
        <c:majorUnit val="2000"/>
        <c:minorUnit val="2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Volumes de Água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Planilha1!$J$28</c:f>
              <c:strCache>
                <c:ptCount val="1"/>
                <c:pt idx="0">
                  <c:v>AG006 - Volume de água produzido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Planilha1!$I$34:$I$54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Planilha1!$J$34:$J$54</c:f>
              <c:numCache>
                <c:formatCode>#,##0.00</c:formatCode>
                <c:ptCount val="21"/>
                <c:pt idx="0">
                  <c:v>6313</c:v>
                </c:pt>
                <c:pt idx="1">
                  <c:v>5069</c:v>
                </c:pt>
                <c:pt idx="2">
                  <c:v>5620</c:v>
                </c:pt>
                <c:pt idx="3">
                  <c:v>6309</c:v>
                </c:pt>
                <c:pt idx="4">
                  <c:v>6220</c:v>
                </c:pt>
                <c:pt idx="5">
                  <c:v>6137</c:v>
                </c:pt>
                <c:pt idx="6">
                  <c:v>6154</c:v>
                </c:pt>
                <c:pt idx="7">
                  <c:v>6136</c:v>
                </c:pt>
                <c:pt idx="8">
                  <c:v>6118</c:v>
                </c:pt>
                <c:pt idx="9">
                  <c:v>5449</c:v>
                </c:pt>
                <c:pt idx="10">
                  <c:v>5151</c:v>
                </c:pt>
                <c:pt idx="11">
                  <c:v>5151</c:v>
                </c:pt>
                <c:pt idx="12">
                  <c:v>5636</c:v>
                </c:pt>
                <c:pt idx="15">
                  <c:v>7173.49</c:v>
                </c:pt>
                <c:pt idx="16">
                  <c:v>6269.13</c:v>
                </c:pt>
                <c:pt idx="17">
                  <c:v>5171</c:v>
                </c:pt>
                <c:pt idx="18">
                  <c:v>5851</c:v>
                </c:pt>
                <c:pt idx="19">
                  <c:v>4994.79</c:v>
                </c:pt>
                <c:pt idx="20">
                  <c:v>3824.87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65-41AD-8324-D3A8C16BD59A}"/>
            </c:ext>
          </c:extLst>
        </c:ser>
        <c:ser>
          <c:idx val="2"/>
          <c:order val="1"/>
          <c:tx>
            <c:strRef>
              <c:f>Planilha1!$K$28</c:f>
              <c:strCache>
                <c:ptCount val="1"/>
                <c:pt idx="0">
                  <c:v>AG008 - Volume de água micro medido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Planilha1!$I$34:$I$54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Planilha1!$K$34:$K$54</c:f>
              <c:numCache>
                <c:formatCode>#,##0.00</c:formatCode>
                <c:ptCount val="21"/>
                <c:pt idx="0" formatCode="General">
                  <c:v>815.05</c:v>
                </c:pt>
                <c:pt idx="1">
                  <c:v>1913</c:v>
                </c:pt>
                <c:pt idx="2">
                  <c:v>2274</c:v>
                </c:pt>
                <c:pt idx="3">
                  <c:v>2269</c:v>
                </c:pt>
                <c:pt idx="4">
                  <c:v>2330</c:v>
                </c:pt>
                <c:pt idx="5">
                  <c:v>2063</c:v>
                </c:pt>
                <c:pt idx="6">
                  <c:v>2064</c:v>
                </c:pt>
                <c:pt idx="7">
                  <c:v>2062</c:v>
                </c:pt>
                <c:pt idx="8">
                  <c:v>2051</c:v>
                </c:pt>
                <c:pt idx="9">
                  <c:v>1991</c:v>
                </c:pt>
                <c:pt idx="10">
                  <c:v>1950</c:v>
                </c:pt>
                <c:pt idx="11">
                  <c:v>1804</c:v>
                </c:pt>
                <c:pt idx="12">
                  <c:v>1712</c:v>
                </c:pt>
                <c:pt idx="15">
                  <c:v>1398.58</c:v>
                </c:pt>
                <c:pt idx="16">
                  <c:v>1606.86</c:v>
                </c:pt>
                <c:pt idx="17">
                  <c:v>1421</c:v>
                </c:pt>
                <c:pt idx="18">
                  <c:v>1414</c:v>
                </c:pt>
                <c:pt idx="19">
                  <c:v>1205.8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165-41AD-8324-D3A8C16BD59A}"/>
            </c:ext>
          </c:extLst>
        </c:ser>
        <c:ser>
          <c:idx val="3"/>
          <c:order val="2"/>
          <c:tx>
            <c:strRef>
              <c:f>Planilha1!$L$28</c:f>
              <c:strCache>
                <c:ptCount val="1"/>
                <c:pt idx="0">
                  <c:v>AG010 - Volume de água consumido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Planilha1!$I$34:$I$54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Planilha1!$L$34:$L$54</c:f>
              <c:numCache>
                <c:formatCode>#,##0.00</c:formatCode>
                <c:ptCount val="21"/>
                <c:pt idx="0">
                  <c:v>1760.09</c:v>
                </c:pt>
                <c:pt idx="1">
                  <c:v>2528.62</c:v>
                </c:pt>
                <c:pt idx="2">
                  <c:v>2728</c:v>
                </c:pt>
                <c:pt idx="3">
                  <c:v>2765</c:v>
                </c:pt>
                <c:pt idx="4">
                  <c:v>2876</c:v>
                </c:pt>
                <c:pt idx="5">
                  <c:v>2896</c:v>
                </c:pt>
                <c:pt idx="6">
                  <c:v>2897</c:v>
                </c:pt>
                <c:pt idx="7">
                  <c:v>2894</c:v>
                </c:pt>
                <c:pt idx="8">
                  <c:v>2879</c:v>
                </c:pt>
                <c:pt idx="9">
                  <c:v>2822</c:v>
                </c:pt>
                <c:pt idx="10">
                  <c:v>2847</c:v>
                </c:pt>
                <c:pt idx="11">
                  <c:v>2706</c:v>
                </c:pt>
                <c:pt idx="12">
                  <c:v>2542</c:v>
                </c:pt>
                <c:pt idx="15">
                  <c:v>2462.37</c:v>
                </c:pt>
                <c:pt idx="16">
                  <c:v>2633.13</c:v>
                </c:pt>
                <c:pt idx="17">
                  <c:v>2600</c:v>
                </c:pt>
                <c:pt idx="18">
                  <c:v>2641</c:v>
                </c:pt>
                <c:pt idx="19">
                  <c:v>2508.8000000000002</c:v>
                </c:pt>
                <c:pt idx="20">
                  <c:v>2150.04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165-41AD-8324-D3A8C16BD59A}"/>
            </c:ext>
          </c:extLst>
        </c:ser>
        <c:ser>
          <c:idx val="4"/>
          <c:order val="3"/>
          <c:tx>
            <c:strRef>
              <c:f>Planilha1!$M$28</c:f>
              <c:strCache>
                <c:ptCount val="1"/>
                <c:pt idx="0">
                  <c:v>AG011 - Volume de água faturado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Planilha1!$I$34:$I$54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Planilha1!$M$34:$M$54</c:f>
              <c:numCache>
                <c:formatCode>#,##0.00</c:formatCode>
                <c:ptCount val="21"/>
                <c:pt idx="0">
                  <c:v>2640</c:v>
                </c:pt>
                <c:pt idx="1">
                  <c:v>2302</c:v>
                </c:pt>
                <c:pt idx="2">
                  <c:v>2728</c:v>
                </c:pt>
                <c:pt idx="3">
                  <c:v>2765</c:v>
                </c:pt>
                <c:pt idx="4">
                  <c:v>2786</c:v>
                </c:pt>
                <c:pt idx="5">
                  <c:v>2896</c:v>
                </c:pt>
                <c:pt idx="6">
                  <c:v>2897</c:v>
                </c:pt>
                <c:pt idx="7">
                  <c:v>2894</c:v>
                </c:pt>
                <c:pt idx="8">
                  <c:v>2879</c:v>
                </c:pt>
                <c:pt idx="9">
                  <c:v>2822</c:v>
                </c:pt>
                <c:pt idx="10">
                  <c:v>2847</c:v>
                </c:pt>
                <c:pt idx="11">
                  <c:v>2706</c:v>
                </c:pt>
                <c:pt idx="12">
                  <c:v>2542</c:v>
                </c:pt>
                <c:pt idx="15">
                  <c:v>2462.37</c:v>
                </c:pt>
                <c:pt idx="16">
                  <c:v>2633.1</c:v>
                </c:pt>
                <c:pt idx="17">
                  <c:v>2600</c:v>
                </c:pt>
                <c:pt idx="18">
                  <c:v>2641</c:v>
                </c:pt>
                <c:pt idx="19">
                  <c:v>2508.8000000000002</c:v>
                </c:pt>
                <c:pt idx="20">
                  <c:v>2150.04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165-41AD-8324-D3A8C16BD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59672560"/>
        <c:axId val="-727786128"/>
      </c:scatterChart>
      <c:valAx>
        <c:axId val="-559672560"/>
        <c:scaling>
          <c:orientation val="minMax"/>
          <c:max val="202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27786128"/>
        <c:crosses val="autoZero"/>
        <c:crossBetween val="midCat"/>
      </c:valAx>
      <c:valAx>
        <c:axId val="-72778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72560"/>
        <c:crosses val="autoZero"/>
        <c:crossBetween val="midCat"/>
        <c:majorUnit val="1000"/>
        <c:minorUnit val="2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Volume disponibilizado</a:t>
            </a:r>
            <a:r>
              <a:rPr lang="pt-BR" baseline="0"/>
              <a:t> e </a:t>
            </a:r>
            <a:r>
              <a:rPr lang="pt-BR"/>
              <a:t>Consumo por economia de Água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Planilha1!$J$58:$J$59</c:f>
              <c:strCache>
                <c:ptCount val="2"/>
                <c:pt idx="0">
                  <c:v>IN014_AE - Consumo micro medido por economia</c:v>
                </c:pt>
                <c:pt idx="1">
                  <c:v>(m³/mês)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Planilha1!$I$60:$I$80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Planilha1!$J$60:$J$80</c:f>
              <c:numCache>
                <c:formatCode>#,##0.00</c:formatCode>
                <c:ptCount val="21"/>
                <c:pt idx="0">
                  <c:v>15.6</c:v>
                </c:pt>
                <c:pt idx="1">
                  <c:v>14.9</c:v>
                </c:pt>
                <c:pt idx="2">
                  <c:v>16.2</c:v>
                </c:pt>
                <c:pt idx="3">
                  <c:v>14.9</c:v>
                </c:pt>
                <c:pt idx="4">
                  <c:v>15.6</c:v>
                </c:pt>
                <c:pt idx="5">
                  <c:v>14.1</c:v>
                </c:pt>
                <c:pt idx="6">
                  <c:v>14.7</c:v>
                </c:pt>
                <c:pt idx="7">
                  <c:v>15.9</c:v>
                </c:pt>
                <c:pt idx="8">
                  <c:v>16.600000000000001</c:v>
                </c:pt>
                <c:pt idx="9">
                  <c:v>16.8</c:v>
                </c:pt>
                <c:pt idx="10">
                  <c:v>17.3</c:v>
                </c:pt>
                <c:pt idx="11">
                  <c:v>16.600000000000001</c:v>
                </c:pt>
                <c:pt idx="12">
                  <c:v>16.3</c:v>
                </c:pt>
                <c:pt idx="13">
                  <c:v>16.3</c:v>
                </c:pt>
                <c:pt idx="14">
                  <c:v>17.5</c:v>
                </c:pt>
                <c:pt idx="15">
                  <c:v>17.5</c:v>
                </c:pt>
                <c:pt idx="16">
                  <c:v>21.1</c:v>
                </c:pt>
                <c:pt idx="17">
                  <c:v>18.8</c:v>
                </c:pt>
                <c:pt idx="18">
                  <c:v>20</c:v>
                </c:pt>
                <c:pt idx="19">
                  <c:v>18.5</c:v>
                </c:pt>
                <c:pt idx="20">
                  <c:v>18.5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8C-4A31-AD41-4CDC83F1E67A}"/>
            </c:ext>
          </c:extLst>
        </c:ser>
        <c:ser>
          <c:idx val="2"/>
          <c:order val="1"/>
          <c:tx>
            <c:strRef>
              <c:f>Planilha1!$J$58:$J$59</c:f>
              <c:strCache>
                <c:ptCount val="2"/>
                <c:pt idx="0">
                  <c:v>IN014_AE - Consumo micro medido por economia</c:v>
                </c:pt>
                <c:pt idx="1">
                  <c:v>(m³/mês)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Planilha1!$I$60:$I$80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Planilha1!$K$60:$K$80</c:f>
              <c:numCache>
                <c:formatCode>#,##0.00</c:formatCode>
                <c:ptCount val="21"/>
                <c:pt idx="0" formatCode="General">
                  <c:v>15.1</c:v>
                </c:pt>
                <c:pt idx="1">
                  <c:v>14.6</c:v>
                </c:pt>
                <c:pt idx="2">
                  <c:v>15.8</c:v>
                </c:pt>
                <c:pt idx="3">
                  <c:v>14.8</c:v>
                </c:pt>
                <c:pt idx="4">
                  <c:v>15.1</c:v>
                </c:pt>
                <c:pt idx="5">
                  <c:v>15.9</c:v>
                </c:pt>
                <c:pt idx="6">
                  <c:v>16.3</c:v>
                </c:pt>
                <c:pt idx="7">
                  <c:v>17</c:v>
                </c:pt>
                <c:pt idx="8">
                  <c:v>17.399999999999999</c:v>
                </c:pt>
                <c:pt idx="9">
                  <c:v>19.899999999999999</c:v>
                </c:pt>
                <c:pt idx="10">
                  <c:v>20.7</c:v>
                </c:pt>
                <c:pt idx="11">
                  <c:v>17.899999999999999</c:v>
                </c:pt>
                <c:pt idx="12">
                  <c:v>17</c:v>
                </c:pt>
                <c:pt idx="13">
                  <c:v>17</c:v>
                </c:pt>
                <c:pt idx="14">
                  <c:v>18.2</c:v>
                </c:pt>
                <c:pt idx="15">
                  <c:v>18.2</c:v>
                </c:pt>
                <c:pt idx="16">
                  <c:v>19.899999999999999</c:v>
                </c:pt>
                <c:pt idx="17">
                  <c:v>19.600000000000001</c:v>
                </c:pt>
                <c:pt idx="18">
                  <c:v>20.5</c:v>
                </c:pt>
                <c:pt idx="19">
                  <c:v>20.5</c:v>
                </c:pt>
                <c:pt idx="20">
                  <c:v>20.5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A8C-4A31-AD41-4CDC83F1E67A}"/>
            </c:ext>
          </c:extLst>
        </c:ser>
        <c:ser>
          <c:idx val="4"/>
          <c:order val="2"/>
          <c:tx>
            <c:strRef>
              <c:f>Planilha1!$M$58:$M$59</c:f>
              <c:strCache>
                <c:ptCount val="2"/>
                <c:pt idx="0">
                  <c:v>IN025_AE - Volume de água disponibilizado por economia</c:v>
                </c:pt>
                <c:pt idx="1">
                  <c:v>(m³/mês/econ.)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Planilha1!$I$60:$I$80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Planilha1!$M$60:$M$80</c:f>
              <c:numCache>
                <c:formatCode>#,##0.00</c:formatCode>
                <c:ptCount val="21"/>
                <c:pt idx="0">
                  <c:v>36.1</c:v>
                </c:pt>
                <c:pt idx="1">
                  <c:v>32.200000000000003</c:v>
                </c:pt>
                <c:pt idx="2">
                  <c:v>32.6</c:v>
                </c:pt>
                <c:pt idx="3">
                  <c:v>33.799999999999997</c:v>
                </c:pt>
                <c:pt idx="4">
                  <c:v>33.700000000000003</c:v>
                </c:pt>
                <c:pt idx="5">
                  <c:v>33.6</c:v>
                </c:pt>
                <c:pt idx="6">
                  <c:v>34.700000000000003</c:v>
                </c:pt>
                <c:pt idx="7">
                  <c:v>36</c:v>
                </c:pt>
                <c:pt idx="8">
                  <c:v>37</c:v>
                </c:pt>
                <c:pt idx="9">
                  <c:v>38.5</c:v>
                </c:pt>
                <c:pt idx="10">
                  <c:v>37.5</c:v>
                </c:pt>
                <c:pt idx="11">
                  <c:v>34</c:v>
                </c:pt>
                <c:pt idx="12">
                  <c:v>37.799999999999997</c:v>
                </c:pt>
                <c:pt idx="13">
                  <c:v>37.799999999999997</c:v>
                </c:pt>
                <c:pt idx="14">
                  <c:v>53.1</c:v>
                </c:pt>
                <c:pt idx="15">
                  <c:v>53.1</c:v>
                </c:pt>
                <c:pt idx="16">
                  <c:v>47.3</c:v>
                </c:pt>
                <c:pt idx="17">
                  <c:v>39</c:v>
                </c:pt>
                <c:pt idx="18">
                  <c:v>45.3</c:v>
                </c:pt>
                <c:pt idx="19">
                  <c:v>45.3</c:v>
                </c:pt>
                <c:pt idx="20">
                  <c:v>45.3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A8C-4A31-AD41-4CDC83F1E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27785040"/>
        <c:axId val="-372064128"/>
      </c:scatterChart>
      <c:valAx>
        <c:axId val="-727785040"/>
        <c:scaling>
          <c:orientation val="minMax"/>
          <c:max val="202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72064128"/>
        <c:crosses val="autoZero"/>
        <c:crossBetween val="midCat"/>
      </c:valAx>
      <c:valAx>
        <c:axId val="-37206412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27785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Consumo per capita de Água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9.8150481189851271E-2"/>
          <c:y val="0.15782407407407409"/>
          <c:w val="0.79103237095363077"/>
          <c:h val="0.58593742053326092"/>
        </c:manualLayout>
      </c:layout>
      <c:scatterChart>
        <c:scatterStyle val="smoothMarker"/>
        <c:varyColors val="0"/>
        <c:ser>
          <c:idx val="3"/>
          <c:order val="0"/>
          <c:tx>
            <c:strRef>
              <c:f>Planilha1!$L$58:$L$59</c:f>
              <c:strCache>
                <c:ptCount val="2"/>
                <c:pt idx="0">
                  <c:v>IN022_AE - Consumo médio per capita de água</c:v>
                </c:pt>
                <c:pt idx="1">
                  <c:v>(l/hab./dia)</c:v>
                </c:pt>
              </c:strCache>
            </c:strRef>
          </c:tx>
          <c:spPr>
            <a:ln w="19050" cap="rnd">
              <a:solidFill>
                <a:schemeClr val="accent2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rgbClr val="FF0000"/>
                </a:solidFill>
              </a:ln>
              <a:effectLst/>
            </c:spPr>
            <c:trendlineType val="linear"/>
            <c:forward val="2"/>
            <c:dispRSqr val="0"/>
            <c:dispEq val="1"/>
            <c:trendlineLbl>
              <c:layout>
                <c:manualLayout>
                  <c:x val="-6.2966535433070861E-2"/>
                  <c:y val="-0.3123990230387868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Planilha1!$I$60:$I$80</c:f>
              <c:numCache>
                <c:formatCode>General</c:formatCode>
                <c:ptCount val="21"/>
                <c:pt idx="0">
                  <c:v>2020</c:v>
                </c:pt>
                <c:pt idx="1">
                  <c:v>2019</c:v>
                </c:pt>
                <c:pt idx="2">
                  <c:v>2018</c:v>
                </c:pt>
                <c:pt idx="3">
                  <c:v>2017</c:v>
                </c:pt>
                <c:pt idx="4">
                  <c:v>2016</c:v>
                </c:pt>
                <c:pt idx="5">
                  <c:v>2015</c:v>
                </c:pt>
                <c:pt idx="6">
                  <c:v>2014</c:v>
                </c:pt>
                <c:pt idx="7">
                  <c:v>2013</c:v>
                </c:pt>
                <c:pt idx="8">
                  <c:v>2012</c:v>
                </c:pt>
                <c:pt idx="9">
                  <c:v>2011</c:v>
                </c:pt>
                <c:pt idx="10">
                  <c:v>2010</c:v>
                </c:pt>
                <c:pt idx="11">
                  <c:v>2009</c:v>
                </c:pt>
                <c:pt idx="12">
                  <c:v>2008</c:v>
                </c:pt>
                <c:pt idx="13">
                  <c:v>2007</c:v>
                </c:pt>
                <c:pt idx="14">
                  <c:v>2006</c:v>
                </c:pt>
                <c:pt idx="15">
                  <c:v>2005</c:v>
                </c:pt>
                <c:pt idx="16">
                  <c:v>2004</c:v>
                </c:pt>
                <c:pt idx="17">
                  <c:v>2003</c:v>
                </c:pt>
                <c:pt idx="18">
                  <c:v>2002</c:v>
                </c:pt>
                <c:pt idx="19">
                  <c:v>2001</c:v>
                </c:pt>
                <c:pt idx="20">
                  <c:v>2000</c:v>
                </c:pt>
              </c:numCache>
            </c:numRef>
          </c:xVal>
          <c:yVal>
            <c:numRef>
              <c:f>Planilha1!$L$60:$L$80</c:f>
              <c:numCache>
                <c:formatCode>#,##0.00</c:formatCode>
                <c:ptCount val="21"/>
                <c:pt idx="0">
                  <c:v>178.8</c:v>
                </c:pt>
                <c:pt idx="1">
                  <c:v>240.6</c:v>
                </c:pt>
                <c:pt idx="2">
                  <c:v>234.4</c:v>
                </c:pt>
                <c:pt idx="3">
                  <c:v>219.5</c:v>
                </c:pt>
                <c:pt idx="4">
                  <c:v>228.2</c:v>
                </c:pt>
                <c:pt idx="5">
                  <c:v>231</c:v>
                </c:pt>
                <c:pt idx="6">
                  <c:v>233.2</c:v>
                </c:pt>
                <c:pt idx="7">
                  <c:v>235.3</c:v>
                </c:pt>
                <c:pt idx="8">
                  <c:v>237</c:v>
                </c:pt>
                <c:pt idx="9">
                  <c:v>248.2</c:v>
                </c:pt>
                <c:pt idx="10">
                  <c:v>301.2</c:v>
                </c:pt>
                <c:pt idx="11">
                  <c:v>330.3</c:v>
                </c:pt>
                <c:pt idx="12">
                  <c:v>312.10000000000002</c:v>
                </c:pt>
                <c:pt idx="13">
                  <c:v>312.10000000000002</c:v>
                </c:pt>
                <c:pt idx="14">
                  <c:v>236.5</c:v>
                </c:pt>
                <c:pt idx="15">
                  <c:v>236.5</c:v>
                </c:pt>
                <c:pt idx="16">
                  <c:v>298.10000000000002</c:v>
                </c:pt>
                <c:pt idx="17">
                  <c:v>357.9</c:v>
                </c:pt>
                <c:pt idx="18">
                  <c:v>366.6</c:v>
                </c:pt>
                <c:pt idx="19">
                  <c:v>366.6</c:v>
                </c:pt>
                <c:pt idx="20">
                  <c:v>366.6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AE9-494F-9DA4-E43AD885A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72063584"/>
        <c:axId val="-372050528"/>
      </c:scatterChart>
      <c:valAx>
        <c:axId val="-372063584"/>
        <c:scaling>
          <c:orientation val="minMax"/>
          <c:max val="202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72050528"/>
        <c:crosses val="autoZero"/>
        <c:crossBetween val="midCat"/>
      </c:valAx>
      <c:valAx>
        <c:axId val="-372050528"/>
        <c:scaling>
          <c:orientation val="minMax"/>
          <c:min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37206358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301758007959357"/>
          <c:y val="0.82810408889521803"/>
          <c:w val="0.70060020555321123"/>
          <c:h val="0.14879007121672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23" workbookViewId="0"/>
  </sheetViews>
  <pageMargins left="0.78740157499999996" right="0.78740157499999996" top="0.984251969" bottom="0.984251969" header="0.49212598499999999" footer="0.49212598499999999"/>
  <headerFooter alignWithMargins="0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110" workbookViewId="0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48902" cy="6017012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637568" cy="600075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658090</xdr:colOff>
      <xdr:row>49</xdr:row>
      <xdr:rowOff>60614</xdr:rowOff>
    </xdr:from>
    <xdr:to>
      <xdr:col>10</xdr:col>
      <xdr:colOff>17318</xdr:colOff>
      <xdr:row>78</xdr:row>
      <xdr:rowOff>86591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230E2FD-8746-4C81-9AB2-86579B14BD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92869</xdr:colOff>
      <xdr:row>5</xdr:row>
      <xdr:rowOff>302419</xdr:rowOff>
    </xdr:from>
    <xdr:to>
      <xdr:col>24</xdr:col>
      <xdr:colOff>1168151</xdr:colOff>
      <xdr:row>46</xdr:row>
      <xdr:rowOff>6431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F07B980-44B5-C9DC-C3EB-4117405FB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79919" y="1235869"/>
          <a:ext cx="11076532" cy="7362112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46</xdr:row>
      <xdr:rowOff>152400</xdr:rowOff>
    </xdr:from>
    <xdr:to>
      <xdr:col>24</xdr:col>
      <xdr:colOff>1190342</xdr:colOff>
      <xdr:row>89</xdr:row>
      <xdr:rowOff>76434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9D0C5162-4EEC-705E-3160-D8C94B59B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0400" y="8743950"/>
          <a:ext cx="11058242" cy="72963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49</xdr:row>
      <xdr:rowOff>0</xdr:rowOff>
    </xdr:from>
    <xdr:to>
      <xdr:col>9</xdr:col>
      <xdr:colOff>410948</xdr:colOff>
      <xdr:row>69</xdr:row>
      <xdr:rowOff>106796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D8DF4233-CB04-4CCE-9664-6736FD2E9C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9526</xdr:colOff>
      <xdr:row>49</xdr:row>
      <xdr:rowOff>19050</xdr:rowOff>
    </xdr:from>
    <xdr:to>
      <xdr:col>23</xdr:col>
      <xdr:colOff>352425</xdr:colOff>
      <xdr:row>69</xdr:row>
      <xdr:rowOff>118907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38B11D3A-B810-4A18-A72D-906E8C5699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674687</xdr:colOff>
      <xdr:row>6</xdr:row>
      <xdr:rowOff>23813</xdr:rowOff>
    </xdr:from>
    <xdr:to>
      <xdr:col>18</xdr:col>
      <xdr:colOff>479856</xdr:colOff>
      <xdr:row>29</xdr:row>
      <xdr:rowOff>18761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2CD4793-6BD5-4460-AA65-91ACA18E44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49</xdr:row>
      <xdr:rowOff>142875</xdr:rowOff>
    </xdr:from>
    <xdr:to>
      <xdr:col>12</xdr:col>
      <xdr:colOff>666750</xdr:colOff>
      <xdr:row>75</xdr:row>
      <xdr:rowOff>142875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259CC12-DD00-4103-B8C4-8A9D16F3AD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603250</xdr:colOff>
      <xdr:row>48</xdr:row>
      <xdr:rowOff>79374</xdr:rowOff>
    </xdr:from>
    <xdr:to>
      <xdr:col>11</xdr:col>
      <xdr:colOff>58208</xdr:colOff>
      <xdr:row>71</xdr:row>
      <xdr:rowOff>71437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D8F00CF-2792-4AAD-B93B-2E9E9513AB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52</xdr:row>
      <xdr:rowOff>0</xdr:rowOff>
    </xdr:from>
    <xdr:to>
      <xdr:col>8</xdr:col>
      <xdr:colOff>609600</xdr:colOff>
      <xdr:row>72</xdr:row>
      <xdr:rowOff>127577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8A9F301-9E4C-4EBE-B573-0899A9507B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52</xdr:row>
      <xdr:rowOff>0</xdr:rowOff>
    </xdr:from>
    <xdr:to>
      <xdr:col>19</xdr:col>
      <xdr:colOff>564414</xdr:colOff>
      <xdr:row>72</xdr:row>
      <xdr:rowOff>85725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6803DE3F-5465-4819-A7B0-0C3060639A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200025</xdr:colOff>
      <xdr:row>51</xdr:row>
      <xdr:rowOff>142874</xdr:rowOff>
    </xdr:from>
    <xdr:to>
      <xdr:col>39</xdr:col>
      <xdr:colOff>666750</xdr:colOff>
      <xdr:row>72</xdr:row>
      <xdr:rowOff>76199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4A111844-E63D-4893-AD56-29A3149763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0</xdr:colOff>
      <xdr:row>52</xdr:row>
      <xdr:rowOff>0</xdr:rowOff>
    </xdr:from>
    <xdr:to>
      <xdr:col>29</xdr:col>
      <xdr:colOff>564414</xdr:colOff>
      <xdr:row>72</xdr:row>
      <xdr:rowOff>85725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E1B43B6-2196-41C3-9C03-08741E7DFA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49</xdr:row>
      <xdr:rowOff>133350</xdr:rowOff>
    </xdr:from>
    <xdr:to>
      <xdr:col>7</xdr:col>
      <xdr:colOff>426798</xdr:colOff>
      <xdr:row>66</xdr:row>
      <xdr:rowOff>42333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5068D88-3EEA-42F0-9C3A-A52A9979A0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590550</xdr:colOff>
      <xdr:row>49</xdr:row>
      <xdr:rowOff>114300</xdr:rowOff>
    </xdr:from>
    <xdr:to>
      <xdr:col>18</xdr:col>
      <xdr:colOff>466725</xdr:colOff>
      <xdr:row>76</xdr:row>
      <xdr:rowOff>113530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F8A3A878-AADA-43CD-BB3F-CDB25997CA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0</xdr:rowOff>
    </xdr:from>
    <xdr:to>
      <xdr:col>15</xdr:col>
      <xdr:colOff>85725</xdr:colOff>
      <xdr:row>77</xdr:row>
      <xdr:rowOff>15586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15785F5-3A2B-48ED-8FA8-BC772F7845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642937</xdr:colOff>
      <xdr:row>2</xdr:row>
      <xdr:rowOff>47625</xdr:rowOff>
    </xdr:from>
    <xdr:to>
      <xdr:col>20</xdr:col>
      <xdr:colOff>414337</xdr:colOff>
      <xdr:row>19</xdr:row>
      <xdr:rowOff>47625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27</xdr:row>
      <xdr:rowOff>0</xdr:rowOff>
    </xdr:from>
    <xdr:to>
      <xdr:col>21</xdr:col>
      <xdr:colOff>457200</xdr:colOff>
      <xdr:row>41</xdr:row>
      <xdr:rowOff>142875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19050</xdr:colOff>
      <xdr:row>56</xdr:row>
      <xdr:rowOff>0</xdr:rowOff>
    </xdr:from>
    <xdr:to>
      <xdr:col>20</xdr:col>
      <xdr:colOff>476250</xdr:colOff>
      <xdr:row>69</xdr:row>
      <xdr:rowOff>123825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685799</xdr:colOff>
      <xdr:row>71</xdr:row>
      <xdr:rowOff>1</xdr:rowOff>
    </xdr:from>
    <xdr:to>
      <xdr:col>21</xdr:col>
      <xdr:colOff>85725</xdr:colOff>
      <xdr:row>88</xdr:row>
      <xdr:rowOff>76200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P68"/>
  <sheetViews>
    <sheetView showGridLines="0" topLeftCell="G4" zoomScale="50" zoomScaleNormal="50" workbookViewId="0">
      <selection activeCell="AH52" sqref="AH52"/>
    </sheetView>
  </sheetViews>
  <sheetFormatPr defaultRowHeight="12.75" x14ac:dyDescent="0.2"/>
  <cols>
    <col min="1" max="1" width="9" style="36"/>
    <col min="2" max="2" width="9.875" style="40" customWidth="1"/>
    <col min="3" max="3" width="8.125" style="40" customWidth="1"/>
    <col min="4" max="10" width="11.625" style="40" customWidth="1"/>
    <col min="11" max="13" width="10.125" style="40" customWidth="1"/>
    <col min="14" max="16" width="11.625" style="40" customWidth="1"/>
    <col min="17" max="17" width="13.75" style="40" customWidth="1"/>
    <col min="18" max="24" width="11.625" style="40" customWidth="1"/>
    <col min="25" max="25" width="20.875" style="40" customWidth="1"/>
    <col min="26" max="26" width="28.75" style="40" customWidth="1"/>
    <col min="27" max="27" width="11.625" style="40" customWidth="1"/>
    <col min="28" max="30" width="9.125" style="40" customWidth="1"/>
    <col min="31" max="33" width="17" style="40" customWidth="1"/>
    <col min="34" max="36" width="9" style="40" customWidth="1"/>
    <col min="37" max="38" width="13.75" style="40" customWidth="1"/>
    <col min="39" max="42" width="10.625" style="40" customWidth="1"/>
    <col min="43" max="45" width="8.5" style="40" customWidth="1"/>
    <col min="46" max="66" width="10.625" style="40" customWidth="1"/>
    <col min="67" max="69" width="9.5" style="40" customWidth="1"/>
    <col min="70" max="85" width="8.625" style="40" customWidth="1"/>
    <col min="86" max="87" width="10.625" style="40" customWidth="1"/>
    <col min="88" max="90" width="7.5" style="40" customWidth="1"/>
    <col min="91" max="91" width="10.625" style="40" customWidth="1"/>
    <col min="92" max="92" width="12.5" style="40" customWidth="1"/>
    <col min="93" max="93" width="10.625" style="40" customWidth="1"/>
    <col min="94" max="94" width="2.125" customWidth="1"/>
    <col min="95" max="95" width="3.375" style="40" customWidth="1"/>
    <col min="96" max="97" width="10.375" style="40" customWidth="1"/>
    <col min="98" max="99" width="10.625" style="40" customWidth="1"/>
    <col min="100" max="124" width="12.875" style="40" customWidth="1"/>
    <col min="125" max="125" width="17.625" style="40" customWidth="1"/>
    <col min="126" max="126" width="10.625" style="40" customWidth="1"/>
    <col min="127" max="127" width="14" style="40" customWidth="1"/>
    <col min="128" max="131" width="10.625" style="40" customWidth="1"/>
    <col min="132" max="134" width="10.25" style="40" customWidth="1"/>
    <col min="135" max="137" width="10.625" style="40" customWidth="1"/>
    <col min="138" max="140" width="5" style="40" customWidth="1"/>
    <col min="141" max="148" width="10.625" style="40" customWidth="1"/>
    <col min="149" max="150" width="13.625" style="40" customWidth="1"/>
    <col min="151" max="153" width="11.625" style="40" customWidth="1"/>
    <col min="154" max="154" width="12.875" style="40" customWidth="1"/>
    <col min="155" max="155" width="11.625" style="40" customWidth="1"/>
    <col min="156" max="156" width="4.125" style="40" customWidth="1"/>
    <col min="157" max="157" width="7.125" style="40" bestFit="1" customWidth="1"/>
    <col min="158" max="158" width="5.375" style="40" bestFit="1" customWidth="1"/>
    <col min="159" max="159" width="15.125" style="40" bestFit="1" customWidth="1"/>
    <col min="160" max="164" width="11.625" style="40" customWidth="1"/>
    <col min="165" max="165" width="3.5" style="40" customWidth="1"/>
    <col min="166" max="166" width="7.125" style="40" bestFit="1" customWidth="1"/>
    <col min="167" max="167" width="5.375" style="40" bestFit="1" customWidth="1"/>
    <col min="168" max="168" width="11.5" style="40" bestFit="1" customWidth="1"/>
    <col min="169" max="170" width="13.375" style="40" customWidth="1"/>
    <col min="171" max="171" width="11.375" style="40" customWidth="1"/>
    <col min="172" max="172" width="10.875" style="40" customWidth="1"/>
    <col min="173" max="173" width="13.375" style="40" customWidth="1"/>
    <col min="174" max="174" width="9.875" style="40" customWidth="1"/>
    <col min="175" max="175" width="10.25" style="40" customWidth="1"/>
    <col min="176" max="180" width="13.375" style="40" customWidth="1"/>
    <col min="181" max="184" width="11.125" style="40" customWidth="1"/>
    <col min="185" max="187" width="11.625" style="40" customWidth="1"/>
    <col min="188" max="188" width="9" style="40"/>
    <col min="189" max="191" width="10.625" style="40" customWidth="1"/>
    <col min="192" max="192" width="5.75" style="40" customWidth="1"/>
    <col min="193" max="196" width="9" style="40"/>
    <col min="197" max="199" width="9" style="36"/>
    <col min="200" max="200" width="11.875" style="36" bestFit="1" customWidth="1"/>
    <col min="201" max="201" width="10.125" style="36" bestFit="1" customWidth="1"/>
    <col min="202" max="202" width="11.875" style="36" bestFit="1" customWidth="1"/>
    <col min="203" max="203" width="9.875" style="36" bestFit="1" customWidth="1"/>
    <col min="204" max="204" width="11.875" style="36" bestFit="1" customWidth="1"/>
    <col min="205" max="205" width="10.125" style="36" bestFit="1" customWidth="1"/>
    <col min="206" max="206" width="11.875" style="36" bestFit="1" customWidth="1"/>
    <col min="207" max="207" width="8.75" style="36" bestFit="1" customWidth="1"/>
    <col min="208" max="208" width="11.875" style="36" bestFit="1" customWidth="1"/>
    <col min="209" max="209" width="9.875" style="36" bestFit="1" customWidth="1"/>
    <col min="210" max="210" width="11.875" style="36" bestFit="1" customWidth="1"/>
    <col min="211" max="211" width="9" style="36" customWidth="1"/>
    <col min="212" max="223" width="9" style="36"/>
    <col min="224" max="226" width="9.75" style="36" customWidth="1"/>
    <col min="227" max="281" width="9" style="36"/>
    <col min="282" max="283" width="12.75" style="36" customWidth="1"/>
    <col min="284" max="16384" width="9" style="36"/>
  </cols>
  <sheetData>
    <row r="1" spans="2:198" x14ac:dyDescent="0.2">
      <c r="AH1" s="49"/>
      <c r="AQ1" s="49"/>
      <c r="GI1" s="96"/>
    </row>
    <row r="4" spans="2:198" ht="13.5" thickBot="1" x14ac:dyDescent="0.25"/>
    <row r="5" spans="2:198" s="104" customFormat="1" ht="18.75" x14ac:dyDescent="0.3">
      <c r="B5" s="223" t="s">
        <v>95</v>
      </c>
      <c r="C5" s="224"/>
      <c r="D5" s="224"/>
      <c r="E5" s="224"/>
      <c r="F5" s="224"/>
      <c r="G5" s="224"/>
      <c r="H5" s="224"/>
      <c r="I5" s="224"/>
      <c r="J5" s="225"/>
      <c r="K5" s="103"/>
      <c r="AH5" s="103"/>
      <c r="AQ5" s="103"/>
      <c r="BO5" s="103"/>
      <c r="CJ5" s="103"/>
      <c r="EB5" s="103"/>
      <c r="EZ5" s="103"/>
      <c r="FI5" s="103"/>
      <c r="GF5" s="103"/>
      <c r="GG5" s="221"/>
      <c r="GH5" s="221"/>
      <c r="GI5" s="221"/>
      <c r="GJ5" s="103"/>
      <c r="GK5" s="103"/>
      <c r="GL5" s="103"/>
      <c r="GM5" s="103"/>
      <c r="GN5" s="103"/>
    </row>
    <row r="6" spans="2:198" ht="64.5" customHeight="1" x14ac:dyDescent="0.2">
      <c r="B6" s="217" t="s">
        <v>0</v>
      </c>
      <c r="C6" s="218"/>
      <c r="D6" s="136" t="s">
        <v>166</v>
      </c>
      <c r="E6" s="136" t="s">
        <v>172</v>
      </c>
      <c r="F6" s="136" t="s">
        <v>187</v>
      </c>
      <c r="G6" s="136" t="s">
        <v>165</v>
      </c>
      <c r="H6" s="136" t="s">
        <v>189</v>
      </c>
      <c r="I6" s="136" t="s">
        <v>166</v>
      </c>
      <c r="J6" s="135" t="s">
        <v>188</v>
      </c>
      <c r="L6" s="40" t="s">
        <v>323</v>
      </c>
      <c r="AH6" s="98"/>
      <c r="GG6"/>
      <c r="GH6"/>
      <c r="GI6"/>
      <c r="GJ6"/>
      <c r="GK6"/>
      <c r="GL6"/>
      <c r="GM6"/>
    </row>
    <row r="7" spans="2:198" ht="12" customHeight="1" x14ac:dyDescent="0.2">
      <c r="B7" s="219"/>
      <c r="C7" s="220"/>
      <c r="D7" s="101" t="s">
        <v>120</v>
      </c>
      <c r="E7" s="101" t="s">
        <v>120</v>
      </c>
      <c r="F7" s="101" t="s">
        <v>2</v>
      </c>
      <c r="G7" s="101" t="s">
        <v>120</v>
      </c>
      <c r="H7" s="101"/>
      <c r="I7" s="101" t="s">
        <v>120</v>
      </c>
      <c r="J7" s="101" t="s">
        <v>2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98"/>
      <c r="AI7" s="36"/>
      <c r="AJ7" s="36"/>
      <c r="AK7" s="36"/>
      <c r="AL7" s="36"/>
      <c r="AM7" s="36"/>
      <c r="AN7" s="36"/>
      <c r="AO7" s="36"/>
      <c r="AP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FA7" s="36"/>
      <c r="FB7" s="36"/>
      <c r="FC7" s="36"/>
      <c r="FD7" s="36"/>
      <c r="FE7" s="36"/>
      <c r="FF7" s="36"/>
      <c r="FG7" s="36"/>
      <c r="FH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G7"/>
      <c r="GH7"/>
      <c r="GI7"/>
      <c r="GJ7"/>
      <c r="GK7"/>
      <c r="GL7"/>
      <c r="GM7"/>
    </row>
    <row r="8" spans="2:198" x14ac:dyDescent="0.2">
      <c r="B8" s="101" t="s">
        <v>164</v>
      </c>
      <c r="C8" s="101">
        <v>2022</v>
      </c>
      <c r="D8" s="102">
        <v>46099</v>
      </c>
      <c r="E8" s="102">
        <v>2524</v>
      </c>
      <c r="F8" s="110"/>
      <c r="G8" s="102">
        <v>43575</v>
      </c>
      <c r="H8" s="110"/>
      <c r="I8" s="102">
        <f t="shared" ref="I8:I45" si="0">E8+G8</f>
        <v>46099</v>
      </c>
      <c r="J8" s="110">
        <v>8.6E-3</v>
      </c>
      <c r="K8" s="39"/>
      <c r="L8" s="36">
        <v>60730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9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105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105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10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9"/>
      <c r="FA8" s="36"/>
      <c r="FB8" s="36"/>
      <c r="FC8" s="36"/>
      <c r="FD8" s="36"/>
      <c r="FE8" s="36"/>
      <c r="FF8" s="36"/>
      <c r="FG8" s="36"/>
      <c r="FH8" s="36"/>
      <c r="FI8" s="39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9"/>
      <c r="GG8"/>
      <c r="GH8"/>
      <c r="GI8"/>
      <c r="GJ8"/>
      <c r="GK8"/>
      <c r="GL8"/>
      <c r="GM8"/>
      <c r="GN8" s="39"/>
      <c r="GP8" s="107"/>
    </row>
    <row r="9" spans="2:198" x14ac:dyDescent="0.2">
      <c r="B9" s="109">
        <v>-2</v>
      </c>
      <c r="C9" s="109">
        <v>2023</v>
      </c>
      <c r="D9" s="111">
        <v>46410.389286607584</v>
      </c>
      <c r="E9" s="111">
        <v>2197.8233766137523</v>
      </c>
      <c r="F9" s="112">
        <f t="shared" ref="F9:F47" si="1">E9/E8-1</f>
        <v>-0.12923004096127089</v>
      </c>
      <c r="G9" s="111">
        <v>44212.565909993835</v>
      </c>
      <c r="H9" s="112">
        <f t="shared" ref="H9:H45" si="2">1-(G9/G8)^(1/(C8-C9))</f>
        <v>1.4420468409179543E-2</v>
      </c>
      <c r="I9" s="111">
        <f t="shared" si="0"/>
        <v>46410.389286607584</v>
      </c>
      <c r="J9" s="112">
        <f>1-(D9/D8)^(1/(C8-C9))</f>
        <v>6.7094737060832133E-3</v>
      </c>
      <c r="L9" s="36">
        <v>60730</v>
      </c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105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105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10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FA9" s="36"/>
      <c r="FB9" s="36"/>
      <c r="FC9" s="36"/>
      <c r="FD9" s="36"/>
      <c r="FE9" s="36"/>
      <c r="FF9" s="36"/>
      <c r="FG9" s="36"/>
      <c r="FH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G9"/>
      <c r="GH9"/>
      <c r="GI9"/>
      <c r="GJ9"/>
      <c r="GK9"/>
      <c r="GL9"/>
      <c r="GM9"/>
    </row>
    <row r="10" spans="2:198" x14ac:dyDescent="0.2">
      <c r="B10" s="109">
        <v>-1</v>
      </c>
      <c r="C10" s="109">
        <v>2024</v>
      </c>
      <c r="D10" s="111">
        <v>47001.047468737517</v>
      </c>
      <c r="E10" s="111">
        <v>2169.8520025264429</v>
      </c>
      <c r="F10" s="112">
        <f t="shared" si="1"/>
        <v>-1.2726852569202252E-2</v>
      </c>
      <c r="G10" s="111">
        <v>44831.195466211073</v>
      </c>
      <c r="H10" s="112">
        <f t="shared" si="2"/>
        <v>1.3799086769468172E-2</v>
      </c>
      <c r="I10" s="111">
        <f t="shared" si="0"/>
        <v>47001.047468737517</v>
      </c>
      <c r="J10" s="112">
        <f t="shared" ref="J10:J45" si="3">1-(D10/D9)^(1/(C9-C10))</f>
        <v>1.2566915291043368E-2</v>
      </c>
      <c r="L10" s="36">
        <v>60730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105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105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10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FA10" s="36"/>
      <c r="FB10" s="36"/>
      <c r="FC10" s="36"/>
      <c r="FD10" s="36"/>
      <c r="FE10" s="36"/>
      <c r="FF10" s="36"/>
      <c r="FG10" s="36"/>
      <c r="FH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G10"/>
      <c r="GH10"/>
      <c r="GI10"/>
      <c r="GJ10"/>
      <c r="GK10"/>
      <c r="GL10"/>
      <c r="GM10"/>
    </row>
    <row r="11" spans="2:198" x14ac:dyDescent="0.2">
      <c r="B11" s="101" t="s">
        <v>54</v>
      </c>
      <c r="C11" s="109">
        <v>2025</v>
      </c>
      <c r="D11" s="111">
        <v>47574.248761036477</v>
      </c>
      <c r="E11" s="111">
        <v>2143.3895716035377</v>
      </c>
      <c r="F11" s="112">
        <f t="shared" si="1"/>
        <v>-1.2195500380714486E-2</v>
      </c>
      <c r="G11" s="111">
        <v>45430.859189432937</v>
      </c>
      <c r="H11" s="112">
        <f t="shared" si="2"/>
        <v>1.3199480131367292E-2</v>
      </c>
      <c r="I11" s="111">
        <f t="shared" si="0"/>
        <v>47574.248761036477</v>
      </c>
      <c r="J11" s="112">
        <f t="shared" si="3"/>
        <v>1.2048562136590557E-2</v>
      </c>
      <c r="L11" s="36">
        <v>60730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105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105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10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FA11" s="36"/>
      <c r="FB11" s="36"/>
      <c r="FC11" s="36"/>
      <c r="FD11" s="36"/>
      <c r="FE11" s="36"/>
      <c r="FF11" s="36"/>
      <c r="FG11" s="36"/>
      <c r="FH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G11"/>
      <c r="GH11"/>
      <c r="GI11"/>
      <c r="GJ11"/>
      <c r="GK11"/>
      <c r="GL11"/>
      <c r="GM11"/>
    </row>
    <row r="12" spans="2:198" x14ac:dyDescent="0.2">
      <c r="B12" s="109">
        <v>0</v>
      </c>
      <c r="C12" s="109">
        <v>2026</v>
      </c>
      <c r="D12" s="131">
        <v>48129.934308474782</v>
      </c>
      <c r="E12" s="131">
        <v>2118.3539559398482</v>
      </c>
      <c r="F12" s="112">
        <f t="shared" si="1"/>
        <v>-1.1680385122411319E-2</v>
      </c>
      <c r="G12" s="131">
        <v>46011.580352534933</v>
      </c>
      <c r="H12" s="112">
        <f t="shared" si="2"/>
        <v>1.2621195765339599E-2</v>
      </c>
      <c r="I12" s="111">
        <f t="shared" si="0"/>
        <v>48129.934308474782</v>
      </c>
      <c r="J12" s="112">
        <f t="shared" si="3"/>
        <v>1.154552889843552E-2</v>
      </c>
      <c r="L12" s="36">
        <v>60730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105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105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10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FA12" s="36"/>
      <c r="FB12" s="36"/>
      <c r="FC12" s="36"/>
      <c r="FD12" s="36"/>
      <c r="FE12" s="36"/>
      <c r="FF12" s="36"/>
      <c r="FG12" s="36"/>
      <c r="FH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G12"/>
      <c r="GH12"/>
      <c r="GI12"/>
      <c r="GJ12"/>
      <c r="GK12"/>
      <c r="GL12"/>
      <c r="GM12"/>
    </row>
    <row r="13" spans="2:198" x14ac:dyDescent="0.2">
      <c r="B13" s="101">
        <v>1</v>
      </c>
      <c r="C13" s="101">
        <v>2027</v>
      </c>
      <c r="D13" s="132">
        <v>48668.099693066652</v>
      </c>
      <c r="E13" s="132">
        <v>2094.667558113219</v>
      </c>
      <c r="F13" s="110">
        <f t="shared" si="1"/>
        <v>-1.1181510889722968E-2</v>
      </c>
      <c r="G13" s="132">
        <v>46573.432134953429</v>
      </c>
      <c r="H13" s="110">
        <f t="shared" si="2"/>
        <v>1.2063783076807444E-2</v>
      </c>
      <c r="I13" s="102">
        <f t="shared" si="0"/>
        <v>48668.099693066652</v>
      </c>
      <c r="J13" s="110">
        <f t="shared" si="3"/>
        <v>1.1057867226908269E-2</v>
      </c>
      <c r="L13" s="36">
        <v>60730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105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105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10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FA13" s="36"/>
      <c r="FB13" s="36"/>
      <c r="FC13" s="36"/>
      <c r="FD13" s="36"/>
      <c r="FE13" s="36"/>
      <c r="FF13" s="36"/>
      <c r="FG13" s="36"/>
      <c r="FH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G13"/>
      <c r="GH13"/>
      <c r="GI13"/>
      <c r="GJ13"/>
      <c r="GK13"/>
      <c r="GL13"/>
      <c r="GM13"/>
    </row>
    <row r="14" spans="2:198" x14ac:dyDescent="0.2">
      <c r="B14" s="109">
        <f t="shared" ref="B14:B45" si="4">B13+1</f>
        <v>2</v>
      </c>
      <c r="C14" s="109">
        <v>2028</v>
      </c>
      <c r="D14" s="131">
        <v>49188.791631129308</v>
      </c>
      <c r="E14" s="131">
        <v>2072.2570568339524</v>
      </c>
      <c r="F14" s="112">
        <f t="shared" si="1"/>
        <v>-1.069883437706598E-2</v>
      </c>
      <c r="G14" s="131">
        <v>47116.534574295358</v>
      </c>
      <c r="H14" s="112">
        <f t="shared" si="2"/>
        <v>1.152679084421071E-2</v>
      </c>
      <c r="I14" s="111">
        <f t="shared" si="0"/>
        <v>49188.791631129308</v>
      </c>
      <c r="J14" s="112">
        <f t="shared" si="3"/>
        <v>1.058558099917084E-2</v>
      </c>
      <c r="L14" s="36">
        <v>60730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105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105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10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FA14" s="36"/>
      <c r="FB14" s="36"/>
      <c r="FC14" s="36"/>
      <c r="FD14" s="36"/>
      <c r="FE14" s="36"/>
      <c r="FF14" s="36"/>
      <c r="FG14" s="36"/>
      <c r="FH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G14"/>
      <c r="GH14"/>
      <c r="GI14"/>
      <c r="GJ14"/>
      <c r="GK14"/>
      <c r="GL14"/>
      <c r="GM14"/>
    </row>
    <row r="15" spans="2:198" x14ac:dyDescent="0.2">
      <c r="B15" s="109">
        <f t="shared" si="4"/>
        <v>3</v>
      </c>
      <c r="C15" s="109">
        <v>2029</v>
      </c>
      <c r="D15" s="131">
        <v>49692.104532988749</v>
      </c>
      <c r="E15" s="131">
        <v>2051.0531671247827</v>
      </c>
      <c r="F15" s="112">
        <f t="shared" si="1"/>
        <v>-1.023226806695765E-2</v>
      </c>
      <c r="G15" s="131">
        <v>47641.051365863968</v>
      </c>
      <c r="H15" s="112">
        <f t="shared" si="2"/>
        <v>1.1009765245114655E-2</v>
      </c>
      <c r="I15" s="111">
        <f t="shared" si="0"/>
        <v>49692.104532988749</v>
      </c>
      <c r="J15" s="112">
        <f t="shared" si="3"/>
        <v>1.0128629217651897E-2</v>
      </c>
      <c r="K15" s="39"/>
      <c r="L15" s="36">
        <v>60730</v>
      </c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100"/>
      <c r="AI15" s="36"/>
      <c r="AJ15" s="36"/>
      <c r="AK15" s="36"/>
      <c r="AL15" s="36"/>
      <c r="AM15" s="36"/>
      <c r="AN15" s="36"/>
      <c r="AO15" s="36"/>
      <c r="AP15" s="36"/>
      <c r="AQ15" s="39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105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105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10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9"/>
      <c r="FA15" s="36"/>
      <c r="FB15" s="36"/>
      <c r="FC15" s="36"/>
      <c r="FD15" s="36"/>
      <c r="FE15" s="36"/>
      <c r="FF15" s="36"/>
      <c r="FG15" s="36"/>
      <c r="FH15" s="36"/>
      <c r="FI15" s="39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9"/>
      <c r="GG15"/>
      <c r="GH15"/>
      <c r="GI15"/>
      <c r="GJ15"/>
      <c r="GK15"/>
      <c r="GL15"/>
      <c r="GM15"/>
      <c r="GN15" s="39"/>
    </row>
    <row r="16" spans="2:198" x14ac:dyDescent="0.2">
      <c r="B16" s="109">
        <f t="shared" si="4"/>
        <v>4</v>
      </c>
      <c r="C16" s="109">
        <v>2030</v>
      </c>
      <c r="D16" s="131">
        <v>50178.176972132591</v>
      </c>
      <c r="E16" s="131">
        <v>2030.990414195971</v>
      </c>
      <c r="F16" s="112">
        <f t="shared" si="1"/>
        <v>-9.7816835030835048E-3</v>
      </c>
      <c r="G16" s="131">
        <v>48147.18655793662</v>
      </c>
      <c r="H16" s="112">
        <f t="shared" si="2"/>
        <v>1.051224854984234E-2</v>
      </c>
      <c r="I16" s="111">
        <f t="shared" si="0"/>
        <v>50178.176972132591</v>
      </c>
      <c r="J16" s="112">
        <f t="shared" si="3"/>
        <v>9.6869290292029842E-3</v>
      </c>
      <c r="L16" s="36">
        <v>60730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105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105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10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FA16" s="36"/>
      <c r="FB16" s="36"/>
      <c r="FC16" s="36"/>
      <c r="FD16" s="36"/>
      <c r="FE16" s="36"/>
      <c r="FF16" s="36"/>
      <c r="FG16" s="36"/>
      <c r="FH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G16"/>
      <c r="GH16"/>
      <c r="GI16"/>
      <c r="GJ16"/>
      <c r="GK16"/>
      <c r="GL16"/>
      <c r="GM16"/>
    </row>
    <row r="17" spans="2:196" x14ac:dyDescent="0.2">
      <c r="B17" s="101">
        <f t="shared" si="4"/>
        <v>5</v>
      </c>
      <c r="C17" s="101">
        <v>2031</v>
      </c>
      <c r="D17" s="132">
        <v>50647.188107419621</v>
      </c>
      <c r="E17" s="132">
        <v>2012.0069202271059</v>
      </c>
      <c r="F17" s="110">
        <f t="shared" si="1"/>
        <v>-9.34691460687187E-3</v>
      </c>
      <c r="G17" s="132">
        <v>48635.181187192517</v>
      </c>
      <c r="H17" s="110">
        <f t="shared" si="2"/>
        <v>1.0033778374910374E-2</v>
      </c>
      <c r="I17" s="102">
        <f t="shared" si="0"/>
        <v>50647.188107419621</v>
      </c>
      <c r="J17" s="110">
        <f t="shared" si="3"/>
        <v>9.2603588237175627E-3</v>
      </c>
      <c r="L17" s="36">
        <v>60730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105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105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10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FA17" s="36"/>
      <c r="FB17" s="36"/>
      <c r="FC17" s="36"/>
      <c r="FD17" s="36"/>
      <c r="FE17" s="36"/>
      <c r="FF17" s="36"/>
      <c r="FG17" s="36"/>
      <c r="FH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G17"/>
      <c r="GH17"/>
      <c r="GI17"/>
      <c r="GJ17"/>
      <c r="GK17"/>
      <c r="GL17"/>
      <c r="GM17"/>
    </row>
    <row r="18" spans="2:196" x14ac:dyDescent="0.2">
      <c r="B18" s="109">
        <f t="shared" si="4"/>
        <v>6</v>
      </c>
      <c r="C18" s="109">
        <v>2032</v>
      </c>
      <c r="D18" s="131">
        <v>51099.354098197487</v>
      </c>
      <c r="E18" s="131">
        <v>1994.0442033116699</v>
      </c>
      <c r="F18" s="112">
        <f t="shared" si="1"/>
        <v>-8.9277610006472941E-3</v>
      </c>
      <c r="G18" s="131">
        <v>49105.309894885817</v>
      </c>
      <c r="H18" s="112">
        <f t="shared" si="2"/>
        <v>9.5738874003575836E-3</v>
      </c>
      <c r="I18" s="111">
        <f t="shared" si="0"/>
        <v>51099.354098197487</v>
      </c>
      <c r="J18" s="112">
        <f t="shared" si="3"/>
        <v>8.8487613739489657E-3</v>
      </c>
      <c r="L18" s="36">
        <v>60730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105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105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10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FA18" s="36"/>
      <c r="FB18" s="36"/>
      <c r="FC18" s="36"/>
      <c r="FD18" s="36"/>
      <c r="FE18" s="36"/>
      <c r="FF18" s="36"/>
      <c r="FG18" s="36"/>
      <c r="FH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G18"/>
      <c r="GH18"/>
      <c r="GI18"/>
      <c r="GJ18"/>
      <c r="GK18"/>
      <c r="GL18"/>
      <c r="GM18"/>
    </row>
    <row r="19" spans="2:196" s="100" customFormat="1" x14ac:dyDescent="0.2">
      <c r="B19" s="109">
        <f t="shared" si="4"/>
        <v>7</v>
      </c>
      <c r="C19" s="109">
        <v>2033</v>
      </c>
      <c r="D19" s="131">
        <v>51534.924548176983</v>
      </c>
      <c r="E19" s="131">
        <v>1977.0469878625979</v>
      </c>
      <c r="F19" s="112">
        <f t="shared" si="1"/>
        <v>-8.5239913041261772E-3</v>
      </c>
      <c r="G19" s="131">
        <v>49557.877560314388</v>
      </c>
      <c r="H19" s="112">
        <f t="shared" si="2"/>
        <v>9.1321034658471412E-3</v>
      </c>
      <c r="I19" s="111">
        <f t="shared" si="0"/>
        <v>51534.924548176983</v>
      </c>
      <c r="J19" s="112">
        <f t="shared" si="3"/>
        <v>8.4519469815524939E-3</v>
      </c>
      <c r="K19" s="39"/>
      <c r="L19" s="36">
        <v>60730</v>
      </c>
      <c r="AQ19" s="39"/>
      <c r="BO19" s="105"/>
      <c r="CJ19" s="105"/>
      <c r="EB19" s="106"/>
      <c r="EZ19" s="39"/>
      <c r="FI19" s="39"/>
      <c r="GF19" s="39"/>
      <c r="GG19"/>
      <c r="GH19"/>
      <c r="GI19"/>
      <c r="GJ19"/>
      <c r="GK19"/>
      <c r="GL19"/>
      <c r="GM19"/>
      <c r="GN19" s="39"/>
    </row>
    <row r="20" spans="2:196" x14ac:dyDescent="0.2">
      <c r="B20" s="109">
        <f t="shared" si="4"/>
        <v>8</v>
      </c>
      <c r="C20" s="109">
        <v>2034</v>
      </c>
      <c r="D20" s="131">
        <v>51954.179009778287</v>
      </c>
      <c r="E20" s="131">
        <v>1960.9630258169771</v>
      </c>
      <c r="F20" s="112">
        <f t="shared" si="1"/>
        <v>-8.1353463748523591E-3</v>
      </c>
      <c r="G20" s="131">
        <v>49993.215983961309</v>
      </c>
      <c r="H20" s="112">
        <f t="shared" si="2"/>
        <v>8.7079499703835994E-3</v>
      </c>
      <c r="I20" s="111">
        <f t="shared" si="0"/>
        <v>51954.179009778287</v>
      </c>
      <c r="J20" s="112">
        <f t="shared" si="3"/>
        <v>8.0696965978885871E-3</v>
      </c>
      <c r="K20" s="39"/>
      <c r="L20" s="36">
        <v>60730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100"/>
      <c r="AI20" s="36"/>
      <c r="AJ20" s="36"/>
      <c r="AK20" s="36"/>
      <c r="AL20" s="36"/>
      <c r="AM20" s="36"/>
      <c r="AN20" s="36"/>
      <c r="AO20" s="36"/>
      <c r="AP20" s="36"/>
      <c r="AQ20" s="39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105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105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10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9"/>
      <c r="FA20" s="36"/>
      <c r="FB20" s="36"/>
      <c r="FC20" s="36"/>
      <c r="FD20" s="36"/>
      <c r="FE20" s="36"/>
      <c r="FF20" s="36"/>
      <c r="FG20" s="36"/>
      <c r="FH20" s="36"/>
      <c r="FI20" s="39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9"/>
      <c r="GG20"/>
      <c r="GH20"/>
      <c r="GI20"/>
      <c r="GJ20"/>
      <c r="GK20"/>
      <c r="GL20"/>
      <c r="GM20"/>
      <c r="GN20" s="39"/>
    </row>
    <row r="21" spans="2:196" x14ac:dyDescent="0.2">
      <c r="B21" s="109">
        <f t="shared" si="4"/>
        <v>9</v>
      </c>
      <c r="C21" s="109">
        <v>2035</v>
      </c>
      <c r="D21" s="131">
        <v>52357.423576502828</v>
      </c>
      <c r="E21" s="131">
        <v>1945.7429280158053</v>
      </c>
      <c r="F21" s="112">
        <f t="shared" si="1"/>
        <v>-7.7615424670389732E-3</v>
      </c>
      <c r="G21" s="131">
        <v>50411.680648487025</v>
      </c>
      <c r="H21" s="112">
        <f t="shared" si="2"/>
        <v>8.3009465096711699E-3</v>
      </c>
      <c r="I21" s="111">
        <f t="shared" si="0"/>
        <v>52357.423576502828</v>
      </c>
      <c r="J21" s="112">
        <f t="shared" si="3"/>
        <v>7.7017648917604431E-3</v>
      </c>
      <c r="L21" s="36">
        <v>60730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105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105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10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FA21" s="36"/>
      <c r="FB21" s="36"/>
      <c r="FC21" s="36"/>
      <c r="FD21" s="36"/>
      <c r="FE21" s="36"/>
      <c r="FF21" s="36"/>
      <c r="FG21" s="36"/>
      <c r="FH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G21"/>
      <c r="GH21"/>
      <c r="GI21"/>
      <c r="GJ21"/>
      <c r="GK21"/>
      <c r="GL21"/>
      <c r="GM21"/>
    </row>
    <row r="22" spans="2:196" x14ac:dyDescent="0.2">
      <c r="B22" s="101">
        <f t="shared" si="4"/>
        <v>10</v>
      </c>
      <c r="C22" s="101">
        <v>2036</v>
      </c>
      <c r="D22" s="132">
        <v>52744.987586780422</v>
      </c>
      <c r="E22" s="132">
        <v>1931.340005170505</v>
      </c>
      <c r="F22" s="110">
        <f t="shared" si="1"/>
        <v>-7.4022742870702984E-3</v>
      </c>
      <c r="G22" s="132">
        <v>50813.647581609919</v>
      </c>
      <c r="H22" s="110">
        <f t="shared" si="2"/>
        <v>7.9106096935337433E-3</v>
      </c>
      <c r="I22" s="102">
        <f t="shared" si="0"/>
        <v>52744.987586780422</v>
      </c>
      <c r="J22" s="110">
        <f t="shared" si="3"/>
        <v>7.3478832398992111E-3</v>
      </c>
      <c r="L22" s="36">
        <v>60730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105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105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10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FA22" s="36"/>
      <c r="FB22" s="36"/>
      <c r="FC22" s="36"/>
      <c r="FD22" s="36"/>
      <c r="FE22" s="36"/>
      <c r="FF22" s="36"/>
      <c r="FG22" s="36"/>
      <c r="FH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G22"/>
      <c r="GH22"/>
      <c r="GI22"/>
      <c r="GJ22"/>
      <c r="GK22"/>
      <c r="GL22"/>
      <c r="GM22"/>
    </row>
    <row r="23" spans="2:196" x14ac:dyDescent="0.2">
      <c r="B23" s="109">
        <f t="shared" si="4"/>
        <v>11</v>
      </c>
      <c r="C23" s="109">
        <v>2037</v>
      </c>
      <c r="D23" s="131">
        <v>53117.220458769429</v>
      </c>
      <c r="E23" s="131">
        <v>1917.7101178617049</v>
      </c>
      <c r="F23" s="112">
        <f t="shared" si="1"/>
        <v>-7.0572179276102709E-3</v>
      </c>
      <c r="G23" s="131">
        <v>51199.510340907727</v>
      </c>
      <c r="H23" s="112">
        <f t="shared" si="2"/>
        <v>7.5364540935758395E-3</v>
      </c>
      <c r="I23" s="111">
        <f t="shared" si="0"/>
        <v>53117.220458769429</v>
      </c>
      <c r="J23" s="112">
        <f t="shared" si="3"/>
        <v>7.0077626196186626E-3</v>
      </c>
      <c r="L23" s="36">
        <v>60730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105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105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10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FA23" s="36"/>
      <c r="FB23" s="36"/>
      <c r="FC23" s="36"/>
      <c r="FD23" s="36"/>
      <c r="FE23" s="36"/>
      <c r="FF23" s="36"/>
      <c r="FG23" s="36"/>
      <c r="FH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G23"/>
      <c r="GH23"/>
      <c r="GI23"/>
      <c r="GJ23"/>
      <c r="GK23"/>
      <c r="GL23"/>
      <c r="GM23"/>
    </row>
    <row r="24" spans="2:196" x14ac:dyDescent="0.2">
      <c r="B24" s="109">
        <f t="shared" si="4"/>
        <v>12</v>
      </c>
      <c r="C24" s="109">
        <v>2038</v>
      </c>
      <c r="D24" s="131">
        <v>53474.488671807332</v>
      </c>
      <c r="E24" s="131">
        <v>1904.811535047776</v>
      </c>
      <c r="F24" s="112">
        <f t="shared" si="1"/>
        <v>-6.7260336657717357E-3</v>
      </c>
      <c r="G24" s="131">
        <v>51569.677136759557</v>
      </c>
      <c r="H24" s="112">
        <f t="shared" si="2"/>
        <v>7.1779932783013756E-3</v>
      </c>
      <c r="I24" s="111">
        <f t="shared" si="0"/>
        <v>53474.488671807332</v>
      </c>
      <c r="J24" s="112">
        <f t="shared" si="3"/>
        <v>6.681096386551566E-3</v>
      </c>
      <c r="L24" s="36">
        <v>60730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105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105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10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FA24" s="36"/>
      <c r="FB24" s="36"/>
      <c r="FC24" s="36"/>
      <c r="FD24" s="36"/>
      <c r="FE24" s="36"/>
      <c r="FF24" s="36"/>
      <c r="FG24" s="36"/>
      <c r="FH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G24"/>
      <c r="GH24"/>
      <c r="GI24"/>
      <c r="GJ24"/>
      <c r="GK24"/>
      <c r="GL24"/>
      <c r="GM24"/>
    </row>
    <row r="25" spans="2:196" x14ac:dyDescent="0.2">
      <c r="B25" s="109">
        <f t="shared" si="4"/>
        <v>13</v>
      </c>
      <c r="C25" s="109">
        <v>2039</v>
      </c>
      <c r="D25" s="131">
        <v>53817.172906665335</v>
      </c>
      <c r="E25" s="131">
        <v>1892.6048005908522</v>
      </c>
      <c r="F25" s="112">
        <f t="shared" si="1"/>
        <v>-6.4083686140726792E-3</v>
      </c>
      <c r="G25" s="131">
        <v>51924.568106074483</v>
      </c>
      <c r="H25" s="112">
        <f t="shared" si="2"/>
        <v>6.8347408993357783E-3</v>
      </c>
      <c r="I25" s="111">
        <f t="shared" si="0"/>
        <v>53817.172906665335</v>
      </c>
      <c r="J25" s="112">
        <f t="shared" si="3"/>
        <v>6.3675629236845666E-3</v>
      </c>
      <c r="K25" s="39"/>
      <c r="L25" s="36">
        <v>60730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100"/>
      <c r="AI25" s="36"/>
      <c r="AJ25" s="36"/>
      <c r="AK25" s="36"/>
      <c r="AL25" s="36"/>
      <c r="AM25" s="36"/>
      <c r="AN25" s="36"/>
      <c r="AO25" s="36"/>
      <c r="AP25" s="36"/>
      <c r="AQ25" s="39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105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105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10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9"/>
      <c r="FA25" s="36"/>
      <c r="FB25" s="36"/>
      <c r="FC25" s="36"/>
      <c r="FD25" s="36"/>
      <c r="FE25" s="36"/>
      <c r="FF25" s="36"/>
      <c r="FG25" s="36"/>
      <c r="FH25" s="36"/>
      <c r="FI25" s="39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9"/>
      <c r="GG25"/>
      <c r="GH25"/>
      <c r="GI25"/>
      <c r="GJ25"/>
      <c r="GK25"/>
      <c r="GL25"/>
      <c r="GM25"/>
      <c r="GN25" s="39"/>
    </row>
    <row r="26" spans="2:196" x14ac:dyDescent="0.2">
      <c r="B26" s="109">
        <f t="shared" si="4"/>
        <v>14</v>
      </c>
      <c r="C26" s="109">
        <v>2040</v>
      </c>
      <c r="D26" s="131">
        <v>54145.665353488075</v>
      </c>
      <c r="E26" s="131">
        <v>1881.0526073366138</v>
      </c>
      <c r="F26" s="112">
        <f t="shared" si="1"/>
        <v>-6.103859215950358E-3</v>
      </c>
      <c r="G26" s="131">
        <v>52264.612746151462</v>
      </c>
      <c r="H26" s="112">
        <f t="shared" si="2"/>
        <v>6.5062117981925516E-3</v>
      </c>
      <c r="I26" s="111">
        <f t="shared" si="0"/>
        <v>54145.665353488075</v>
      </c>
      <c r="J26" s="112">
        <f t="shared" si="3"/>
        <v>6.0668281510291022E-3</v>
      </c>
      <c r="L26" s="36">
        <v>60730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105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105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10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FA26" s="36"/>
      <c r="FB26" s="36"/>
      <c r="FC26" s="36"/>
      <c r="FD26" s="36"/>
      <c r="FE26" s="36"/>
      <c r="FF26" s="36"/>
      <c r="FG26" s="36"/>
      <c r="FH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G26"/>
      <c r="GH26"/>
      <c r="GI26"/>
      <c r="GJ26"/>
      <c r="GK26"/>
      <c r="GL26"/>
      <c r="GM26"/>
    </row>
    <row r="27" spans="2:196" x14ac:dyDescent="0.2">
      <c r="B27" s="101">
        <f t="shared" si="4"/>
        <v>15</v>
      </c>
      <c r="C27" s="101">
        <v>2041</v>
      </c>
      <c r="D27" s="132">
        <v>54460.367193320133</v>
      </c>
      <c r="E27" s="132">
        <v>1870.1196783110852</v>
      </c>
      <c r="F27" s="110">
        <f t="shared" si="1"/>
        <v>-5.8121335803620333E-3</v>
      </c>
      <c r="G27" s="132">
        <v>52590.247515009047</v>
      </c>
      <c r="H27" s="110">
        <f t="shared" si="2"/>
        <v>6.1919231082653292E-3</v>
      </c>
      <c r="I27" s="102">
        <f t="shared" si="0"/>
        <v>54460.367193320133</v>
      </c>
      <c r="J27" s="110">
        <f t="shared" si="3"/>
        <v>5.7785478881356989E-3</v>
      </c>
      <c r="L27" s="36">
        <v>60730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105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105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10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FA27" s="36"/>
      <c r="FB27" s="36"/>
      <c r="FC27" s="36"/>
      <c r="FD27" s="36"/>
      <c r="FE27" s="36"/>
      <c r="FF27" s="36"/>
      <c r="FG27" s="36"/>
      <c r="FH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G27"/>
      <c r="GH27"/>
      <c r="GI27"/>
      <c r="GJ27"/>
      <c r="GK27"/>
      <c r="GL27"/>
      <c r="GM27"/>
    </row>
    <row r="28" spans="2:196" x14ac:dyDescent="0.2">
      <c r="B28" s="109">
        <f t="shared" si="4"/>
        <v>16</v>
      </c>
      <c r="C28" s="109">
        <v>2042</v>
      </c>
      <c r="D28" s="131">
        <v>54761.686256446563</v>
      </c>
      <c r="E28" s="131">
        <v>1859.7726546231488</v>
      </c>
      <c r="F28" s="112">
        <f t="shared" si="1"/>
        <v>-5.5328136524828153E-3</v>
      </c>
      <c r="G28" s="131">
        <v>52901.913601823413</v>
      </c>
      <c r="H28" s="112">
        <f t="shared" si="2"/>
        <v>5.8913953313709522E-3</v>
      </c>
      <c r="I28" s="111">
        <f t="shared" si="0"/>
        <v>54761.686256446563</v>
      </c>
      <c r="J28" s="112">
        <f t="shared" si="3"/>
        <v>5.5023700642702345E-3</v>
      </c>
      <c r="L28" s="36">
        <v>60730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105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105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10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FA28" s="36"/>
      <c r="FB28" s="36"/>
      <c r="FC28" s="36"/>
      <c r="FD28" s="36"/>
      <c r="FE28" s="36"/>
      <c r="FF28" s="36"/>
      <c r="FG28" s="36"/>
      <c r="FH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G28"/>
      <c r="GH28"/>
      <c r="GI28"/>
      <c r="GJ28"/>
      <c r="GK28"/>
      <c r="GL28"/>
      <c r="GM28"/>
    </row>
    <row r="29" spans="2:196" x14ac:dyDescent="0.2">
      <c r="B29" s="109">
        <f t="shared" si="4"/>
        <v>17</v>
      </c>
      <c r="C29" s="109">
        <v>2043</v>
      </c>
      <c r="D29" s="131">
        <v>55050.034858409446</v>
      </c>
      <c r="E29" s="131">
        <v>1849.9799896855116</v>
      </c>
      <c r="F29" s="112">
        <f t="shared" si="1"/>
        <v>-5.2655172196955924E-3</v>
      </c>
      <c r="G29" s="131">
        <v>53200.054868723935</v>
      </c>
      <c r="H29" s="112">
        <f t="shared" si="2"/>
        <v>5.6041533723267811E-3</v>
      </c>
      <c r="I29" s="111">
        <f t="shared" si="0"/>
        <v>55050.034858409446</v>
      </c>
      <c r="J29" s="112">
        <f t="shared" si="3"/>
        <v>5.2379367734194382E-3</v>
      </c>
      <c r="L29" s="36">
        <v>60730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105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48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47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FA29" s="36"/>
      <c r="FB29" s="36"/>
      <c r="FC29" s="36"/>
      <c r="FD29" s="36"/>
      <c r="FE29" s="36"/>
      <c r="FF29" s="36"/>
      <c r="FG29" s="36"/>
      <c r="FH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G29"/>
      <c r="GH29"/>
      <c r="GI29"/>
      <c r="GJ29"/>
      <c r="GK29"/>
      <c r="GL29"/>
      <c r="GM29"/>
    </row>
    <row r="30" spans="2:196" x14ac:dyDescent="0.2">
      <c r="B30" s="109">
        <f t="shared" si="4"/>
        <v>18</v>
      </c>
      <c r="C30" s="109">
        <v>2044</v>
      </c>
      <c r="D30" s="131">
        <v>55325.827812502503</v>
      </c>
      <c r="E30" s="131">
        <v>1840.7118493894939</v>
      </c>
      <c r="F30" s="112">
        <f t="shared" si="1"/>
        <v>-5.009859753992929E-3</v>
      </c>
      <c r="G30" s="131">
        <v>53485.115963113007</v>
      </c>
      <c r="H30" s="112">
        <f t="shared" si="2"/>
        <v>5.3297275186927617E-3</v>
      </c>
      <c r="I30" s="111">
        <f t="shared" si="0"/>
        <v>55325.827812502503</v>
      </c>
      <c r="J30" s="112">
        <f t="shared" si="3"/>
        <v>4.9848861733746697E-3</v>
      </c>
      <c r="K30" s="39"/>
      <c r="L30" s="36">
        <v>60730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100"/>
      <c r="AI30" s="36"/>
      <c r="AJ30" s="36"/>
      <c r="AK30" s="36"/>
      <c r="AL30" s="36"/>
      <c r="AM30" s="36"/>
      <c r="AN30" s="36"/>
      <c r="AO30" s="36"/>
      <c r="AP30" s="36"/>
      <c r="AQ30" s="39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105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105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10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9"/>
      <c r="FA30" s="36"/>
      <c r="FB30" s="36"/>
      <c r="FC30" s="36"/>
      <c r="FD30" s="36"/>
      <c r="FE30" s="36"/>
      <c r="FF30" s="36"/>
      <c r="FG30" s="36"/>
      <c r="FH30" s="36"/>
      <c r="FI30" s="39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9"/>
      <c r="GG30"/>
      <c r="GH30"/>
      <c r="GI30"/>
      <c r="GJ30"/>
      <c r="GK30"/>
      <c r="GL30"/>
      <c r="GM30"/>
      <c r="GN30" s="39"/>
    </row>
    <row r="31" spans="2:196" x14ac:dyDescent="0.2">
      <c r="B31" s="109">
        <f t="shared" si="4"/>
        <v>19</v>
      </c>
      <c r="C31" s="109">
        <v>2045</v>
      </c>
      <c r="D31" s="131">
        <v>55589.480615780878</v>
      </c>
      <c r="E31" s="131">
        <v>1831.9400178903982</v>
      </c>
      <c r="F31" s="112">
        <f t="shared" si="1"/>
        <v>-4.7654560935244117E-3</v>
      </c>
      <c r="G31" s="131">
        <v>53757.540597890482</v>
      </c>
      <c r="H31" s="112">
        <f t="shared" si="2"/>
        <v>5.0676543559762255E-3</v>
      </c>
      <c r="I31" s="111">
        <f t="shared" si="0"/>
        <v>55589.480615780878</v>
      </c>
      <c r="J31" s="112">
        <f t="shared" si="3"/>
        <v>4.7428542299337018E-3</v>
      </c>
      <c r="L31" s="36">
        <v>60730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105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105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10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FA31" s="36"/>
      <c r="FB31" s="36"/>
      <c r="FC31" s="36"/>
      <c r="FD31" s="36"/>
      <c r="FE31" s="36"/>
      <c r="FF31" s="36"/>
      <c r="FG31" s="36"/>
      <c r="FH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G31"/>
      <c r="GH31"/>
      <c r="GI31"/>
      <c r="GJ31"/>
      <c r="GK31"/>
      <c r="GL31"/>
      <c r="GM31"/>
    </row>
    <row r="32" spans="2:196" x14ac:dyDescent="0.2">
      <c r="B32" s="101">
        <f t="shared" si="4"/>
        <v>20</v>
      </c>
      <c r="C32" s="101">
        <v>2046</v>
      </c>
      <c r="D32" s="132">
        <v>55841.407804141396</v>
      </c>
      <c r="E32" s="132">
        <v>1823.6378086803118</v>
      </c>
      <c r="F32" s="110">
        <f t="shared" si="1"/>
        <v>-4.5319219674271327E-3</v>
      </c>
      <c r="G32" s="132">
        <v>54017.769995461087</v>
      </c>
      <c r="H32" s="110">
        <f t="shared" si="2"/>
        <v>4.8174776113947271E-3</v>
      </c>
      <c r="I32" s="102">
        <f t="shared" si="0"/>
        <v>55841.407804141396</v>
      </c>
      <c r="J32" s="110">
        <f t="shared" si="3"/>
        <v>4.5114763088376364E-3</v>
      </c>
      <c r="L32" s="36">
        <v>60730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105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105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10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FA32" s="36"/>
      <c r="FB32" s="36"/>
      <c r="FC32" s="36"/>
      <c r="FD32" s="36"/>
      <c r="FE32" s="36"/>
      <c r="FF32" s="36"/>
      <c r="FG32" s="36"/>
      <c r="FH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G32"/>
      <c r="GH32"/>
      <c r="GI32"/>
      <c r="GJ32"/>
      <c r="GK32"/>
      <c r="GL32"/>
      <c r="GM32"/>
    </row>
    <row r="33" spans="2:196" x14ac:dyDescent="0.2">
      <c r="B33" s="109">
        <f t="shared" si="4"/>
        <v>21</v>
      </c>
      <c r="C33" s="109">
        <v>2047</v>
      </c>
      <c r="D33" s="131">
        <v>56082.021470808475</v>
      </c>
      <c r="E33" s="131">
        <v>1815.7799806442008</v>
      </c>
      <c r="F33" s="112">
        <f t="shared" si="1"/>
        <v>-4.3088753691706838E-3</v>
      </c>
      <c r="G33" s="131">
        <v>54266.241490164277</v>
      </c>
      <c r="H33" s="112">
        <f t="shared" si="2"/>
        <v>4.5787489216150279E-3</v>
      </c>
      <c r="I33" s="111">
        <f t="shared" si="0"/>
        <v>56082.021470808475</v>
      </c>
      <c r="J33" s="112">
        <f t="shared" si="3"/>
        <v>4.2903886193247365E-3</v>
      </c>
      <c r="L33" s="36">
        <v>60730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105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105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/>
      <c r="EB33" s="106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FA33" s="36"/>
      <c r="FB33" s="36"/>
      <c r="FC33" s="36"/>
      <c r="FD33" s="36"/>
      <c r="FE33" s="36"/>
      <c r="FF33" s="36"/>
      <c r="FG33" s="36"/>
      <c r="FH33" s="36"/>
      <c r="FJ33" s="36"/>
      <c r="FK33" s="36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  <c r="GG33"/>
      <c r="GH33"/>
      <c r="GI33"/>
      <c r="GJ33"/>
      <c r="GK33"/>
      <c r="GL33"/>
      <c r="GM33"/>
    </row>
    <row r="34" spans="2:196" x14ac:dyDescent="0.2">
      <c r="B34" s="109">
        <f t="shared" si="4"/>
        <v>22</v>
      </c>
      <c r="C34" s="109">
        <v>2048</v>
      </c>
      <c r="D34" s="131">
        <v>56311.729941586789</v>
      </c>
      <c r="E34" s="131">
        <v>1808.342658812983</v>
      </c>
      <c r="F34" s="112">
        <f t="shared" si="1"/>
        <v>-4.095937784587278E-3</v>
      </c>
      <c r="G34" s="131">
        <v>54503.387282773809</v>
      </c>
      <c r="H34" s="112">
        <f t="shared" si="2"/>
        <v>4.3510285219370282E-3</v>
      </c>
      <c r="I34" s="111">
        <f t="shared" si="0"/>
        <v>56311.729941586789</v>
      </c>
      <c r="J34" s="112">
        <f t="shared" si="3"/>
        <v>4.0792295142877411E-3</v>
      </c>
      <c r="L34" s="36">
        <v>60730</v>
      </c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105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105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10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FA34" s="36"/>
      <c r="FB34" s="36"/>
      <c r="FC34" s="36"/>
      <c r="FD34" s="36"/>
      <c r="FE34" s="36"/>
      <c r="FF34" s="36"/>
      <c r="FG34" s="36"/>
      <c r="FH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G34"/>
      <c r="GH34"/>
      <c r="GI34"/>
      <c r="GJ34"/>
      <c r="GK34"/>
      <c r="GL34"/>
      <c r="GM34"/>
    </row>
    <row r="35" spans="2:196" x14ac:dyDescent="0.2">
      <c r="B35" s="109">
        <f t="shared" si="4"/>
        <v>23</v>
      </c>
      <c r="C35" s="109">
        <v>2049</v>
      </c>
      <c r="D35" s="131">
        <v>56530.936599488814</v>
      </c>
      <c r="E35" s="131">
        <v>1801.3032595441052</v>
      </c>
      <c r="F35" s="112">
        <f t="shared" si="1"/>
        <v>-3.8927352814308591E-3</v>
      </c>
      <c r="G35" s="131">
        <v>54729.63333994471</v>
      </c>
      <c r="H35" s="112">
        <f t="shared" si="2"/>
        <v>4.1338858560517888E-3</v>
      </c>
      <c r="I35" s="111">
        <f t="shared" si="0"/>
        <v>56530.936599488814</v>
      </c>
      <c r="J35" s="112">
        <f t="shared" si="3"/>
        <v>3.8776406528527874E-3</v>
      </c>
      <c r="K35" s="39"/>
      <c r="L35" s="36">
        <v>60730</v>
      </c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100"/>
      <c r="AI35" s="36"/>
      <c r="AJ35" s="36"/>
      <c r="AK35" s="36"/>
      <c r="AL35" s="36"/>
      <c r="AM35" s="36"/>
      <c r="AN35" s="36"/>
      <c r="AO35" s="36"/>
      <c r="AP35" s="36"/>
      <c r="AQ35" s="39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105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105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10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9"/>
      <c r="FA35" s="36"/>
      <c r="FB35" s="36"/>
      <c r="FC35" s="36"/>
      <c r="FD35" s="36"/>
      <c r="FE35" s="36"/>
      <c r="FF35" s="36"/>
      <c r="FG35" s="36"/>
      <c r="FH35" s="36"/>
      <c r="FI35" s="39"/>
      <c r="FJ35" s="36"/>
      <c r="FK35" s="36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  <c r="GF35" s="39"/>
      <c r="GG35"/>
      <c r="GH35"/>
      <c r="GI35"/>
      <c r="GJ35"/>
      <c r="GK35"/>
      <c r="GL35"/>
      <c r="GM35"/>
      <c r="GN35" s="39"/>
    </row>
    <row r="36" spans="2:196" x14ac:dyDescent="0.2">
      <c r="B36" s="109">
        <f t="shared" si="4"/>
        <v>24</v>
      </c>
      <c r="C36" s="109">
        <v>2050</v>
      </c>
      <c r="D36" s="131">
        <v>56740.038850792793</v>
      </c>
      <c r="E36" s="131">
        <v>1794.6404198759708</v>
      </c>
      <c r="F36" s="112">
        <f t="shared" si="1"/>
        <v>-3.6988994678335274E-3</v>
      </c>
      <c r="G36" s="131">
        <v>54945.398430916823</v>
      </c>
      <c r="H36" s="112">
        <f t="shared" si="2"/>
        <v>3.9269001069015541E-3</v>
      </c>
      <c r="I36" s="111">
        <f t="shared" si="0"/>
        <v>56740.038850792793</v>
      </c>
      <c r="J36" s="112">
        <f t="shared" si="3"/>
        <v>3.6852680318716358E-3</v>
      </c>
      <c r="L36" s="36">
        <v>60730</v>
      </c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105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105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/>
      <c r="EB36" s="106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FA36" s="36"/>
      <c r="FB36" s="36"/>
      <c r="FC36" s="36"/>
      <c r="FD36" s="36"/>
      <c r="FE36" s="36"/>
      <c r="FF36" s="36"/>
      <c r="FG36" s="36"/>
      <c r="FH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6"/>
      <c r="GE36" s="36"/>
      <c r="GG36"/>
      <c r="GH36"/>
      <c r="GI36"/>
      <c r="GJ36"/>
      <c r="GK36"/>
      <c r="GL36"/>
      <c r="GM36"/>
    </row>
    <row r="37" spans="2:196" x14ac:dyDescent="0.2">
      <c r="B37" s="101">
        <f t="shared" si="4"/>
        <v>25</v>
      </c>
      <c r="C37" s="101">
        <v>2051</v>
      </c>
      <c r="D37" s="132">
        <v>56939.427224211664</v>
      </c>
      <c r="E37" s="132">
        <v>1788.3339308174807</v>
      </c>
      <c r="F37" s="110">
        <f t="shared" si="1"/>
        <v>-3.5140683273622297E-3</v>
      </c>
      <c r="G37" s="132">
        <v>55151.09329339418</v>
      </c>
      <c r="H37" s="110">
        <f t="shared" si="2"/>
        <v>3.7296606502992269E-3</v>
      </c>
      <c r="I37" s="102">
        <f t="shared" si="0"/>
        <v>56939.427224211664</v>
      </c>
      <c r="J37" s="110">
        <f t="shared" si="3"/>
        <v>3.5017628932889622E-3</v>
      </c>
      <c r="L37" s="36">
        <v>60730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105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105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/>
      <c r="EB37" s="106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FA37" s="36"/>
      <c r="FB37" s="36"/>
      <c r="FC37" s="36"/>
      <c r="FD37" s="36"/>
      <c r="FE37" s="36"/>
      <c r="FF37" s="36"/>
      <c r="FG37" s="36"/>
      <c r="FH37" s="36"/>
      <c r="FJ37" s="36"/>
      <c r="FK37" s="36"/>
      <c r="FL37" s="36"/>
      <c r="FM37" s="36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6"/>
      <c r="FY37" s="36"/>
      <c r="FZ37" s="36"/>
      <c r="GA37" s="36"/>
      <c r="GB37" s="36"/>
      <c r="GC37" s="36"/>
      <c r="GD37" s="36"/>
      <c r="GE37" s="36"/>
      <c r="GG37"/>
      <c r="GH37"/>
      <c r="GI37"/>
      <c r="GJ37"/>
      <c r="GK37"/>
      <c r="GL37"/>
      <c r="GM37"/>
    </row>
    <row r="38" spans="2:196" x14ac:dyDescent="0.2">
      <c r="B38" s="109">
        <f t="shared" si="4"/>
        <v>26</v>
      </c>
      <c r="C38" s="109">
        <v>2052</v>
      </c>
      <c r="D38" s="131">
        <v>57129.484594635185</v>
      </c>
      <c r="E38" s="131">
        <v>1782.3646743479355</v>
      </c>
      <c r="F38" s="112">
        <f t="shared" si="1"/>
        <v>-3.3378869386080368E-3</v>
      </c>
      <c r="G38" s="131">
        <v>55347.119920287252</v>
      </c>
      <c r="H38" s="112">
        <f t="shared" si="2"/>
        <v>3.5417674338863447E-3</v>
      </c>
      <c r="I38" s="111">
        <f t="shared" si="0"/>
        <v>57129.484594635185</v>
      </c>
      <c r="J38" s="112">
        <f t="shared" si="3"/>
        <v>3.3267825147046404E-3</v>
      </c>
      <c r="L38" s="36">
        <v>60730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105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105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/>
      <c r="EB38" s="106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FA38" s="36"/>
      <c r="FB38" s="36"/>
      <c r="FC38" s="36"/>
      <c r="FD38" s="36"/>
      <c r="FE38" s="36"/>
      <c r="FF38" s="36"/>
      <c r="FG38" s="36"/>
      <c r="FH38" s="36"/>
      <c r="FJ38" s="36"/>
      <c r="FK38" s="36"/>
      <c r="FL38" s="36"/>
      <c r="FM38" s="36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6"/>
      <c r="FY38" s="36"/>
      <c r="FZ38" s="36"/>
      <c r="GA38" s="36"/>
      <c r="GB38" s="36"/>
      <c r="GC38" s="36"/>
      <c r="GD38" s="36"/>
      <c r="GE38" s="36"/>
      <c r="GG38"/>
      <c r="GH38"/>
      <c r="GI38"/>
      <c r="GJ38"/>
      <c r="GK38"/>
      <c r="GL38"/>
      <c r="GM38"/>
    </row>
    <row r="39" spans="2:196" x14ac:dyDescent="0.2">
      <c r="B39" s="109">
        <f t="shared" si="4"/>
        <v>27</v>
      </c>
      <c r="C39" s="109">
        <v>2053</v>
      </c>
      <c r="D39" s="131">
        <v>57310.585522822483</v>
      </c>
      <c r="E39" s="131">
        <v>1776.7145639157652</v>
      </c>
      <c r="F39" s="112">
        <f t="shared" si="1"/>
        <v>-3.1700080872829606E-3</v>
      </c>
      <c r="G39" s="131">
        <v>55533.870958906715</v>
      </c>
      <c r="H39" s="112">
        <f t="shared" si="2"/>
        <v>3.3628312846704089E-3</v>
      </c>
      <c r="I39" s="111">
        <f t="shared" si="0"/>
        <v>57310.585522822483</v>
      </c>
      <c r="J39" s="112">
        <f t="shared" si="3"/>
        <v>3.1599908906040364E-3</v>
      </c>
      <c r="L39" s="36">
        <v>60730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105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48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/>
      <c r="EB39" s="47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FA39" s="36"/>
      <c r="FB39" s="36"/>
      <c r="FC39" s="36"/>
      <c r="FD39" s="36"/>
      <c r="FE39" s="36"/>
      <c r="FF39" s="36"/>
      <c r="FG39" s="36"/>
      <c r="FH39" s="36"/>
      <c r="FJ39" s="36"/>
      <c r="FK39" s="36"/>
      <c r="FL39" s="36"/>
      <c r="FM39" s="36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6"/>
      <c r="FY39" s="36"/>
      <c r="FZ39" s="36"/>
      <c r="GA39" s="36"/>
      <c r="GB39" s="36"/>
      <c r="GC39" s="36"/>
      <c r="GD39" s="36"/>
      <c r="GE39" s="36"/>
      <c r="GG39"/>
      <c r="GH39"/>
      <c r="GI39"/>
      <c r="GJ39"/>
      <c r="GK39"/>
      <c r="GL39"/>
      <c r="GM39"/>
    </row>
    <row r="40" spans="2:196" x14ac:dyDescent="0.2">
      <c r="B40" s="109">
        <f t="shared" si="4"/>
        <v>28</v>
      </c>
      <c r="C40" s="109">
        <v>2054</v>
      </c>
      <c r="D40" s="131">
        <v>57483.095702453269</v>
      </c>
      <c r="E40" s="131">
        <v>1771.3664882369417</v>
      </c>
      <c r="F40" s="112">
        <f t="shared" si="1"/>
        <v>-3.0100927787954923E-3</v>
      </c>
      <c r="G40" s="131">
        <v>55711.729214216328</v>
      </c>
      <c r="H40" s="112">
        <f t="shared" si="2"/>
        <v>3.1924741489486319E-3</v>
      </c>
      <c r="I40" s="111">
        <f t="shared" si="0"/>
        <v>57483.095702453269</v>
      </c>
      <c r="J40" s="112">
        <f t="shared" si="3"/>
        <v>3.0010593118322548E-3</v>
      </c>
      <c r="K40" s="39"/>
      <c r="L40" s="36">
        <v>60730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100"/>
      <c r="AI40" s="36"/>
      <c r="AJ40" s="36"/>
      <c r="AK40" s="36"/>
      <c r="AL40" s="36"/>
      <c r="AM40" s="36"/>
      <c r="AN40" s="36"/>
      <c r="AO40" s="36"/>
      <c r="AP40" s="36"/>
      <c r="AQ40" s="39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105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105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/>
      <c r="EB40" s="106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9"/>
      <c r="FA40" s="36"/>
      <c r="FB40" s="36"/>
      <c r="FC40" s="36"/>
      <c r="FD40" s="36"/>
      <c r="FE40" s="36"/>
      <c r="FF40" s="36"/>
      <c r="FG40" s="36"/>
      <c r="FH40" s="36"/>
      <c r="FI40" s="39"/>
      <c r="FJ40" s="36"/>
      <c r="FK40" s="36"/>
      <c r="FL40" s="36"/>
      <c r="FM40" s="36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6"/>
      <c r="FY40" s="36"/>
      <c r="FZ40" s="36"/>
      <c r="GA40" s="36"/>
      <c r="GB40" s="36"/>
      <c r="GC40" s="36"/>
      <c r="GD40" s="36"/>
      <c r="GE40" s="36"/>
      <c r="GF40" s="39"/>
      <c r="GG40"/>
      <c r="GH40"/>
      <c r="GI40"/>
      <c r="GJ40"/>
      <c r="GK40"/>
      <c r="GL40"/>
      <c r="GM40"/>
      <c r="GN40" s="39"/>
    </row>
    <row r="41" spans="2:196" x14ac:dyDescent="0.2">
      <c r="B41" s="109">
        <f t="shared" si="4"/>
        <v>29</v>
      </c>
      <c r="C41" s="109">
        <v>2055</v>
      </c>
      <c r="D41" s="131">
        <v>57647.37150607325</v>
      </c>
      <c r="E41" s="131">
        <v>1766.3042582055796</v>
      </c>
      <c r="F41" s="112">
        <f t="shared" si="1"/>
        <v>-2.8578106591599095E-3</v>
      </c>
      <c r="G41" s="131">
        <v>55881.067247867672</v>
      </c>
      <c r="H41" s="112">
        <f t="shared" si="2"/>
        <v>3.0303292687703376E-3</v>
      </c>
      <c r="I41" s="111">
        <f t="shared" si="0"/>
        <v>57647.37150607325</v>
      </c>
      <c r="J41" s="112">
        <f t="shared" si="3"/>
        <v>2.8496668508585232E-3</v>
      </c>
      <c r="L41" s="36">
        <v>60730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105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105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10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FA41" s="36"/>
      <c r="FB41" s="36"/>
      <c r="FC41" s="36"/>
      <c r="FD41" s="36"/>
      <c r="FE41" s="36"/>
      <c r="FF41" s="36"/>
      <c r="FG41" s="36"/>
      <c r="FH41" s="36"/>
      <c r="FJ41" s="36"/>
      <c r="FK41" s="36"/>
      <c r="FL41" s="36"/>
      <c r="FM41" s="36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6"/>
      <c r="FY41" s="36"/>
      <c r="FZ41" s="36"/>
      <c r="GA41" s="36"/>
      <c r="GB41" s="36"/>
      <c r="GC41" s="36"/>
      <c r="GD41" s="36"/>
      <c r="GE41" s="36"/>
      <c r="GG41"/>
      <c r="GH41"/>
      <c r="GI41"/>
      <c r="GJ41"/>
      <c r="GK41"/>
      <c r="GL41"/>
      <c r="GM41"/>
    </row>
    <row r="42" spans="2:196" x14ac:dyDescent="0.2">
      <c r="B42" s="101">
        <f t="shared" si="4"/>
        <v>30</v>
      </c>
      <c r="C42" s="101">
        <v>2056</v>
      </c>
      <c r="D42" s="132">
        <v>57803.759621674704</v>
      </c>
      <c r="E42" s="132">
        <v>1761.5125567402233</v>
      </c>
      <c r="F42" s="110">
        <f t="shared" si="1"/>
        <v>-2.7128403518792421E-3</v>
      </c>
      <c r="G42" s="132">
        <v>56042.247064934483</v>
      </c>
      <c r="H42" s="110">
        <f t="shared" si="2"/>
        <v>2.8760412993442674E-3</v>
      </c>
      <c r="I42" s="102">
        <f t="shared" si="0"/>
        <v>57803.759621674704</v>
      </c>
      <c r="J42" s="110">
        <f t="shared" si="3"/>
        <v>2.7055007602447834E-3</v>
      </c>
      <c r="L42" s="36">
        <v>60730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105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105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/>
      <c r="EB42" s="106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FA42" s="36"/>
      <c r="FB42" s="36"/>
      <c r="FC42" s="36"/>
      <c r="FD42" s="36"/>
      <c r="FE42" s="36"/>
      <c r="FF42" s="36"/>
      <c r="FG42" s="36"/>
      <c r="FH42" s="36"/>
      <c r="FJ42" s="36"/>
      <c r="FK42" s="36"/>
      <c r="FL42" s="36"/>
      <c r="FM42" s="36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6"/>
      <c r="FY42" s="36"/>
      <c r="FZ42" s="36"/>
      <c r="GA42" s="36"/>
      <c r="GB42" s="36"/>
      <c r="GC42" s="36"/>
      <c r="GD42" s="36"/>
      <c r="GE42" s="36"/>
      <c r="GG42"/>
      <c r="GH42"/>
      <c r="GI42"/>
      <c r="GJ42"/>
      <c r="GK42"/>
      <c r="GL42"/>
      <c r="GM42"/>
    </row>
    <row r="43" spans="2:196" x14ac:dyDescent="0.2">
      <c r="B43" s="109">
        <f t="shared" si="4"/>
        <v>31</v>
      </c>
      <c r="C43" s="109">
        <v>2057</v>
      </c>
      <c r="D43" s="131">
        <v>57952.596771923781</v>
      </c>
      <c r="E43" s="131">
        <v>1756.9768913996099</v>
      </c>
      <c r="F43" s="112">
        <f t="shared" si="1"/>
        <v>-2.574869718219297E-3</v>
      </c>
      <c r="G43" s="131">
        <v>56195.619880524173</v>
      </c>
      <c r="H43" s="112">
        <f t="shared" si="2"/>
        <v>2.7292663719301613E-3</v>
      </c>
      <c r="I43" s="111">
        <f t="shared" si="0"/>
        <v>57952.596771923781</v>
      </c>
      <c r="J43" s="112">
        <f t="shared" si="3"/>
        <v>2.5682567915780163E-3</v>
      </c>
      <c r="L43" s="36">
        <v>60730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105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105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/>
      <c r="EB43" s="106"/>
      <c r="EC43" s="36"/>
      <c r="ED43" s="36"/>
      <c r="EE43" s="36"/>
      <c r="EF43" s="36"/>
      <c r="EG43" s="36"/>
      <c r="EH43" s="36"/>
      <c r="EI43" s="36"/>
      <c r="EJ43" s="36"/>
      <c r="EK43" s="36"/>
      <c r="EL43" s="36"/>
      <c r="EM43" s="36"/>
      <c r="EN43" s="36"/>
      <c r="EO43" s="36"/>
      <c r="EP43" s="36"/>
      <c r="EQ43" s="36"/>
      <c r="ER43" s="36"/>
      <c r="ES43" s="36"/>
      <c r="ET43" s="36"/>
      <c r="EU43" s="36"/>
      <c r="EV43" s="36"/>
      <c r="EW43" s="36"/>
      <c r="EX43" s="36"/>
      <c r="EY43" s="36"/>
      <c r="FA43" s="36"/>
      <c r="FB43" s="36"/>
      <c r="FC43" s="36"/>
      <c r="FD43" s="36"/>
      <c r="FE43" s="36"/>
      <c r="FF43" s="36"/>
      <c r="FG43" s="36"/>
      <c r="FH43" s="36"/>
      <c r="FJ43" s="36"/>
      <c r="FK43" s="36"/>
      <c r="FL43" s="36"/>
      <c r="FM43" s="36"/>
      <c r="FN43" s="36"/>
      <c r="FO43" s="36"/>
      <c r="FP43" s="36"/>
      <c r="FQ43" s="36"/>
      <c r="FR43" s="36"/>
      <c r="FS43" s="36"/>
      <c r="FT43" s="36"/>
      <c r="FU43" s="36"/>
      <c r="FV43" s="36"/>
      <c r="FW43" s="36"/>
      <c r="FX43" s="36"/>
      <c r="FY43" s="36"/>
      <c r="FZ43" s="36"/>
      <c r="GA43" s="36"/>
      <c r="GB43" s="36"/>
      <c r="GC43" s="36"/>
      <c r="GD43" s="36"/>
      <c r="GE43" s="36"/>
      <c r="GG43"/>
      <c r="GH43"/>
      <c r="GI43"/>
      <c r="GJ43"/>
      <c r="GK43"/>
      <c r="GL43"/>
      <c r="GM43"/>
    </row>
    <row r="44" spans="2:196" x14ac:dyDescent="0.2">
      <c r="B44" s="109">
        <f t="shared" si="4"/>
        <v>32</v>
      </c>
      <c r="C44" s="109">
        <v>2058</v>
      </c>
      <c r="D44" s="131">
        <v>58094.209508365813</v>
      </c>
      <c r="E44" s="131">
        <v>1752.6835496113943</v>
      </c>
      <c r="F44" s="112">
        <f t="shared" si="1"/>
        <v>-2.4435960479796126E-3</v>
      </c>
      <c r="G44" s="131">
        <v>56341.525958754421</v>
      </c>
      <c r="H44" s="112">
        <f t="shared" si="2"/>
        <v>2.5896721068054962E-3</v>
      </c>
      <c r="I44" s="111">
        <f t="shared" si="0"/>
        <v>58094.209508365813</v>
      </c>
      <c r="J44" s="112">
        <f t="shared" si="3"/>
        <v>2.4376394418730296E-3</v>
      </c>
      <c r="L44" s="36">
        <v>60730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105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48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/>
      <c r="EB44" s="47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FA44" s="36"/>
      <c r="FB44" s="36"/>
      <c r="FC44" s="36"/>
      <c r="FD44" s="36"/>
      <c r="FE44" s="36"/>
      <c r="FF44" s="36"/>
      <c r="FG44" s="36"/>
      <c r="FH44" s="36"/>
      <c r="FJ44" s="36"/>
      <c r="FK44" s="36"/>
      <c r="FL44" s="36"/>
      <c r="FM44" s="36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6"/>
      <c r="FY44" s="36"/>
      <c r="FZ44" s="36"/>
      <c r="GA44" s="36"/>
      <c r="GB44" s="36"/>
      <c r="GC44" s="36"/>
      <c r="GD44" s="36"/>
      <c r="GE44" s="36"/>
      <c r="GF44" s="47"/>
      <c r="GG44"/>
      <c r="GH44"/>
      <c r="GI44"/>
      <c r="GJ44"/>
      <c r="GK44"/>
      <c r="GL44"/>
      <c r="GM44"/>
    </row>
    <row r="45" spans="2:196" x14ac:dyDescent="0.2">
      <c r="B45" s="109">
        <f t="shared" si="4"/>
        <v>33</v>
      </c>
      <c r="C45" s="109">
        <v>2059</v>
      </c>
      <c r="D45" s="131">
        <v>58228.914073297063</v>
      </c>
      <c r="E45" s="131">
        <v>1748.6195563664469</v>
      </c>
      <c r="F45" s="112">
        <f t="shared" si="1"/>
        <v>-2.3187261875359244E-3</v>
      </c>
      <c r="G45" s="131">
        <v>56480.294516930619</v>
      </c>
      <c r="H45" s="112">
        <f t="shared" si="2"/>
        <v>2.4569375808514149E-3</v>
      </c>
      <c r="I45" s="111">
        <f t="shared" si="0"/>
        <v>58228.914073297063</v>
      </c>
      <c r="J45" s="112">
        <f t="shared" si="3"/>
        <v>2.3133621341742128E-3</v>
      </c>
      <c r="L45" s="36">
        <v>60730</v>
      </c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105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105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/>
      <c r="EB45" s="106"/>
      <c r="EC45" s="36"/>
      <c r="ED45" s="36"/>
      <c r="EE45" s="36"/>
      <c r="EF45" s="36"/>
      <c r="EG45" s="36"/>
      <c r="EH45" s="36"/>
      <c r="EI45" s="36"/>
      <c r="EJ45" s="36"/>
      <c r="EK45" s="36"/>
      <c r="EL45" s="36"/>
      <c r="EM45" s="36"/>
      <c r="EN45" s="36"/>
      <c r="EO45" s="36"/>
      <c r="EP45" s="36"/>
      <c r="EQ45" s="36"/>
      <c r="ER45" s="36"/>
      <c r="ES45" s="36"/>
      <c r="ET45" s="36"/>
      <c r="EU45" s="36"/>
      <c r="EV45" s="36"/>
      <c r="EW45" s="36"/>
      <c r="EX45" s="36"/>
      <c r="EY45" s="36"/>
      <c r="FA45" s="36"/>
      <c r="FB45" s="36"/>
      <c r="FC45" s="36"/>
      <c r="FD45" s="36"/>
      <c r="FE45" s="36"/>
      <c r="FF45" s="36"/>
      <c r="FG45" s="36"/>
      <c r="FH45" s="36"/>
      <c r="FJ45" s="36"/>
      <c r="FK45" s="36"/>
      <c r="FL45" s="36"/>
      <c r="FM45" s="36"/>
      <c r="FN45" s="36"/>
      <c r="FO45" s="36"/>
      <c r="FP45" s="36"/>
      <c r="FQ45" s="36"/>
      <c r="FR45" s="36"/>
      <c r="FS45" s="36"/>
      <c r="FT45" s="36"/>
      <c r="FU45" s="36"/>
      <c r="FV45" s="36"/>
      <c r="FW45" s="36"/>
      <c r="FX45" s="36"/>
      <c r="FY45" s="36"/>
      <c r="FZ45" s="36"/>
      <c r="GA45" s="36"/>
      <c r="GB45" s="36"/>
      <c r="GC45" s="36"/>
      <c r="GD45" s="36"/>
      <c r="GE45" s="36"/>
      <c r="GF45" s="47"/>
      <c r="GG45"/>
      <c r="GH45"/>
      <c r="GI45"/>
      <c r="GJ45"/>
      <c r="GK45"/>
      <c r="GL45"/>
      <c r="GM45"/>
    </row>
    <row r="46" spans="2:196" x14ac:dyDescent="0.2">
      <c r="B46" s="109">
        <f t="shared" ref="B46:B47" si="5">B45+1</f>
        <v>34</v>
      </c>
      <c r="C46" s="109">
        <v>2060</v>
      </c>
      <c r="D46" s="131">
        <v>58228.914073297063</v>
      </c>
      <c r="E46" s="131">
        <v>1748.6195563664469</v>
      </c>
      <c r="F46" s="112">
        <f t="shared" si="1"/>
        <v>0</v>
      </c>
      <c r="G46" s="131">
        <v>56615</v>
      </c>
      <c r="H46" s="112">
        <f t="shared" ref="H46:H47" si="6">1-(G46/G45)^(1/(C45-C46))</f>
        <v>2.3793249681069994E-3</v>
      </c>
      <c r="I46" s="111">
        <f t="shared" ref="I46:I47" si="7">E46+G46</f>
        <v>58363.619556366444</v>
      </c>
      <c r="J46" s="112">
        <f>1-(D46/D45)^(1/(C45-C46))</f>
        <v>0</v>
      </c>
      <c r="K46" s="36"/>
      <c r="L46" s="36">
        <v>60730</v>
      </c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/>
      <c r="EB46" s="36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6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6"/>
      <c r="FM46" s="36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6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</row>
    <row r="47" spans="2:196" x14ac:dyDescent="0.2">
      <c r="B47" s="101">
        <f t="shared" si="5"/>
        <v>35</v>
      </c>
      <c r="C47" s="101">
        <v>2061</v>
      </c>
      <c r="D47" s="132">
        <v>58228.914073297063</v>
      </c>
      <c r="E47" s="132">
        <v>1748.6195563664469</v>
      </c>
      <c r="F47" s="110">
        <f t="shared" si="1"/>
        <v>0</v>
      </c>
      <c r="G47" s="132">
        <v>56482.294516930597</v>
      </c>
      <c r="H47" s="110">
        <f t="shared" si="6"/>
        <v>-2.3495058797518009E-3</v>
      </c>
      <c r="I47" s="102">
        <f t="shared" si="7"/>
        <v>58230.914073297041</v>
      </c>
      <c r="J47" s="110">
        <f t="shared" ref="J47" si="8">1-(D47/D46)^(1/(C46-C47))</f>
        <v>0</v>
      </c>
      <c r="K47" s="36"/>
      <c r="L47" s="36">
        <v>60730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/>
      <c r="EB47" s="36"/>
      <c r="EC47" s="36"/>
      <c r="ED47" s="36"/>
      <c r="EE47" s="36"/>
      <c r="EF47" s="36"/>
      <c r="EG47" s="36"/>
      <c r="EH47" s="36"/>
      <c r="EI47" s="36"/>
      <c r="EJ47" s="36"/>
      <c r="EK47" s="36"/>
      <c r="EL47" s="36"/>
      <c r="EM47" s="36"/>
      <c r="EN47" s="36"/>
      <c r="EO47" s="36"/>
      <c r="EP47" s="36"/>
      <c r="EQ47" s="36"/>
      <c r="ER47" s="36"/>
      <c r="ES47" s="36"/>
      <c r="ET47" s="36"/>
      <c r="EU47" s="36"/>
      <c r="EV47" s="36"/>
      <c r="EW47" s="36"/>
      <c r="EX47" s="36"/>
      <c r="EY47" s="36"/>
      <c r="EZ47" s="36"/>
      <c r="FA47" s="36"/>
      <c r="FB47" s="36"/>
      <c r="FC47" s="36"/>
      <c r="FD47" s="36"/>
      <c r="FE47" s="36"/>
      <c r="FF47" s="36"/>
      <c r="FG47" s="36"/>
      <c r="FH47" s="36"/>
      <c r="FI47" s="36"/>
      <c r="FJ47" s="36"/>
      <c r="FK47" s="36"/>
      <c r="FL47" s="36"/>
      <c r="FM47" s="36"/>
      <c r="FN47" s="36"/>
      <c r="FO47" s="36"/>
      <c r="FP47" s="36"/>
      <c r="FQ47" s="36"/>
      <c r="FR47" s="36"/>
      <c r="FS47" s="36"/>
      <c r="FT47" s="36"/>
      <c r="FU47" s="36"/>
      <c r="FV47" s="36"/>
      <c r="FW47" s="36"/>
      <c r="FX47" s="36"/>
      <c r="FY47" s="36"/>
      <c r="FZ47" s="36"/>
      <c r="GA47" s="36"/>
      <c r="GB47" s="36"/>
      <c r="GC47" s="36"/>
      <c r="GD47" s="36"/>
      <c r="GE47" s="36"/>
      <c r="GF47" s="36"/>
      <c r="GG47" s="36"/>
      <c r="GH47" s="36"/>
      <c r="GI47" s="36"/>
      <c r="GJ47" s="36"/>
      <c r="GK47" s="36"/>
      <c r="GL47" s="36"/>
      <c r="GM47" s="36"/>
      <c r="GN47" s="36"/>
    </row>
    <row r="48" spans="2:196" x14ac:dyDescent="0.2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/>
      <c r="EB48" s="36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6"/>
      <c r="FM48" s="36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6"/>
      <c r="FY48" s="36"/>
      <c r="FZ48" s="36"/>
      <c r="GA48" s="36"/>
      <c r="GB48" s="36"/>
      <c r="GC48" s="36"/>
      <c r="GD48" s="36"/>
      <c r="GE48" s="36"/>
      <c r="GF48" s="36"/>
      <c r="GG48" s="36"/>
      <c r="GH48" s="36"/>
      <c r="GI48" s="36"/>
      <c r="GJ48" s="36"/>
      <c r="GK48" s="36"/>
      <c r="GL48" s="36"/>
      <c r="GM48" s="36"/>
      <c r="GN48" s="36"/>
    </row>
    <row r="49" spans="2:196" x14ac:dyDescent="0.2"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/>
      <c r="EA49" s="36"/>
      <c r="EB49" s="36"/>
      <c r="EC49" s="36"/>
      <c r="ED49" s="36"/>
      <c r="EE49" s="36"/>
      <c r="EF49" s="36"/>
      <c r="EG49" s="36"/>
      <c r="EH49" s="36"/>
      <c r="EI49" s="36"/>
      <c r="EJ49" s="36"/>
      <c r="EK49" s="36"/>
      <c r="EL49" s="36"/>
      <c r="EM49" s="36"/>
      <c r="EN49" s="36"/>
      <c r="EO49" s="36"/>
      <c r="EP49" s="36"/>
      <c r="EQ49" s="36"/>
      <c r="ER49" s="36"/>
      <c r="ES49" s="36"/>
      <c r="ET49" s="36"/>
      <c r="EU49" s="36"/>
      <c r="EV49" s="36"/>
      <c r="EW49" s="36"/>
      <c r="EX49" s="36"/>
      <c r="EY49" s="36"/>
      <c r="EZ49" s="36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36"/>
      <c r="FM49" s="36"/>
      <c r="FN49" s="36"/>
      <c r="FO49" s="36"/>
      <c r="FP49" s="36"/>
      <c r="FQ49" s="36"/>
      <c r="FR49" s="36"/>
      <c r="FS49" s="36"/>
      <c r="FT49" s="36"/>
      <c r="FU49" s="36"/>
      <c r="FV49" s="36"/>
      <c r="FW49" s="36"/>
      <c r="FX49" s="36"/>
      <c r="FY49" s="36"/>
      <c r="FZ49" s="36"/>
      <c r="GA49" s="36"/>
      <c r="GB49" s="36"/>
      <c r="GC49" s="36"/>
      <c r="GD49" s="36"/>
      <c r="GE49" s="36"/>
      <c r="GF49" s="36"/>
      <c r="GG49" s="36"/>
      <c r="GH49" s="36"/>
      <c r="GI49" s="36"/>
      <c r="GJ49" s="36"/>
      <c r="GK49" s="36"/>
      <c r="GL49" s="36"/>
      <c r="GM49" s="36"/>
      <c r="GN49" s="36"/>
    </row>
    <row r="50" spans="2:196" x14ac:dyDescent="0.2"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/>
      <c r="EA50" s="36"/>
      <c r="EB50" s="36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6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6"/>
      <c r="FM50" s="36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6"/>
      <c r="FY50" s="36"/>
      <c r="FZ50" s="36"/>
      <c r="GA50" s="36"/>
      <c r="GB50" s="36"/>
      <c r="GC50" s="36"/>
      <c r="GD50" s="36"/>
      <c r="GE50" s="36"/>
      <c r="GF50" s="36"/>
      <c r="GG50" s="36"/>
      <c r="GH50" s="36"/>
      <c r="GI50" s="36"/>
      <c r="GJ50" s="36"/>
      <c r="GK50" s="36"/>
      <c r="GL50" s="36"/>
      <c r="GM50" s="36"/>
      <c r="GN50" s="36"/>
    </row>
    <row r="51" spans="2:196" x14ac:dyDescent="0.2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/>
      <c r="EA51" s="36"/>
      <c r="EB51" s="36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6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6"/>
      <c r="FM51" s="36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6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</row>
    <row r="52" spans="2:196" x14ac:dyDescent="0.2"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</row>
    <row r="53" spans="2:196" x14ac:dyDescent="0.2"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6"/>
      <c r="DX53" s="36"/>
      <c r="DY53" s="36"/>
      <c r="DZ53" s="36"/>
      <c r="EA53" s="36"/>
      <c r="EB53" s="36"/>
      <c r="EC53" s="36"/>
      <c r="ED53" s="36"/>
      <c r="EE53" s="36"/>
      <c r="EF53" s="36"/>
      <c r="EG53" s="36"/>
      <c r="EH53" s="36"/>
      <c r="EI53" s="36"/>
      <c r="EJ53" s="36"/>
      <c r="EK53" s="36"/>
      <c r="EL53" s="36"/>
      <c r="EM53" s="36"/>
      <c r="EN53" s="36"/>
      <c r="EO53" s="36"/>
      <c r="EP53" s="36"/>
      <c r="EQ53" s="36"/>
      <c r="ER53" s="36"/>
      <c r="ES53" s="36"/>
      <c r="ET53" s="36"/>
      <c r="EU53" s="36"/>
      <c r="EV53" s="36"/>
      <c r="EW53" s="36"/>
      <c r="EX53" s="36"/>
      <c r="EY53" s="36"/>
      <c r="EZ53" s="36"/>
      <c r="FA53" s="36"/>
      <c r="FB53" s="36"/>
      <c r="FC53" s="36"/>
      <c r="FD53" s="36"/>
      <c r="FE53" s="36"/>
      <c r="FF53" s="36"/>
      <c r="FG53" s="36"/>
      <c r="FH53" s="36"/>
      <c r="FI53" s="36"/>
      <c r="FJ53" s="36"/>
      <c r="FK53" s="36"/>
      <c r="FL53" s="36"/>
      <c r="FM53" s="36"/>
      <c r="FN53" s="36"/>
      <c r="FO53" s="36"/>
      <c r="FP53" s="36"/>
      <c r="FQ53" s="36"/>
      <c r="FR53" s="36"/>
      <c r="FS53" s="36"/>
      <c r="FT53" s="36"/>
      <c r="FU53" s="36"/>
      <c r="FV53" s="36"/>
      <c r="FW53" s="36"/>
      <c r="FX53" s="36"/>
      <c r="FY53" s="36"/>
      <c r="FZ53" s="36"/>
      <c r="GA53" s="36"/>
      <c r="GB53" s="36"/>
      <c r="GC53" s="36"/>
      <c r="GD53" s="36"/>
      <c r="GE53" s="36"/>
      <c r="GF53" s="36"/>
      <c r="GG53" s="36"/>
      <c r="GH53" s="36"/>
      <c r="GI53" s="36"/>
      <c r="GJ53" s="36"/>
      <c r="GK53" s="36"/>
      <c r="GL53" s="36"/>
      <c r="GM53" s="36"/>
      <c r="GN53" s="36"/>
    </row>
    <row r="54" spans="2:196" x14ac:dyDescent="0.2"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/>
      <c r="EA54" s="36"/>
      <c r="EB54" s="36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6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6"/>
      <c r="FM54" s="36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6"/>
      <c r="FY54" s="36"/>
      <c r="FZ54" s="36"/>
      <c r="GA54" s="36"/>
      <c r="GB54" s="36"/>
      <c r="GC54" s="36"/>
      <c r="GD54" s="36"/>
      <c r="GE54" s="36"/>
      <c r="GF54" s="36"/>
      <c r="GG54" s="36"/>
      <c r="GH54" s="36"/>
      <c r="GI54" s="36"/>
      <c r="GJ54" s="36"/>
      <c r="GK54" s="36"/>
      <c r="GL54" s="36"/>
      <c r="GM54" s="36"/>
      <c r="GN54" s="36"/>
    </row>
    <row r="55" spans="2:196" x14ac:dyDescent="0.2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6"/>
      <c r="DX55" s="36"/>
      <c r="DY55" s="36"/>
      <c r="DZ55" s="36"/>
      <c r="EA55" s="36"/>
      <c r="EB55" s="36"/>
      <c r="EC55" s="36"/>
      <c r="ED55" s="36"/>
      <c r="EE55" s="36"/>
      <c r="EF55" s="36"/>
      <c r="EG55" s="36"/>
      <c r="EH55" s="36"/>
      <c r="EI55" s="36"/>
      <c r="EJ55" s="36"/>
      <c r="EK55" s="36"/>
      <c r="EL55" s="36"/>
      <c r="EM55" s="36"/>
      <c r="EN55" s="36"/>
      <c r="EO55" s="36"/>
      <c r="EP55" s="36"/>
      <c r="EQ55" s="36"/>
      <c r="ER55" s="36"/>
      <c r="ES55" s="36"/>
      <c r="ET55" s="36"/>
      <c r="EU55" s="36"/>
      <c r="EV55" s="36"/>
      <c r="EW55" s="36"/>
      <c r="EX55" s="36"/>
      <c r="EY55" s="36"/>
      <c r="EZ55" s="36"/>
      <c r="FA55" s="36"/>
      <c r="FB55" s="36"/>
      <c r="FC55" s="36"/>
      <c r="FD55" s="36"/>
      <c r="FE55" s="36"/>
      <c r="FF55" s="36"/>
      <c r="FG55" s="36"/>
      <c r="FH55" s="36"/>
      <c r="FI55" s="36"/>
      <c r="FJ55" s="36"/>
      <c r="FK55" s="36"/>
      <c r="FL55" s="36"/>
      <c r="FM55" s="36"/>
      <c r="FN55" s="36"/>
      <c r="FO55" s="36"/>
      <c r="FP55" s="36"/>
      <c r="FQ55" s="36"/>
      <c r="FR55" s="36"/>
      <c r="FS55" s="36"/>
      <c r="FT55" s="36"/>
      <c r="FU55" s="36"/>
      <c r="FV55" s="36"/>
      <c r="FW55" s="36"/>
      <c r="FX55" s="36"/>
      <c r="FY55" s="36"/>
      <c r="FZ55" s="36"/>
      <c r="GA55" s="36"/>
      <c r="GB55" s="36"/>
      <c r="GC55" s="36"/>
      <c r="GD55" s="36"/>
      <c r="GE55" s="36"/>
      <c r="GF55" s="36"/>
      <c r="GG55" s="36"/>
      <c r="GH55" s="36"/>
      <c r="GI55" s="36"/>
      <c r="GJ55" s="36"/>
      <c r="GK55" s="36"/>
      <c r="GL55" s="36"/>
      <c r="GM55" s="36"/>
      <c r="GN55" s="36"/>
    </row>
    <row r="56" spans="2:196" x14ac:dyDescent="0.2"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/>
      <c r="EB56" s="36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6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6"/>
      <c r="FM56" s="36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6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</row>
    <row r="57" spans="2:196" x14ac:dyDescent="0.2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6"/>
      <c r="DX57" s="36"/>
      <c r="DY57" s="36"/>
      <c r="DZ57" s="36"/>
      <c r="EA57" s="36"/>
      <c r="EB57" s="36"/>
      <c r="EC57" s="36"/>
      <c r="ED57" s="36"/>
      <c r="EE57" s="36"/>
      <c r="EF57" s="36"/>
      <c r="EG57" s="36"/>
      <c r="EH57" s="36"/>
      <c r="EI57" s="36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6"/>
      <c r="EU57" s="36"/>
      <c r="EV57" s="36"/>
      <c r="EW57" s="36"/>
      <c r="EX57" s="36"/>
      <c r="EY57" s="36"/>
      <c r="EZ57" s="36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36"/>
      <c r="FM57" s="36"/>
      <c r="FN57" s="36"/>
      <c r="FO57" s="36"/>
      <c r="FP57" s="36"/>
      <c r="FQ57" s="36"/>
      <c r="FR57" s="36"/>
      <c r="FS57" s="36"/>
      <c r="FT57" s="36"/>
      <c r="FU57" s="36"/>
      <c r="FV57" s="36"/>
      <c r="FW57" s="36"/>
      <c r="FX57" s="36"/>
      <c r="FY57" s="36"/>
      <c r="FZ57" s="36"/>
      <c r="GA57" s="36"/>
      <c r="GB57" s="36"/>
      <c r="GC57" s="36"/>
      <c r="GD57" s="36"/>
      <c r="GE57" s="36"/>
      <c r="GF57" s="36"/>
      <c r="GG57" s="36"/>
      <c r="GH57" s="36"/>
      <c r="GI57" s="36"/>
      <c r="GJ57" s="36"/>
      <c r="GK57" s="36"/>
      <c r="GL57" s="36"/>
      <c r="GM57" s="36"/>
      <c r="GN57" s="36"/>
    </row>
    <row r="58" spans="2:196" x14ac:dyDescent="0.2"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/>
      <c r="EA58" s="36"/>
      <c r="EB58" s="36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6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6"/>
      <c r="FM58" s="36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6"/>
      <c r="FY58" s="36"/>
      <c r="FZ58" s="36"/>
      <c r="GA58" s="36"/>
      <c r="GB58" s="36"/>
      <c r="GC58" s="36"/>
      <c r="GD58" s="36"/>
      <c r="GE58" s="36"/>
      <c r="GF58" s="36"/>
      <c r="GG58" s="36"/>
      <c r="GH58" s="36"/>
      <c r="GI58" s="36"/>
      <c r="GJ58" s="36"/>
      <c r="GK58" s="36"/>
      <c r="GL58" s="36"/>
      <c r="GM58" s="36"/>
      <c r="GN58" s="36"/>
    </row>
    <row r="59" spans="2:196" x14ac:dyDescent="0.2"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</row>
    <row r="60" spans="2:196" x14ac:dyDescent="0.2">
      <c r="W60" s="52"/>
      <c r="X60" s="48"/>
      <c r="Y60" s="48"/>
      <c r="AZ60" s="48"/>
      <c r="BA60" s="48"/>
      <c r="BB60" s="48"/>
      <c r="BC60" s="48"/>
      <c r="BD60" s="48"/>
      <c r="BF60" s="48"/>
      <c r="BG60" s="48"/>
      <c r="GH60" s="36"/>
      <c r="GI60" s="222"/>
      <c r="GJ60" s="222"/>
      <c r="GK60" s="222"/>
      <c r="GL60" s="222"/>
      <c r="GM60" s="222"/>
      <c r="GN60" s="222"/>
    </row>
    <row r="61" spans="2:196" x14ac:dyDescent="0.2">
      <c r="GH61" s="37"/>
      <c r="GI61" s="41"/>
      <c r="GJ61" s="97"/>
      <c r="GK61" s="41"/>
      <c r="GL61" s="42"/>
      <c r="GM61" s="38"/>
      <c r="GN61" s="42"/>
    </row>
    <row r="62" spans="2:196" x14ac:dyDescent="0.2">
      <c r="GH62" s="37"/>
      <c r="GI62" s="41"/>
      <c r="GJ62" s="97"/>
      <c r="GK62" s="41"/>
      <c r="GL62" s="42"/>
      <c r="GM62" s="38"/>
      <c r="GN62" s="42"/>
    </row>
    <row r="63" spans="2:196" x14ac:dyDescent="0.2">
      <c r="GH63" s="37"/>
      <c r="GI63" s="41"/>
      <c r="GJ63" s="97"/>
      <c r="GK63" s="41"/>
      <c r="GL63" s="42"/>
      <c r="GM63" s="38"/>
      <c r="GN63" s="42"/>
    </row>
    <row r="64" spans="2:196" x14ac:dyDescent="0.2">
      <c r="GH64" s="37"/>
      <c r="GI64" s="41"/>
      <c r="GJ64" s="97"/>
      <c r="GK64" s="41"/>
      <c r="GL64" s="42"/>
      <c r="GM64" s="38"/>
      <c r="GN64" s="42"/>
    </row>
    <row r="65" spans="190:196" x14ac:dyDescent="0.2">
      <c r="GH65" s="37"/>
      <c r="GI65" s="41"/>
      <c r="GJ65" s="97"/>
      <c r="GK65" s="41"/>
      <c r="GL65" s="42"/>
      <c r="GM65" s="38"/>
      <c r="GN65" s="42"/>
    </row>
    <row r="66" spans="190:196" x14ac:dyDescent="0.2">
      <c r="GH66" s="37"/>
      <c r="GI66" s="41"/>
      <c r="GJ66" s="97"/>
      <c r="GK66" s="41"/>
      <c r="GL66" s="42"/>
      <c r="GM66" s="38"/>
      <c r="GN66" s="42"/>
    </row>
    <row r="67" spans="190:196" x14ac:dyDescent="0.2">
      <c r="GH67" s="37"/>
      <c r="GI67" s="41"/>
      <c r="GJ67" s="97"/>
      <c r="GK67" s="41"/>
      <c r="GL67" s="42"/>
      <c r="GM67" s="38"/>
      <c r="GN67" s="42"/>
    </row>
    <row r="68" spans="190:196" x14ac:dyDescent="0.2">
      <c r="GH68" s="37"/>
      <c r="GI68" s="41"/>
      <c r="GJ68" s="97"/>
      <c r="GK68" s="41"/>
      <c r="GL68" s="42"/>
      <c r="GM68" s="38"/>
      <c r="GN68" s="42"/>
    </row>
  </sheetData>
  <mergeCells count="6">
    <mergeCell ref="B6:C7"/>
    <mergeCell ref="GG5:GI5"/>
    <mergeCell ref="GI60:GJ60"/>
    <mergeCell ref="GK60:GL60"/>
    <mergeCell ref="GM60:GN60"/>
    <mergeCell ref="B5:J5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9305-7A03-4393-AEC6-2123F00B6F14}">
  <dimension ref="B1:W47"/>
  <sheetViews>
    <sheetView showGridLines="0" topLeftCell="A40" workbookViewId="0">
      <selection activeCell="Z51" sqref="Z51"/>
    </sheetView>
  </sheetViews>
  <sheetFormatPr defaultRowHeight="12" x14ac:dyDescent="0.15"/>
  <cols>
    <col min="16" max="16" width="8.875" customWidth="1"/>
    <col min="21" max="23" width="13.875" customWidth="1"/>
  </cols>
  <sheetData>
    <row r="1" spans="2:23" x14ac:dyDescent="0.15">
      <c r="B1" s="40"/>
      <c r="C1" s="40"/>
      <c r="D1" s="40"/>
      <c r="E1" s="40"/>
      <c r="F1" s="40"/>
      <c r="G1" s="40"/>
      <c r="H1" s="40"/>
      <c r="I1" s="40"/>
      <c r="J1" s="40"/>
      <c r="K1" s="49"/>
      <c r="L1" s="49"/>
      <c r="M1" s="49"/>
      <c r="N1" s="49"/>
      <c r="P1" s="49"/>
      <c r="Q1" s="49"/>
      <c r="R1" s="49"/>
      <c r="S1" s="49"/>
      <c r="T1" s="49"/>
      <c r="U1" s="49"/>
      <c r="V1" s="49"/>
      <c r="W1" s="49"/>
    </row>
    <row r="2" spans="2:23" ht="36" x14ac:dyDescent="0.15">
      <c r="B2" s="40"/>
      <c r="C2" s="40"/>
      <c r="D2" s="40"/>
      <c r="E2" s="40"/>
      <c r="F2" s="40"/>
      <c r="G2" s="40"/>
      <c r="H2" s="40"/>
      <c r="I2" s="40"/>
      <c r="J2" s="40"/>
      <c r="K2" s="126" t="s">
        <v>78</v>
      </c>
      <c r="L2" s="126" t="s">
        <v>79</v>
      </c>
      <c r="M2" s="126" t="s">
        <v>85</v>
      </c>
      <c r="N2" s="126" t="s">
        <v>191</v>
      </c>
      <c r="O2" s="126" t="s">
        <v>81</v>
      </c>
      <c r="P2" s="130" t="s">
        <v>197</v>
      </c>
      <c r="Q2" s="40"/>
      <c r="R2" s="40"/>
      <c r="S2" s="40"/>
      <c r="T2" s="40"/>
      <c r="U2" s="40"/>
      <c r="V2" s="40"/>
      <c r="W2" s="40"/>
    </row>
    <row r="3" spans="2:23" x14ac:dyDescent="0.15">
      <c r="B3" s="40"/>
      <c r="C3" s="40"/>
      <c r="D3" s="40"/>
      <c r="E3" s="40"/>
      <c r="F3" s="40"/>
      <c r="G3" s="40"/>
      <c r="H3" s="40"/>
      <c r="I3" s="40"/>
      <c r="J3" s="40"/>
      <c r="K3" s="112">
        <v>7.8072047194678043E-2</v>
      </c>
      <c r="L3" s="112">
        <v>7.8448600476967497E-3</v>
      </c>
      <c r="M3" s="112">
        <v>5.9620936362495295E-3</v>
      </c>
      <c r="N3" s="112">
        <v>1.0606250784486005E-2</v>
      </c>
      <c r="O3" s="109">
        <v>2.3199999999999998E-2</v>
      </c>
      <c r="P3" s="109">
        <v>5.0000000000000001E-3</v>
      </c>
      <c r="Q3" s="40"/>
      <c r="R3" s="99"/>
      <c r="S3" s="99"/>
      <c r="T3" s="99"/>
      <c r="U3" s="40"/>
      <c r="V3" s="40"/>
      <c r="W3" s="40"/>
    </row>
    <row r="4" spans="2:23" ht="12.75" thickBo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99"/>
      <c r="S4" s="99"/>
      <c r="T4" s="99"/>
      <c r="U4" s="40"/>
      <c r="V4" s="40"/>
      <c r="W4" s="40"/>
    </row>
    <row r="5" spans="2:23" ht="19.5" thickBot="1" x14ac:dyDescent="0.2">
      <c r="B5" s="226" t="s">
        <v>159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8"/>
      <c r="R5" s="103"/>
      <c r="S5" s="226" t="s">
        <v>83</v>
      </c>
      <c r="T5" s="227"/>
      <c r="U5" s="227"/>
      <c r="V5" s="227"/>
      <c r="W5" s="228"/>
    </row>
    <row r="6" spans="2:23" ht="48" x14ac:dyDescent="0.15">
      <c r="B6" s="229" t="str">
        <f>População!B6</f>
        <v>ANO</v>
      </c>
      <c r="C6" s="230"/>
      <c r="D6" s="137" t="s">
        <v>167</v>
      </c>
      <c r="E6" s="137" t="s">
        <v>173</v>
      </c>
      <c r="F6" s="137" t="s">
        <v>33</v>
      </c>
      <c r="G6" s="137" t="s">
        <v>174</v>
      </c>
      <c r="H6" s="137" t="s">
        <v>33</v>
      </c>
      <c r="I6" s="137" t="s">
        <v>168</v>
      </c>
      <c r="J6" s="137" t="s">
        <v>175</v>
      </c>
      <c r="K6" s="137" t="s">
        <v>86</v>
      </c>
      <c r="L6" s="137" t="s">
        <v>6</v>
      </c>
      <c r="M6" s="137" t="s">
        <v>7</v>
      </c>
      <c r="N6" s="137" t="s">
        <v>9</v>
      </c>
      <c r="O6" s="137" t="s">
        <v>190</v>
      </c>
      <c r="P6" s="137" t="s">
        <v>80</v>
      </c>
      <c r="Q6" s="129" t="s">
        <v>3</v>
      </c>
      <c r="R6" s="98"/>
      <c r="S6" s="229" t="str">
        <f>População!B6</f>
        <v>ANO</v>
      </c>
      <c r="T6" s="230"/>
      <c r="U6" s="138" t="s">
        <v>169</v>
      </c>
      <c r="V6" s="138" t="s">
        <v>170</v>
      </c>
      <c r="W6" s="129" t="s">
        <v>171</v>
      </c>
    </row>
    <row r="7" spans="2:23" x14ac:dyDescent="0.15">
      <c r="B7" s="219"/>
      <c r="C7" s="220"/>
      <c r="D7" s="101" t="s">
        <v>134</v>
      </c>
      <c r="E7" s="101" t="s">
        <v>134</v>
      </c>
      <c r="F7" s="101" t="s">
        <v>134</v>
      </c>
      <c r="G7" s="101" t="s">
        <v>134</v>
      </c>
      <c r="H7" s="101" t="s">
        <v>134</v>
      </c>
      <c r="I7" s="101" t="s">
        <v>134</v>
      </c>
      <c r="J7" s="101" t="s">
        <v>135</v>
      </c>
      <c r="K7" s="101" t="s">
        <v>134</v>
      </c>
      <c r="L7" s="101" t="s">
        <v>134</v>
      </c>
      <c r="M7" s="101" t="s">
        <v>134</v>
      </c>
      <c r="N7" s="101" t="s">
        <v>134</v>
      </c>
      <c r="O7" s="101" t="s">
        <v>134</v>
      </c>
      <c r="P7" s="101" t="s">
        <v>134</v>
      </c>
      <c r="Q7" s="101" t="s">
        <v>134</v>
      </c>
      <c r="R7" s="98"/>
      <c r="S7" s="219"/>
      <c r="T7" s="220"/>
      <c r="U7" s="101" t="s">
        <v>136</v>
      </c>
      <c r="V7" s="101" t="s">
        <v>136</v>
      </c>
      <c r="W7" s="101" t="s">
        <v>136</v>
      </c>
    </row>
    <row r="8" spans="2:23" x14ac:dyDescent="0.15">
      <c r="B8" s="101" t="str">
        <f>População!B8</f>
        <v>CENSO</v>
      </c>
      <c r="C8" s="101">
        <f>População!C8</f>
        <v>2022</v>
      </c>
      <c r="D8" s="102">
        <v>32697.499963584902</v>
      </c>
      <c r="E8" s="102">
        <v>16658.832576742534</v>
      </c>
      <c r="F8" s="113">
        <v>0</v>
      </c>
      <c r="G8" s="102">
        <v>841.00000000000171</v>
      </c>
      <c r="H8" s="113">
        <v>4.9999999999998934E-3</v>
      </c>
      <c r="I8" s="102">
        <f t="shared" ref="I8:I45" si="0">E8-G8</f>
        <v>15817.832576742532</v>
      </c>
      <c r="J8" s="114">
        <f>População!G8/I8</f>
        <v>2.7548022011605893</v>
      </c>
      <c r="K8" s="102">
        <f>ROUND(População!G8/$J$8,0)</f>
        <v>15818</v>
      </c>
      <c r="L8" s="102">
        <f t="shared" ref="L8:O27" si="1">ROUND($K8*K$3,0)</f>
        <v>1235</v>
      </c>
      <c r="M8" s="102">
        <f t="shared" si="1"/>
        <v>124</v>
      </c>
      <c r="N8" s="102">
        <f t="shared" si="1"/>
        <v>94</v>
      </c>
      <c r="O8" s="102">
        <f t="shared" si="1"/>
        <v>168</v>
      </c>
      <c r="P8" s="102">
        <f>ROUND($I8*$O$3*(1-F8),0)</f>
        <v>367</v>
      </c>
      <c r="Q8" s="102">
        <f t="shared" ref="Q8:Q45" si="2">L8+I8+M8+N8+O8+P8</f>
        <v>17805.832576742534</v>
      </c>
      <c r="R8" s="98"/>
      <c r="S8" s="101" t="str">
        <f>População!B8</f>
        <v>CENSO</v>
      </c>
      <c r="T8" s="101">
        <f>População!C8</f>
        <v>2022</v>
      </c>
      <c r="U8" s="114">
        <f>(População!D8/E8)</f>
        <v>2.7672407287626508</v>
      </c>
      <c r="V8" s="114">
        <f>(População!G8/I8)</f>
        <v>2.7548022011605893</v>
      </c>
      <c r="W8" s="114">
        <f>População!E8/Imóveis!G8</f>
        <v>3.0011890606420866</v>
      </c>
    </row>
    <row r="9" spans="2:23" x14ac:dyDescent="0.15">
      <c r="B9" s="109">
        <f>População!B9</f>
        <v>-2</v>
      </c>
      <c r="C9" s="109">
        <f>População!C9</f>
        <v>2023</v>
      </c>
      <c r="D9" s="111">
        <v>32697.499963584902</v>
      </c>
      <c r="E9" s="111">
        <v>17071.128910957301</v>
      </c>
      <c r="F9" s="115">
        <f t="shared" ref="F9:F47" si="3">E9/E8-1</f>
        <v>2.4749413400695142E-2</v>
      </c>
      <c r="G9" s="111">
        <f t="shared" ref="G9:G45" si="4">G8*(1+H9)</f>
        <v>845.20500000000163</v>
      </c>
      <c r="H9" s="115">
        <v>4.9999999999998934E-3</v>
      </c>
      <c r="I9" s="111">
        <f t="shared" si="0"/>
        <v>16225.923910957299</v>
      </c>
      <c r="J9" s="116">
        <f>População!G9/I9</f>
        <v>2.7248103807597222</v>
      </c>
      <c r="K9" s="111">
        <f>ROUND(População!G9/$J$8,0)</f>
        <v>16049</v>
      </c>
      <c r="L9" s="111">
        <f t="shared" si="1"/>
        <v>1253</v>
      </c>
      <c r="M9" s="111">
        <f t="shared" si="1"/>
        <v>126</v>
      </c>
      <c r="N9" s="111">
        <f t="shared" si="1"/>
        <v>96</v>
      </c>
      <c r="O9" s="111">
        <f t="shared" si="1"/>
        <v>170</v>
      </c>
      <c r="P9" s="111">
        <f>ROUND($I9*$O$3*(1-F9),0)</f>
        <v>367</v>
      </c>
      <c r="Q9" s="111">
        <f t="shared" si="2"/>
        <v>18237.923910957299</v>
      </c>
      <c r="R9" s="98"/>
      <c r="S9" s="101">
        <f>População!B9</f>
        <v>-2</v>
      </c>
      <c r="T9" s="109">
        <f>População!C9</f>
        <v>2023</v>
      </c>
      <c r="U9" s="116">
        <f>(População!D9/E9)</f>
        <v>2.7186479305899063</v>
      </c>
      <c r="V9" s="116">
        <f>(População!G9/I9)</f>
        <v>2.7248103807597222</v>
      </c>
      <c r="W9" s="116">
        <f>População!E9/Imóveis!G9</f>
        <v>2.6003435576147185</v>
      </c>
    </row>
    <row r="10" spans="2:23" x14ac:dyDescent="0.15">
      <c r="B10" s="109">
        <f>População!B10</f>
        <v>-1</v>
      </c>
      <c r="C10" s="109">
        <f>População!C10</f>
        <v>2024</v>
      </c>
      <c r="D10" s="111">
        <v>32697.499963584902</v>
      </c>
      <c r="E10" s="111">
        <v>17482.506648326886</v>
      </c>
      <c r="F10" s="115">
        <f t="shared" si="3"/>
        <v>2.4097863680563991E-2</v>
      </c>
      <c r="G10" s="111">
        <f t="shared" si="4"/>
        <v>849.43102500000157</v>
      </c>
      <c r="H10" s="115">
        <v>4.9999999999998934E-3</v>
      </c>
      <c r="I10" s="111">
        <f t="shared" si="0"/>
        <v>16633.075623326884</v>
      </c>
      <c r="J10" s="116">
        <f>População!G10/I10</f>
        <v>2.6953040124063423</v>
      </c>
      <c r="K10" s="111">
        <f>ROUND(População!G10/$J$8,0)</f>
        <v>16274</v>
      </c>
      <c r="L10" s="111">
        <f t="shared" si="1"/>
        <v>1271</v>
      </c>
      <c r="M10" s="111">
        <f t="shared" si="1"/>
        <v>128</v>
      </c>
      <c r="N10" s="111">
        <f t="shared" si="1"/>
        <v>97</v>
      </c>
      <c r="O10" s="111">
        <f t="shared" si="1"/>
        <v>173</v>
      </c>
      <c r="P10" s="111">
        <f t="shared" ref="P10:P45" si="5">P9*(1-$P$3)</f>
        <v>365.16500000000002</v>
      </c>
      <c r="Q10" s="111">
        <f t="shared" si="2"/>
        <v>18667.240623326885</v>
      </c>
      <c r="R10" s="98"/>
      <c r="S10" s="101">
        <f>População!B10</f>
        <v>-1</v>
      </c>
      <c r="T10" s="109">
        <f>População!C10</f>
        <v>2024</v>
      </c>
      <c r="U10" s="116">
        <f>(População!D10/E10)</f>
        <v>2.6884615812936423</v>
      </c>
      <c r="V10" s="116">
        <f>(População!G10/I10)</f>
        <v>2.6953040124063423</v>
      </c>
      <c r="W10" s="116">
        <f>População!E10/Imóveis!G10</f>
        <v>2.554476983609633</v>
      </c>
    </row>
    <row r="11" spans="2:23" x14ac:dyDescent="0.15">
      <c r="B11" s="101" t="str">
        <f>População!B11</f>
        <v>Base</v>
      </c>
      <c r="C11" s="101">
        <f>População!C11</f>
        <v>2025</v>
      </c>
      <c r="D11" s="102">
        <v>32697.499963584902</v>
      </c>
      <c r="E11" s="102">
        <v>17892.446793795123</v>
      </c>
      <c r="F11" s="113">
        <f t="shared" si="3"/>
        <v>2.3448590852243045E-2</v>
      </c>
      <c r="G11" s="102">
        <f t="shared" si="4"/>
        <v>853.67818012500152</v>
      </c>
      <c r="H11" s="113">
        <v>4.9999999999998934E-3</v>
      </c>
      <c r="I11" s="102">
        <f t="shared" si="0"/>
        <v>17038.768613670123</v>
      </c>
      <c r="J11" s="114">
        <f>População!G11/I11</f>
        <v>2.666322914496531</v>
      </c>
      <c r="K11" s="102">
        <f>ROUND(População!G11/$J$8,0)</f>
        <v>16492</v>
      </c>
      <c r="L11" s="102">
        <f t="shared" si="1"/>
        <v>1288</v>
      </c>
      <c r="M11" s="102">
        <f t="shared" si="1"/>
        <v>129</v>
      </c>
      <c r="N11" s="102">
        <f t="shared" si="1"/>
        <v>98</v>
      </c>
      <c r="O11" s="102">
        <f t="shared" si="1"/>
        <v>175</v>
      </c>
      <c r="P11" s="102">
        <f t="shared" si="5"/>
        <v>363.33917500000001</v>
      </c>
      <c r="Q11" s="102">
        <f t="shared" si="2"/>
        <v>19092.107788670124</v>
      </c>
      <c r="R11" s="98"/>
      <c r="S11" s="101" t="str">
        <f>População!B11</f>
        <v>Base</v>
      </c>
      <c r="T11" s="101">
        <f>População!C11</f>
        <v>2025</v>
      </c>
      <c r="U11" s="114">
        <f>(População!D11/E11)</f>
        <v>2.6589012285080336</v>
      </c>
      <c r="V11" s="114">
        <f>(População!G11/I11)</f>
        <v>2.666322914496531</v>
      </c>
      <c r="W11" s="114">
        <f>População!E11/Imóveis!G11</f>
        <v>2.510770008540792</v>
      </c>
    </row>
    <row r="12" spans="2:23" x14ac:dyDescent="0.15">
      <c r="B12" s="109">
        <f>População!B12</f>
        <v>0</v>
      </c>
      <c r="C12" s="109">
        <f>População!C12</f>
        <v>2026</v>
      </c>
      <c r="D12" s="131">
        <v>32697.499963584902</v>
      </c>
      <c r="E12" s="131">
        <v>18300.437619234486</v>
      </c>
      <c r="F12" s="115">
        <f t="shared" si="3"/>
        <v>2.2802405402756243E-2</v>
      </c>
      <c r="G12" s="111">
        <f t="shared" si="4"/>
        <v>857.94657102562644</v>
      </c>
      <c r="H12" s="133">
        <v>4.9999999999998934E-3</v>
      </c>
      <c r="I12" s="111">
        <f t="shared" si="0"/>
        <v>17442.49104820886</v>
      </c>
      <c r="J12" s="116">
        <f>População!G12/I12</f>
        <v>2.6379019043417991</v>
      </c>
      <c r="K12" s="111">
        <f>ROUND(População!G12/$J$8,0)</f>
        <v>16702</v>
      </c>
      <c r="L12" s="111">
        <f t="shared" si="1"/>
        <v>1304</v>
      </c>
      <c r="M12" s="111">
        <f t="shared" si="1"/>
        <v>131</v>
      </c>
      <c r="N12" s="111">
        <f t="shared" si="1"/>
        <v>100</v>
      </c>
      <c r="O12" s="111">
        <f t="shared" si="1"/>
        <v>177</v>
      </c>
      <c r="P12" s="111">
        <f t="shared" si="5"/>
        <v>361.52247912500002</v>
      </c>
      <c r="Q12" s="111">
        <f t="shared" si="2"/>
        <v>19516.01352733386</v>
      </c>
      <c r="R12" s="108"/>
      <c r="S12" s="109">
        <f>População!B12</f>
        <v>0</v>
      </c>
      <c r="T12" s="109">
        <f>População!C12</f>
        <v>2026</v>
      </c>
      <c r="U12" s="116">
        <f>(População!D12/E12)</f>
        <v>2.629988162572042</v>
      </c>
      <c r="V12" s="116">
        <f>(População!G12/I12)</f>
        <v>2.6379019043417991</v>
      </c>
      <c r="W12" s="116">
        <f>População!E12/Imóveis!G12</f>
        <v>2.4690977590917766</v>
      </c>
    </row>
    <row r="13" spans="2:23" x14ac:dyDescent="0.15">
      <c r="B13" s="101">
        <f>População!B13</f>
        <v>1</v>
      </c>
      <c r="C13" s="101">
        <f>População!C13</f>
        <v>2027</v>
      </c>
      <c r="D13" s="132">
        <v>32697.499963584902</v>
      </c>
      <c r="E13" s="132">
        <v>18705.977189181267</v>
      </c>
      <c r="F13" s="113">
        <f t="shared" si="3"/>
        <v>2.216010230927723E-2</v>
      </c>
      <c r="G13" s="102">
        <f t="shared" si="4"/>
        <v>862.23630388075446</v>
      </c>
      <c r="H13" s="134">
        <v>4.9999999999998934E-3</v>
      </c>
      <c r="I13" s="102">
        <f t="shared" si="0"/>
        <v>17843.740885300511</v>
      </c>
      <c r="J13" s="114">
        <f>População!G13/I13</f>
        <v>2.6100710851119868</v>
      </c>
      <c r="K13" s="102">
        <f>ROUND(População!G13/$J$8,0)</f>
        <v>16906</v>
      </c>
      <c r="L13" s="102">
        <f t="shared" si="1"/>
        <v>1320</v>
      </c>
      <c r="M13" s="102">
        <f t="shared" si="1"/>
        <v>133</v>
      </c>
      <c r="N13" s="102">
        <f t="shared" si="1"/>
        <v>101</v>
      </c>
      <c r="O13" s="102">
        <f t="shared" si="1"/>
        <v>179</v>
      </c>
      <c r="P13" s="102">
        <f t="shared" si="5"/>
        <v>359.71486672937499</v>
      </c>
      <c r="Q13" s="102">
        <f t="shared" si="2"/>
        <v>19936.455752029884</v>
      </c>
      <c r="R13" s="98"/>
      <c r="S13" s="101">
        <f>População!B13</f>
        <v>1</v>
      </c>
      <c r="T13" s="101">
        <f>População!C13</f>
        <v>2027</v>
      </c>
      <c r="U13" s="114">
        <f>(População!D13/E13)</f>
        <v>2.6017405667111682</v>
      </c>
      <c r="V13" s="114">
        <f>(População!G13/I13)</f>
        <v>2.6100710851119868</v>
      </c>
      <c r="W13" s="114">
        <f>População!E13/Imóveis!G13</f>
        <v>2.4293428016026883</v>
      </c>
    </row>
    <row r="14" spans="2:23" x14ac:dyDescent="0.15">
      <c r="B14" s="109">
        <f>População!B14</f>
        <v>2</v>
      </c>
      <c r="C14" s="109">
        <f>População!C14</f>
        <v>2028</v>
      </c>
      <c r="D14" s="131">
        <v>32697.499963584902</v>
      </c>
      <c r="E14" s="131">
        <v>19108.575782682281</v>
      </c>
      <c r="F14" s="115">
        <f t="shared" si="3"/>
        <v>2.1522457203350998E-2</v>
      </c>
      <c r="G14" s="111">
        <f t="shared" si="4"/>
        <v>866.54748540015817</v>
      </c>
      <c r="H14" s="133">
        <v>4.9999999999998934E-3</v>
      </c>
      <c r="I14" s="111">
        <f t="shared" si="0"/>
        <v>18242.028297282122</v>
      </c>
      <c r="J14" s="116">
        <f>População!G14/I14</f>
        <v>2.5828561279731841</v>
      </c>
      <c r="K14" s="111">
        <f>ROUND(População!G14/$J$8,0)</f>
        <v>17103</v>
      </c>
      <c r="L14" s="111">
        <f t="shared" si="1"/>
        <v>1335</v>
      </c>
      <c r="M14" s="111">
        <f t="shared" si="1"/>
        <v>134</v>
      </c>
      <c r="N14" s="111">
        <f t="shared" si="1"/>
        <v>102</v>
      </c>
      <c r="O14" s="111">
        <f t="shared" si="1"/>
        <v>181</v>
      </c>
      <c r="P14" s="111">
        <f t="shared" si="5"/>
        <v>357.91629239572814</v>
      </c>
      <c r="Q14" s="111">
        <f t="shared" si="2"/>
        <v>20351.944589677849</v>
      </c>
      <c r="R14" s="108"/>
      <c r="S14" s="109">
        <f>População!B14</f>
        <v>2</v>
      </c>
      <c r="T14" s="109">
        <f>População!C14</f>
        <v>2028</v>
      </c>
      <c r="U14" s="116">
        <f>(População!D14/E14)</f>
        <v>2.5741736166286198</v>
      </c>
      <c r="V14" s="116">
        <f>(População!G14/I14)</f>
        <v>2.5828561279731841</v>
      </c>
      <c r="W14" s="116">
        <f>População!E14/Imóveis!G14</f>
        <v>2.3913946918639044</v>
      </c>
    </row>
    <row r="15" spans="2:23" x14ac:dyDescent="0.15">
      <c r="B15" s="109">
        <f>População!B15</f>
        <v>3</v>
      </c>
      <c r="C15" s="109">
        <f>População!C15</f>
        <v>2029</v>
      </c>
      <c r="D15" s="131">
        <v>32697.499963584902</v>
      </c>
      <c r="E15" s="131">
        <v>19507.758186990104</v>
      </c>
      <c r="F15" s="115">
        <f t="shared" si="3"/>
        <v>2.0890222738085606E-2</v>
      </c>
      <c r="G15" s="111">
        <f t="shared" si="4"/>
        <v>870.88022282715883</v>
      </c>
      <c r="H15" s="133">
        <v>4.9999999999998934E-3</v>
      </c>
      <c r="I15" s="111">
        <f t="shared" si="0"/>
        <v>18636.877964162944</v>
      </c>
      <c r="J15" s="116">
        <f>População!G15/I15</f>
        <v>2.5562785493081761</v>
      </c>
      <c r="K15" s="111">
        <f>ROUND(População!G15/$J$8,0)</f>
        <v>17294</v>
      </c>
      <c r="L15" s="111">
        <f t="shared" si="1"/>
        <v>1350</v>
      </c>
      <c r="M15" s="111">
        <f t="shared" si="1"/>
        <v>136</v>
      </c>
      <c r="N15" s="111">
        <f t="shared" si="1"/>
        <v>103</v>
      </c>
      <c r="O15" s="111">
        <f t="shared" si="1"/>
        <v>183</v>
      </c>
      <c r="P15" s="111">
        <f t="shared" si="5"/>
        <v>356.12671093374951</v>
      </c>
      <c r="Q15" s="111">
        <f t="shared" si="2"/>
        <v>20765.004675096694</v>
      </c>
      <c r="R15" s="108"/>
      <c r="S15" s="109">
        <f>População!B15</f>
        <v>3</v>
      </c>
      <c r="T15" s="109">
        <f>População!C15</f>
        <v>2029</v>
      </c>
      <c r="U15" s="116">
        <f>(População!D15/E15)</f>
        <v>2.5472995952004802</v>
      </c>
      <c r="V15" s="116">
        <f>(População!G15/I15)</f>
        <v>2.5562785493081761</v>
      </c>
      <c r="W15" s="116">
        <f>População!E15/Imóveis!G15</f>
        <v>2.3551495525600532</v>
      </c>
    </row>
    <row r="16" spans="2:23" x14ac:dyDescent="0.15">
      <c r="B16" s="109">
        <f>População!B16</f>
        <v>4</v>
      </c>
      <c r="C16" s="109">
        <f>População!C16</f>
        <v>2030</v>
      </c>
      <c r="D16" s="131">
        <v>32697.499963584902</v>
      </c>
      <c r="E16" s="131">
        <v>19903.065841128435</v>
      </c>
      <c r="F16" s="115">
        <f t="shared" si="3"/>
        <v>2.0264125193122595E-2</v>
      </c>
      <c r="G16" s="111">
        <f t="shared" si="4"/>
        <v>875.23462394129456</v>
      </c>
      <c r="H16" s="133">
        <v>4.9999999999998934E-3</v>
      </c>
      <c r="I16" s="111">
        <f t="shared" si="0"/>
        <v>19027.83121718714</v>
      </c>
      <c r="J16" s="116">
        <f>População!G16/I16</f>
        <v>2.5303559826853541</v>
      </c>
      <c r="K16" s="111">
        <f>ROUND(População!G16/$J$8,0)</f>
        <v>17478</v>
      </c>
      <c r="L16" s="111">
        <f t="shared" si="1"/>
        <v>1365</v>
      </c>
      <c r="M16" s="111">
        <f t="shared" si="1"/>
        <v>137</v>
      </c>
      <c r="N16" s="111">
        <f t="shared" si="1"/>
        <v>104</v>
      </c>
      <c r="O16" s="111">
        <f t="shared" si="1"/>
        <v>185</v>
      </c>
      <c r="P16" s="111">
        <f t="shared" si="5"/>
        <v>354.34607737908078</v>
      </c>
      <c r="Q16" s="111">
        <f t="shared" si="2"/>
        <v>21173.17729456622</v>
      </c>
      <c r="R16" s="108"/>
      <c r="S16" s="109">
        <f>População!B16</f>
        <v>4</v>
      </c>
      <c r="T16" s="109">
        <f>População!C16</f>
        <v>2030</v>
      </c>
      <c r="U16" s="116">
        <f>(População!D16/E16)</f>
        <v>2.5211280198070058</v>
      </c>
      <c r="V16" s="116">
        <f>(População!G16/I16)</f>
        <v>2.5303559826853541</v>
      </c>
      <c r="W16" s="116">
        <f>População!E16/Imóveis!G16</f>
        <v>2.3205096766512261</v>
      </c>
    </row>
    <row r="17" spans="2:23" x14ac:dyDescent="0.15">
      <c r="B17" s="101">
        <f>População!B17</f>
        <v>5</v>
      </c>
      <c r="C17" s="101">
        <f>População!C17</f>
        <v>2031</v>
      </c>
      <c r="D17" s="132">
        <v>32697.499963584902</v>
      </c>
      <c r="E17" s="132">
        <v>20294.0588099782</v>
      </c>
      <c r="F17" s="113">
        <f t="shared" si="3"/>
        <v>1.9644861348034226E-2</v>
      </c>
      <c r="G17" s="102">
        <f t="shared" si="4"/>
        <v>879.61079706100088</v>
      </c>
      <c r="H17" s="134">
        <v>4.9999999999998934E-3</v>
      </c>
      <c r="I17" s="102">
        <f t="shared" si="0"/>
        <v>19414.448012917201</v>
      </c>
      <c r="J17" s="114">
        <f>População!G17/I17</f>
        <v>2.5051024450879882</v>
      </c>
      <c r="K17" s="102">
        <f>ROUND(População!G17/$J$8,0)</f>
        <v>17655</v>
      </c>
      <c r="L17" s="102">
        <f t="shared" si="1"/>
        <v>1378</v>
      </c>
      <c r="M17" s="102">
        <f t="shared" si="1"/>
        <v>139</v>
      </c>
      <c r="N17" s="102">
        <f t="shared" si="1"/>
        <v>105</v>
      </c>
      <c r="O17" s="102">
        <f t="shared" si="1"/>
        <v>187</v>
      </c>
      <c r="P17" s="102">
        <f t="shared" si="5"/>
        <v>352.57434699218538</v>
      </c>
      <c r="Q17" s="102">
        <f t="shared" si="2"/>
        <v>21576.022359909388</v>
      </c>
      <c r="R17" s="98"/>
      <c r="S17" s="101">
        <f>População!B17</f>
        <v>5</v>
      </c>
      <c r="T17" s="101">
        <f>População!C17</f>
        <v>2031</v>
      </c>
      <c r="U17" s="114">
        <f>(População!D17/E17)</f>
        <v>2.4956657799038884</v>
      </c>
      <c r="V17" s="114">
        <f>(População!G17/I17)</f>
        <v>2.5051024450879882</v>
      </c>
      <c r="W17" s="114">
        <f>População!E17/Imóveis!G17</f>
        <v>2.2873831550837291</v>
      </c>
    </row>
    <row r="18" spans="2:23" x14ac:dyDescent="0.15">
      <c r="B18" s="109">
        <f>População!B18</f>
        <v>6</v>
      </c>
      <c r="C18" s="109">
        <f>População!C18</f>
        <v>2032</v>
      </c>
      <c r="D18" s="131">
        <v>32697.499963584902</v>
      </c>
      <c r="E18" s="131">
        <v>20680.317572439097</v>
      </c>
      <c r="F18" s="115">
        <f t="shared" si="3"/>
        <v>1.9033095650190068E-2</v>
      </c>
      <c r="G18" s="111">
        <f t="shared" si="4"/>
        <v>884.00885104630584</v>
      </c>
      <c r="H18" s="133">
        <v>4.9999999999998934E-3</v>
      </c>
      <c r="I18" s="111">
        <f t="shared" si="0"/>
        <v>19796.30872139279</v>
      </c>
      <c r="J18" s="116">
        <f>População!G18/I18</f>
        <v>2.4805285968196884</v>
      </c>
      <c r="K18" s="111">
        <f>ROUND(População!G18/$J$8,0)</f>
        <v>17825</v>
      </c>
      <c r="L18" s="111">
        <f t="shared" si="1"/>
        <v>1392</v>
      </c>
      <c r="M18" s="111">
        <f t="shared" si="1"/>
        <v>140</v>
      </c>
      <c r="N18" s="111">
        <f t="shared" si="1"/>
        <v>106</v>
      </c>
      <c r="O18" s="111">
        <f t="shared" si="1"/>
        <v>189</v>
      </c>
      <c r="P18" s="111">
        <f t="shared" si="5"/>
        <v>350.81147525722446</v>
      </c>
      <c r="Q18" s="111">
        <f t="shared" si="2"/>
        <v>21974.120196650016</v>
      </c>
      <c r="R18" s="108"/>
      <c r="S18" s="109">
        <f>População!B18</f>
        <v>6</v>
      </c>
      <c r="T18" s="109">
        <f>População!C18</f>
        <v>2032</v>
      </c>
      <c r="U18" s="116">
        <f>(População!D18/E18)</f>
        <v>2.4709172825420342</v>
      </c>
      <c r="V18" s="116">
        <f>(População!G18/I18)</f>
        <v>2.4805285968196884</v>
      </c>
      <c r="W18" s="116">
        <f>População!E18/Imóveis!G18</f>
        <v>2.2556835273216271</v>
      </c>
    </row>
    <row r="19" spans="2:23" x14ac:dyDescent="0.15">
      <c r="B19" s="109">
        <f>População!B19</f>
        <v>7</v>
      </c>
      <c r="C19" s="109">
        <f>População!C19</f>
        <v>2033</v>
      </c>
      <c r="D19" s="131">
        <v>32697.499963584902</v>
      </c>
      <c r="E19" s="131">
        <v>21061.444610326227</v>
      </c>
      <c r="F19" s="115">
        <f t="shared" si="3"/>
        <v>1.8429457698225349E-2</v>
      </c>
      <c r="G19" s="111">
        <f t="shared" si="4"/>
        <v>888.4288953015373</v>
      </c>
      <c r="H19" s="133">
        <v>4.9999999999998934E-3</v>
      </c>
      <c r="I19" s="111">
        <f t="shared" si="0"/>
        <v>20173.015715024689</v>
      </c>
      <c r="J19" s="116">
        <f>População!G19/I19</f>
        <v>2.4566419944542108</v>
      </c>
      <c r="K19" s="111">
        <f>ROUND(População!G19/$J$8,0)</f>
        <v>17990</v>
      </c>
      <c r="L19" s="111">
        <f t="shared" si="1"/>
        <v>1405</v>
      </c>
      <c r="M19" s="111">
        <f t="shared" si="1"/>
        <v>141</v>
      </c>
      <c r="N19" s="111">
        <f t="shared" si="1"/>
        <v>107</v>
      </c>
      <c r="O19" s="111">
        <f t="shared" si="1"/>
        <v>191</v>
      </c>
      <c r="P19" s="111">
        <f t="shared" si="5"/>
        <v>349.05741788093832</v>
      </c>
      <c r="Q19" s="111">
        <f t="shared" si="2"/>
        <v>22366.073132905625</v>
      </c>
      <c r="R19" s="108"/>
      <c r="S19" s="109">
        <f>População!B19</f>
        <v>7</v>
      </c>
      <c r="T19" s="109">
        <f>População!C19</f>
        <v>2033</v>
      </c>
      <c r="U19" s="116">
        <f>(População!D19/E19)</f>
        <v>2.4468846036757563</v>
      </c>
      <c r="V19" s="116">
        <f>(População!G19/I19)</f>
        <v>2.4566419944542108</v>
      </c>
      <c r="W19" s="116">
        <f>População!E19/Imóveis!G19</f>
        <v>2.2253294532834595</v>
      </c>
    </row>
    <row r="20" spans="2:23" x14ac:dyDescent="0.15">
      <c r="B20" s="109">
        <f>População!B20</f>
        <v>8</v>
      </c>
      <c r="C20" s="109">
        <f>População!C20</f>
        <v>2034</v>
      </c>
      <c r="D20" s="131">
        <v>32697.499963584902</v>
      </c>
      <c r="E20" s="131">
        <v>21437.065787890013</v>
      </c>
      <c r="F20" s="115">
        <f t="shared" si="3"/>
        <v>1.7834540057125148E-2</v>
      </c>
      <c r="G20" s="111">
        <f t="shared" si="4"/>
        <v>892.87103977804486</v>
      </c>
      <c r="H20" s="133">
        <v>4.9999999999998934E-3</v>
      </c>
      <c r="I20" s="111">
        <f t="shared" si="0"/>
        <v>20544.194748111968</v>
      </c>
      <c r="J20" s="116">
        <f>População!G20/I20</f>
        <v>2.4334473361899831</v>
      </c>
      <c r="K20" s="111">
        <f>ROUND(População!G20/$J$8,0)</f>
        <v>18148</v>
      </c>
      <c r="L20" s="111">
        <f t="shared" si="1"/>
        <v>1417</v>
      </c>
      <c r="M20" s="111">
        <f t="shared" si="1"/>
        <v>142</v>
      </c>
      <c r="N20" s="111">
        <f t="shared" si="1"/>
        <v>108</v>
      </c>
      <c r="O20" s="111">
        <f t="shared" si="1"/>
        <v>192</v>
      </c>
      <c r="P20" s="111">
        <f t="shared" si="5"/>
        <v>347.3121307915336</v>
      </c>
      <c r="Q20" s="111">
        <f t="shared" si="2"/>
        <v>22750.506878903503</v>
      </c>
      <c r="R20" s="108"/>
      <c r="S20" s="109">
        <f>População!B20</f>
        <v>8</v>
      </c>
      <c r="T20" s="109">
        <f>População!C20</f>
        <v>2034</v>
      </c>
      <c r="U20" s="116">
        <f>(População!D20/E20)</f>
        <v>2.4235676432512356</v>
      </c>
      <c r="V20" s="116">
        <f>(População!G20/I20)</f>
        <v>2.4334473361899831</v>
      </c>
      <c r="W20" s="116">
        <f>População!E20/Imóveis!G20</f>
        <v>2.1962444053560577</v>
      </c>
    </row>
    <row r="21" spans="2:23" x14ac:dyDescent="0.15">
      <c r="B21" s="109">
        <f>População!B21</f>
        <v>9</v>
      </c>
      <c r="C21" s="109">
        <f>População!C21</f>
        <v>2035</v>
      </c>
      <c r="D21" s="131">
        <v>32697.499963584902</v>
      </c>
      <c r="E21" s="131">
        <v>21806.831515123005</v>
      </c>
      <c r="F21" s="115">
        <f t="shared" si="3"/>
        <v>1.7248896415752668E-2</v>
      </c>
      <c r="G21" s="111">
        <f t="shared" si="4"/>
        <v>897.33539497693494</v>
      </c>
      <c r="H21" s="133">
        <v>4.9999999999998934E-3</v>
      </c>
      <c r="I21" s="111">
        <f t="shared" si="0"/>
        <v>20909.496120146072</v>
      </c>
      <c r="J21" s="116">
        <f>População!G21/I21</f>
        <v>2.4109466989936652</v>
      </c>
      <c r="K21" s="111">
        <f>ROUND(População!G21/$J$8,0)</f>
        <v>18300</v>
      </c>
      <c r="L21" s="111">
        <f t="shared" si="1"/>
        <v>1429</v>
      </c>
      <c r="M21" s="111">
        <f t="shared" si="1"/>
        <v>144</v>
      </c>
      <c r="N21" s="111">
        <f t="shared" si="1"/>
        <v>109</v>
      </c>
      <c r="O21" s="111">
        <f t="shared" si="1"/>
        <v>194</v>
      </c>
      <c r="P21" s="111">
        <f t="shared" si="5"/>
        <v>345.57557013757594</v>
      </c>
      <c r="Q21" s="111">
        <f t="shared" si="2"/>
        <v>23131.071690283647</v>
      </c>
      <c r="R21" s="108"/>
      <c r="S21" s="109">
        <f>População!B21</f>
        <v>9</v>
      </c>
      <c r="T21" s="109">
        <f>População!C21</f>
        <v>2035</v>
      </c>
      <c r="U21" s="116">
        <f>(População!D21/E21)</f>
        <v>2.4009642822338968</v>
      </c>
      <c r="V21" s="116">
        <f>(População!G21/I21)</f>
        <v>2.4109466989936652</v>
      </c>
      <c r="W21" s="116">
        <f>População!E21/Imóveis!G21</f>
        <v>2.1683563792396918</v>
      </c>
    </row>
    <row r="22" spans="2:23" x14ac:dyDescent="0.15">
      <c r="B22" s="101">
        <f>População!B22</f>
        <v>10</v>
      </c>
      <c r="C22" s="101">
        <f>População!C22</f>
        <v>2036</v>
      </c>
      <c r="D22" s="132">
        <v>32697.499963584902</v>
      </c>
      <c r="E22" s="132">
        <v>22170.417691265084</v>
      </c>
      <c r="F22" s="113">
        <f t="shared" si="3"/>
        <v>1.6673040092501923E-2</v>
      </c>
      <c r="G22" s="102">
        <f t="shared" si="4"/>
        <v>901.82207195181957</v>
      </c>
      <c r="H22" s="134">
        <v>4.9999999999998934E-3</v>
      </c>
      <c r="I22" s="102">
        <f t="shared" si="0"/>
        <v>21268.595619313262</v>
      </c>
      <c r="J22" s="114">
        <f>População!G22/I22</f>
        <v>2.3891397669655179</v>
      </c>
      <c r="K22" s="102">
        <f>ROUND(População!G22/$J$8,0)</f>
        <v>18445</v>
      </c>
      <c r="L22" s="102">
        <f t="shared" si="1"/>
        <v>1440</v>
      </c>
      <c r="M22" s="102">
        <f t="shared" si="1"/>
        <v>145</v>
      </c>
      <c r="N22" s="102">
        <f t="shared" si="1"/>
        <v>110</v>
      </c>
      <c r="O22" s="102">
        <f t="shared" si="1"/>
        <v>196</v>
      </c>
      <c r="P22" s="102">
        <f t="shared" si="5"/>
        <v>343.84769228688805</v>
      </c>
      <c r="Q22" s="102">
        <f t="shared" si="2"/>
        <v>23503.443311600149</v>
      </c>
      <c r="R22" s="98"/>
      <c r="S22" s="101">
        <f>População!B22</f>
        <v>10</v>
      </c>
      <c r="T22" s="101">
        <f>População!C22</f>
        <v>2036</v>
      </c>
      <c r="U22" s="114">
        <f>(População!D22/E22)</f>
        <v>2.3790705399096472</v>
      </c>
      <c r="V22" s="114">
        <f>(População!G22/I22)</f>
        <v>2.3891397669655179</v>
      </c>
      <c r="W22" s="114">
        <f>População!E22/Imóveis!G22</f>
        <v>2.1415976224561604</v>
      </c>
    </row>
    <row r="23" spans="2:23" x14ac:dyDescent="0.15">
      <c r="B23" s="109">
        <f>População!B23</f>
        <v>11</v>
      </c>
      <c r="C23" s="109">
        <f>População!C23</f>
        <v>2037</v>
      </c>
      <c r="D23" s="131">
        <v>32697.499963584902</v>
      </c>
      <c r="E23" s="131">
        <v>22527.526428069545</v>
      </c>
      <c r="F23" s="115">
        <f t="shared" si="3"/>
        <v>1.6107442889772727E-2</v>
      </c>
      <c r="G23" s="111">
        <f t="shared" si="4"/>
        <v>906.33118231157857</v>
      </c>
      <c r="H23" s="133">
        <v>4.9999999999998934E-3</v>
      </c>
      <c r="I23" s="111">
        <f t="shared" si="0"/>
        <v>21621.195245757965</v>
      </c>
      <c r="J23" s="116">
        <f>População!G23/I23</f>
        <v>2.3680240504258419</v>
      </c>
      <c r="K23" s="111">
        <f>ROUND(População!G23/$J$8,0)</f>
        <v>18586</v>
      </c>
      <c r="L23" s="111">
        <f t="shared" si="1"/>
        <v>1451</v>
      </c>
      <c r="M23" s="111">
        <f t="shared" si="1"/>
        <v>146</v>
      </c>
      <c r="N23" s="111">
        <f t="shared" si="1"/>
        <v>111</v>
      </c>
      <c r="O23" s="111">
        <f t="shared" si="1"/>
        <v>197</v>
      </c>
      <c r="P23" s="111">
        <f t="shared" si="5"/>
        <v>342.12845382545362</v>
      </c>
      <c r="Q23" s="111">
        <f t="shared" si="2"/>
        <v>23868.32369958342</v>
      </c>
      <c r="R23" s="108"/>
      <c r="S23" s="109">
        <f>População!B23</f>
        <v>11</v>
      </c>
      <c r="T23" s="109">
        <f>População!C23</f>
        <v>2037</v>
      </c>
      <c r="U23" s="116">
        <f>(População!D23/E23)</f>
        <v>2.3578807299759634</v>
      </c>
      <c r="V23" s="116">
        <f>(População!G23/I23)</f>
        <v>2.3680240504258419</v>
      </c>
      <c r="W23" s="116">
        <f>População!E23/Imóveis!G23</f>
        <v>2.1159043794241148</v>
      </c>
    </row>
    <row r="24" spans="2:23" x14ac:dyDescent="0.15">
      <c r="B24" s="109">
        <f>População!B24</f>
        <v>12</v>
      </c>
      <c r="C24" s="109">
        <f>População!C24</f>
        <v>2038</v>
      </c>
      <c r="D24" s="131">
        <v>32697.499963584902</v>
      </c>
      <c r="E24" s="131">
        <v>22877.886555383535</v>
      </c>
      <c r="F24" s="115">
        <f t="shared" si="3"/>
        <v>1.5552534293220788E-2</v>
      </c>
      <c r="G24" s="111">
        <f t="shared" si="4"/>
        <v>910.86283822313635</v>
      </c>
      <c r="H24" s="133">
        <v>4.9999999999998934E-3</v>
      </c>
      <c r="I24" s="111">
        <f t="shared" si="0"/>
        <v>21967.023717160399</v>
      </c>
      <c r="J24" s="116">
        <f>População!G24/I24</f>
        <v>2.3475950953006843</v>
      </c>
      <c r="K24" s="111">
        <f>ROUND(População!G24/$J$8,0)</f>
        <v>18720</v>
      </c>
      <c r="L24" s="111">
        <f t="shared" si="1"/>
        <v>1462</v>
      </c>
      <c r="M24" s="111">
        <f t="shared" si="1"/>
        <v>147</v>
      </c>
      <c r="N24" s="111">
        <f t="shared" si="1"/>
        <v>112</v>
      </c>
      <c r="O24" s="111">
        <f t="shared" si="1"/>
        <v>199</v>
      </c>
      <c r="P24" s="111">
        <f t="shared" si="5"/>
        <v>340.41781155632634</v>
      </c>
      <c r="Q24" s="111">
        <f t="shared" si="2"/>
        <v>24227.441528716725</v>
      </c>
      <c r="R24" s="108"/>
      <c r="S24" s="109">
        <f>População!B24</f>
        <v>12</v>
      </c>
      <c r="T24" s="109">
        <f>População!C24</f>
        <v>2038</v>
      </c>
      <c r="U24" s="116">
        <f>(População!D24/E24)</f>
        <v>2.3373876141204977</v>
      </c>
      <c r="V24" s="116">
        <f>(População!G24/I24)</f>
        <v>2.3475950953006843</v>
      </c>
      <c r="W24" s="116">
        <f>População!E24/Imóveis!G24</f>
        <v>2.0912166520741837</v>
      </c>
    </row>
    <row r="25" spans="2:23" x14ac:dyDescent="0.15">
      <c r="B25" s="109">
        <f>População!B25</f>
        <v>13</v>
      </c>
      <c r="C25" s="109">
        <f>População!C25</f>
        <v>2039</v>
      </c>
      <c r="D25" s="131">
        <v>32697.499963584902</v>
      </c>
      <c r="E25" s="131">
        <v>23221.253914373141</v>
      </c>
      <c r="F25" s="115">
        <f t="shared" si="3"/>
        <v>1.500870100734053E-2</v>
      </c>
      <c r="G25" s="111">
        <f t="shared" si="4"/>
        <v>915.41715241425197</v>
      </c>
      <c r="H25" s="133">
        <v>4.9999999999998934E-3</v>
      </c>
      <c r="I25" s="111">
        <f t="shared" si="0"/>
        <v>22305.83676195889</v>
      </c>
      <c r="J25" s="116">
        <f>População!G25/I25</f>
        <v>2.327846682471395</v>
      </c>
      <c r="K25" s="111">
        <f>ROUND(População!G25/$J$8,0)</f>
        <v>18849</v>
      </c>
      <c r="L25" s="111">
        <f t="shared" si="1"/>
        <v>1472</v>
      </c>
      <c r="M25" s="111">
        <f t="shared" si="1"/>
        <v>148</v>
      </c>
      <c r="N25" s="111">
        <f t="shared" si="1"/>
        <v>112</v>
      </c>
      <c r="O25" s="111">
        <f t="shared" si="1"/>
        <v>200</v>
      </c>
      <c r="P25" s="111">
        <f t="shared" si="5"/>
        <v>338.71572249854472</v>
      </c>
      <c r="Q25" s="111">
        <f t="shared" si="2"/>
        <v>24576.552484457436</v>
      </c>
      <c r="R25" s="108"/>
      <c r="S25" s="109">
        <f>População!B25</f>
        <v>13</v>
      </c>
      <c r="T25" s="109">
        <f>População!C25</f>
        <v>2039</v>
      </c>
      <c r="U25" s="116">
        <f>(População!D25/E25)</f>
        <v>2.3175825519635009</v>
      </c>
      <c r="V25" s="116">
        <f>(População!G25/I25)</f>
        <v>2.327846682471395</v>
      </c>
      <c r="W25" s="116">
        <f>População!E25/Imóveis!G25</f>
        <v>2.0674779750406023</v>
      </c>
    </row>
    <row r="26" spans="2:23" x14ac:dyDescent="0.15">
      <c r="B26" s="109">
        <f>População!B26</f>
        <v>14</v>
      </c>
      <c r="C26" s="109">
        <f>População!C26</f>
        <v>2040</v>
      </c>
      <c r="D26" s="131">
        <v>32697.499963584902</v>
      </c>
      <c r="E26" s="131">
        <v>23557.411446240436</v>
      </c>
      <c r="F26" s="115">
        <f t="shared" si="3"/>
        <v>1.4476286814952166E-2</v>
      </c>
      <c r="G26" s="111">
        <f t="shared" si="4"/>
        <v>919.99423817632317</v>
      </c>
      <c r="H26" s="133">
        <v>4.9999999999998934E-3</v>
      </c>
      <c r="I26" s="111">
        <f t="shared" si="0"/>
        <v>22637.417208064111</v>
      </c>
      <c r="J26" s="116">
        <f>População!G26/I26</f>
        <v>2.3087710168425608</v>
      </c>
      <c r="K26" s="111">
        <f>ROUND(População!G26/$J$8,0)</f>
        <v>18972</v>
      </c>
      <c r="L26" s="111">
        <f t="shared" si="1"/>
        <v>1481</v>
      </c>
      <c r="M26" s="111">
        <f t="shared" si="1"/>
        <v>149</v>
      </c>
      <c r="N26" s="111">
        <f t="shared" si="1"/>
        <v>113</v>
      </c>
      <c r="O26" s="111">
        <f t="shared" si="1"/>
        <v>201</v>
      </c>
      <c r="P26" s="111">
        <f t="shared" si="5"/>
        <v>337.02214388605199</v>
      </c>
      <c r="Q26" s="111">
        <f t="shared" si="2"/>
        <v>24918.439351950165</v>
      </c>
      <c r="R26" s="108"/>
      <c r="S26" s="109">
        <f>População!B26</f>
        <v>14</v>
      </c>
      <c r="T26" s="109">
        <f>População!C26</f>
        <v>2040</v>
      </c>
      <c r="U26" s="116">
        <f>(População!D26/E26)</f>
        <v>2.2984556464131063</v>
      </c>
      <c r="V26" s="116">
        <f>(População!G26/I26)</f>
        <v>2.3087710168425608</v>
      </c>
      <c r="W26" s="116">
        <f>População!E26/Imóveis!G26</f>
        <v>2.0446352045262453</v>
      </c>
    </row>
    <row r="27" spans="2:23" x14ac:dyDescent="0.15">
      <c r="B27" s="101">
        <f>População!B27</f>
        <v>15</v>
      </c>
      <c r="C27" s="101">
        <f>População!C27</f>
        <v>2041</v>
      </c>
      <c r="D27" s="132">
        <v>32697.499963584902</v>
      </c>
      <c r="E27" s="132">
        <v>23886.169086502279</v>
      </c>
      <c r="F27" s="113">
        <f t="shared" si="3"/>
        <v>1.3955592744648193E-2</v>
      </c>
      <c r="G27" s="102">
        <f t="shared" si="4"/>
        <v>924.59420936720471</v>
      </c>
      <c r="H27" s="134">
        <v>4.9999999999998934E-3</v>
      </c>
      <c r="I27" s="102">
        <f t="shared" si="0"/>
        <v>22961.574877135074</v>
      </c>
      <c r="J27" s="114">
        <f>População!G27/I27</f>
        <v>2.2903589059728624</v>
      </c>
      <c r="K27" s="102">
        <f>ROUND(População!G27/$J$8,0)</f>
        <v>19090</v>
      </c>
      <c r="L27" s="102">
        <f t="shared" si="1"/>
        <v>1490</v>
      </c>
      <c r="M27" s="102">
        <f t="shared" si="1"/>
        <v>150</v>
      </c>
      <c r="N27" s="102">
        <f t="shared" si="1"/>
        <v>114</v>
      </c>
      <c r="O27" s="102">
        <f t="shared" si="1"/>
        <v>202</v>
      </c>
      <c r="P27" s="102">
        <f t="shared" si="5"/>
        <v>335.33703316662172</v>
      </c>
      <c r="Q27" s="102">
        <f t="shared" si="2"/>
        <v>25252.911910301696</v>
      </c>
      <c r="R27" s="98"/>
      <c r="S27" s="101">
        <f>População!B27</f>
        <v>15</v>
      </c>
      <c r="T27" s="101">
        <f>População!C27</f>
        <v>2041</v>
      </c>
      <c r="U27" s="114">
        <f>(População!D27/E27)</f>
        <v>2.2799958836469463</v>
      </c>
      <c r="V27" s="114">
        <f>(População!G27/I27)</f>
        <v>2.2903589059728624</v>
      </c>
      <c r="W27" s="114">
        <f>População!E27/Imóveis!G27</f>
        <v>2.022638319994456</v>
      </c>
    </row>
    <row r="28" spans="2:23" x14ac:dyDescent="0.15">
      <c r="B28" s="109">
        <f>População!B28</f>
        <v>16</v>
      </c>
      <c r="C28" s="109">
        <f>População!C28</f>
        <v>2042</v>
      </c>
      <c r="D28" s="131">
        <v>32697.499963584902</v>
      </c>
      <c r="E28" s="131">
        <v>24207.363476803108</v>
      </c>
      <c r="F28" s="115">
        <f t="shared" si="3"/>
        <v>1.3446877527226953E-2</v>
      </c>
      <c r="G28" s="111">
        <f t="shared" si="4"/>
        <v>929.21718041404063</v>
      </c>
      <c r="H28" s="133">
        <v>4.9999999999998934E-3</v>
      </c>
      <c r="I28" s="111">
        <f t="shared" si="0"/>
        <v>23278.146296389066</v>
      </c>
      <c r="J28" s="116">
        <f>População!G28/I28</f>
        <v>2.2725999282008815</v>
      </c>
      <c r="K28" s="111">
        <f>ROUND(População!G28/$J$8,0)</f>
        <v>19204</v>
      </c>
      <c r="L28" s="111">
        <f t="shared" ref="L28:O45" si="6">ROUND($K28*K$3,0)</f>
        <v>1499</v>
      </c>
      <c r="M28" s="111">
        <f t="shared" si="6"/>
        <v>151</v>
      </c>
      <c r="N28" s="111">
        <f t="shared" si="6"/>
        <v>114</v>
      </c>
      <c r="O28" s="111">
        <f t="shared" si="6"/>
        <v>204</v>
      </c>
      <c r="P28" s="111">
        <f t="shared" si="5"/>
        <v>333.66034800078859</v>
      </c>
      <c r="Q28" s="111">
        <f t="shared" si="2"/>
        <v>25579.806644389853</v>
      </c>
      <c r="R28" s="108"/>
      <c r="S28" s="109">
        <f>População!B28</f>
        <v>16</v>
      </c>
      <c r="T28" s="109">
        <f>População!C28</f>
        <v>2042</v>
      </c>
      <c r="U28" s="116">
        <f>(População!D28/E28)</f>
        <v>2.2621912670878994</v>
      </c>
      <c r="V28" s="116">
        <f>(População!G28/I28)</f>
        <v>2.2725999282008815</v>
      </c>
      <c r="W28" s="116">
        <f>População!E28/Imóveis!G28</f>
        <v>2.0014402378940854</v>
      </c>
    </row>
    <row r="29" spans="2:23" x14ac:dyDescent="0.15">
      <c r="B29" s="109">
        <f>População!B29</f>
        <v>17</v>
      </c>
      <c r="C29" s="109">
        <f>População!C29</f>
        <v>2043</v>
      </c>
      <c r="D29" s="131">
        <v>32697.499963584902</v>
      </c>
      <c r="E29" s="131">
        <v>24520.857507802491</v>
      </c>
      <c r="F29" s="115">
        <f t="shared" si="3"/>
        <v>1.2950358319681943E-2</v>
      </c>
      <c r="G29" s="111">
        <f t="shared" si="4"/>
        <v>933.86326631611075</v>
      </c>
      <c r="H29" s="133">
        <v>4.9999999999998934E-3</v>
      </c>
      <c r="I29" s="111">
        <f t="shared" si="0"/>
        <v>23586.99424148638</v>
      </c>
      <c r="J29" s="116">
        <f>População!G29/I29</f>
        <v>2.2554825902807121</v>
      </c>
      <c r="K29" s="111">
        <f>ROUND(População!G29/$J$8,0)</f>
        <v>19312</v>
      </c>
      <c r="L29" s="111">
        <f t="shared" si="6"/>
        <v>1508</v>
      </c>
      <c r="M29" s="111">
        <f t="shared" si="6"/>
        <v>151</v>
      </c>
      <c r="N29" s="111">
        <f t="shared" si="6"/>
        <v>115</v>
      </c>
      <c r="O29" s="111">
        <f t="shared" si="6"/>
        <v>205</v>
      </c>
      <c r="P29" s="111">
        <f t="shared" si="5"/>
        <v>331.99204626078466</v>
      </c>
      <c r="Q29" s="111">
        <f t="shared" si="2"/>
        <v>25897.986287747164</v>
      </c>
      <c r="R29" s="108"/>
      <c r="S29" s="109">
        <f>População!B29</f>
        <v>17</v>
      </c>
      <c r="T29" s="109">
        <f>População!C29</f>
        <v>2043</v>
      </c>
      <c r="U29" s="116">
        <f>(População!D29/E29)</f>
        <v>2.2450289448846816</v>
      </c>
      <c r="V29" s="116">
        <f>(População!G29/I29)</f>
        <v>2.2554825902807121</v>
      </c>
      <c r="W29" s="116">
        <f>População!E29/Imóveis!G29</f>
        <v>1.9809966366738931</v>
      </c>
    </row>
    <row r="30" spans="2:23" x14ac:dyDescent="0.15">
      <c r="B30" s="109">
        <f>População!B30</f>
        <v>18</v>
      </c>
      <c r="C30" s="109">
        <f>População!C30</f>
        <v>2044</v>
      </c>
      <c r="D30" s="131">
        <v>32697.499963584902</v>
      </c>
      <c r="E30" s="131">
        <v>24826.539707906588</v>
      </c>
      <c r="F30" s="115">
        <f t="shared" si="3"/>
        <v>1.2466211673340943E-2</v>
      </c>
      <c r="G30" s="111">
        <f t="shared" si="4"/>
        <v>938.53258264769124</v>
      </c>
      <c r="H30" s="133">
        <v>4.9999999999998934E-3</v>
      </c>
      <c r="I30" s="111">
        <f t="shared" si="0"/>
        <v>23888.007125258897</v>
      </c>
      <c r="J30" s="116">
        <f>População!G30/I30</f>
        <v>2.2389944746189596</v>
      </c>
      <c r="K30" s="111">
        <f>ROUND(População!G30/$J$8,0)</f>
        <v>19415</v>
      </c>
      <c r="L30" s="111">
        <f t="shared" si="6"/>
        <v>1516</v>
      </c>
      <c r="M30" s="111">
        <f t="shared" si="6"/>
        <v>152</v>
      </c>
      <c r="N30" s="111">
        <f t="shared" si="6"/>
        <v>116</v>
      </c>
      <c r="O30" s="111">
        <f t="shared" si="6"/>
        <v>206</v>
      </c>
      <c r="P30" s="111">
        <f t="shared" si="5"/>
        <v>330.33208602948076</v>
      </c>
      <c r="Q30" s="111">
        <f t="shared" si="2"/>
        <v>26208.339211288378</v>
      </c>
      <c r="R30" s="108"/>
      <c r="S30" s="109">
        <f>População!B30</f>
        <v>18</v>
      </c>
      <c r="T30" s="109">
        <f>População!C30</f>
        <v>2044</v>
      </c>
      <c r="U30" s="116">
        <f>(População!D30/E30)</f>
        <v>2.2284953305386619</v>
      </c>
      <c r="V30" s="116">
        <f>(População!G30/I30)</f>
        <v>2.2389944746189596</v>
      </c>
      <c r="W30" s="116">
        <f>População!E30/Imóveis!G30</f>
        <v>1.9612657923890799</v>
      </c>
    </row>
    <row r="31" spans="2:23" x14ac:dyDescent="0.15">
      <c r="B31" s="109">
        <f>População!B31</f>
        <v>19</v>
      </c>
      <c r="C31" s="109">
        <f>População!C31</f>
        <v>2045</v>
      </c>
      <c r="D31" s="131">
        <v>32697.499963584902</v>
      </c>
      <c r="E31" s="131">
        <v>25124.323493505832</v>
      </c>
      <c r="F31" s="115">
        <f t="shared" si="3"/>
        <v>1.1994574721357898E-2</v>
      </c>
      <c r="G31" s="111">
        <f t="shared" si="4"/>
        <v>943.22524556092958</v>
      </c>
      <c r="H31" s="133">
        <v>4.9999999999998934E-3</v>
      </c>
      <c r="I31" s="111">
        <f t="shared" si="0"/>
        <v>24181.098247944901</v>
      </c>
      <c r="J31" s="116">
        <f>População!G31/I31</f>
        <v>2.2231223762741719</v>
      </c>
      <c r="K31" s="111">
        <f>ROUND(População!G31/$J$8,0)</f>
        <v>19514</v>
      </c>
      <c r="L31" s="111">
        <f t="shared" si="6"/>
        <v>1523</v>
      </c>
      <c r="M31" s="111">
        <f t="shared" si="6"/>
        <v>153</v>
      </c>
      <c r="N31" s="111">
        <f t="shared" si="6"/>
        <v>116</v>
      </c>
      <c r="O31" s="111">
        <f t="shared" si="6"/>
        <v>207</v>
      </c>
      <c r="P31" s="111">
        <f t="shared" si="5"/>
        <v>328.68042559933338</v>
      </c>
      <c r="Q31" s="111">
        <f t="shared" si="2"/>
        <v>26508.778673544235</v>
      </c>
      <c r="R31" s="108"/>
      <c r="S31" s="109">
        <f>População!B31</f>
        <v>19</v>
      </c>
      <c r="T31" s="109">
        <f>População!C31</f>
        <v>2045</v>
      </c>
      <c r="U31" s="116">
        <f>(População!D31/E31)</f>
        <v>2.2125762164362244</v>
      </c>
      <c r="V31" s="116">
        <f>(População!G31/I31)</f>
        <v>2.2231223762741719</v>
      </c>
      <c r="W31" s="116">
        <f>População!E31/Imóveis!G31</f>
        <v>1.9422084242464863</v>
      </c>
    </row>
    <row r="32" spans="2:23" x14ac:dyDescent="0.15">
      <c r="B32" s="101">
        <f>População!B32</f>
        <v>20</v>
      </c>
      <c r="C32" s="101">
        <f>População!C32</f>
        <v>2046</v>
      </c>
      <c r="D32" s="132">
        <v>32697.499963584902</v>
      </c>
      <c r="E32" s="132">
        <v>25414.14629694981</v>
      </c>
      <c r="F32" s="113">
        <f t="shared" si="3"/>
        <v>1.1535546559846344E-2</v>
      </c>
      <c r="G32" s="102">
        <f t="shared" si="4"/>
        <v>947.94137178873416</v>
      </c>
      <c r="H32" s="134">
        <v>4.9999999999998934E-3</v>
      </c>
      <c r="I32" s="102">
        <f t="shared" si="0"/>
        <v>24466.204925161077</v>
      </c>
      <c r="J32" s="114">
        <f>População!G32/I32</f>
        <v>2.207852429941398</v>
      </c>
      <c r="K32" s="102">
        <f>ROUND(População!G32/$J$8,0)</f>
        <v>19609</v>
      </c>
      <c r="L32" s="102">
        <f t="shared" si="6"/>
        <v>1531</v>
      </c>
      <c r="M32" s="102">
        <f t="shared" si="6"/>
        <v>154</v>
      </c>
      <c r="N32" s="102">
        <f t="shared" si="6"/>
        <v>117</v>
      </c>
      <c r="O32" s="102">
        <f t="shared" si="6"/>
        <v>208</v>
      </c>
      <c r="P32" s="102">
        <f t="shared" si="5"/>
        <v>327.03702347133668</v>
      </c>
      <c r="Q32" s="102">
        <f t="shared" si="2"/>
        <v>26803.241948632414</v>
      </c>
      <c r="R32" s="98"/>
      <c r="S32" s="101">
        <f>População!B32</f>
        <v>20</v>
      </c>
      <c r="T32" s="101">
        <f>População!C32</f>
        <v>2046</v>
      </c>
      <c r="U32" s="114">
        <f>(População!D32/E32)</f>
        <v>2.1972568801511718</v>
      </c>
      <c r="V32" s="114">
        <f>(População!G32/I32)</f>
        <v>2.207852429941398</v>
      </c>
      <c r="W32" s="114">
        <f>População!E32/Imóveis!G32</f>
        <v>1.923787549475942</v>
      </c>
    </row>
    <row r="33" spans="2:23" x14ac:dyDescent="0.15">
      <c r="B33" s="109">
        <f>População!B33</f>
        <v>21</v>
      </c>
      <c r="C33" s="109">
        <f>População!C33</f>
        <v>2047</v>
      </c>
      <c r="D33" s="131">
        <v>32697.499963584902</v>
      </c>
      <c r="E33" s="131">
        <v>25695.968588753542</v>
      </c>
      <c r="F33" s="115">
        <f t="shared" si="3"/>
        <v>1.1089189796533061E-2</v>
      </c>
      <c r="G33" s="111">
        <f t="shared" si="4"/>
        <v>952.68107864767774</v>
      </c>
      <c r="H33" s="133">
        <v>4.9999999999998934E-3</v>
      </c>
      <c r="I33" s="111">
        <f t="shared" si="0"/>
        <v>24743.287510105863</v>
      </c>
      <c r="J33" s="116">
        <f>População!G33/I33</f>
        <v>2.1931702271979985</v>
      </c>
      <c r="K33" s="111">
        <f>ROUND(População!G33/$J$8,0)</f>
        <v>19699</v>
      </c>
      <c r="L33" s="111">
        <f t="shared" si="6"/>
        <v>1538</v>
      </c>
      <c r="M33" s="111">
        <f t="shared" si="6"/>
        <v>155</v>
      </c>
      <c r="N33" s="111">
        <f t="shared" si="6"/>
        <v>117</v>
      </c>
      <c r="O33" s="111">
        <f t="shared" si="6"/>
        <v>209</v>
      </c>
      <c r="P33" s="111">
        <f t="shared" si="5"/>
        <v>325.40183835398</v>
      </c>
      <c r="Q33" s="111">
        <f t="shared" si="2"/>
        <v>27087.689348459844</v>
      </c>
      <c r="R33" s="108"/>
      <c r="S33" s="109">
        <f>População!B33</f>
        <v>21</v>
      </c>
      <c r="T33" s="109">
        <f>População!C33</f>
        <v>2047</v>
      </c>
      <c r="U33" s="116">
        <f>(População!D33/E33)</f>
        <v>2.182522183474108</v>
      </c>
      <c r="V33" s="116">
        <f>(População!G33/I33)</f>
        <v>2.1931702271979985</v>
      </c>
      <c r="W33" s="116">
        <f>População!E33/Imóveis!G33</f>
        <v>1.9059683469537196</v>
      </c>
    </row>
    <row r="34" spans="2:23" x14ac:dyDescent="0.15">
      <c r="B34" s="109">
        <f>População!B34</f>
        <v>22</v>
      </c>
      <c r="C34" s="109">
        <f>População!C34</f>
        <v>2048</v>
      </c>
      <c r="D34" s="131">
        <v>32697.499963584902</v>
      </c>
      <c r="E34" s="131">
        <v>25969.772810510483</v>
      </c>
      <c r="F34" s="115">
        <f t="shared" si="3"/>
        <v>1.065553224083482E-2</v>
      </c>
      <c r="G34" s="111">
        <f t="shared" si="4"/>
        <v>957.444484040916</v>
      </c>
      <c r="H34" s="133">
        <v>4.9999999999998934E-3</v>
      </c>
      <c r="I34" s="111">
        <f t="shared" si="0"/>
        <v>25012.328326469567</v>
      </c>
      <c r="J34" s="116">
        <f>População!G34/I34</f>
        <v>2.1790609243320627</v>
      </c>
      <c r="K34" s="111">
        <f>ROUND(População!G34/$J$8,0)</f>
        <v>19785</v>
      </c>
      <c r="L34" s="111">
        <f t="shared" si="6"/>
        <v>1545</v>
      </c>
      <c r="M34" s="111">
        <f t="shared" si="6"/>
        <v>155</v>
      </c>
      <c r="N34" s="111">
        <f t="shared" si="6"/>
        <v>118</v>
      </c>
      <c r="O34" s="111">
        <f t="shared" si="6"/>
        <v>210</v>
      </c>
      <c r="P34" s="111">
        <f t="shared" si="5"/>
        <v>323.7748291622101</v>
      </c>
      <c r="Q34" s="111">
        <f t="shared" si="2"/>
        <v>27364.103155631776</v>
      </c>
      <c r="R34" s="108"/>
      <c r="S34" s="109">
        <f>População!B34</f>
        <v>22</v>
      </c>
      <c r="T34" s="109">
        <f>População!C34</f>
        <v>2048</v>
      </c>
      <c r="U34" s="116">
        <f>(População!D34/E34)</f>
        <v>2.1683566642060232</v>
      </c>
      <c r="V34" s="116">
        <f>(População!G34/I34)</f>
        <v>2.1790609243320627</v>
      </c>
      <c r="W34" s="116">
        <f>População!E34/Imóveis!G34</f>
        <v>1.8887180290400045</v>
      </c>
    </row>
    <row r="35" spans="2:23" x14ac:dyDescent="0.15">
      <c r="B35" s="109">
        <f>População!B35</f>
        <v>23</v>
      </c>
      <c r="C35" s="109">
        <f>População!C35</f>
        <v>2049</v>
      </c>
      <c r="D35" s="131">
        <v>32697.499963584902</v>
      </c>
      <c r="E35" s="131">
        <v>26235.5622347149</v>
      </c>
      <c r="F35" s="115">
        <f t="shared" si="3"/>
        <v>1.0234568709698078E-2</v>
      </c>
      <c r="G35" s="111">
        <f t="shared" si="4"/>
        <v>962.23170646112044</v>
      </c>
      <c r="H35" s="133">
        <v>4.9999999999998934E-3</v>
      </c>
      <c r="I35" s="111">
        <f t="shared" si="0"/>
        <v>25273.33052825378</v>
      </c>
      <c r="J35" s="116">
        <f>População!G35/I35</f>
        <v>2.1655093411120028</v>
      </c>
      <c r="K35" s="111">
        <f>ROUND(População!G35/$J$8,0)</f>
        <v>19867</v>
      </c>
      <c r="L35" s="111">
        <f t="shared" si="6"/>
        <v>1551</v>
      </c>
      <c r="M35" s="111">
        <f t="shared" si="6"/>
        <v>156</v>
      </c>
      <c r="N35" s="111">
        <f t="shared" si="6"/>
        <v>118</v>
      </c>
      <c r="O35" s="111">
        <f t="shared" si="6"/>
        <v>211</v>
      </c>
      <c r="P35" s="111">
        <f t="shared" si="5"/>
        <v>322.15595501639905</v>
      </c>
      <c r="Q35" s="111">
        <f t="shared" si="2"/>
        <v>27631.486483270179</v>
      </c>
      <c r="R35" s="108"/>
      <c r="S35" s="109">
        <f>População!B35</f>
        <v>23</v>
      </c>
      <c r="T35" s="109">
        <f>População!C35</f>
        <v>2049</v>
      </c>
      <c r="U35" s="116">
        <f>(População!D35/E35)</f>
        <v>2.1547446208218504</v>
      </c>
      <c r="V35" s="116">
        <f>(População!G35/I35)</f>
        <v>2.1655093411120028</v>
      </c>
      <c r="W35" s="116">
        <f>População!E35/Imóveis!G35</f>
        <v>1.8720057211260561</v>
      </c>
    </row>
    <row r="36" spans="2:23" x14ac:dyDescent="0.15">
      <c r="B36" s="109">
        <f>População!B36</f>
        <v>24</v>
      </c>
      <c r="C36" s="109">
        <f>População!C36</f>
        <v>2050</v>
      </c>
      <c r="D36" s="131">
        <v>32697.499963584902</v>
      </c>
      <c r="E36" s="131">
        <v>26493.359767200705</v>
      </c>
      <c r="F36" s="115">
        <f t="shared" si="3"/>
        <v>9.826262924325091E-3</v>
      </c>
      <c r="G36" s="111">
        <f t="shared" si="4"/>
        <v>967.04286499342595</v>
      </c>
      <c r="H36" s="133">
        <v>4.9999999999998934E-3</v>
      </c>
      <c r="I36" s="111">
        <f t="shared" si="0"/>
        <v>25526.31690220728</v>
      </c>
      <c r="J36" s="116">
        <f>População!G36/I36</f>
        <v>2.1525000508853531</v>
      </c>
      <c r="K36" s="111">
        <f>ROUND(População!G36/$J$8,0)</f>
        <v>19945</v>
      </c>
      <c r="L36" s="111">
        <f t="shared" si="6"/>
        <v>1557</v>
      </c>
      <c r="M36" s="111">
        <f t="shared" si="6"/>
        <v>156</v>
      </c>
      <c r="N36" s="111">
        <f t="shared" si="6"/>
        <v>119</v>
      </c>
      <c r="O36" s="111">
        <f t="shared" si="6"/>
        <v>212</v>
      </c>
      <c r="P36" s="111">
        <f t="shared" si="5"/>
        <v>320.54517524131705</v>
      </c>
      <c r="Q36" s="111">
        <f t="shared" si="2"/>
        <v>27890.862077448597</v>
      </c>
      <c r="R36" s="108"/>
      <c r="S36" s="109">
        <f>População!B36</f>
        <v>24</v>
      </c>
      <c r="T36" s="109">
        <f>População!C36</f>
        <v>2050</v>
      </c>
      <c r="U36" s="116">
        <f>(População!D36/E36)</f>
        <v>2.1416701901673516</v>
      </c>
      <c r="V36" s="116">
        <f>(População!G36/I36)</f>
        <v>2.1525000508853531</v>
      </c>
      <c r="W36" s="116">
        <f>População!E36/Imóveis!G36</f>
        <v>1.8558023484183102</v>
      </c>
    </row>
    <row r="37" spans="2:23" x14ac:dyDescent="0.15">
      <c r="B37" s="101">
        <f>População!B37</f>
        <v>25</v>
      </c>
      <c r="C37" s="101">
        <f>População!C37</f>
        <v>2051</v>
      </c>
      <c r="D37" s="132">
        <v>32697.499963584902</v>
      </c>
      <c r="E37" s="132">
        <v>26743.206707217632</v>
      </c>
      <c r="F37" s="113">
        <f t="shared" si="3"/>
        <v>9.4305494739947981E-3</v>
      </c>
      <c r="G37" s="102">
        <f t="shared" si="4"/>
        <v>971.87807931839302</v>
      </c>
      <c r="H37" s="134">
        <v>4.9999999999998934E-3</v>
      </c>
      <c r="I37" s="102">
        <f t="shared" si="0"/>
        <v>25771.328627899238</v>
      </c>
      <c r="J37" s="114">
        <f>População!G37/I37</f>
        <v>2.1400174624171036</v>
      </c>
      <c r="K37" s="102">
        <f>ROUND(População!G37/$J$8,0)</f>
        <v>20020</v>
      </c>
      <c r="L37" s="102">
        <f t="shared" si="6"/>
        <v>1563</v>
      </c>
      <c r="M37" s="102">
        <f t="shared" si="6"/>
        <v>157</v>
      </c>
      <c r="N37" s="102">
        <f t="shared" si="6"/>
        <v>119</v>
      </c>
      <c r="O37" s="102">
        <f t="shared" si="6"/>
        <v>212</v>
      </c>
      <c r="P37" s="102">
        <f t="shared" si="5"/>
        <v>318.94244936511046</v>
      </c>
      <c r="Q37" s="102">
        <f t="shared" si="2"/>
        <v>28141.271077264348</v>
      </c>
      <c r="R37" s="98"/>
      <c r="S37" s="101">
        <f>População!B37</f>
        <v>25</v>
      </c>
      <c r="T37" s="101">
        <f>População!C37</f>
        <v>2051</v>
      </c>
      <c r="U37" s="114">
        <f>(População!D37/E37)</f>
        <v>2.1291174184001083</v>
      </c>
      <c r="V37" s="114">
        <f>(População!G37/I37)</f>
        <v>2.1400174624171036</v>
      </c>
      <c r="W37" s="114">
        <f>População!E37/Imóveis!G37</f>
        <v>1.8400805295163076</v>
      </c>
    </row>
    <row r="38" spans="2:23" x14ac:dyDescent="0.15">
      <c r="B38" s="109">
        <f>População!B38</f>
        <v>26</v>
      </c>
      <c r="C38" s="109">
        <f>População!C38</f>
        <v>2052</v>
      </c>
      <c r="D38" s="131">
        <v>32697.499963584902</v>
      </c>
      <c r="E38" s="131">
        <v>26985.16147932244</v>
      </c>
      <c r="F38" s="115">
        <f t="shared" si="3"/>
        <v>9.0473358245219959E-3</v>
      </c>
      <c r="G38" s="111">
        <f t="shared" si="4"/>
        <v>976.73746971498485</v>
      </c>
      <c r="H38" s="133">
        <v>4.9999999999998934E-3</v>
      </c>
      <c r="I38" s="111">
        <f t="shared" si="0"/>
        <v>26008.424009607454</v>
      </c>
      <c r="J38" s="116">
        <f>População!G38/I38</f>
        <v>2.128045893893538</v>
      </c>
      <c r="K38" s="111">
        <f>ROUND(População!G38/$J$8,0)</f>
        <v>20091</v>
      </c>
      <c r="L38" s="111">
        <f t="shared" si="6"/>
        <v>1569</v>
      </c>
      <c r="M38" s="111">
        <f t="shared" si="6"/>
        <v>158</v>
      </c>
      <c r="N38" s="111">
        <f t="shared" si="6"/>
        <v>120</v>
      </c>
      <c r="O38" s="111">
        <f t="shared" si="6"/>
        <v>213</v>
      </c>
      <c r="P38" s="111">
        <f t="shared" si="5"/>
        <v>317.3477371182849</v>
      </c>
      <c r="Q38" s="111">
        <f t="shared" si="2"/>
        <v>28385.771746725739</v>
      </c>
      <c r="R38" s="108"/>
      <c r="S38" s="109">
        <f>População!B38</f>
        <v>26</v>
      </c>
      <c r="T38" s="109">
        <f>População!C38</f>
        <v>2052</v>
      </c>
      <c r="U38" s="116">
        <f>(População!D38/E38)</f>
        <v>2.1170703254235121</v>
      </c>
      <c r="V38" s="116">
        <f>(População!G38/I38)</f>
        <v>2.128045893893538</v>
      </c>
      <c r="W38" s="116">
        <f>População!E38/Imóveis!G38</f>
        <v>1.8248144763690035</v>
      </c>
    </row>
    <row r="39" spans="2:23" x14ac:dyDescent="0.15">
      <c r="B39" s="109">
        <f>População!B39</f>
        <v>27</v>
      </c>
      <c r="C39" s="109">
        <f>População!C39</f>
        <v>2053</v>
      </c>
      <c r="D39" s="131">
        <v>32697.499963584902</v>
      </c>
      <c r="E39" s="131">
        <v>27219.298350295026</v>
      </c>
      <c r="F39" s="115">
        <f t="shared" si="3"/>
        <v>8.6765043504370976E-3</v>
      </c>
      <c r="G39" s="111">
        <f t="shared" si="4"/>
        <v>981.62115706355962</v>
      </c>
      <c r="H39" s="133">
        <v>4.9999999999998934E-3</v>
      </c>
      <c r="I39" s="111">
        <f t="shared" si="0"/>
        <v>26237.677193231466</v>
      </c>
      <c r="J39" s="116">
        <f>População!G39/I39</f>
        <v>2.1165696395271145</v>
      </c>
      <c r="K39" s="111">
        <f>ROUND(População!G39/$J$8,0)</f>
        <v>20159</v>
      </c>
      <c r="L39" s="111">
        <f t="shared" si="6"/>
        <v>1574</v>
      </c>
      <c r="M39" s="111">
        <f t="shared" si="6"/>
        <v>158</v>
      </c>
      <c r="N39" s="111">
        <f t="shared" si="6"/>
        <v>120</v>
      </c>
      <c r="O39" s="111">
        <f t="shared" si="6"/>
        <v>214</v>
      </c>
      <c r="P39" s="111">
        <f t="shared" si="5"/>
        <v>315.7609984326935</v>
      </c>
      <c r="Q39" s="111">
        <f t="shared" si="2"/>
        <v>28619.438191664158</v>
      </c>
      <c r="R39" s="108"/>
      <c r="S39" s="109">
        <f>População!B39</f>
        <v>27</v>
      </c>
      <c r="T39" s="109">
        <f>População!C39</f>
        <v>2053</v>
      </c>
      <c r="U39" s="116">
        <f>(População!D39/E39)</f>
        <v>2.1055129630922798</v>
      </c>
      <c r="V39" s="116">
        <f>(População!G39/I39)</f>
        <v>2.1165696395271145</v>
      </c>
      <c r="W39" s="116">
        <f>População!E39/Imóveis!G39</f>
        <v>1.809979900220023</v>
      </c>
    </row>
    <row r="40" spans="2:23" x14ac:dyDescent="0.15">
      <c r="B40" s="109">
        <f>População!B40</f>
        <v>28</v>
      </c>
      <c r="C40" s="109">
        <f>População!C40</f>
        <v>2054</v>
      </c>
      <c r="D40" s="131">
        <v>32697.499963584902</v>
      </c>
      <c r="E40" s="131">
        <v>27445.706143228861</v>
      </c>
      <c r="F40" s="115">
        <f t="shared" si="3"/>
        <v>8.3179143716385351E-3</v>
      </c>
      <c r="G40" s="111">
        <f t="shared" si="4"/>
        <v>986.52926284887735</v>
      </c>
      <c r="H40" s="133">
        <v>4.9999999999998934E-3</v>
      </c>
      <c r="I40" s="111">
        <f t="shared" si="0"/>
        <v>26459.176880379982</v>
      </c>
      <c r="J40" s="116">
        <f>População!G40/I40</f>
        <v>2.1055730292021182</v>
      </c>
      <c r="K40" s="111">
        <f>ROUND(População!G40/$J$8,0)</f>
        <v>20223</v>
      </c>
      <c r="L40" s="111">
        <f t="shared" si="6"/>
        <v>1579</v>
      </c>
      <c r="M40" s="111">
        <f t="shared" si="6"/>
        <v>159</v>
      </c>
      <c r="N40" s="111">
        <f t="shared" si="6"/>
        <v>121</v>
      </c>
      <c r="O40" s="111">
        <f t="shared" si="6"/>
        <v>214</v>
      </c>
      <c r="P40" s="111">
        <f t="shared" si="5"/>
        <v>314.18219344053006</v>
      </c>
      <c r="Q40" s="111">
        <f t="shared" si="2"/>
        <v>28846.359073820513</v>
      </c>
      <c r="R40" s="108"/>
      <c r="S40" s="109">
        <f>População!B40</f>
        <v>28</v>
      </c>
      <c r="T40" s="109">
        <f>População!C40</f>
        <v>2054</v>
      </c>
      <c r="U40" s="116">
        <f>(População!D40/E40)</f>
        <v>2.0944294674901247</v>
      </c>
      <c r="V40" s="116">
        <f>(População!G40/I40)</f>
        <v>2.1055730292021182</v>
      </c>
      <c r="W40" s="116">
        <f>População!E40/Imóveis!G40</f>
        <v>1.7955539231767224</v>
      </c>
    </row>
    <row r="41" spans="2:23" x14ac:dyDescent="0.15">
      <c r="B41" s="109">
        <f>População!B41</f>
        <v>29</v>
      </c>
      <c r="C41" s="109">
        <f>População!C41</f>
        <v>2055</v>
      </c>
      <c r="D41" s="131">
        <v>32697.499963584902</v>
      </c>
      <c r="E41" s="131">
        <v>27664.486959821377</v>
      </c>
      <c r="F41" s="115">
        <f t="shared" si="3"/>
        <v>7.9714041770606592E-3</v>
      </c>
      <c r="G41" s="111">
        <f t="shared" si="4"/>
        <v>991.46190916312162</v>
      </c>
      <c r="H41" s="133">
        <v>4.9999999999998934E-3</v>
      </c>
      <c r="I41" s="111">
        <f t="shared" si="0"/>
        <v>26673.025050658256</v>
      </c>
      <c r="J41" s="116">
        <f>População!G41/I41</f>
        <v>2.0950404816002899</v>
      </c>
      <c r="K41" s="111">
        <f>ROUND(População!G41/$J$8,0)</f>
        <v>20285</v>
      </c>
      <c r="L41" s="111">
        <f t="shared" si="6"/>
        <v>1584</v>
      </c>
      <c r="M41" s="111">
        <f t="shared" si="6"/>
        <v>159</v>
      </c>
      <c r="N41" s="111">
        <f t="shared" si="6"/>
        <v>121</v>
      </c>
      <c r="O41" s="111">
        <f t="shared" si="6"/>
        <v>215</v>
      </c>
      <c r="P41" s="111">
        <f t="shared" si="5"/>
        <v>312.61128247332738</v>
      </c>
      <c r="Q41" s="111">
        <f t="shared" si="2"/>
        <v>29064.636333131584</v>
      </c>
      <c r="R41" s="108"/>
      <c r="S41" s="109">
        <f>População!B41</f>
        <v>29</v>
      </c>
      <c r="T41" s="109">
        <f>População!C41</f>
        <v>2055</v>
      </c>
      <c r="U41" s="116">
        <f>(População!D41/E41)</f>
        <v>2.0838041055956551</v>
      </c>
      <c r="V41" s="116">
        <f>(População!G41/I41)</f>
        <v>2.0950404816002899</v>
      </c>
      <c r="W41" s="116">
        <f>População!E41/Imóveis!G41</f>
        <v>1.7815149950606686</v>
      </c>
    </row>
    <row r="42" spans="2:23" x14ac:dyDescent="0.15">
      <c r="B42" s="101">
        <f>População!B42</f>
        <v>30</v>
      </c>
      <c r="C42" s="101">
        <f>População!C42</f>
        <v>2056</v>
      </c>
      <c r="D42" s="132">
        <v>32697.499963584902</v>
      </c>
      <c r="E42" s="132">
        <v>27875.754920730447</v>
      </c>
      <c r="F42" s="113">
        <f t="shared" si="3"/>
        <v>7.6367930197260847E-3</v>
      </c>
      <c r="G42" s="102">
        <f t="shared" si="4"/>
        <v>996.41921870893714</v>
      </c>
      <c r="H42" s="134">
        <v>4.9999999999998934E-3</v>
      </c>
      <c r="I42" s="102">
        <f t="shared" si="0"/>
        <v>26879.335702021512</v>
      </c>
      <c r="J42" s="114">
        <f>População!G42/I42</f>
        <v>2.0849565512409489</v>
      </c>
      <c r="K42" s="102">
        <f>ROUND(População!G42/$J$8,0)</f>
        <v>20343</v>
      </c>
      <c r="L42" s="102">
        <f t="shared" si="6"/>
        <v>1588</v>
      </c>
      <c r="M42" s="102">
        <f t="shared" si="6"/>
        <v>160</v>
      </c>
      <c r="N42" s="102">
        <f t="shared" si="6"/>
        <v>121</v>
      </c>
      <c r="O42" s="102">
        <f t="shared" si="6"/>
        <v>216</v>
      </c>
      <c r="P42" s="102">
        <f t="shared" si="5"/>
        <v>311.04822606096076</v>
      </c>
      <c r="Q42" s="102">
        <f t="shared" si="2"/>
        <v>29275.383928082472</v>
      </c>
      <c r="R42" s="98"/>
      <c r="S42" s="101">
        <f>População!B42</f>
        <v>30</v>
      </c>
      <c r="T42" s="101">
        <f>População!C42</f>
        <v>2056</v>
      </c>
      <c r="U42" s="114">
        <f>(População!D42/E42)</f>
        <v>2.0736213166620865</v>
      </c>
      <c r="V42" s="114">
        <f>(População!G42/I42)</f>
        <v>2.0849565512409489</v>
      </c>
      <c r="W42" s="114">
        <f>População!E42/Imóveis!G42</f>
        <v>1.7678428152184975</v>
      </c>
    </row>
    <row r="43" spans="2:23" x14ac:dyDescent="0.15">
      <c r="B43" s="109">
        <f>População!B43</f>
        <v>31</v>
      </c>
      <c r="C43" s="109">
        <f>População!C43</f>
        <v>2057</v>
      </c>
      <c r="D43" s="131">
        <v>32697.499963584902</v>
      </c>
      <c r="E43" s="131">
        <v>28079.634932692279</v>
      </c>
      <c r="F43" s="115">
        <f t="shared" si="3"/>
        <v>7.3138830694128298E-3</v>
      </c>
      <c r="G43" s="111">
        <f t="shared" si="4"/>
        <v>1001.4013148024817</v>
      </c>
      <c r="H43" s="133">
        <v>4.9999999999998934E-3</v>
      </c>
      <c r="I43" s="111">
        <f t="shared" si="0"/>
        <v>27078.233617889797</v>
      </c>
      <c r="J43" s="116">
        <f>População!G43/I43</f>
        <v>2.0753059698619842</v>
      </c>
      <c r="K43" s="111">
        <f>ROUND(População!G43/$J$8,0)</f>
        <v>20399</v>
      </c>
      <c r="L43" s="111">
        <f t="shared" si="6"/>
        <v>1593</v>
      </c>
      <c r="M43" s="111">
        <f t="shared" si="6"/>
        <v>160</v>
      </c>
      <c r="N43" s="111">
        <f t="shared" si="6"/>
        <v>122</v>
      </c>
      <c r="O43" s="111">
        <f t="shared" si="6"/>
        <v>216</v>
      </c>
      <c r="P43" s="111">
        <f t="shared" si="5"/>
        <v>309.49298493065595</v>
      </c>
      <c r="Q43" s="111">
        <f t="shared" si="2"/>
        <v>29478.726602820454</v>
      </c>
      <c r="R43" s="108"/>
      <c r="S43" s="109">
        <f>População!B43</f>
        <v>31</v>
      </c>
      <c r="T43" s="109">
        <f>População!C43</f>
        <v>2057</v>
      </c>
      <c r="U43" s="116">
        <f>(População!D43/E43)</f>
        <v>2.0638657486408878</v>
      </c>
      <c r="V43" s="116">
        <f>(População!G43/I43)</f>
        <v>2.0753059698619842</v>
      </c>
      <c r="W43" s="116">
        <f>População!E43/Imóveis!G43</f>
        <v>1.75451825899206</v>
      </c>
    </row>
    <row r="44" spans="2:23" x14ac:dyDescent="0.15">
      <c r="B44" s="109">
        <f>População!B44</f>
        <v>32</v>
      </c>
      <c r="C44" s="109">
        <f>População!C44</f>
        <v>2058</v>
      </c>
      <c r="D44" s="131">
        <v>32697.499963584902</v>
      </c>
      <c r="E44" s="131">
        <v>28276.26148993555</v>
      </c>
      <c r="F44" s="115">
        <f t="shared" si="3"/>
        <v>7.0024613110031275E-3</v>
      </c>
      <c r="G44" s="111">
        <f t="shared" si="4"/>
        <v>1006.408321376494</v>
      </c>
      <c r="H44" s="133">
        <v>4.9999999999998934E-3</v>
      </c>
      <c r="I44" s="111">
        <f t="shared" si="0"/>
        <v>27269.853168559057</v>
      </c>
      <c r="J44" s="116">
        <f>População!G44/I44</f>
        <v>2.0660736825570343</v>
      </c>
      <c r="K44" s="111">
        <f>ROUND(População!G44/$J$8,0)</f>
        <v>20452</v>
      </c>
      <c r="L44" s="111">
        <f t="shared" si="6"/>
        <v>1597</v>
      </c>
      <c r="M44" s="111">
        <f t="shared" si="6"/>
        <v>160</v>
      </c>
      <c r="N44" s="111">
        <f t="shared" si="6"/>
        <v>122</v>
      </c>
      <c r="O44" s="111">
        <f t="shared" si="6"/>
        <v>217</v>
      </c>
      <c r="P44" s="111">
        <f t="shared" si="5"/>
        <v>307.94552000600265</v>
      </c>
      <c r="Q44" s="111">
        <f t="shared" si="2"/>
        <v>29673.798688565061</v>
      </c>
      <c r="R44" s="108"/>
      <c r="S44" s="109">
        <f>População!B44</f>
        <v>32</v>
      </c>
      <c r="T44" s="109">
        <f>População!C44</f>
        <v>2058</v>
      </c>
      <c r="U44" s="116">
        <f>(População!D44/E44)</f>
        <v>2.0545222899796514</v>
      </c>
      <c r="V44" s="116">
        <f>(População!G44/I44)</f>
        <v>2.0660736825570343</v>
      </c>
      <c r="W44" s="116">
        <f>População!E44/Imóveis!G44</f>
        <v>1.7415233085654518</v>
      </c>
    </row>
    <row r="45" spans="2:23" x14ac:dyDescent="0.15">
      <c r="B45" s="109">
        <f>População!B45</f>
        <v>33</v>
      </c>
      <c r="C45" s="109">
        <f>População!C45</f>
        <v>2059</v>
      </c>
      <c r="D45" s="131">
        <v>32697.499963584902</v>
      </c>
      <c r="E45" s="131">
        <v>28465.777516294766</v>
      </c>
      <c r="F45" s="115">
        <f t="shared" si="3"/>
        <v>6.7023013783724661E-3</v>
      </c>
      <c r="G45" s="111">
        <f t="shared" si="4"/>
        <v>1011.4403629833763</v>
      </c>
      <c r="H45" s="133">
        <v>4.9999999999998934E-3</v>
      </c>
      <c r="I45" s="111">
        <f t="shared" si="0"/>
        <v>27454.33715331139</v>
      </c>
      <c r="J45" s="116">
        <f>População!G45/I45</f>
        <v>2.0572448790707112</v>
      </c>
      <c r="K45" s="111">
        <f>ROUND(População!G45/$J$8,0)</f>
        <v>20502</v>
      </c>
      <c r="L45" s="111">
        <f t="shared" si="6"/>
        <v>1601</v>
      </c>
      <c r="M45" s="111">
        <f t="shared" si="6"/>
        <v>161</v>
      </c>
      <c r="N45" s="111">
        <f t="shared" si="6"/>
        <v>122</v>
      </c>
      <c r="O45" s="111">
        <f t="shared" si="6"/>
        <v>217</v>
      </c>
      <c r="P45" s="111">
        <f t="shared" si="5"/>
        <v>306.40579240597265</v>
      </c>
      <c r="Q45" s="111">
        <f t="shared" si="2"/>
        <v>29861.742945717364</v>
      </c>
      <c r="R45" s="108"/>
      <c r="S45" s="109">
        <f>População!B45</f>
        <v>33</v>
      </c>
      <c r="T45" s="109">
        <f>População!C45</f>
        <v>2059</v>
      </c>
      <c r="U45" s="116">
        <f>(População!D45/E45)</f>
        <v>2.0455760971210037</v>
      </c>
      <c r="V45" s="116">
        <f>(População!G45/I45)</f>
        <v>2.0572448790707112</v>
      </c>
      <c r="W45" s="116">
        <f>População!E45/Imóveis!G45</f>
        <v>1.7288409879240567</v>
      </c>
    </row>
    <row r="46" spans="2:23" x14ac:dyDescent="0.15">
      <c r="B46" s="109">
        <f>População!B46</f>
        <v>34</v>
      </c>
      <c r="C46" s="109">
        <f>População!C46</f>
        <v>2060</v>
      </c>
      <c r="D46" s="131">
        <v>32697.499963584902</v>
      </c>
      <c r="E46" s="131">
        <v>28634</v>
      </c>
      <c r="F46" s="115">
        <f t="shared" si="3"/>
        <v>5.9096395174500493E-3</v>
      </c>
      <c r="G46" s="111">
        <v>1016</v>
      </c>
      <c r="H46" s="133">
        <v>4.9999999999998934E-3</v>
      </c>
      <c r="I46" s="111">
        <f t="shared" ref="I46:I47" si="7">E46-G46</f>
        <v>27618</v>
      </c>
      <c r="J46" s="116">
        <f>População!G46/I46</f>
        <v>2.0499312042870592</v>
      </c>
      <c r="K46" s="111">
        <f>ROUND(População!G46/$J$8,0)</f>
        <v>20551</v>
      </c>
      <c r="L46" s="111">
        <f t="shared" ref="L46:O46" si="8">ROUND($K46*K$3,0)</f>
        <v>1604</v>
      </c>
      <c r="M46" s="111">
        <f t="shared" si="8"/>
        <v>161</v>
      </c>
      <c r="N46" s="111">
        <f t="shared" si="8"/>
        <v>123</v>
      </c>
      <c r="O46" s="111">
        <f t="shared" si="8"/>
        <v>218</v>
      </c>
      <c r="P46" s="111">
        <f t="shared" ref="P46:P47" si="9">P45*(1-$P$3)</f>
        <v>304.87376344394278</v>
      </c>
      <c r="Q46" s="111">
        <f t="shared" ref="Q46:Q47" si="10">L46+I46+M46+N46+O46+P46</f>
        <v>30028.873763443942</v>
      </c>
      <c r="R46" s="108"/>
      <c r="S46" s="109">
        <f>População!B46</f>
        <v>34</v>
      </c>
      <c r="T46" s="109">
        <f>População!C46</f>
        <v>2060</v>
      </c>
      <c r="U46" s="116">
        <f>(População!D46/E46)</f>
        <v>2.0335584994515981</v>
      </c>
      <c r="V46" s="116">
        <f>(População!G46/I46)</f>
        <v>2.0499312042870592</v>
      </c>
      <c r="W46" s="116">
        <f>População!E46/Imóveis!G46</f>
        <v>1.7210822405181563</v>
      </c>
    </row>
    <row r="47" spans="2:23" x14ac:dyDescent="0.15">
      <c r="B47" s="101">
        <f>População!B47</f>
        <v>35</v>
      </c>
      <c r="C47" s="101">
        <f>População!C47</f>
        <v>2061</v>
      </c>
      <c r="D47" s="132">
        <v>32697.499963584902</v>
      </c>
      <c r="E47" s="132">
        <v>28839.90038361368</v>
      </c>
      <c r="F47" s="113">
        <f t="shared" si="3"/>
        <v>7.1907656497058881E-3</v>
      </c>
      <c r="G47" s="102">
        <v>1021</v>
      </c>
      <c r="H47" s="134">
        <v>5.0000000000000001E-3</v>
      </c>
      <c r="I47" s="102">
        <f t="shared" si="7"/>
        <v>27818.90038361368</v>
      </c>
      <c r="J47" s="114">
        <f>População!G47/I47</f>
        <v>2.0303568343125695</v>
      </c>
      <c r="K47" s="102">
        <f>ROUND(População!G47/$J$8,0)</f>
        <v>20503</v>
      </c>
      <c r="L47" s="102">
        <f t="shared" ref="L47:O47" si="11">ROUND($K47*K$3,0)</f>
        <v>1601</v>
      </c>
      <c r="M47" s="102">
        <f t="shared" si="11"/>
        <v>161</v>
      </c>
      <c r="N47" s="102">
        <f t="shared" si="11"/>
        <v>122</v>
      </c>
      <c r="O47" s="102">
        <f t="shared" si="11"/>
        <v>217</v>
      </c>
      <c r="P47" s="102">
        <f t="shared" si="9"/>
        <v>303.34939462672304</v>
      </c>
      <c r="Q47" s="102">
        <f t="shared" si="10"/>
        <v>30223.249778240403</v>
      </c>
      <c r="R47" s="98"/>
      <c r="S47" s="101">
        <f>População!B47</f>
        <v>35</v>
      </c>
      <c r="T47" s="101">
        <f>População!C47</f>
        <v>2061</v>
      </c>
      <c r="U47" s="114">
        <f>(População!D47/E47)</f>
        <v>2.019040055574592</v>
      </c>
      <c r="V47" s="114">
        <f>(População!G47/I47)</f>
        <v>2.0303568343125695</v>
      </c>
      <c r="W47" s="114">
        <f>População!E47/Imóveis!G47</f>
        <v>1.7126538260200264</v>
      </c>
    </row>
  </sheetData>
  <mergeCells count="4">
    <mergeCell ref="S5:W5"/>
    <mergeCell ref="B6:C7"/>
    <mergeCell ref="B5:Q5"/>
    <mergeCell ref="S6:T7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6235E-75F5-484A-8A9C-7C63C141E8F5}">
  <dimension ref="B1:I47"/>
  <sheetViews>
    <sheetView showGridLines="0" topLeftCell="A6" zoomScale="120" zoomScaleNormal="120" workbookViewId="0">
      <selection activeCell="K33" sqref="K33"/>
    </sheetView>
  </sheetViews>
  <sheetFormatPr defaultRowHeight="12" x14ac:dyDescent="0.15"/>
  <sheetData>
    <row r="1" spans="2:9" x14ac:dyDescent="0.15">
      <c r="B1" s="49"/>
      <c r="C1" s="49"/>
    </row>
    <row r="2" spans="2:9" x14ac:dyDescent="0.15">
      <c r="B2" s="40"/>
      <c r="C2" s="40"/>
    </row>
    <row r="3" spans="2:9" x14ac:dyDescent="0.15">
      <c r="B3" s="40"/>
      <c r="C3" s="40"/>
    </row>
    <row r="4" spans="2:9" ht="12.75" thickBot="1" x14ac:dyDescent="0.2">
      <c r="B4" s="40"/>
      <c r="C4" s="40"/>
    </row>
    <row r="5" spans="2:9" ht="19.5" thickBot="1" x14ac:dyDescent="0.2">
      <c r="B5" s="226" t="s">
        <v>82</v>
      </c>
      <c r="C5" s="227"/>
      <c r="D5" s="227"/>
      <c r="E5" s="227"/>
      <c r="F5" s="227"/>
      <c r="G5" s="227"/>
      <c r="H5" s="227"/>
      <c r="I5" s="228"/>
    </row>
    <row r="6" spans="2:9" ht="60" x14ac:dyDescent="0.15">
      <c r="B6" s="229" t="str">
        <f>População!B6</f>
        <v>ANO</v>
      </c>
      <c r="C6" s="231"/>
      <c r="D6" s="127" t="s">
        <v>50</v>
      </c>
      <c r="E6" s="127" t="s">
        <v>28</v>
      </c>
      <c r="F6" s="127" t="s">
        <v>51</v>
      </c>
      <c r="G6" s="127" t="s">
        <v>29</v>
      </c>
      <c r="H6" s="127" t="s">
        <v>110</v>
      </c>
      <c r="I6" s="127" t="s">
        <v>111</v>
      </c>
    </row>
    <row r="7" spans="2:9" x14ac:dyDescent="0.15">
      <c r="B7" s="219"/>
      <c r="C7" s="220"/>
      <c r="D7" s="110" t="s">
        <v>2</v>
      </c>
      <c r="E7" s="110" t="s">
        <v>220</v>
      </c>
      <c r="F7" s="110" t="s">
        <v>2</v>
      </c>
      <c r="G7" s="110" t="s">
        <v>220</v>
      </c>
      <c r="H7" s="110" t="s">
        <v>221</v>
      </c>
      <c r="I7" s="110" t="s">
        <v>221</v>
      </c>
    </row>
    <row r="8" spans="2:9" x14ac:dyDescent="0.15">
      <c r="B8" s="101" t="str">
        <f>População!B8</f>
        <v>CENSO</v>
      </c>
      <c r="C8" s="101">
        <f>População!C8</f>
        <v>2022</v>
      </c>
      <c r="D8" s="110">
        <v>0.96399999999999997</v>
      </c>
      <c r="E8" s="117">
        <v>1.3351</v>
      </c>
      <c r="F8" s="110">
        <v>0</v>
      </c>
      <c r="G8" s="117">
        <f t="shared" ref="G8:G45" si="0">IF(F8=0,0,E8)</f>
        <v>0</v>
      </c>
      <c r="H8" s="102">
        <f>ROUND(População!G8*D8,0)</f>
        <v>42006</v>
      </c>
      <c r="I8" s="102">
        <f>ROUND(População!G8*F8,0)</f>
        <v>0</v>
      </c>
    </row>
    <row r="9" spans="2:9" x14ac:dyDescent="0.15">
      <c r="B9" s="109">
        <f>População!B9</f>
        <v>-2</v>
      </c>
      <c r="C9" s="109">
        <f>População!C9</f>
        <v>2023</v>
      </c>
      <c r="D9" s="112">
        <f>D8</f>
        <v>0.96399999999999997</v>
      </c>
      <c r="E9" s="118">
        <f>E8*(1+$E$3*Imóveis!F9)</f>
        <v>1.3351</v>
      </c>
      <c r="F9" s="112">
        <v>0</v>
      </c>
      <c r="G9" s="118">
        <f t="shared" si="0"/>
        <v>0</v>
      </c>
      <c r="H9" s="111">
        <f>ROUND(População!G9*D9,0)</f>
        <v>42621</v>
      </c>
      <c r="I9" s="111">
        <f>ROUND(População!G9*F9,0)</f>
        <v>0</v>
      </c>
    </row>
    <row r="10" spans="2:9" x14ac:dyDescent="0.15">
      <c r="B10" s="109">
        <f>População!B10</f>
        <v>-1</v>
      </c>
      <c r="C10" s="109">
        <f>População!C10</f>
        <v>2024</v>
      </c>
      <c r="D10" s="112">
        <v>0.96399999999999997</v>
      </c>
      <c r="E10" s="118">
        <f t="shared" ref="E10:E45" si="1">E9</f>
        <v>1.3351</v>
      </c>
      <c r="F10" s="112">
        <v>0</v>
      </c>
      <c r="G10" s="118">
        <f t="shared" si="0"/>
        <v>0</v>
      </c>
      <c r="H10" s="111">
        <f>ROUND(População!G10*D10,0)</f>
        <v>43217</v>
      </c>
      <c r="I10" s="111">
        <f>ROUND(População!G10*F10,0)</f>
        <v>0</v>
      </c>
    </row>
    <row r="11" spans="2:9" x14ac:dyDescent="0.15">
      <c r="B11" s="101" t="str">
        <f>População!B11</f>
        <v>Base</v>
      </c>
      <c r="C11" s="101">
        <f>População!C11</f>
        <v>2025</v>
      </c>
      <c r="D11" s="110">
        <v>0.96399999999999997</v>
      </c>
      <c r="E11" s="117">
        <f t="shared" si="1"/>
        <v>1.3351</v>
      </c>
      <c r="F11" s="110">
        <v>0</v>
      </c>
      <c r="G11" s="117">
        <f t="shared" si="0"/>
        <v>0</v>
      </c>
      <c r="H11" s="102">
        <f>ROUND(População!G11*D11,0)</f>
        <v>43795</v>
      </c>
      <c r="I11" s="102">
        <f>ROUND(População!G11*F11,0)</f>
        <v>0</v>
      </c>
    </row>
    <row r="12" spans="2:9" x14ac:dyDescent="0.15">
      <c r="B12" s="109">
        <f>População!B12</f>
        <v>0</v>
      </c>
      <c r="C12" s="109">
        <f>População!C12</f>
        <v>2026</v>
      </c>
      <c r="D12" s="112">
        <v>0.96399999999999997</v>
      </c>
      <c r="E12" s="118">
        <f t="shared" si="1"/>
        <v>1.3351</v>
      </c>
      <c r="F12" s="112">
        <v>0</v>
      </c>
      <c r="G12" s="118">
        <f t="shared" si="0"/>
        <v>0</v>
      </c>
      <c r="H12" s="111">
        <f>ROUND(População!G12*D12,0)</f>
        <v>44355</v>
      </c>
      <c r="I12" s="111">
        <f>ROUND(População!G12*F12,0)</f>
        <v>0</v>
      </c>
    </row>
    <row r="13" spans="2:9" x14ac:dyDescent="0.15">
      <c r="B13" s="101">
        <f>População!B13</f>
        <v>1</v>
      </c>
      <c r="C13" s="101">
        <f>População!C13</f>
        <v>2027</v>
      </c>
      <c r="D13" s="139">
        <v>0.96399999999999997</v>
      </c>
      <c r="E13" s="117">
        <f t="shared" si="1"/>
        <v>1.3351</v>
      </c>
      <c r="F13" s="139">
        <v>0</v>
      </c>
      <c r="G13" s="117">
        <f t="shared" si="0"/>
        <v>0</v>
      </c>
      <c r="H13" s="102">
        <f>ROUND(População!G13*D13,0)</f>
        <v>44897</v>
      </c>
      <c r="I13" s="102">
        <f>ROUND(População!G13*F13,0)</f>
        <v>0</v>
      </c>
    </row>
    <row r="14" spans="2:9" x14ac:dyDescent="0.15">
      <c r="B14" s="109">
        <f>População!B14</f>
        <v>2</v>
      </c>
      <c r="C14" s="109">
        <f>População!C14</f>
        <v>2028</v>
      </c>
      <c r="D14" s="140">
        <v>0.99399999999999999</v>
      </c>
      <c r="E14" s="118">
        <f t="shared" si="1"/>
        <v>1.3351</v>
      </c>
      <c r="F14" s="140">
        <v>0.2</v>
      </c>
      <c r="G14" s="118">
        <f t="shared" si="0"/>
        <v>1.3351</v>
      </c>
      <c r="H14" s="111">
        <f>ROUND(População!G14*D14,0)</f>
        <v>46834</v>
      </c>
      <c r="I14" s="111">
        <f>ROUND(População!G14*F14,0)</f>
        <v>9423</v>
      </c>
    </row>
    <row r="15" spans="2:9" x14ac:dyDescent="0.15">
      <c r="B15" s="109">
        <f>População!B15</f>
        <v>3</v>
      </c>
      <c r="C15" s="109">
        <f>População!C15</f>
        <v>2029</v>
      </c>
      <c r="D15" s="140">
        <v>1</v>
      </c>
      <c r="E15" s="118">
        <f t="shared" si="1"/>
        <v>1.3351</v>
      </c>
      <c r="F15" s="140">
        <v>0.4</v>
      </c>
      <c r="G15" s="118">
        <f t="shared" si="0"/>
        <v>1.3351</v>
      </c>
      <c r="H15" s="111">
        <f>ROUND(População!G15*D15,0)</f>
        <v>47641</v>
      </c>
      <c r="I15" s="111">
        <f>ROUND(População!G15*F15,0)</f>
        <v>19056</v>
      </c>
    </row>
    <row r="16" spans="2:9" x14ac:dyDescent="0.15">
      <c r="B16" s="109">
        <f>População!B16</f>
        <v>4</v>
      </c>
      <c r="C16" s="109">
        <f>População!C16</f>
        <v>2030</v>
      </c>
      <c r="D16" s="140">
        <f t="shared" ref="D16:D45" si="2">D15</f>
        <v>1</v>
      </c>
      <c r="E16" s="118">
        <f t="shared" si="1"/>
        <v>1.3351</v>
      </c>
      <c r="F16" s="140">
        <v>0.6</v>
      </c>
      <c r="G16" s="118">
        <f t="shared" si="0"/>
        <v>1.3351</v>
      </c>
      <c r="H16" s="111">
        <f>ROUND(População!G16*D16,0)</f>
        <v>48147</v>
      </c>
      <c r="I16" s="111">
        <f>ROUND(População!G16*F16,0)</f>
        <v>28888</v>
      </c>
    </row>
    <row r="17" spans="2:9" x14ac:dyDescent="0.15">
      <c r="B17" s="101">
        <f>População!B17</f>
        <v>5</v>
      </c>
      <c r="C17" s="101">
        <f>População!C17</f>
        <v>2031</v>
      </c>
      <c r="D17" s="139">
        <f t="shared" si="2"/>
        <v>1</v>
      </c>
      <c r="E17" s="117">
        <f t="shared" si="1"/>
        <v>1.3351</v>
      </c>
      <c r="F17" s="139">
        <v>0.8</v>
      </c>
      <c r="G17" s="117">
        <f t="shared" si="0"/>
        <v>1.3351</v>
      </c>
      <c r="H17" s="102">
        <f>ROUND(População!G17*D17,0)</f>
        <v>48635</v>
      </c>
      <c r="I17" s="102">
        <f>ROUND(População!G17*F17,0)</f>
        <v>38908</v>
      </c>
    </row>
    <row r="18" spans="2:9" x14ac:dyDescent="0.15">
      <c r="B18" s="109">
        <f>População!B18</f>
        <v>6</v>
      </c>
      <c r="C18" s="109">
        <f>População!C18</f>
        <v>2032</v>
      </c>
      <c r="D18" s="140">
        <f t="shared" si="2"/>
        <v>1</v>
      </c>
      <c r="E18" s="118">
        <f t="shared" si="1"/>
        <v>1.3351</v>
      </c>
      <c r="F18" s="140">
        <v>0.85</v>
      </c>
      <c r="G18" s="118">
        <f t="shared" si="0"/>
        <v>1.3351</v>
      </c>
      <c r="H18" s="111">
        <f>ROUND(População!G18*D18,0)</f>
        <v>49105</v>
      </c>
      <c r="I18" s="111">
        <f>ROUND(População!G18*F18,0)</f>
        <v>41740</v>
      </c>
    </row>
    <row r="19" spans="2:9" x14ac:dyDescent="0.15">
      <c r="B19" s="109">
        <f>População!B19</f>
        <v>7</v>
      </c>
      <c r="C19" s="109">
        <f>População!C19</f>
        <v>2033</v>
      </c>
      <c r="D19" s="140">
        <f t="shared" si="2"/>
        <v>1</v>
      </c>
      <c r="E19" s="118">
        <f t="shared" si="1"/>
        <v>1.3351</v>
      </c>
      <c r="F19" s="140">
        <v>0.9</v>
      </c>
      <c r="G19" s="118">
        <f t="shared" si="0"/>
        <v>1.3351</v>
      </c>
      <c r="H19" s="111">
        <f>ROUND(População!G19*D19,0)</f>
        <v>49558</v>
      </c>
      <c r="I19" s="111">
        <f>ROUND(População!G19*F19,0)</f>
        <v>44602</v>
      </c>
    </row>
    <row r="20" spans="2:9" x14ac:dyDescent="0.15">
      <c r="B20" s="109">
        <f>População!B20</f>
        <v>8</v>
      </c>
      <c r="C20" s="109">
        <f>População!C20</f>
        <v>2034</v>
      </c>
      <c r="D20" s="140">
        <f t="shared" si="2"/>
        <v>1</v>
      </c>
      <c r="E20" s="118">
        <f t="shared" si="1"/>
        <v>1.3351</v>
      </c>
      <c r="F20" s="140">
        <v>0.92</v>
      </c>
      <c r="G20" s="118">
        <f t="shared" si="0"/>
        <v>1.3351</v>
      </c>
      <c r="H20" s="111">
        <f>ROUND(População!G20*D20,0)</f>
        <v>49993</v>
      </c>
      <c r="I20" s="111">
        <f>ROUND(População!G20*F20,0)</f>
        <v>45994</v>
      </c>
    </row>
    <row r="21" spans="2:9" x14ac:dyDescent="0.15">
      <c r="B21" s="109">
        <f>População!B21</f>
        <v>9</v>
      </c>
      <c r="C21" s="109">
        <f>População!C21</f>
        <v>2035</v>
      </c>
      <c r="D21" s="140">
        <f t="shared" si="2"/>
        <v>1</v>
      </c>
      <c r="E21" s="118">
        <f t="shared" si="1"/>
        <v>1.3351</v>
      </c>
      <c r="F21" s="140">
        <v>0.94</v>
      </c>
      <c r="G21" s="118">
        <f t="shared" si="0"/>
        <v>1.3351</v>
      </c>
      <c r="H21" s="111">
        <f>ROUND(População!G21*D21,0)</f>
        <v>50412</v>
      </c>
      <c r="I21" s="111">
        <f>ROUND(População!G21*F21,0)</f>
        <v>47387</v>
      </c>
    </row>
    <row r="22" spans="2:9" x14ac:dyDescent="0.15">
      <c r="B22" s="101">
        <f>População!B22</f>
        <v>10</v>
      </c>
      <c r="C22" s="101">
        <f>População!C22</f>
        <v>2036</v>
      </c>
      <c r="D22" s="139">
        <f t="shared" si="2"/>
        <v>1</v>
      </c>
      <c r="E22" s="117">
        <f t="shared" si="1"/>
        <v>1.3351</v>
      </c>
      <c r="F22" s="139">
        <v>0.96</v>
      </c>
      <c r="G22" s="117">
        <f t="shared" si="0"/>
        <v>1.3351</v>
      </c>
      <c r="H22" s="102">
        <f>ROUND(População!G22*D22,0)</f>
        <v>50814</v>
      </c>
      <c r="I22" s="102">
        <f>ROUND(População!G22*F22,0)</f>
        <v>48781</v>
      </c>
    </row>
    <row r="23" spans="2:9" x14ac:dyDescent="0.15">
      <c r="B23" s="109">
        <f>População!B23</f>
        <v>11</v>
      </c>
      <c r="C23" s="109">
        <f>População!C23</f>
        <v>2037</v>
      </c>
      <c r="D23" s="140">
        <f t="shared" si="2"/>
        <v>1</v>
      </c>
      <c r="E23" s="118">
        <f t="shared" si="1"/>
        <v>1.3351</v>
      </c>
      <c r="F23" s="140">
        <v>0.98</v>
      </c>
      <c r="G23" s="118">
        <f t="shared" si="0"/>
        <v>1.3351</v>
      </c>
      <c r="H23" s="111">
        <f>ROUND(População!G23*D23,0)</f>
        <v>51200</v>
      </c>
      <c r="I23" s="111">
        <f>ROUND(População!G23*F23,0)</f>
        <v>50176</v>
      </c>
    </row>
    <row r="24" spans="2:9" x14ac:dyDescent="0.15">
      <c r="B24" s="109">
        <f>População!B24</f>
        <v>12</v>
      </c>
      <c r="C24" s="109">
        <f>População!C24</f>
        <v>2038</v>
      </c>
      <c r="D24" s="140">
        <f t="shared" si="2"/>
        <v>1</v>
      </c>
      <c r="E24" s="118">
        <f t="shared" si="1"/>
        <v>1.3351</v>
      </c>
      <c r="F24" s="140">
        <v>1</v>
      </c>
      <c r="G24" s="118">
        <f t="shared" si="0"/>
        <v>1.3351</v>
      </c>
      <c r="H24" s="111">
        <f>ROUND(População!G24*D24,0)</f>
        <v>51570</v>
      </c>
      <c r="I24" s="111">
        <f>ROUND(População!G24*F24,0)</f>
        <v>51570</v>
      </c>
    </row>
    <row r="25" spans="2:9" x14ac:dyDescent="0.15">
      <c r="B25" s="109">
        <f>População!B25</f>
        <v>13</v>
      </c>
      <c r="C25" s="109">
        <f>População!C25</f>
        <v>2039</v>
      </c>
      <c r="D25" s="140">
        <f t="shared" si="2"/>
        <v>1</v>
      </c>
      <c r="E25" s="118">
        <f t="shared" si="1"/>
        <v>1.3351</v>
      </c>
      <c r="F25" s="140">
        <v>1</v>
      </c>
      <c r="G25" s="118">
        <f t="shared" si="0"/>
        <v>1.3351</v>
      </c>
      <c r="H25" s="111">
        <f>ROUND(População!G25*D25,0)</f>
        <v>51925</v>
      </c>
      <c r="I25" s="111">
        <f>ROUND(População!G25*F25,0)</f>
        <v>51925</v>
      </c>
    </row>
    <row r="26" spans="2:9" x14ac:dyDescent="0.15">
      <c r="B26" s="109">
        <f>População!B26</f>
        <v>14</v>
      </c>
      <c r="C26" s="109">
        <f>População!C26</f>
        <v>2040</v>
      </c>
      <c r="D26" s="140">
        <f t="shared" si="2"/>
        <v>1</v>
      </c>
      <c r="E26" s="118">
        <f t="shared" si="1"/>
        <v>1.3351</v>
      </c>
      <c r="F26" s="140">
        <v>1</v>
      </c>
      <c r="G26" s="118">
        <f t="shared" si="0"/>
        <v>1.3351</v>
      </c>
      <c r="H26" s="111">
        <f>ROUND(População!G26*D26,0)</f>
        <v>52265</v>
      </c>
      <c r="I26" s="111">
        <f>ROUND(População!G26*F26,0)</f>
        <v>52265</v>
      </c>
    </row>
    <row r="27" spans="2:9" x14ac:dyDescent="0.15">
      <c r="B27" s="101">
        <f>População!B27</f>
        <v>15</v>
      </c>
      <c r="C27" s="101">
        <f>População!C27</f>
        <v>2041</v>
      </c>
      <c r="D27" s="139">
        <f t="shared" si="2"/>
        <v>1</v>
      </c>
      <c r="E27" s="117">
        <f t="shared" si="1"/>
        <v>1.3351</v>
      </c>
      <c r="F27" s="139">
        <v>1</v>
      </c>
      <c r="G27" s="117">
        <f t="shared" si="0"/>
        <v>1.3351</v>
      </c>
      <c r="H27" s="102">
        <f>ROUND(População!G27*D27,0)</f>
        <v>52590</v>
      </c>
      <c r="I27" s="102">
        <f>ROUND(População!G27*F27,0)</f>
        <v>52590</v>
      </c>
    </row>
    <row r="28" spans="2:9" x14ac:dyDescent="0.15">
      <c r="B28" s="109">
        <f>População!B28</f>
        <v>16</v>
      </c>
      <c r="C28" s="109">
        <f>População!C28</f>
        <v>2042</v>
      </c>
      <c r="D28" s="140">
        <f t="shared" si="2"/>
        <v>1</v>
      </c>
      <c r="E28" s="118">
        <f t="shared" si="1"/>
        <v>1.3351</v>
      </c>
      <c r="F28" s="140">
        <v>1</v>
      </c>
      <c r="G28" s="118">
        <f t="shared" si="0"/>
        <v>1.3351</v>
      </c>
      <c r="H28" s="111">
        <f>ROUND(População!G28*D28,0)</f>
        <v>52902</v>
      </c>
      <c r="I28" s="111">
        <f>ROUND(População!G28*F28,0)</f>
        <v>52902</v>
      </c>
    </row>
    <row r="29" spans="2:9" x14ac:dyDescent="0.15">
      <c r="B29" s="109">
        <f>População!B29</f>
        <v>17</v>
      </c>
      <c r="C29" s="109">
        <f>População!C29</f>
        <v>2043</v>
      </c>
      <c r="D29" s="140">
        <f t="shared" si="2"/>
        <v>1</v>
      </c>
      <c r="E29" s="118">
        <f t="shared" si="1"/>
        <v>1.3351</v>
      </c>
      <c r="F29" s="140">
        <v>1</v>
      </c>
      <c r="G29" s="118">
        <f t="shared" si="0"/>
        <v>1.3351</v>
      </c>
      <c r="H29" s="111">
        <f>ROUND(População!G29*D29,0)</f>
        <v>53200</v>
      </c>
      <c r="I29" s="111">
        <f>ROUND(População!G29*F29,0)</f>
        <v>53200</v>
      </c>
    </row>
    <row r="30" spans="2:9" x14ac:dyDescent="0.15">
      <c r="B30" s="109">
        <f>População!B30</f>
        <v>18</v>
      </c>
      <c r="C30" s="109">
        <f>População!C30</f>
        <v>2044</v>
      </c>
      <c r="D30" s="140">
        <f t="shared" si="2"/>
        <v>1</v>
      </c>
      <c r="E30" s="118">
        <f t="shared" si="1"/>
        <v>1.3351</v>
      </c>
      <c r="F30" s="140">
        <v>1</v>
      </c>
      <c r="G30" s="118">
        <f t="shared" si="0"/>
        <v>1.3351</v>
      </c>
      <c r="H30" s="111">
        <f>ROUND(População!G30*D30,0)</f>
        <v>53485</v>
      </c>
      <c r="I30" s="111">
        <f>ROUND(População!G30*F30,0)</f>
        <v>53485</v>
      </c>
    </row>
    <row r="31" spans="2:9" x14ac:dyDescent="0.15">
      <c r="B31" s="109">
        <f>População!B31</f>
        <v>19</v>
      </c>
      <c r="C31" s="109">
        <f>População!C31</f>
        <v>2045</v>
      </c>
      <c r="D31" s="140">
        <f t="shared" si="2"/>
        <v>1</v>
      </c>
      <c r="E31" s="118">
        <f t="shared" si="1"/>
        <v>1.3351</v>
      </c>
      <c r="F31" s="140">
        <v>1</v>
      </c>
      <c r="G31" s="118">
        <f t="shared" si="0"/>
        <v>1.3351</v>
      </c>
      <c r="H31" s="111">
        <f>ROUND(População!G31*D31,0)</f>
        <v>53758</v>
      </c>
      <c r="I31" s="111">
        <f>ROUND(População!G31*F31,0)</f>
        <v>53758</v>
      </c>
    </row>
    <row r="32" spans="2:9" x14ac:dyDescent="0.15">
      <c r="B32" s="101">
        <f>População!B32</f>
        <v>20</v>
      </c>
      <c r="C32" s="101">
        <f>População!C32</f>
        <v>2046</v>
      </c>
      <c r="D32" s="139">
        <f t="shared" si="2"/>
        <v>1</v>
      </c>
      <c r="E32" s="117">
        <f t="shared" si="1"/>
        <v>1.3351</v>
      </c>
      <c r="F32" s="139">
        <v>1</v>
      </c>
      <c r="G32" s="117">
        <f t="shared" si="0"/>
        <v>1.3351</v>
      </c>
      <c r="H32" s="102">
        <f>ROUND(População!G32*D32,0)</f>
        <v>54018</v>
      </c>
      <c r="I32" s="102">
        <f>ROUND(População!G32*F32,0)</f>
        <v>54018</v>
      </c>
    </row>
    <row r="33" spans="2:9" x14ac:dyDescent="0.15">
      <c r="B33" s="109">
        <f>População!B33</f>
        <v>21</v>
      </c>
      <c r="C33" s="109">
        <f>População!C33</f>
        <v>2047</v>
      </c>
      <c r="D33" s="140">
        <f t="shared" si="2"/>
        <v>1</v>
      </c>
      <c r="E33" s="118">
        <f t="shared" si="1"/>
        <v>1.3351</v>
      </c>
      <c r="F33" s="140">
        <v>1</v>
      </c>
      <c r="G33" s="118">
        <f t="shared" si="0"/>
        <v>1.3351</v>
      </c>
      <c r="H33" s="111">
        <f>ROUND(População!G33*D33,0)</f>
        <v>54266</v>
      </c>
      <c r="I33" s="111">
        <f>ROUND(População!G33*F33,0)</f>
        <v>54266</v>
      </c>
    </row>
    <row r="34" spans="2:9" x14ac:dyDescent="0.15">
      <c r="B34" s="109">
        <f>População!B34</f>
        <v>22</v>
      </c>
      <c r="C34" s="109">
        <f>População!C34</f>
        <v>2048</v>
      </c>
      <c r="D34" s="140">
        <f t="shared" si="2"/>
        <v>1</v>
      </c>
      <c r="E34" s="118">
        <f t="shared" si="1"/>
        <v>1.3351</v>
      </c>
      <c r="F34" s="140">
        <v>1</v>
      </c>
      <c r="G34" s="118">
        <f t="shared" si="0"/>
        <v>1.3351</v>
      </c>
      <c r="H34" s="111">
        <f>ROUND(População!G34*D34,0)</f>
        <v>54503</v>
      </c>
      <c r="I34" s="111">
        <f>ROUND(População!G34*F34,0)</f>
        <v>54503</v>
      </c>
    </row>
    <row r="35" spans="2:9" x14ac:dyDescent="0.15">
      <c r="B35" s="109">
        <f>População!B35</f>
        <v>23</v>
      </c>
      <c r="C35" s="109">
        <f>População!C35</f>
        <v>2049</v>
      </c>
      <c r="D35" s="140">
        <f t="shared" si="2"/>
        <v>1</v>
      </c>
      <c r="E35" s="118">
        <f t="shared" si="1"/>
        <v>1.3351</v>
      </c>
      <c r="F35" s="140">
        <v>1</v>
      </c>
      <c r="G35" s="118">
        <f t="shared" si="0"/>
        <v>1.3351</v>
      </c>
      <c r="H35" s="111">
        <f>ROUND(População!G35*D35,0)</f>
        <v>54730</v>
      </c>
      <c r="I35" s="111">
        <f>ROUND(População!G35*F35,0)</f>
        <v>54730</v>
      </c>
    </row>
    <row r="36" spans="2:9" x14ac:dyDescent="0.15">
      <c r="B36" s="109">
        <f>População!B36</f>
        <v>24</v>
      </c>
      <c r="C36" s="109">
        <f>População!C36</f>
        <v>2050</v>
      </c>
      <c r="D36" s="140">
        <f t="shared" si="2"/>
        <v>1</v>
      </c>
      <c r="E36" s="118">
        <f t="shared" si="1"/>
        <v>1.3351</v>
      </c>
      <c r="F36" s="140">
        <v>1</v>
      </c>
      <c r="G36" s="118">
        <f t="shared" si="0"/>
        <v>1.3351</v>
      </c>
      <c r="H36" s="111">
        <f>ROUND(População!G36*D36,0)</f>
        <v>54945</v>
      </c>
      <c r="I36" s="111">
        <f>ROUND(População!G36*F36,0)</f>
        <v>54945</v>
      </c>
    </row>
    <row r="37" spans="2:9" x14ac:dyDescent="0.15">
      <c r="B37" s="101">
        <f>População!B37</f>
        <v>25</v>
      </c>
      <c r="C37" s="101">
        <f>População!C37</f>
        <v>2051</v>
      </c>
      <c r="D37" s="139">
        <f t="shared" si="2"/>
        <v>1</v>
      </c>
      <c r="E37" s="117">
        <f t="shared" si="1"/>
        <v>1.3351</v>
      </c>
      <c r="F37" s="139">
        <v>1</v>
      </c>
      <c r="G37" s="117">
        <f t="shared" si="0"/>
        <v>1.3351</v>
      </c>
      <c r="H37" s="102">
        <f>ROUND(População!G37*D37,0)</f>
        <v>55151</v>
      </c>
      <c r="I37" s="102">
        <f>ROUND(População!G37*F37,0)</f>
        <v>55151</v>
      </c>
    </row>
    <row r="38" spans="2:9" x14ac:dyDescent="0.15">
      <c r="B38" s="109">
        <f>População!B38</f>
        <v>26</v>
      </c>
      <c r="C38" s="109">
        <f>População!C38</f>
        <v>2052</v>
      </c>
      <c r="D38" s="140">
        <f t="shared" si="2"/>
        <v>1</v>
      </c>
      <c r="E38" s="118">
        <f t="shared" si="1"/>
        <v>1.3351</v>
      </c>
      <c r="F38" s="140">
        <v>1</v>
      </c>
      <c r="G38" s="118">
        <f t="shared" si="0"/>
        <v>1.3351</v>
      </c>
      <c r="H38" s="111">
        <f>ROUND(População!G38*D38,0)</f>
        <v>55347</v>
      </c>
      <c r="I38" s="111">
        <f>ROUND(População!G38*F38,0)</f>
        <v>55347</v>
      </c>
    </row>
    <row r="39" spans="2:9" x14ac:dyDescent="0.15">
      <c r="B39" s="109">
        <f>População!B39</f>
        <v>27</v>
      </c>
      <c r="C39" s="109">
        <f>População!C39</f>
        <v>2053</v>
      </c>
      <c r="D39" s="140">
        <f t="shared" si="2"/>
        <v>1</v>
      </c>
      <c r="E39" s="118">
        <f t="shared" si="1"/>
        <v>1.3351</v>
      </c>
      <c r="F39" s="140">
        <v>1</v>
      </c>
      <c r="G39" s="118">
        <f t="shared" si="0"/>
        <v>1.3351</v>
      </c>
      <c r="H39" s="111">
        <f>ROUND(População!G39*D39,0)</f>
        <v>55534</v>
      </c>
      <c r="I39" s="111">
        <f>ROUND(População!G39*F39,0)</f>
        <v>55534</v>
      </c>
    </row>
    <row r="40" spans="2:9" x14ac:dyDescent="0.15">
      <c r="B40" s="109">
        <f>População!B40</f>
        <v>28</v>
      </c>
      <c r="C40" s="109">
        <f>População!C40</f>
        <v>2054</v>
      </c>
      <c r="D40" s="140">
        <f t="shared" si="2"/>
        <v>1</v>
      </c>
      <c r="E40" s="118">
        <f t="shared" si="1"/>
        <v>1.3351</v>
      </c>
      <c r="F40" s="140">
        <v>1</v>
      </c>
      <c r="G40" s="118">
        <f t="shared" si="0"/>
        <v>1.3351</v>
      </c>
      <c r="H40" s="111">
        <f>ROUND(População!G40*D40,0)</f>
        <v>55712</v>
      </c>
      <c r="I40" s="111">
        <f>ROUND(População!G40*F40,0)</f>
        <v>55712</v>
      </c>
    </row>
    <row r="41" spans="2:9" x14ac:dyDescent="0.15">
      <c r="B41" s="109">
        <f>População!B41</f>
        <v>29</v>
      </c>
      <c r="C41" s="109">
        <f>População!C41</f>
        <v>2055</v>
      </c>
      <c r="D41" s="140">
        <f t="shared" si="2"/>
        <v>1</v>
      </c>
      <c r="E41" s="118">
        <f t="shared" si="1"/>
        <v>1.3351</v>
      </c>
      <c r="F41" s="140">
        <v>1</v>
      </c>
      <c r="G41" s="118">
        <f t="shared" si="0"/>
        <v>1.3351</v>
      </c>
      <c r="H41" s="111">
        <f>ROUND(População!G41*D41,0)</f>
        <v>55881</v>
      </c>
      <c r="I41" s="111">
        <f>ROUND(População!G41*F41,0)</f>
        <v>55881</v>
      </c>
    </row>
    <row r="42" spans="2:9" x14ac:dyDescent="0.15">
      <c r="B42" s="101">
        <f>População!B42</f>
        <v>30</v>
      </c>
      <c r="C42" s="101">
        <f>População!C42</f>
        <v>2056</v>
      </c>
      <c r="D42" s="139">
        <f t="shared" si="2"/>
        <v>1</v>
      </c>
      <c r="E42" s="117">
        <f t="shared" si="1"/>
        <v>1.3351</v>
      </c>
      <c r="F42" s="139">
        <v>1</v>
      </c>
      <c r="G42" s="117">
        <f t="shared" si="0"/>
        <v>1.3351</v>
      </c>
      <c r="H42" s="102">
        <f>ROUND(População!G42*D42,0)</f>
        <v>56042</v>
      </c>
      <c r="I42" s="102">
        <f>ROUND(População!G42*F42,0)</f>
        <v>56042</v>
      </c>
    </row>
    <row r="43" spans="2:9" x14ac:dyDescent="0.15">
      <c r="B43" s="109">
        <f>População!B43</f>
        <v>31</v>
      </c>
      <c r="C43" s="109">
        <f>População!C43</f>
        <v>2057</v>
      </c>
      <c r="D43" s="140">
        <f t="shared" si="2"/>
        <v>1</v>
      </c>
      <c r="E43" s="118">
        <f t="shared" si="1"/>
        <v>1.3351</v>
      </c>
      <c r="F43" s="140">
        <v>1</v>
      </c>
      <c r="G43" s="118">
        <f t="shared" si="0"/>
        <v>1.3351</v>
      </c>
      <c r="H43" s="111">
        <f>ROUND(População!G43*D43,0)</f>
        <v>56196</v>
      </c>
      <c r="I43" s="111">
        <f>ROUND(População!G43*F43,0)</f>
        <v>56196</v>
      </c>
    </row>
    <row r="44" spans="2:9" x14ac:dyDescent="0.15">
      <c r="B44" s="109">
        <f>População!B44</f>
        <v>32</v>
      </c>
      <c r="C44" s="109">
        <f>População!C44</f>
        <v>2058</v>
      </c>
      <c r="D44" s="140">
        <f t="shared" si="2"/>
        <v>1</v>
      </c>
      <c r="E44" s="118">
        <f t="shared" si="1"/>
        <v>1.3351</v>
      </c>
      <c r="F44" s="140">
        <v>1</v>
      </c>
      <c r="G44" s="118">
        <f t="shared" si="0"/>
        <v>1.3351</v>
      </c>
      <c r="H44" s="111">
        <f>ROUND(População!G44*D44,0)</f>
        <v>56342</v>
      </c>
      <c r="I44" s="111">
        <f>ROUND(População!G44*F44,0)</f>
        <v>56342</v>
      </c>
    </row>
    <row r="45" spans="2:9" x14ac:dyDescent="0.15">
      <c r="B45" s="109">
        <f>População!B45</f>
        <v>33</v>
      </c>
      <c r="C45" s="109">
        <f>População!C45</f>
        <v>2059</v>
      </c>
      <c r="D45" s="140">
        <f t="shared" si="2"/>
        <v>1</v>
      </c>
      <c r="E45" s="118">
        <f t="shared" si="1"/>
        <v>1.3351</v>
      </c>
      <c r="F45" s="140">
        <v>1</v>
      </c>
      <c r="G45" s="118">
        <f t="shared" si="0"/>
        <v>1.3351</v>
      </c>
      <c r="H45" s="111">
        <f>ROUND(População!G45*D45,0)</f>
        <v>56480</v>
      </c>
      <c r="I45" s="111">
        <f>ROUND(População!G45*F45,0)</f>
        <v>56480</v>
      </c>
    </row>
    <row r="46" spans="2:9" x14ac:dyDescent="0.15">
      <c r="B46" s="109">
        <f>População!B46</f>
        <v>34</v>
      </c>
      <c r="C46" s="109">
        <f>População!C46</f>
        <v>2060</v>
      </c>
      <c r="D46" s="140">
        <f t="shared" ref="D46:D47" si="3">D45</f>
        <v>1</v>
      </c>
      <c r="E46" s="118">
        <f t="shared" ref="E46:E47" si="4">E45</f>
        <v>1.3351</v>
      </c>
      <c r="F46" s="140">
        <v>1</v>
      </c>
      <c r="G46" s="118">
        <f t="shared" ref="G46:G47" si="5">IF(F46=0,0,E46)</f>
        <v>1.3351</v>
      </c>
      <c r="H46" s="111">
        <f>ROUND(População!G46*D46,0)</f>
        <v>56615</v>
      </c>
      <c r="I46" s="111">
        <f>ROUND(População!G46*F46,0)</f>
        <v>56615</v>
      </c>
    </row>
    <row r="47" spans="2:9" x14ac:dyDescent="0.15">
      <c r="B47" s="101">
        <f>População!B47</f>
        <v>35</v>
      </c>
      <c r="C47" s="101">
        <f>População!C47</f>
        <v>2061</v>
      </c>
      <c r="D47" s="139">
        <f t="shared" si="3"/>
        <v>1</v>
      </c>
      <c r="E47" s="117">
        <f t="shared" si="4"/>
        <v>1.3351</v>
      </c>
      <c r="F47" s="139">
        <v>1</v>
      </c>
      <c r="G47" s="117">
        <f t="shared" si="5"/>
        <v>1.3351</v>
      </c>
      <c r="H47" s="102">
        <f>ROUND(População!G47*D47,0)</f>
        <v>56482</v>
      </c>
      <c r="I47" s="102">
        <f>ROUND(População!G47*F47,0)</f>
        <v>56482</v>
      </c>
    </row>
  </sheetData>
  <mergeCells count="2">
    <mergeCell ref="B5:I5"/>
    <mergeCell ref="B6:C7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89AFB-F48E-4E12-B5A1-46531F3C2849}">
  <dimension ref="B1:X47"/>
  <sheetViews>
    <sheetView showGridLines="0" topLeftCell="A34" workbookViewId="0">
      <selection activeCell="P66" sqref="P66"/>
    </sheetView>
  </sheetViews>
  <sheetFormatPr defaultRowHeight="12" x14ac:dyDescent="0.15"/>
  <sheetData>
    <row r="1" spans="2:24" ht="12.75" x14ac:dyDescent="0.2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36"/>
      <c r="N1" s="49"/>
      <c r="O1" s="49"/>
      <c r="P1" s="49"/>
      <c r="Q1" s="49"/>
      <c r="R1" s="40"/>
      <c r="S1" s="40"/>
      <c r="T1" s="40"/>
      <c r="U1" s="40"/>
      <c r="V1" s="40"/>
      <c r="W1" s="40"/>
      <c r="X1" s="40"/>
    </row>
    <row r="2" spans="2:24" ht="12.75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36"/>
      <c r="N2" s="40"/>
      <c r="O2" s="40"/>
      <c r="P2" s="40"/>
      <c r="Q2" s="40"/>
      <c r="R2" s="40"/>
      <c r="S2" s="40"/>
      <c r="T2" s="48"/>
      <c r="U2" s="40"/>
      <c r="V2" s="40"/>
      <c r="W2" s="40"/>
      <c r="X2" s="40"/>
    </row>
    <row r="3" spans="2:24" x14ac:dyDescent="0.15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2:24" ht="12.75" thickBo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2:24" ht="19.5" thickBot="1" x14ac:dyDescent="0.2">
      <c r="B5" s="226" t="s">
        <v>224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8"/>
    </row>
    <row r="6" spans="2:24" ht="72" x14ac:dyDescent="0.15">
      <c r="B6" s="232" t="str">
        <f>População!B6</f>
        <v>ANO</v>
      </c>
      <c r="C6" s="233"/>
      <c r="D6" s="127" t="s">
        <v>181</v>
      </c>
      <c r="E6" s="127" t="s">
        <v>180</v>
      </c>
      <c r="F6" s="127" t="s">
        <v>182</v>
      </c>
      <c r="G6" s="127" t="s">
        <v>34</v>
      </c>
      <c r="H6" s="127" t="s">
        <v>87</v>
      </c>
      <c r="I6" s="127" t="s">
        <v>35</v>
      </c>
      <c r="J6" s="127" t="s">
        <v>36</v>
      </c>
      <c r="K6" s="127" t="s">
        <v>88</v>
      </c>
      <c r="L6" s="127" t="s">
        <v>37</v>
      </c>
      <c r="M6" s="127" t="s">
        <v>192</v>
      </c>
      <c r="N6" s="127" t="s">
        <v>198</v>
      </c>
      <c r="O6" s="127" t="s">
        <v>193</v>
      </c>
      <c r="P6" s="127" t="s">
        <v>195</v>
      </c>
      <c r="Q6" s="127" t="s">
        <v>194</v>
      </c>
      <c r="R6" s="127" t="s">
        <v>196</v>
      </c>
      <c r="S6" s="127" t="s">
        <v>48</v>
      </c>
      <c r="T6" s="127" t="s">
        <v>49</v>
      </c>
      <c r="U6" s="127" t="s">
        <v>90</v>
      </c>
      <c r="V6" s="127" t="s">
        <v>91</v>
      </c>
      <c r="W6" s="127" t="s">
        <v>103</v>
      </c>
      <c r="X6" s="127" t="s">
        <v>104</v>
      </c>
    </row>
    <row r="7" spans="2:24" x14ac:dyDescent="0.15">
      <c r="B7" s="219"/>
      <c r="C7" s="220"/>
      <c r="D7" s="110" t="s">
        <v>220</v>
      </c>
      <c r="E7" s="110" t="s">
        <v>220</v>
      </c>
      <c r="F7" s="110" t="s">
        <v>220</v>
      </c>
      <c r="G7" s="110" t="s">
        <v>220</v>
      </c>
      <c r="H7" s="110" t="s">
        <v>220</v>
      </c>
      <c r="I7" s="110" t="s">
        <v>220</v>
      </c>
      <c r="J7" s="110" t="s">
        <v>220</v>
      </c>
      <c r="K7" s="110" t="s">
        <v>220</v>
      </c>
      <c r="L7" s="110" t="s">
        <v>220</v>
      </c>
      <c r="M7" s="110" t="s">
        <v>220</v>
      </c>
      <c r="N7" s="110" t="s">
        <v>220</v>
      </c>
      <c r="O7" s="110" t="s">
        <v>220</v>
      </c>
      <c r="P7" s="110" t="s">
        <v>220</v>
      </c>
      <c r="Q7" s="110" t="s">
        <v>220</v>
      </c>
      <c r="R7" s="110" t="s">
        <v>220</v>
      </c>
      <c r="S7" s="110" t="s">
        <v>220</v>
      </c>
      <c r="T7" s="110" t="s">
        <v>220</v>
      </c>
      <c r="U7" s="110" t="s">
        <v>220</v>
      </c>
      <c r="V7" s="110" t="s">
        <v>220</v>
      </c>
      <c r="W7" s="110" t="s">
        <v>220</v>
      </c>
      <c r="X7" s="110" t="s">
        <v>220</v>
      </c>
    </row>
    <row r="8" spans="2:24" x14ac:dyDescent="0.15">
      <c r="B8" s="101" t="str">
        <f>População!B8</f>
        <v>CENSO</v>
      </c>
      <c r="C8" s="101">
        <f>População!C8</f>
        <v>2022</v>
      </c>
      <c r="D8" s="102">
        <f>Imóveis!I8*'Atendimento '!D8</f>
        <v>15248.3906039798</v>
      </c>
      <c r="E8" s="102">
        <f>D8/'Atendimento '!$E8</f>
        <v>11421.159916096023</v>
      </c>
      <c r="F8" s="114">
        <f>D8/E8</f>
        <v>1.3351</v>
      </c>
      <c r="G8" s="102">
        <f>Imóveis!L8*'Atendimento '!D8</f>
        <v>1190.54</v>
      </c>
      <c r="H8" s="213">
        <v>1.2918000000000001</v>
      </c>
      <c r="I8" s="102">
        <f t="shared" ref="I8:I45" si="0">G8/H8</f>
        <v>921.61325282551468</v>
      </c>
      <c r="J8" s="102">
        <f>Imóveis!M8*'Atendimento '!D8</f>
        <v>119.536</v>
      </c>
      <c r="K8" s="213">
        <v>1.0246</v>
      </c>
      <c r="L8" s="102">
        <f t="shared" ref="L8:L45" si="1">J8/K8</f>
        <v>116.66601600624635</v>
      </c>
      <c r="M8" s="102">
        <f>Imóveis!N8*'Atendimento '!D8</f>
        <v>90.616</v>
      </c>
      <c r="N8" s="213">
        <v>1.0105999999999999</v>
      </c>
      <c r="O8" s="102">
        <f t="shared" ref="O8:O45" si="2">M8/N8</f>
        <v>89.665545220661002</v>
      </c>
      <c r="P8" s="102">
        <f>Imóveis!O8*'Atendimento '!D8</f>
        <v>161.952</v>
      </c>
      <c r="Q8" s="213">
        <v>1</v>
      </c>
      <c r="R8" s="102">
        <f t="shared" ref="R8:R45" si="3">P8/Q8</f>
        <v>161.952</v>
      </c>
      <c r="S8" s="102">
        <f t="shared" ref="S8:S45" si="4">D8+G8+J8+M8+P8</f>
        <v>16811.034603979802</v>
      </c>
      <c r="T8" s="102">
        <f t="shared" ref="T8:T45" si="5">E8+I8+L8+O8+R8</f>
        <v>12711.056730148444</v>
      </c>
      <c r="U8" s="102">
        <f>Imóveis!P8</f>
        <v>367</v>
      </c>
      <c r="V8" s="102">
        <f>Imóveis!P8</f>
        <v>367</v>
      </c>
      <c r="W8" s="102">
        <f>S8/'Atendimento '!D8</f>
        <v>17438.832576742534</v>
      </c>
      <c r="X8" s="102">
        <f>T8/'Atendimento '!D8</f>
        <v>13185.74349600461</v>
      </c>
    </row>
    <row r="9" spans="2:24" x14ac:dyDescent="0.15">
      <c r="B9" s="109">
        <f>População!B9</f>
        <v>-2</v>
      </c>
      <c r="C9" s="109">
        <f>População!C9</f>
        <v>2023</v>
      </c>
      <c r="D9" s="111">
        <f>Imóveis!I9*'Atendimento '!D9</f>
        <v>15641.790650162835</v>
      </c>
      <c r="E9" s="111">
        <f>D9/'Atendimento '!$E9</f>
        <v>11715.819526749185</v>
      </c>
      <c r="F9" s="116">
        <f t="shared" ref="F9:F45" si="6">D9/E9</f>
        <v>1.3351</v>
      </c>
      <c r="G9" s="111">
        <f>Imóveis!L9*'Atendimento '!D9</f>
        <v>1207.8920000000001</v>
      </c>
      <c r="H9" s="214">
        <f t="shared" ref="H9:H45" si="7">H8</f>
        <v>1.2918000000000001</v>
      </c>
      <c r="I9" s="111">
        <f t="shared" si="0"/>
        <v>935.04567270475309</v>
      </c>
      <c r="J9" s="111">
        <f>Imóveis!M9*'Atendimento '!D9</f>
        <v>121.464</v>
      </c>
      <c r="K9" s="214">
        <f t="shared" ref="K9:K45" si="8">K8</f>
        <v>1.0246</v>
      </c>
      <c r="L9" s="111">
        <f t="shared" si="1"/>
        <v>118.54772594183096</v>
      </c>
      <c r="M9" s="111">
        <f>Imóveis!N9*'Atendimento '!D9</f>
        <v>92.543999999999997</v>
      </c>
      <c r="N9" s="214">
        <f t="shared" ref="N9:N45" si="9">N8</f>
        <v>1.0105999999999999</v>
      </c>
      <c r="O9" s="111">
        <f t="shared" si="2"/>
        <v>91.573322778547393</v>
      </c>
      <c r="P9" s="111">
        <f>Imóveis!O9*'Atendimento '!D9</f>
        <v>163.88</v>
      </c>
      <c r="Q9" s="214">
        <v>1</v>
      </c>
      <c r="R9" s="111">
        <f t="shared" si="3"/>
        <v>163.88</v>
      </c>
      <c r="S9" s="111">
        <f t="shared" si="4"/>
        <v>17227.570650162837</v>
      </c>
      <c r="T9" s="111">
        <f t="shared" si="5"/>
        <v>13024.866248174316</v>
      </c>
      <c r="U9" s="111">
        <f>Imóveis!P9</f>
        <v>367</v>
      </c>
      <c r="V9" s="111">
        <f>Imóveis!P9</f>
        <v>367</v>
      </c>
      <c r="W9" s="111">
        <f>S9/'Atendimento '!D9</f>
        <v>17870.923910957299</v>
      </c>
      <c r="X9" s="111">
        <f>T9/'Atendimento '!D9</f>
        <v>13511.272041674601</v>
      </c>
    </row>
    <row r="10" spans="2:24" x14ac:dyDescent="0.15">
      <c r="B10" s="109">
        <f>População!B10</f>
        <v>-1</v>
      </c>
      <c r="C10" s="109">
        <f>População!C10</f>
        <v>2024</v>
      </c>
      <c r="D10" s="111">
        <f>Imóveis!I10*'Atendimento '!D10</f>
        <v>16034.284900887116</v>
      </c>
      <c r="E10" s="111">
        <f>D10/'Atendimento '!$E10</f>
        <v>12009.800689751417</v>
      </c>
      <c r="F10" s="116">
        <f t="shared" si="6"/>
        <v>1.3351</v>
      </c>
      <c r="G10" s="111">
        <f>Imóveis!L10*'Atendimento '!D10</f>
        <v>1225.2439999999999</v>
      </c>
      <c r="H10" s="214">
        <f t="shared" si="7"/>
        <v>1.2918000000000001</v>
      </c>
      <c r="I10" s="111">
        <f t="shared" si="0"/>
        <v>948.47809258399127</v>
      </c>
      <c r="J10" s="111">
        <f>Imóveis!M10*'Atendimento '!D10</f>
        <v>123.392</v>
      </c>
      <c r="K10" s="214">
        <f t="shared" si="8"/>
        <v>1.0246</v>
      </c>
      <c r="L10" s="111">
        <f t="shared" si="1"/>
        <v>120.42943587741557</v>
      </c>
      <c r="M10" s="111">
        <f>Imóveis!N10*'Atendimento '!D10</f>
        <v>93.507999999999996</v>
      </c>
      <c r="N10" s="214">
        <f t="shared" si="9"/>
        <v>1.0105999999999999</v>
      </c>
      <c r="O10" s="111">
        <f t="shared" si="2"/>
        <v>92.527211557490602</v>
      </c>
      <c r="P10" s="111">
        <f>Imóveis!O10*'Atendimento '!D10</f>
        <v>166.77199999999999</v>
      </c>
      <c r="Q10" s="214">
        <v>1</v>
      </c>
      <c r="R10" s="111">
        <f t="shared" si="3"/>
        <v>166.77199999999999</v>
      </c>
      <c r="S10" s="111">
        <f t="shared" si="4"/>
        <v>17643.200900887117</v>
      </c>
      <c r="T10" s="111">
        <f t="shared" si="5"/>
        <v>13338.007429770314</v>
      </c>
      <c r="U10" s="111">
        <f>Imóveis!P10</f>
        <v>365.16500000000002</v>
      </c>
      <c r="V10" s="111">
        <f>Imóveis!P10</f>
        <v>365.16500000000002</v>
      </c>
      <c r="W10" s="111">
        <f>S10/'Atendimento '!D10</f>
        <v>18302.075623326888</v>
      </c>
      <c r="X10" s="111">
        <f>T10/'Atendimento '!D10</f>
        <v>13836.107292292858</v>
      </c>
    </row>
    <row r="11" spans="2:24" x14ac:dyDescent="0.15">
      <c r="B11" s="101" t="str">
        <f>População!B11</f>
        <v>Base</v>
      </c>
      <c r="C11" s="101">
        <f>População!C11</f>
        <v>2025</v>
      </c>
      <c r="D11" s="102">
        <f>Imóveis!I11*'Atendimento '!D11</f>
        <v>16425.372943577997</v>
      </c>
      <c r="E11" s="102">
        <f>D11/'Atendimento '!$E11</f>
        <v>12302.728592298703</v>
      </c>
      <c r="F11" s="215">
        <f t="shared" si="6"/>
        <v>1.3351</v>
      </c>
      <c r="G11" s="102">
        <f>Imóveis!L11*'Atendimento '!D11</f>
        <v>1241.6320000000001</v>
      </c>
      <c r="H11" s="141">
        <f t="shared" si="7"/>
        <v>1.2918000000000001</v>
      </c>
      <c r="I11" s="102">
        <f t="shared" si="0"/>
        <v>961.16426691438301</v>
      </c>
      <c r="J11" s="102">
        <f>Imóveis!M11*'Atendimento '!D11</f>
        <v>124.35599999999999</v>
      </c>
      <c r="K11" s="141">
        <f t="shared" si="8"/>
        <v>1.0246</v>
      </c>
      <c r="L11" s="102">
        <f t="shared" si="1"/>
        <v>121.37029084520789</v>
      </c>
      <c r="M11" s="102">
        <f>Imóveis!N11*'Atendimento '!D11</f>
        <v>94.471999999999994</v>
      </c>
      <c r="N11" s="141">
        <f t="shared" si="9"/>
        <v>1.0105999999999999</v>
      </c>
      <c r="O11" s="102">
        <f t="shared" si="2"/>
        <v>93.481100336433798</v>
      </c>
      <c r="P11" s="102">
        <f>Imóveis!O11*'Atendimento '!D11</f>
        <v>168.7</v>
      </c>
      <c r="Q11" s="141">
        <v>1</v>
      </c>
      <c r="R11" s="102">
        <f t="shared" si="3"/>
        <v>168.7</v>
      </c>
      <c r="S11" s="102">
        <f t="shared" si="4"/>
        <v>18054.532943578</v>
      </c>
      <c r="T11" s="102">
        <f t="shared" si="5"/>
        <v>13647.44425039473</v>
      </c>
      <c r="U11" s="102">
        <f>Imóveis!P11</f>
        <v>363.33917500000001</v>
      </c>
      <c r="V11" s="102">
        <f>Imóveis!P11</f>
        <v>363.33917500000001</v>
      </c>
      <c r="W11" s="102">
        <f>S11/'Atendimento '!D11</f>
        <v>18728.768613670127</v>
      </c>
      <c r="X11" s="102">
        <f>T11/'Atendimento '!D11</f>
        <v>14157.099844807812</v>
      </c>
    </row>
    <row r="12" spans="2:24" x14ac:dyDescent="0.15">
      <c r="B12" s="109">
        <f>População!B12</f>
        <v>0</v>
      </c>
      <c r="C12" s="109">
        <f>População!C12</f>
        <v>2026</v>
      </c>
      <c r="D12" s="111">
        <f>Imóveis!I12*'Atendimento '!D12</f>
        <v>16814.561370473341</v>
      </c>
      <c r="E12" s="111">
        <f>D12/'Atendimento '!$E12</f>
        <v>12594.233668244582</v>
      </c>
      <c r="F12" s="216">
        <f t="shared" si="6"/>
        <v>1.3351</v>
      </c>
      <c r="G12" s="111">
        <f>Imóveis!L12*'Atendimento '!D12</f>
        <v>1257.056</v>
      </c>
      <c r="H12" s="142">
        <f t="shared" si="7"/>
        <v>1.2918000000000001</v>
      </c>
      <c r="I12" s="111">
        <f t="shared" si="0"/>
        <v>973.10419569592818</v>
      </c>
      <c r="J12" s="111">
        <f>Imóveis!M12*'Atendimento '!D12</f>
        <v>126.28399999999999</v>
      </c>
      <c r="K12" s="142">
        <f t="shared" si="8"/>
        <v>1.0246</v>
      </c>
      <c r="L12" s="111">
        <f t="shared" si="1"/>
        <v>123.2520007807925</v>
      </c>
      <c r="M12" s="111">
        <f>Imóveis!N12*'Atendimento '!D12</f>
        <v>96.399999999999991</v>
      </c>
      <c r="N12" s="142">
        <f t="shared" si="9"/>
        <v>1.0105999999999999</v>
      </c>
      <c r="O12" s="111">
        <f t="shared" si="2"/>
        <v>95.388877894320203</v>
      </c>
      <c r="P12" s="111">
        <f>Imóveis!O12*'Atendimento '!D12</f>
        <v>170.62799999999999</v>
      </c>
      <c r="Q12" s="142">
        <v>1</v>
      </c>
      <c r="R12" s="111">
        <f t="shared" si="3"/>
        <v>170.62799999999999</v>
      </c>
      <c r="S12" s="111">
        <f t="shared" si="4"/>
        <v>18464.929370473343</v>
      </c>
      <c r="T12" s="111">
        <f t="shared" si="5"/>
        <v>13956.606742615624</v>
      </c>
      <c r="U12" s="111">
        <f>Imóveis!P12</f>
        <v>361.52247912500002</v>
      </c>
      <c r="V12" s="111">
        <f>Imóveis!P12</f>
        <v>361.52247912500002</v>
      </c>
      <c r="W12" s="111">
        <f>S12/'Atendimento '!D12</f>
        <v>19154.491048208864</v>
      </c>
      <c r="X12" s="111">
        <f>T12/'Atendimento '!D12</f>
        <v>14477.807824290066</v>
      </c>
    </row>
    <row r="13" spans="2:24" x14ac:dyDescent="0.15">
      <c r="B13" s="101">
        <f>População!B13</f>
        <v>1</v>
      </c>
      <c r="C13" s="101">
        <f>População!C13</f>
        <v>2027</v>
      </c>
      <c r="D13" s="102">
        <f>Imóveis!I13*'Atendimento '!D13</f>
        <v>17201.36621342969</v>
      </c>
      <c r="E13" s="102">
        <f>D13/'Atendimento '!$E13</f>
        <v>12883.953421788399</v>
      </c>
      <c r="F13" s="215">
        <f t="shared" si="6"/>
        <v>1.3351</v>
      </c>
      <c r="G13" s="102">
        <f>Imóveis!L13*'Atendimento '!D13</f>
        <v>1272.48</v>
      </c>
      <c r="H13" s="141">
        <f t="shared" si="7"/>
        <v>1.2918000000000001</v>
      </c>
      <c r="I13" s="102">
        <f t="shared" si="0"/>
        <v>985.04412447747325</v>
      </c>
      <c r="J13" s="102">
        <f>Imóveis!M13*'Atendimento '!D13</f>
        <v>128.21199999999999</v>
      </c>
      <c r="K13" s="141">
        <f t="shared" si="8"/>
        <v>1.0246</v>
      </c>
      <c r="L13" s="102">
        <f t="shared" si="1"/>
        <v>125.13371071637712</v>
      </c>
      <c r="M13" s="102">
        <f>Imóveis!N13*'Atendimento '!D13</f>
        <v>97.36399999999999</v>
      </c>
      <c r="N13" s="141">
        <f t="shared" si="9"/>
        <v>1.0105999999999999</v>
      </c>
      <c r="O13" s="102">
        <f t="shared" si="2"/>
        <v>96.342766673263398</v>
      </c>
      <c r="P13" s="102">
        <f>Imóveis!O13*'Atendimento '!D13</f>
        <v>172.55599999999998</v>
      </c>
      <c r="Q13" s="141">
        <v>1</v>
      </c>
      <c r="R13" s="102">
        <f t="shared" si="3"/>
        <v>172.55599999999998</v>
      </c>
      <c r="S13" s="102">
        <f t="shared" si="4"/>
        <v>18871.978213429691</v>
      </c>
      <c r="T13" s="102">
        <f t="shared" si="5"/>
        <v>14263.030023655514</v>
      </c>
      <c r="U13" s="102">
        <f>Imóveis!P13</f>
        <v>359.71486672937499</v>
      </c>
      <c r="V13" s="102">
        <f>Imóveis!P13</f>
        <v>359.71486672937499</v>
      </c>
      <c r="W13" s="102">
        <f>S13/'Atendimento '!D13</f>
        <v>19576.740885300511</v>
      </c>
      <c r="X13" s="102">
        <f>T13/'Atendimento '!D13</f>
        <v>14795.674298397837</v>
      </c>
    </row>
    <row r="14" spans="2:24" x14ac:dyDescent="0.15">
      <c r="B14" s="109">
        <f>População!B14</f>
        <v>2</v>
      </c>
      <c r="C14" s="109">
        <f>População!C14</f>
        <v>2028</v>
      </c>
      <c r="D14" s="111">
        <f>Imóveis!I14*'Atendimento '!D14</f>
        <v>18132.576127498429</v>
      </c>
      <c r="E14" s="111">
        <f>D14/'Atendimento '!$E14</f>
        <v>13581.436692006913</v>
      </c>
      <c r="F14" s="216">
        <f t="shared" si="6"/>
        <v>1.3351</v>
      </c>
      <c r="G14" s="111">
        <f>Imóveis!L14*'Atendimento '!D14</f>
        <v>1326.99</v>
      </c>
      <c r="H14" s="142">
        <f t="shared" si="7"/>
        <v>1.2918000000000001</v>
      </c>
      <c r="I14" s="111">
        <f t="shared" si="0"/>
        <v>1027.2410589874594</v>
      </c>
      <c r="J14" s="111">
        <f>Imóveis!M14*'Atendimento '!D14</f>
        <v>133.196</v>
      </c>
      <c r="K14" s="142">
        <f t="shared" si="8"/>
        <v>1.0246</v>
      </c>
      <c r="L14" s="111">
        <f t="shared" si="1"/>
        <v>129.99804801873901</v>
      </c>
      <c r="M14" s="111">
        <f>Imóveis!N14*'Atendimento '!D14</f>
        <v>101.38800000000001</v>
      </c>
      <c r="N14" s="142">
        <f t="shared" si="9"/>
        <v>1.0105999999999999</v>
      </c>
      <c r="O14" s="111">
        <f t="shared" si="2"/>
        <v>100.32455966752426</v>
      </c>
      <c r="P14" s="111">
        <f>Imóveis!O14*'Atendimento '!D14</f>
        <v>179.91399999999999</v>
      </c>
      <c r="Q14" s="142">
        <v>1</v>
      </c>
      <c r="R14" s="111">
        <f t="shared" si="3"/>
        <v>179.91399999999999</v>
      </c>
      <c r="S14" s="111">
        <f t="shared" si="4"/>
        <v>19874.06412749843</v>
      </c>
      <c r="T14" s="111">
        <f t="shared" si="5"/>
        <v>15018.914358680637</v>
      </c>
      <c r="U14" s="111">
        <f>Imóveis!P14</f>
        <v>357.91629239572814</v>
      </c>
      <c r="V14" s="111">
        <f>Imóveis!P14</f>
        <v>357.91629239572814</v>
      </c>
      <c r="W14" s="111">
        <f>S14/'Atendimento '!D14</f>
        <v>19994.028297282122</v>
      </c>
      <c r="X14" s="111">
        <f>T14/'Atendimento '!D14</f>
        <v>15109.571789417139</v>
      </c>
    </row>
    <row r="15" spans="2:24" x14ac:dyDescent="0.15">
      <c r="B15" s="109">
        <f>População!B15</f>
        <v>3</v>
      </c>
      <c r="C15" s="109">
        <f>População!C15</f>
        <v>2029</v>
      </c>
      <c r="D15" s="111">
        <f>Imóveis!I15*'Atendimento '!D15</f>
        <v>18636.877964162944</v>
      </c>
      <c r="E15" s="111">
        <f>D15/'Atendimento '!$E15</f>
        <v>13959.162582700132</v>
      </c>
      <c r="F15" s="216">
        <f t="shared" si="6"/>
        <v>1.3351</v>
      </c>
      <c r="G15" s="111">
        <f>Imóveis!L15*'Atendimento '!D15</f>
        <v>1350</v>
      </c>
      <c r="H15" s="142">
        <f t="shared" si="7"/>
        <v>1.2918000000000001</v>
      </c>
      <c r="I15" s="111">
        <f t="shared" si="0"/>
        <v>1045.0534138411517</v>
      </c>
      <c r="J15" s="111">
        <f>Imóveis!M15*'Atendimento '!D15</f>
        <v>136</v>
      </c>
      <c r="K15" s="142">
        <f t="shared" si="8"/>
        <v>1.0246</v>
      </c>
      <c r="L15" s="111">
        <f t="shared" si="1"/>
        <v>132.73472574663285</v>
      </c>
      <c r="M15" s="111">
        <f>Imóveis!N15*'Atendimento '!D15</f>
        <v>103</v>
      </c>
      <c r="N15" s="142">
        <f t="shared" si="9"/>
        <v>1.0105999999999999</v>
      </c>
      <c r="O15" s="111">
        <f t="shared" si="2"/>
        <v>101.91965169206412</v>
      </c>
      <c r="P15" s="111">
        <f>Imóveis!O15*'Atendimento '!D15</f>
        <v>183</v>
      </c>
      <c r="Q15" s="142">
        <v>1</v>
      </c>
      <c r="R15" s="111">
        <f t="shared" si="3"/>
        <v>183</v>
      </c>
      <c r="S15" s="111">
        <f t="shared" si="4"/>
        <v>20408.877964162944</v>
      </c>
      <c r="T15" s="111">
        <f t="shared" si="5"/>
        <v>15421.87037397998</v>
      </c>
      <c r="U15" s="111">
        <f>Imóveis!P15</f>
        <v>356.12671093374951</v>
      </c>
      <c r="V15" s="111">
        <f>Imóveis!P15</f>
        <v>356.12671093374951</v>
      </c>
      <c r="W15" s="111">
        <f>S15/'Atendimento '!D15</f>
        <v>20408.877964162944</v>
      </c>
      <c r="X15" s="111">
        <f>T15/'Atendimento '!D15</f>
        <v>15421.87037397998</v>
      </c>
    </row>
    <row r="16" spans="2:24" x14ac:dyDescent="0.15">
      <c r="B16" s="109">
        <f>População!B16</f>
        <v>4</v>
      </c>
      <c r="C16" s="109">
        <f>População!C16</f>
        <v>2030</v>
      </c>
      <c r="D16" s="111">
        <f>Imóveis!I16*'Atendimento '!D16</f>
        <v>19027.83121718714</v>
      </c>
      <c r="E16" s="111">
        <f>D16/'Atendimento '!$E16</f>
        <v>14251.989526767389</v>
      </c>
      <c r="F16" s="216">
        <f t="shared" si="6"/>
        <v>1.3351</v>
      </c>
      <c r="G16" s="111">
        <f>Imóveis!L16*'Atendimento '!D16</f>
        <v>1365</v>
      </c>
      <c r="H16" s="142">
        <f t="shared" si="7"/>
        <v>1.2918000000000001</v>
      </c>
      <c r="I16" s="111">
        <f t="shared" si="0"/>
        <v>1056.6651184393868</v>
      </c>
      <c r="J16" s="111">
        <f>Imóveis!M16*'Atendimento '!D16</f>
        <v>137</v>
      </c>
      <c r="K16" s="142">
        <f t="shared" si="8"/>
        <v>1.0246</v>
      </c>
      <c r="L16" s="111">
        <f t="shared" si="1"/>
        <v>133.71071637712279</v>
      </c>
      <c r="M16" s="111">
        <f>Imóveis!N16*'Atendimento '!D16</f>
        <v>104</v>
      </c>
      <c r="N16" s="142">
        <f t="shared" si="9"/>
        <v>1.0105999999999999</v>
      </c>
      <c r="O16" s="111">
        <f t="shared" si="2"/>
        <v>102.90916287354048</v>
      </c>
      <c r="P16" s="111">
        <f>Imóveis!O16*'Atendimento '!D16</f>
        <v>185</v>
      </c>
      <c r="Q16" s="142">
        <v>1</v>
      </c>
      <c r="R16" s="111">
        <f t="shared" si="3"/>
        <v>185</v>
      </c>
      <c r="S16" s="111">
        <f t="shared" si="4"/>
        <v>20818.83121718714</v>
      </c>
      <c r="T16" s="111">
        <f t="shared" si="5"/>
        <v>15730.27452445744</v>
      </c>
      <c r="U16" s="111">
        <f>Imóveis!P16</f>
        <v>354.34607737908078</v>
      </c>
      <c r="V16" s="111">
        <f>Imóveis!P16</f>
        <v>354.34607737908078</v>
      </c>
      <c r="W16" s="111">
        <f>S16/'Atendimento '!D16</f>
        <v>20818.83121718714</v>
      </c>
      <c r="X16" s="111">
        <f>T16/'Atendimento '!D16</f>
        <v>15730.27452445744</v>
      </c>
    </row>
    <row r="17" spans="2:24" x14ac:dyDescent="0.15">
      <c r="B17" s="101">
        <f>População!B17</f>
        <v>5</v>
      </c>
      <c r="C17" s="101">
        <f>População!C17</f>
        <v>2031</v>
      </c>
      <c r="D17" s="102">
        <f>Imóveis!I17*'Atendimento '!D17</f>
        <v>19414.448012917201</v>
      </c>
      <c r="E17" s="102">
        <f>D17/'Atendimento '!$E17</f>
        <v>14541.568431516142</v>
      </c>
      <c r="F17" s="215">
        <f t="shared" si="6"/>
        <v>1.3351</v>
      </c>
      <c r="G17" s="102">
        <f>Imóveis!L17*'Atendimento '!D17</f>
        <v>1378</v>
      </c>
      <c r="H17" s="141">
        <f t="shared" si="7"/>
        <v>1.2918000000000001</v>
      </c>
      <c r="I17" s="102">
        <f t="shared" si="0"/>
        <v>1066.7285957578572</v>
      </c>
      <c r="J17" s="102">
        <f>Imóveis!M17*'Atendimento '!D17</f>
        <v>139</v>
      </c>
      <c r="K17" s="141">
        <f t="shared" si="8"/>
        <v>1.0246</v>
      </c>
      <c r="L17" s="102">
        <f t="shared" si="1"/>
        <v>135.66269763810269</v>
      </c>
      <c r="M17" s="102">
        <f>Imóveis!N17*'Atendimento '!D17</f>
        <v>105</v>
      </c>
      <c r="N17" s="141">
        <f t="shared" si="9"/>
        <v>1.0105999999999999</v>
      </c>
      <c r="O17" s="102">
        <f t="shared" si="2"/>
        <v>103.89867405501683</v>
      </c>
      <c r="P17" s="102">
        <f>Imóveis!O17*'Atendimento '!D17</f>
        <v>187</v>
      </c>
      <c r="Q17" s="141">
        <v>1</v>
      </c>
      <c r="R17" s="102">
        <f t="shared" si="3"/>
        <v>187</v>
      </c>
      <c r="S17" s="102">
        <f t="shared" si="4"/>
        <v>21223.448012917201</v>
      </c>
      <c r="T17" s="102">
        <f t="shared" si="5"/>
        <v>16034.858398967119</v>
      </c>
      <c r="U17" s="102">
        <f>Imóveis!P17</f>
        <v>352.57434699218538</v>
      </c>
      <c r="V17" s="102">
        <f>Imóveis!P17</f>
        <v>352.57434699218538</v>
      </c>
      <c r="W17" s="102">
        <f>S17/'Atendimento '!D17</f>
        <v>21223.448012917201</v>
      </c>
      <c r="X17" s="102">
        <f>T17/'Atendimento '!D17</f>
        <v>16034.858398967119</v>
      </c>
    </row>
    <row r="18" spans="2:24" x14ac:dyDescent="0.15">
      <c r="B18" s="109">
        <f>População!B18</f>
        <v>6</v>
      </c>
      <c r="C18" s="109">
        <f>População!C18</f>
        <v>2032</v>
      </c>
      <c r="D18" s="111">
        <f>Imóveis!I18*'Atendimento '!D18</f>
        <v>19796.30872139279</v>
      </c>
      <c r="E18" s="111">
        <f>D18/'Atendimento '!$E18</f>
        <v>14827.584990931609</v>
      </c>
      <c r="F18" s="216">
        <f t="shared" si="6"/>
        <v>1.3351</v>
      </c>
      <c r="G18" s="111">
        <f>Imóveis!L18*'Atendimento '!D18</f>
        <v>1392</v>
      </c>
      <c r="H18" s="142">
        <f t="shared" si="7"/>
        <v>1.2918000000000001</v>
      </c>
      <c r="I18" s="111">
        <f t="shared" si="0"/>
        <v>1077.5661867162098</v>
      </c>
      <c r="J18" s="111">
        <f>Imóveis!M18*'Atendimento '!D18</f>
        <v>140</v>
      </c>
      <c r="K18" s="142">
        <f t="shared" si="8"/>
        <v>1.0246</v>
      </c>
      <c r="L18" s="111">
        <f t="shared" si="1"/>
        <v>136.63868826859263</v>
      </c>
      <c r="M18" s="111">
        <f>Imóveis!N18*'Atendimento '!D18</f>
        <v>106</v>
      </c>
      <c r="N18" s="142">
        <f t="shared" si="9"/>
        <v>1.0105999999999999</v>
      </c>
      <c r="O18" s="111">
        <f t="shared" si="2"/>
        <v>104.88818523649317</v>
      </c>
      <c r="P18" s="111">
        <f>Imóveis!O18*'Atendimento '!D18</f>
        <v>189</v>
      </c>
      <c r="Q18" s="142">
        <v>1</v>
      </c>
      <c r="R18" s="111">
        <f t="shared" si="3"/>
        <v>189</v>
      </c>
      <c r="S18" s="111">
        <f t="shared" si="4"/>
        <v>21623.30872139279</v>
      </c>
      <c r="T18" s="111">
        <f t="shared" si="5"/>
        <v>16335.678051152905</v>
      </c>
      <c r="U18" s="111">
        <f>Imóveis!P18</f>
        <v>350.81147525722446</v>
      </c>
      <c r="V18" s="111">
        <f>Imóveis!P18</f>
        <v>350.81147525722446</v>
      </c>
      <c r="W18" s="111">
        <f>S18/'Atendimento '!D18</f>
        <v>21623.30872139279</v>
      </c>
      <c r="X18" s="111">
        <f>T18/'Atendimento '!D18</f>
        <v>16335.678051152905</v>
      </c>
    </row>
    <row r="19" spans="2:24" x14ac:dyDescent="0.15">
      <c r="B19" s="109">
        <f>População!B19</f>
        <v>7</v>
      </c>
      <c r="C19" s="109">
        <f>População!C19</f>
        <v>2033</v>
      </c>
      <c r="D19" s="111">
        <f>Imóveis!I19*'Atendimento '!D19</f>
        <v>20173.015715024689</v>
      </c>
      <c r="E19" s="111">
        <f>D19/'Atendimento '!$E19</f>
        <v>15109.74137894142</v>
      </c>
      <c r="F19" s="216">
        <f t="shared" si="6"/>
        <v>1.3351</v>
      </c>
      <c r="G19" s="111">
        <f>Imóveis!L19*'Atendimento '!D19</f>
        <v>1405</v>
      </c>
      <c r="H19" s="142">
        <f t="shared" si="7"/>
        <v>1.2918000000000001</v>
      </c>
      <c r="I19" s="111">
        <f t="shared" si="0"/>
        <v>1087.6296640346802</v>
      </c>
      <c r="J19" s="111">
        <f>Imóveis!M19*'Atendimento '!D19</f>
        <v>141</v>
      </c>
      <c r="K19" s="142">
        <f t="shared" si="8"/>
        <v>1.0246</v>
      </c>
      <c r="L19" s="111">
        <f t="shared" si="1"/>
        <v>137.61467889908258</v>
      </c>
      <c r="M19" s="111">
        <f>Imóveis!N19*'Atendimento '!D19</f>
        <v>107</v>
      </c>
      <c r="N19" s="142">
        <f t="shared" si="9"/>
        <v>1.0105999999999999</v>
      </c>
      <c r="O19" s="111">
        <f t="shared" si="2"/>
        <v>105.87769641796953</v>
      </c>
      <c r="P19" s="111">
        <f>Imóveis!O19*'Atendimento '!D19</f>
        <v>191</v>
      </c>
      <c r="Q19" s="142">
        <v>1</v>
      </c>
      <c r="R19" s="111">
        <f t="shared" si="3"/>
        <v>191</v>
      </c>
      <c r="S19" s="111">
        <f t="shared" si="4"/>
        <v>22017.015715024689</v>
      </c>
      <c r="T19" s="111">
        <f t="shared" si="5"/>
        <v>16631.863418293153</v>
      </c>
      <c r="U19" s="111">
        <f>Imóveis!P19</f>
        <v>349.05741788093832</v>
      </c>
      <c r="V19" s="111">
        <f>Imóveis!P19</f>
        <v>349.05741788093832</v>
      </c>
      <c r="W19" s="111">
        <f>S19/'Atendimento '!D19</f>
        <v>22017.015715024689</v>
      </c>
      <c r="X19" s="111">
        <f>T19/'Atendimento '!D19</f>
        <v>16631.863418293153</v>
      </c>
    </row>
    <row r="20" spans="2:24" x14ac:dyDescent="0.15">
      <c r="B20" s="109">
        <f>População!B20</f>
        <v>8</v>
      </c>
      <c r="C20" s="109">
        <f>População!C20</f>
        <v>2034</v>
      </c>
      <c r="D20" s="111">
        <f>Imóveis!I20*'Atendimento '!D20</f>
        <v>20544.194748111968</v>
      </c>
      <c r="E20" s="111">
        <f>D20/'Atendimento '!$E20</f>
        <v>15387.757282684419</v>
      </c>
      <c r="F20" s="216">
        <f t="shared" si="6"/>
        <v>1.3351</v>
      </c>
      <c r="G20" s="111">
        <f>Imóveis!L20*'Atendimento '!D20</f>
        <v>1417</v>
      </c>
      <c r="H20" s="142">
        <f t="shared" si="7"/>
        <v>1.2918000000000001</v>
      </c>
      <c r="I20" s="111">
        <f t="shared" si="0"/>
        <v>1096.9190277132682</v>
      </c>
      <c r="J20" s="111">
        <f>Imóveis!M20*'Atendimento '!D20</f>
        <v>142</v>
      </c>
      <c r="K20" s="142">
        <f t="shared" si="8"/>
        <v>1.0246</v>
      </c>
      <c r="L20" s="111">
        <f t="shared" si="1"/>
        <v>138.59066952957252</v>
      </c>
      <c r="M20" s="111">
        <f>Imóveis!N20*'Atendimento '!D20</f>
        <v>108</v>
      </c>
      <c r="N20" s="142">
        <f t="shared" si="9"/>
        <v>1.0105999999999999</v>
      </c>
      <c r="O20" s="111">
        <f t="shared" si="2"/>
        <v>106.86720759944588</v>
      </c>
      <c r="P20" s="111">
        <f>Imóveis!O20*'Atendimento '!D20</f>
        <v>192</v>
      </c>
      <c r="Q20" s="142">
        <v>1</v>
      </c>
      <c r="R20" s="111">
        <f t="shared" si="3"/>
        <v>192</v>
      </c>
      <c r="S20" s="111">
        <f t="shared" si="4"/>
        <v>22403.194748111968</v>
      </c>
      <c r="T20" s="111">
        <f t="shared" si="5"/>
        <v>16922.134187526706</v>
      </c>
      <c r="U20" s="111">
        <f>Imóveis!P20</f>
        <v>347.3121307915336</v>
      </c>
      <c r="V20" s="111">
        <f>Imóveis!P20</f>
        <v>347.3121307915336</v>
      </c>
      <c r="W20" s="111">
        <f>S20/'Atendimento '!D20</f>
        <v>22403.194748111968</v>
      </c>
      <c r="X20" s="111">
        <f>T20/'Atendimento '!D20</f>
        <v>16922.134187526706</v>
      </c>
    </row>
    <row r="21" spans="2:24" x14ac:dyDescent="0.15">
      <c r="B21" s="109">
        <f>População!B21</f>
        <v>9</v>
      </c>
      <c r="C21" s="109">
        <f>População!C21</f>
        <v>2035</v>
      </c>
      <c r="D21" s="111">
        <f>Imóveis!I21*'Atendimento '!D21</f>
        <v>20909.496120146072</v>
      </c>
      <c r="E21" s="111">
        <f>D21/'Atendimento '!$E21</f>
        <v>15661.370773834224</v>
      </c>
      <c r="F21" s="216">
        <f t="shared" si="6"/>
        <v>1.3351</v>
      </c>
      <c r="G21" s="111">
        <f>Imóveis!L21*'Atendimento '!D21</f>
        <v>1429</v>
      </c>
      <c r="H21" s="142">
        <f t="shared" si="7"/>
        <v>1.2918000000000001</v>
      </c>
      <c r="I21" s="111">
        <f t="shared" si="0"/>
        <v>1106.2083913918564</v>
      </c>
      <c r="J21" s="111">
        <f>Imóveis!M21*'Atendimento '!D21</f>
        <v>144</v>
      </c>
      <c r="K21" s="142">
        <f t="shared" si="8"/>
        <v>1.0246</v>
      </c>
      <c r="L21" s="111">
        <f t="shared" si="1"/>
        <v>140.54265079055241</v>
      </c>
      <c r="M21" s="111">
        <f>Imóveis!N21*'Atendimento '!D21</f>
        <v>109</v>
      </c>
      <c r="N21" s="142">
        <f t="shared" si="9"/>
        <v>1.0105999999999999</v>
      </c>
      <c r="O21" s="111">
        <f t="shared" si="2"/>
        <v>107.85671878092224</v>
      </c>
      <c r="P21" s="111">
        <f>Imóveis!O21*'Atendimento '!D21</f>
        <v>194</v>
      </c>
      <c r="Q21" s="142">
        <v>1</v>
      </c>
      <c r="R21" s="111">
        <f t="shared" si="3"/>
        <v>194</v>
      </c>
      <c r="S21" s="111">
        <f t="shared" si="4"/>
        <v>22785.496120146072</v>
      </c>
      <c r="T21" s="111">
        <f t="shared" si="5"/>
        <v>17209.978534797559</v>
      </c>
      <c r="U21" s="111">
        <f>Imóveis!P21</f>
        <v>345.57557013757594</v>
      </c>
      <c r="V21" s="111">
        <f>Imóveis!P21</f>
        <v>345.57557013757594</v>
      </c>
      <c r="W21" s="111">
        <f>S21/'Atendimento '!D21</f>
        <v>22785.496120146072</v>
      </c>
      <c r="X21" s="111">
        <f>T21/'Atendimento '!D21</f>
        <v>17209.978534797559</v>
      </c>
    </row>
    <row r="22" spans="2:24" x14ac:dyDescent="0.15">
      <c r="B22" s="101">
        <f>População!B22</f>
        <v>10</v>
      </c>
      <c r="C22" s="101">
        <f>População!C22</f>
        <v>2036</v>
      </c>
      <c r="D22" s="102">
        <f>Imóveis!I22*'Atendimento '!D22</f>
        <v>21268.595619313262</v>
      </c>
      <c r="E22" s="102">
        <f>D22/'Atendimento '!$E22</f>
        <v>15930.339015289688</v>
      </c>
      <c r="F22" s="215">
        <f t="shared" si="6"/>
        <v>1.3351</v>
      </c>
      <c r="G22" s="102">
        <f>Imóveis!L22*'Atendimento '!D22</f>
        <v>1440</v>
      </c>
      <c r="H22" s="141">
        <f t="shared" si="7"/>
        <v>1.2918000000000001</v>
      </c>
      <c r="I22" s="102">
        <f t="shared" si="0"/>
        <v>1114.7236414305619</v>
      </c>
      <c r="J22" s="102">
        <f>Imóveis!M22*'Atendimento '!D22</f>
        <v>145</v>
      </c>
      <c r="K22" s="141">
        <f t="shared" si="8"/>
        <v>1.0246</v>
      </c>
      <c r="L22" s="102">
        <f t="shared" si="1"/>
        <v>141.51864142104236</v>
      </c>
      <c r="M22" s="102">
        <f>Imóveis!N22*'Atendimento '!D22</f>
        <v>110</v>
      </c>
      <c r="N22" s="141">
        <f t="shared" si="9"/>
        <v>1.0105999999999999</v>
      </c>
      <c r="O22" s="102">
        <f t="shared" si="2"/>
        <v>108.84622996239858</v>
      </c>
      <c r="P22" s="102">
        <f>Imóveis!O22*'Atendimento '!D22</f>
        <v>196</v>
      </c>
      <c r="Q22" s="141">
        <v>1</v>
      </c>
      <c r="R22" s="102">
        <f t="shared" si="3"/>
        <v>196</v>
      </c>
      <c r="S22" s="102">
        <f t="shared" si="4"/>
        <v>23159.595619313262</v>
      </c>
      <c r="T22" s="102">
        <f t="shared" si="5"/>
        <v>17491.42752810369</v>
      </c>
      <c r="U22" s="102">
        <f>Imóveis!P22</f>
        <v>343.84769228688805</v>
      </c>
      <c r="V22" s="102">
        <f>Imóveis!P22</f>
        <v>343.84769228688805</v>
      </c>
      <c r="W22" s="102">
        <f>S22/'Atendimento '!D22</f>
        <v>23159.595619313262</v>
      </c>
      <c r="X22" s="102">
        <f>T22/'Atendimento '!D22</f>
        <v>17491.42752810369</v>
      </c>
    </row>
    <row r="23" spans="2:24" x14ac:dyDescent="0.15">
      <c r="B23" s="109">
        <f>População!B23</f>
        <v>11</v>
      </c>
      <c r="C23" s="109">
        <f>População!C23</f>
        <v>2037</v>
      </c>
      <c r="D23" s="111">
        <f>Imóveis!I23*'Atendimento '!D23</f>
        <v>21621.195245757965</v>
      </c>
      <c r="E23" s="111">
        <f>D23/'Atendimento '!$E23</f>
        <v>16194.438802904626</v>
      </c>
      <c r="F23" s="216">
        <f t="shared" si="6"/>
        <v>1.3351</v>
      </c>
      <c r="G23" s="111">
        <f>Imóveis!L23*'Atendimento '!D23</f>
        <v>1451</v>
      </c>
      <c r="H23" s="142">
        <f t="shared" si="7"/>
        <v>1.2918000000000001</v>
      </c>
      <c r="I23" s="111">
        <f t="shared" si="0"/>
        <v>1123.2388914692676</v>
      </c>
      <c r="J23" s="111">
        <f>Imóveis!M23*'Atendimento '!D23</f>
        <v>146</v>
      </c>
      <c r="K23" s="142">
        <f t="shared" si="8"/>
        <v>1.0246</v>
      </c>
      <c r="L23" s="111">
        <f t="shared" si="1"/>
        <v>142.49463205153231</v>
      </c>
      <c r="M23" s="111">
        <f>Imóveis!N23*'Atendimento '!D23</f>
        <v>111</v>
      </c>
      <c r="N23" s="142">
        <f t="shared" si="9"/>
        <v>1.0105999999999999</v>
      </c>
      <c r="O23" s="111">
        <f t="shared" si="2"/>
        <v>109.83574114387493</v>
      </c>
      <c r="P23" s="111">
        <f>Imóveis!O23*'Atendimento '!D23</f>
        <v>197</v>
      </c>
      <c r="Q23" s="142">
        <v>1</v>
      </c>
      <c r="R23" s="111">
        <f t="shared" si="3"/>
        <v>197</v>
      </c>
      <c r="S23" s="111">
        <f t="shared" si="4"/>
        <v>23526.195245757965</v>
      </c>
      <c r="T23" s="111">
        <f t="shared" si="5"/>
        <v>17767.008067569303</v>
      </c>
      <c r="U23" s="111">
        <f>Imóveis!P23</f>
        <v>342.12845382545362</v>
      </c>
      <c r="V23" s="111">
        <f>Imóveis!P23</f>
        <v>342.12845382545362</v>
      </c>
      <c r="W23" s="111">
        <f>S23/'Atendimento '!D23</f>
        <v>23526.195245757965</v>
      </c>
      <c r="X23" s="111">
        <f>T23/'Atendimento '!D23</f>
        <v>17767.008067569303</v>
      </c>
    </row>
    <row r="24" spans="2:24" x14ac:dyDescent="0.15">
      <c r="B24" s="109">
        <f>População!B24</f>
        <v>12</v>
      </c>
      <c r="C24" s="109">
        <f>População!C24</f>
        <v>2038</v>
      </c>
      <c r="D24" s="111">
        <f>Imóveis!I24*'Atendimento '!D24</f>
        <v>21967.023717160399</v>
      </c>
      <c r="E24" s="111">
        <f>D24/'Atendimento '!$E24</f>
        <v>16453.466944169275</v>
      </c>
      <c r="F24" s="216">
        <f t="shared" si="6"/>
        <v>1.3351</v>
      </c>
      <c r="G24" s="111">
        <f>Imóveis!L24*'Atendimento '!D24</f>
        <v>1462</v>
      </c>
      <c r="H24" s="142">
        <f t="shared" si="7"/>
        <v>1.2918000000000001</v>
      </c>
      <c r="I24" s="111">
        <f t="shared" si="0"/>
        <v>1131.7541415079734</v>
      </c>
      <c r="J24" s="111">
        <f>Imóveis!M24*'Atendimento '!D24</f>
        <v>147</v>
      </c>
      <c r="K24" s="142">
        <f t="shared" si="8"/>
        <v>1.0246</v>
      </c>
      <c r="L24" s="111">
        <f t="shared" si="1"/>
        <v>143.47062268202225</v>
      </c>
      <c r="M24" s="111">
        <f>Imóveis!N24*'Atendimento '!D24</f>
        <v>112</v>
      </c>
      <c r="N24" s="142">
        <f t="shared" si="9"/>
        <v>1.0105999999999999</v>
      </c>
      <c r="O24" s="111">
        <f t="shared" si="2"/>
        <v>110.82525232535129</v>
      </c>
      <c r="P24" s="111">
        <f>Imóveis!O24*'Atendimento '!D24</f>
        <v>199</v>
      </c>
      <c r="Q24" s="142">
        <v>1</v>
      </c>
      <c r="R24" s="111">
        <f t="shared" si="3"/>
        <v>199</v>
      </c>
      <c r="S24" s="111">
        <f t="shared" si="4"/>
        <v>23887.023717160399</v>
      </c>
      <c r="T24" s="111">
        <f t="shared" si="5"/>
        <v>18038.516960684621</v>
      </c>
      <c r="U24" s="111">
        <f>Imóveis!P24</f>
        <v>340.41781155632634</v>
      </c>
      <c r="V24" s="111">
        <f>Imóveis!P24</f>
        <v>340.41781155632634</v>
      </c>
      <c r="W24" s="111">
        <f>S24/'Atendimento '!D24</f>
        <v>23887.023717160399</v>
      </c>
      <c r="X24" s="111">
        <f>T24/'Atendimento '!D24</f>
        <v>18038.516960684621</v>
      </c>
    </row>
    <row r="25" spans="2:24" x14ac:dyDescent="0.15">
      <c r="B25" s="109">
        <f>População!B25</f>
        <v>13</v>
      </c>
      <c r="C25" s="109">
        <f>População!C25</f>
        <v>2039</v>
      </c>
      <c r="D25" s="111">
        <f>Imóveis!I25*'Atendimento '!D25</f>
        <v>22305.83676195889</v>
      </c>
      <c r="E25" s="111">
        <f>D25/'Atendimento '!$E25</f>
        <v>16707.240477836036</v>
      </c>
      <c r="F25" s="216">
        <f t="shared" si="6"/>
        <v>1.3351</v>
      </c>
      <c r="G25" s="111">
        <f>Imóveis!L25*'Atendimento '!D25</f>
        <v>1472</v>
      </c>
      <c r="H25" s="142">
        <f t="shared" si="7"/>
        <v>1.2918000000000001</v>
      </c>
      <c r="I25" s="111">
        <f t="shared" si="0"/>
        <v>1139.4952779067967</v>
      </c>
      <c r="J25" s="111">
        <f>Imóveis!M25*'Atendimento '!D25</f>
        <v>148</v>
      </c>
      <c r="K25" s="142">
        <f t="shared" si="8"/>
        <v>1.0246</v>
      </c>
      <c r="L25" s="111">
        <f t="shared" si="1"/>
        <v>144.4466133125122</v>
      </c>
      <c r="M25" s="111">
        <f>Imóveis!N25*'Atendimento '!D25</f>
        <v>112</v>
      </c>
      <c r="N25" s="142">
        <f t="shared" si="9"/>
        <v>1.0105999999999999</v>
      </c>
      <c r="O25" s="111">
        <f t="shared" si="2"/>
        <v>110.82525232535129</v>
      </c>
      <c r="P25" s="111">
        <f>Imóveis!O25*'Atendimento '!D25</f>
        <v>200</v>
      </c>
      <c r="Q25" s="142">
        <v>1</v>
      </c>
      <c r="R25" s="111">
        <f t="shared" si="3"/>
        <v>200</v>
      </c>
      <c r="S25" s="111">
        <f t="shared" si="4"/>
        <v>24237.83676195889</v>
      </c>
      <c r="T25" s="111">
        <f t="shared" si="5"/>
        <v>18302.007621380697</v>
      </c>
      <c r="U25" s="111">
        <f>Imóveis!P25</f>
        <v>338.71572249854472</v>
      </c>
      <c r="V25" s="111">
        <f>Imóveis!P25</f>
        <v>338.71572249854472</v>
      </c>
      <c r="W25" s="111">
        <f>S25/'Atendimento '!D25</f>
        <v>24237.83676195889</v>
      </c>
      <c r="X25" s="111">
        <f>T25/'Atendimento '!D25</f>
        <v>18302.007621380697</v>
      </c>
    </row>
    <row r="26" spans="2:24" x14ac:dyDescent="0.15">
      <c r="B26" s="109">
        <f>População!B26</f>
        <v>14</v>
      </c>
      <c r="C26" s="109">
        <f>População!C26</f>
        <v>2040</v>
      </c>
      <c r="D26" s="111">
        <f>Imóveis!I26*'Atendimento '!D26</f>
        <v>22637.417208064111</v>
      </c>
      <c r="E26" s="111">
        <f>D26/'Atendimento '!$E26</f>
        <v>16955.596740367098</v>
      </c>
      <c r="F26" s="216">
        <f t="shared" si="6"/>
        <v>1.3351</v>
      </c>
      <c r="G26" s="111">
        <f>Imóveis!L26*'Atendimento '!D26</f>
        <v>1481</v>
      </c>
      <c r="H26" s="142">
        <f t="shared" si="7"/>
        <v>1.2918000000000001</v>
      </c>
      <c r="I26" s="111">
        <f t="shared" si="0"/>
        <v>1146.4623006657378</v>
      </c>
      <c r="J26" s="111">
        <f>Imóveis!M26*'Atendimento '!D26</f>
        <v>149</v>
      </c>
      <c r="K26" s="142">
        <f t="shared" si="8"/>
        <v>1.0246</v>
      </c>
      <c r="L26" s="111">
        <f t="shared" si="1"/>
        <v>145.42260394300214</v>
      </c>
      <c r="M26" s="111">
        <f>Imóveis!N26*'Atendimento '!D26</f>
        <v>113</v>
      </c>
      <c r="N26" s="142">
        <f t="shared" si="9"/>
        <v>1.0105999999999999</v>
      </c>
      <c r="O26" s="111">
        <f t="shared" si="2"/>
        <v>111.81476350682763</v>
      </c>
      <c r="P26" s="111">
        <f>Imóveis!O26*'Atendimento '!D26</f>
        <v>201</v>
      </c>
      <c r="Q26" s="142">
        <v>1</v>
      </c>
      <c r="R26" s="111">
        <f t="shared" si="3"/>
        <v>201</v>
      </c>
      <c r="S26" s="111">
        <f t="shared" si="4"/>
        <v>24581.417208064111</v>
      </c>
      <c r="T26" s="111">
        <f t="shared" si="5"/>
        <v>18560.296408482667</v>
      </c>
      <c r="U26" s="111">
        <f>Imóveis!P26</f>
        <v>337.02214388605199</v>
      </c>
      <c r="V26" s="111">
        <f>Imóveis!P26</f>
        <v>337.02214388605199</v>
      </c>
      <c r="W26" s="111">
        <f>S26/'Atendimento '!D26</f>
        <v>24581.417208064111</v>
      </c>
      <c r="X26" s="111">
        <f>T26/'Atendimento '!D26</f>
        <v>18560.296408482667</v>
      </c>
    </row>
    <row r="27" spans="2:24" x14ac:dyDescent="0.15">
      <c r="B27" s="101">
        <f>População!B27</f>
        <v>15</v>
      </c>
      <c r="C27" s="101">
        <f>População!C27</f>
        <v>2041</v>
      </c>
      <c r="D27" s="102">
        <f>Imóveis!I27*'Atendimento '!D27</f>
        <v>22961.574877135074</v>
      </c>
      <c r="E27" s="102">
        <f>D27/'Atendimento '!$E27</f>
        <v>17198.393286746366</v>
      </c>
      <c r="F27" s="215">
        <f t="shared" si="6"/>
        <v>1.3351</v>
      </c>
      <c r="G27" s="102">
        <f>Imóveis!L27*'Atendimento '!D27</f>
        <v>1490</v>
      </c>
      <c r="H27" s="141">
        <f t="shared" si="7"/>
        <v>1.2918000000000001</v>
      </c>
      <c r="I27" s="102">
        <f t="shared" si="0"/>
        <v>1153.4293234246786</v>
      </c>
      <c r="J27" s="102">
        <f>Imóveis!M27*'Atendimento '!D27</f>
        <v>150</v>
      </c>
      <c r="K27" s="141">
        <f t="shared" si="8"/>
        <v>1.0246</v>
      </c>
      <c r="L27" s="102">
        <f t="shared" si="1"/>
        <v>146.39859457349209</v>
      </c>
      <c r="M27" s="102">
        <f>Imóveis!N27*'Atendimento '!D27</f>
        <v>114</v>
      </c>
      <c r="N27" s="141">
        <f t="shared" si="9"/>
        <v>1.0105999999999999</v>
      </c>
      <c r="O27" s="102">
        <f t="shared" si="2"/>
        <v>112.80427468830399</v>
      </c>
      <c r="P27" s="102">
        <f>Imóveis!O27*'Atendimento '!D27</f>
        <v>202</v>
      </c>
      <c r="Q27" s="141">
        <v>1</v>
      </c>
      <c r="R27" s="102">
        <f t="shared" si="3"/>
        <v>202</v>
      </c>
      <c r="S27" s="102">
        <f t="shared" si="4"/>
        <v>24917.574877135074</v>
      </c>
      <c r="T27" s="102">
        <f t="shared" si="5"/>
        <v>18813.025479432843</v>
      </c>
      <c r="U27" s="102">
        <f>Imóveis!P27</f>
        <v>335.33703316662172</v>
      </c>
      <c r="V27" s="102">
        <f>Imóveis!P27</f>
        <v>335.33703316662172</v>
      </c>
      <c r="W27" s="102">
        <f>S27/'Atendimento '!D27</f>
        <v>24917.574877135074</v>
      </c>
      <c r="X27" s="102">
        <f>T27/'Atendimento '!D27</f>
        <v>18813.025479432843</v>
      </c>
    </row>
    <row r="28" spans="2:24" x14ac:dyDescent="0.15">
      <c r="B28" s="109">
        <f>População!B28</f>
        <v>16</v>
      </c>
      <c r="C28" s="109">
        <f>População!C28</f>
        <v>2042</v>
      </c>
      <c r="D28" s="111">
        <f>Imóveis!I28*'Atendimento '!D28</f>
        <v>23278.146296389066</v>
      </c>
      <c r="E28" s="111">
        <f>D28/'Atendimento '!$E28</f>
        <v>17435.507674622924</v>
      </c>
      <c r="F28" s="216">
        <f t="shared" si="6"/>
        <v>1.3351</v>
      </c>
      <c r="G28" s="111">
        <f>Imóveis!L28*'Atendimento '!D28</f>
        <v>1499</v>
      </c>
      <c r="H28" s="142">
        <f t="shared" si="7"/>
        <v>1.2918000000000001</v>
      </c>
      <c r="I28" s="111">
        <f t="shared" si="0"/>
        <v>1160.3963461836197</v>
      </c>
      <c r="J28" s="111">
        <f>Imóveis!M28*'Atendimento '!D28</f>
        <v>151</v>
      </c>
      <c r="K28" s="142">
        <f t="shared" si="8"/>
        <v>1.0246</v>
      </c>
      <c r="L28" s="111">
        <f t="shared" si="1"/>
        <v>147.37458520398204</v>
      </c>
      <c r="M28" s="111">
        <f>Imóveis!N28*'Atendimento '!D28</f>
        <v>114</v>
      </c>
      <c r="N28" s="142">
        <f t="shared" si="9"/>
        <v>1.0105999999999999</v>
      </c>
      <c r="O28" s="111">
        <f t="shared" si="2"/>
        <v>112.80427468830399</v>
      </c>
      <c r="P28" s="111">
        <f>Imóveis!O28*'Atendimento '!D28</f>
        <v>204</v>
      </c>
      <c r="Q28" s="142">
        <v>1</v>
      </c>
      <c r="R28" s="111">
        <f t="shared" si="3"/>
        <v>204</v>
      </c>
      <c r="S28" s="111">
        <f t="shared" si="4"/>
        <v>25246.146296389066</v>
      </c>
      <c r="T28" s="111">
        <f t="shared" si="5"/>
        <v>19060.082880698832</v>
      </c>
      <c r="U28" s="111">
        <f>Imóveis!P28</f>
        <v>333.66034800078859</v>
      </c>
      <c r="V28" s="111">
        <f>Imóveis!P28</f>
        <v>333.66034800078859</v>
      </c>
      <c r="W28" s="111">
        <f>S28/'Atendimento '!D28</f>
        <v>25246.146296389066</v>
      </c>
      <c r="X28" s="111">
        <f>T28/'Atendimento '!D28</f>
        <v>19060.082880698832</v>
      </c>
    </row>
    <row r="29" spans="2:24" x14ac:dyDescent="0.15">
      <c r="B29" s="109">
        <f>População!B29</f>
        <v>17</v>
      </c>
      <c r="C29" s="109">
        <f>População!C29</f>
        <v>2043</v>
      </c>
      <c r="D29" s="111">
        <f>Imóveis!I29*'Atendimento '!D29</f>
        <v>23586.99424148638</v>
      </c>
      <c r="E29" s="111">
        <f>D29/'Atendimento '!$E29</f>
        <v>17666.837121928231</v>
      </c>
      <c r="F29" s="216">
        <f t="shared" si="6"/>
        <v>1.3351</v>
      </c>
      <c r="G29" s="111">
        <f>Imóveis!L29*'Atendimento '!D29</f>
        <v>1508</v>
      </c>
      <c r="H29" s="142">
        <f t="shared" si="7"/>
        <v>1.2918000000000001</v>
      </c>
      <c r="I29" s="111">
        <f t="shared" si="0"/>
        <v>1167.3633689425608</v>
      </c>
      <c r="J29" s="111">
        <f>Imóveis!M29*'Atendimento '!D29</f>
        <v>151</v>
      </c>
      <c r="K29" s="142">
        <f t="shared" si="8"/>
        <v>1.0246</v>
      </c>
      <c r="L29" s="111">
        <f t="shared" si="1"/>
        <v>147.37458520398204</v>
      </c>
      <c r="M29" s="111">
        <f>Imóveis!N29*'Atendimento '!D29</f>
        <v>115</v>
      </c>
      <c r="N29" s="142">
        <f t="shared" si="9"/>
        <v>1.0105999999999999</v>
      </c>
      <c r="O29" s="111">
        <f t="shared" si="2"/>
        <v>113.79378586978034</v>
      </c>
      <c r="P29" s="111">
        <f>Imóveis!O29*'Atendimento '!D29</f>
        <v>205</v>
      </c>
      <c r="Q29" s="142">
        <v>1</v>
      </c>
      <c r="R29" s="111">
        <f t="shared" si="3"/>
        <v>205</v>
      </c>
      <c r="S29" s="111">
        <f t="shared" si="4"/>
        <v>25565.99424148638</v>
      </c>
      <c r="T29" s="111">
        <f t="shared" si="5"/>
        <v>19300.368861944557</v>
      </c>
      <c r="U29" s="111">
        <f>Imóveis!P29</f>
        <v>331.99204626078466</v>
      </c>
      <c r="V29" s="111">
        <f>Imóveis!P29</f>
        <v>331.99204626078466</v>
      </c>
      <c r="W29" s="111">
        <f>S29/'Atendimento '!D29</f>
        <v>25565.99424148638</v>
      </c>
      <c r="X29" s="111">
        <f>T29/'Atendimento '!D29</f>
        <v>19300.368861944557</v>
      </c>
    </row>
    <row r="30" spans="2:24" x14ac:dyDescent="0.15">
      <c r="B30" s="109">
        <f>População!B30</f>
        <v>18</v>
      </c>
      <c r="C30" s="109">
        <f>População!C30</f>
        <v>2044</v>
      </c>
      <c r="D30" s="111">
        <f>Imóveis!I30*'Atendimento '!D30</f>
        <v>23888.007125258897</v>
      </c>
      <c r="E30" s="111">
        <f>D30/'Atendimento '!$E30</f>
        <v>17892.29804902921</v>
      </c>
      <c r="F30" s="216">
        <f t="shared" si="6"/>
        <v>1.3351</v>
      </c>
      <c r="G30" s="111">
        <f>Imóveis!L30*'Atendimento '!D30</f>
        <v>1516</v>
      </c>
      <c r="H30" s="142">
        <f t="shared" si="7"/>
        <v>1.2918000000000001</v>
      </c>
      <c r="I30" s="111">
        <f t="shared" si="0"/>
        <v>1173.5562780616194</v>
      </c>
      <c r="J30" s="111">
        <f>Imóveis!M30*'Atendimento '!D30</f>
        <v>152</v>
      </c>
      <c r="K30" s="142">
        <f t="shared" si="8"/>
        <v>1.0246</v>
      </c>
      <c r="L30" s="111">
        <f t="shared" si="1"/>
        <v>148.35057583447198</v>
      </c>
      <c r="M30" s="111">
        <f>Imóveis!N30*'Atendimento '!D30</f>
        <v>116</v>
      </c>
      <c r="N30" s="142">
        <f t="shared" si="9"/>
        <v>1.0105999999999999</v>
      </c>
      <c r="O30" s="111">
        <f t="shared" si="2"/>
        <v>114.78329705125668</v>
      </c>
      <c r="P30" s="111">
        <f>Imóveis!O30*'Atendimento '!D30</f>
        <v>206</v>
      </c>
      <c r="Q30" s="142">
        <v>1</v>
      </c>
      <c r="R30" s="111">
        <f t="shared" si="3"/>
        <v>206</v>
      </c>
      <c r="S30" s="111">
        <f t="shared" si="4"/>
        <v>25878.007125258897</v>
      </c>
      <c r="T30" s="111">
        <f t="shared" si="5"/>
        <v>19534.98819997656</v>
      </c>
      <c r="U30" s="111">
        <f>Imóveis!P30</f>
        <v>330.33208602948076</v>
      </c>
      <c r="V30" s="111">
        <f>Imóveis!P30</f>
        <v>330.33208602948076</v>
      </c>
      <c r="W30" s="111">
        <f>S30/'Atendimento '!D30</f>
        <v>25878.007125258897</v>
      </c>
      <c r="X30" s="111">
        <f>T30/'Atendimento '!D30</f>
        <v>19534.98819997656</v>
      </c>
    </row>
    <row r="31" spans="2:24" x14ac:dyDescent="0.15">
      <c r="B31" s="109">
        <f>População!B31</f>
        <v>19</v>
      </c>
      <c r="C31" s="109">
        <f>População!C31</f>
        <v>2045</v>
      </c>
      <c r="D31" s="111">
        <f>Imóveis!I31*'Atendimento '!D31</f>
        <v>24181.098247944901</v>
      </c>
      <c r="E31" s="111">
        <f>D31/'Atendimento '!$E31</f>
        <v>18111.825517148456</v>
      </c>
      <c r="F31" s="216">
        <f t="shared" si="6"/>
        <v>1.3351</v>
      </c>
      <c r="G31" s="111">
        <f>Imóveis!L31*'Atendimento '!D31</f>
        <v>1523</v>
      </c>
      <c r="H31" s="142">
        <f t="shared" si="7"/>
        <v>1.2918000000000001</v>
      </c>
      <c r="I31" s="111">
        <f t="shared" si="0"/>
        <v>1178.9750735407958</v>
      </c>
      <c r="J31" s="111">
        <f>Imóveis!M31*'Atendimento '!D31</f>
        <v>153</v>
      </c>
      <c r="K31" s="142">
        <f t="shared" si="8"/>
        <v>1.0246</v>
      </c>
      <c r="L31" s="111">
        <f t="shared" si="1"/>
        <v>149.32656646496196</v>
      </c>
      <c r="M31" s="111">
        <f>Imóveis!N31*'Atendimento '!D31</f>
        <v>116</v>
      </c>
      <c r="N31" s="142">
        <f t="shared" si="9"/>
        <v>1.0105999999999999</v>
      </c>
      <c r="O31" s="111">
        <f t="shared" si="2"/>
        <v>114.78329705125668</v>
      </c>
      <c r="P31" s="111">
        <f>Imóveis!O31*'Atendimento '!D31</f>
        <v>207</v>
      </c>
      <c r="Q31" s="142">
        <v>1</v>
      </c>
      <c r="R31" s="111">
        <f t="shared" si="3"/>
        <v>207</v>
      </c>
      <c r="S31" s="111">
        <f t="shared" si="4"/>
        <v>26180.098247944901</v>
      </c>
      <c r="T31" s="111">
        <f t="shared" si="5"/>
        <v>19761.91045420547</v>
      </c>
      <c r="U31" s="111">
        <f>Imóveis!P31</f>
        <v>328.68042559933338</v>
      </c>
      <c r="V31" s="111">
        <f>Imóveis!P31</f>
        <v>328.68042559933338</v>
      </c>
      <c r="W31" s="111">
        <f>S31/'Atendimento '!D31</f>
        <v>26180.098247944901</v>
      </c>
      <c r="X31" s="111">
        <f>T31/'Atendimento '!D31</f>
        <v>19761.91045420547</v>
      </c>
    </row>
    <row r="32" spans="2:24" x14ac:dyDescent="0.15">
      <c r="B32" s="101">
        <f>População!B32</f>
        <v>20</v>
      </c>
      <c r="C32" s="101">
        <f>População!C32</f>
        <v>2046</v>
      </c>
      <c r="D32" s="102">
        <f>Imóveis!I32*'Atendimento '!D32</f>
        <v>24466.204925161077</v>
      </c>
      <c r="E32" s="102">
        <f>D32/'Atendimento '!$E32</f>
        <v>18325.372575208658</v>
      </c>
      <c r="F32" s="215">
        <f t="shared" si="6"/>
        <v>1.3351</v>
      </c>
      <c r="G32" s="102">
        <f>Imóveis!L32*'Atendimento '!D32</f>
        <v>1531</v>
      </c>
      <c r="H32" s="141">
        <f t="shared" si="7"/>
        <v>1.2918000000000001</v>
      </c>
      <c r="I32" s="102">
        <f t="shared" si="0"/>
        <v>1185.1679826598545</v>
      </c>
      <c r="J32" s="102">
        <f>Imóveis!M32*'Atendimento '!D32</f>
        <v>154</v>
      </c>
      <c r="K32" s="141">
        <f t="shared" si="8"/>
        <v>1.0246</v>
      </c>
      <c r="L32" s="102">
        <f t="shared" si="1"/>
        <v>150.3025570954519</v>
      </c>
      <c r="M32" s="102">
        <f>Imóveis!N32*'Atendimento '!D32</f>
        <v>117</v>
      </c>
      <c r="N32" s="141">
        <f t="shared" si="9"/>
        <v>1.0105999999999999</v>
      </c>
      <c r="O32" s="102">
        <f t="shared" si="2"/>
        <v>115.77280823273304</v>
      </c>
      <c r="P32" s="102">
        <f>Imóveis!O32*'Atendimento '!D32</f>
        <v>208</v>
      </c>
      <c r="Q32" s="141">
        <v>1</v>
      </c>
      <c r="R32" s="102">
        <f t="shared" si="3"/>
        <v>208</v>
      </c>
      <c r="S32" s="102">
        <f t="shared" si="4"/>
        <v>26476.204925161077</v>
      </c>
      <c r="T32" s="102">
        <f t="shared" si="5"/>
        <v>19984.615923196699</v>
      </c>
      <c r="U32" s="102">
        <f>Imóveis!P32</f>
        <v>327.03702347133668</v>
      </c>
      <c r="V32" s="102">
        <f>Imóveis!P32</f>
        <v>327.03702347133668</v>
      </c>
      <c r="W32" s="102">
        <f>S32/'Atendimento '!D32</f>
        <v>26476.204925161077</v>
      </c>
      <c r="X32" s="102">
        <f>T32/'Atendimento '!D32</f>
        <v>19984.615923196699</v>
      </c>
    </row>
    <row r="33" spans="2:24" x14ac:dyDescent="0.15">
      <c r="B33" s="109">
        <f>População!B33</f>
        <v>21</v>
      </c>
      <c r="C33" s="109">
        <f>População!C33</f>
        <v>2047</v>
      </c>
      <c r="D33" s="111">
        <f>Imóveis!I33*'Atendimento '!D33</f>
        <v>24743.287510105863</v>
      </c>
      <c r="E33" s="111">
        <f>D33/'Atendimento '!$E33</f>
        <v>18532.909527455518</v>
      </c>
      <c r="F33" s="216">
        <f t="shared" si="6"/>
        <v>1.3351</v>
      </c>
      <c r="G33" s="111">
        <f>Imóveis!L33*'Atendimento '!D33</f>
        <v>1538</v>
      </c>
      <c r="H33" s="142">
        <f t="shared" si="7"/>
        <v>1.2918000000000001</v>
      </c>
      <c r="I33" s="111">
        <f t="shared" si="0"/>
        <v>1190.5867781390307</v>
      </c>
      <c r="J33" s="111">
        <f>Imóveis!M33*'Atendimento '!D33</f>
        <v>155</v>
      </c>
      <c r="K33" s="142">
        <f t="shared" si="8"/>
        <v>1.0246</v>
      </c>
      <c r="L33" s="111">
        <f t="shared" si="1"/>
        <v>151.27854772594185</v>
      </c>
      <c r="M33" s="111">
        <f>Imóveis!N33*'Atendimento '!D33</f>
        <v>117</v>
      </c>
      <c r="N33" s="142">
        <f t="shared" si="9"/>
        <v>1.0105999999999999</v>
      </c>
      <c r="O33" s="111">
        <f t="shared" si="2"/>
        <v>115.77280823273304</v>
      </c>
      <c r="P33" s="111">
        <f>Imóveis!O33*'Atendimento '!D33</f>
        <v>209</v>
      </c>
      <c r="Q33" s="142">
        <v>1</v>
      </c>
      <c r="R33" s="111">
        <f t="shared" si="3"/>
        <v>209</v>
      </c>
      <c r="S33" s="111">
        <f t="shared" si="4"/>
        <v>26762.287510105863</v>
      </c>
      <c r="T33" s="111">
        <f t="shared" si="5"/>
        <v>20199.547661553224</v>
      </c>
      <c r="U33" s="111">
        <f>Imóveis!P33</f>
        <v>325.40183835398</v>
      </c>
      <c r="V33" s="111">
        <f>Imóveis!P33</f>
        <v>325.40183835398</v>
      </c>
      <c r="W33" s="111">
        <f>S33/'Atendimento '!D33</f>
        <v>26762.287510105863</v>
      </c>
      <c r="X33" s="111">
        <f>T33/'Atendimento '!D33</f>
        <v>20199.547661553224</v>
      </c>
    </row>
    <row r="34" spans="2:24" x14ac:dyDescent="0.15">
      <c r="B34" s="109">
        <f>População!B34</f>
        <v>22</v>
      </c>
      <c r="C34" s="109">
        <f>População!C34</f>
        <v>2048</v>
      </c>
      <c r="D34" s="111">
        <f>Imóveis!I34*'Atendimento '!D34</f>
        <v>25012.328326469567</v>
      </c>
      <c r="E34" s="111">
        <f>D34/'Atendimento '!$E34</f>
        <v>18734.423134199362</v>
      </c>
      <c r="F34" s="216">
        <f t="shared" si="6"/>
        <v>1.3351</v>
      </c>
      <c r="G34" s="111">
        <f>Imóveis!L34*'Atendimento '!D34</f>
        <v>1545</v>
      </c>
      <c r="H34" s="142">
        <f t="shared" si="7"/>
        <v>1.2918000000000001</v>
      </c>
      <c r="I34" s="111">
        <f t="shared" si="0"/>
        <v>1196.0055736182071</v>
      </c>
      <c r="J34" s="111">
        <f>Imóveis!M34*'Atendimento '!D34</f>
        <v>155</v>
      </c>
      <c r="K34" s="142">
        <f t="shared" si="8"/>
        <v>1.0246</v>
      </c>
      <c r="L34" s="111">
        <f t="shared" si="1"/>
        <v>151.27854772594185</v>
      </c>
      <c r="M34" s="111">
        <f>Imóveis!N34*'Atendimento '!D34</f>
        <v>118</v>
      </c>
      <c r="N34" s="142">
        <f t="shared" si="9"/>
        <v>1.0105999999999999</v>
      </c>
      <c r="O34" s="111">
        <f t="shared" si="2"/>
        <v>116.76231941420939</v>
      </c>
      <c r="P34" s="111">
        <f>Imóveis!O34*'Atendimento '!D34</f>
        <v>210</v>
      </c>
      <c r="Q34" s="142">
        <v>1</v>
      </c>
      <c r="R34" s="111">
        <f t="shared" si="3"/>
        <v>210</v>
      </c>
      <c r="S34" s="111">
        <f t="shared" si="4"/>
        <v>27040.328326469567</v>
      </c>
      <c r="T34" s="111">
        <f t="shared" si="5"/>
        <v>20408.469574957722</v>
      </c>
      <c r="U34" s="111">
        <f>Imóveis!P34</f>
        <v>323.7748291622101</v>
      </c>
      <c r="V34" s="111">
        <f>Imóveis!P34</f>
        <v>323.7748291622101</v>
      </c>
      <c r="W34" s="111">
        <f>S34/'Atendimento '!D34</f>
        <v>27040.328326469567</v>
      </c>
      <c r="X34" s="111">
        <f>T34/'Atendimento '!D34</f>
        <v>20408.469574957722</v>
      </c>
    </row>
    <row r="35" spans="2:24" x14ac:dyDescent="0.15">
      <c r="B35" s="109">
        <f>População!B35</f>
        <v>23</v>
      </c>
      <c r="C35" s="109">
        <f>População!C35</f>
        <v>2049</v>
      </c>
      <c r="D35" s="111">
        <f>Imóveis!I35*'Atendimento '!D35</f>
        <v>25273.33052825378</v>
      </c>
      <c r="E35" s="111">
        <f>D35/'Atendimento '!$E35</f>
        <v>18929.915757811235</v>
      </c>
      <c r="F35" s="216">
        <f t="shared" si="6"/>
        <v>1.3351</v>
      </c>
      <c r="G35" s="111">
        <f>Imóveis!L35*'Atendimento '!D35</f>
        <v>1551</v>
      </c>
      <c r="H35" s="142">
        <f t="shared" si="7"/>
        <v>1.2918000000000001</v>
      </c>
      <c r="I35" s="111">
        <f t="shared" si="0"/>
        <v>1200.6502554575011</v>
      </c>
      <c r="J35" s="111">
        <f>Imóveis!M35*'Atendimento '!D35</f>
        <v>156</v>
      </c>
      <c r="K35" s="142">
        <f t="shared" si="8"/>
        <v>1.0246</v>
      </c>
      <c r="L35" s="111">
        <f t="shared" si="1"/>
        <v>152.25453835643179</v>
      </c>
      <c r="M35" s="111">
        <f>Imóveis!N35*'Atendimento '!D35</f>
        <v>118</v>
      </c>
      <c r="N35" s="142">
        <f t="shared" si="9"/>
        <v>1.0105999999999999</v>
      </c>
      <c r="O35" s="111">
        <f t="shared" si="2"/>
        <v>116.76231941420939</v>
      </c>
      <c r="P35" s="111">
        <f>Imóveis!O35*'Atendimento '!D35</f>
        <v>211</v>
      </c>
      <c r="Q35" s="142">
        <v>1</v>
      </c>
      <c r="R35" s="111">
        <f t="shared" si="3"/>
        <v>211</v>
      </c>
      <c r="S35" s="111">
        <f t="shared" si="4"/>
        <v>27309.33052825378</v>
      </c>
      <c r="T35" s="111">
        <f t="shared" si="5"/>
        <v>20610.58287103938</v>
      </c>
      <c r="U35" s="111">
        <f>Imóveis!P35</f>
        <v>322.15595501639905</v>
      </c>
      <c r="V35" s="111">
        <f>Imóveis!P35</f>
        <v>322.15595501639905</v>
      </c>
      <c r="W35" s="111">
        <f>S35/'Atendimento '!D35</f>
        <v>27309.33052825378</v>
      </c>
      <c r="X35" s="111">
        <f>T35/'Atendimento '!D35</f>
        <v>20610.58287103938</v>
      </c>
    </row>
    <row r="36" spans="2:24" x14ac:dyDescent="0.15">
      <c r="B36" s="109">
        <f>População!B36</f>
        <v>24</v>
      </c>
      <c r="C36" s="109">
        <f>População!C36</f>
        <v>2050</v>
      </c>
      <c r="D36" s="111">
        <f>Imóveis!I36*'Atendimento '!D36</f>
        <v>25526.31690220728</v>
      </c>
      <c r="E36" s="111">
        <f>D36/'Atendimento '!$E36</f>
        <v>19119.404465738357</v>
      </c>
      <c r="F36" s="216">
        <f t="shared" si="6"/>
        <v>1.3351</v>
      </c>
      <c r="G36" s="111">
        <f>Imóveis!L36*'Atendimento '!D36</f>
        <v>1557</v>
      </c>
      <c r="H36" s="142">
        <f t="shared" si="7"/>
        <v>1.2918000000000001</v>
      </c>
      <c r="I36" s="111">
        <f t="shared" si="0"/>
        <v>1205.2949372967951</v>
      </c>
      <c r="J36" s="111">
        <f>Imóveis!M36*'Atendimento '!D36</f>
        <v>156</v>
      </c>
      <c r="K36" s="142">
        <f t="shared" si="8"/>
        <v>1.0246</v>
      </c>
      <c r="L36" s="111">
        <f t="shared" si="1"/>
        <v>152.25453835643179</v>
      </c>
      <c r="M36" s="111">
        <f>Imóveis!N36*'Atendimento '!D36</f>
        <v>119</v>
      </c>
      <c r="N36" s="142">
        <f t="shared" si="9"/>
        <v>1.0105999999999999</v>
      </c>
      <c r="O36" s="111">
        <f t="shared" si="2"/>
        <v>117.75183059568573</v>
      </c>
      <c r="P36" s="111">
        <f>Imóveis!O36*'Atendimento '!D36</f>
        <v>212</v>
      </c>
      <c r="Q36" s="142">
        <v>1</v>
      </c>
      <c r="R36" s="111">
        <f t="shared" si="3"/>
        <v>212</v>
      </c>
      <c r="S36" s="111">
        <f t="shared" si="4"/>
        <v>27570.31690220728</v>
      </c>
      <c r="T36" s="111">
        <f t="shared" si="5"/>
        <v>20806.705771987272</v>
      </c>
      <c r="U36" s="111">
        <f>Imóveis!P36</f>
        <v>320.54517524131705</v>
      </c>
      <c r="V36" s="111">
        <f>Imóveis!P36</f>
        <v>320.54517524131705</v>
      </c>
      <c r="W36" s="111">
        <f>S36/'Atendimento '!D36</f>
        <v>27570.31690220728</v>
      </c>
      <c r="X36" s="111">
        <f>T36/'Atendimento '!D36</f>
        <v>20806.705771987272</v>
      </c>
    </row>
    <row r="37" spans="2:24" x14ac:dyDescent="0.15">
      <c r="B37" s="101">
        <f>População!B37</f>
        <v>25</v>
      </c>
      <c r="C37" s="101">
        <f>População!C37</f>
        <v>2051</v>
      </c>
      <c r="D37" s="102">
        <f>Imóveis!I37*'Atendimento '!D37</f>
        <v>25771.328627899238</v>
      </c>
      <c r="E37" s="102">
        <f>D37/'Atendimento '!$E37</f>
        <v>19302.920101789558</v>
      </c>
      <c r="F37" s="215">
        <f t="shared" si="6"/>
        <v>1.3351</v>
      </c>
      <c r="G37" s="102">
        <f>Imóveis!L37*'Atendimento '!D37</f>
        <v>1563</v>
      </c>
      <c r="H37" s="141">
        <f t="shared" si="7"/>
        <v>1.2918000000000001</v>
      </c>
      <c r="I37" s="102">
        <f t="shared" si="0"/>
        <v>1209.939619136089</v>
      </c>
      <c r="J37" s="102">
        <f>Imóveis!M37*'Atendimento '!D37</f>
        <v>157</v>
      </c>
      <c r="K37" s="141">
        <f t="shared" si="8"/>
        <v>1.0246</v>
      </c>
      <c r="L37" s="102">
        <f t="shared" si="1"/>
        <v>153.23052898692174</v>
      </c>
      <c r="M37" s="102">
        <f>Imóveis!N37*'Atendimento '!D37</f>
        <v>119</v>
      </c>
      <c r="N37" s="141">
        <f t="shared" si="9"/>
        <v>1.0105999999999999</v>
      </c>
      <c r="O37" s="102">
        <f t="shared" si="2"/>
        <v>117.75183059568573</v>
      </c>
      <c r="P37" s="102">
        <f>Imóveis!O37*'Atendimento '!D37</f>
        <v>212</v>
      </c>
      <c r="Q37" s="141">
        <v>1</v>
      </c>
      <c r="R37" s="102">
        <f t="shared" si="3"/>
        <v>212</v>
      </c>
      <c r="S37" s="102">
        <f t="shared" si="4"/>
        <v>27822.328627899238</v>
      </c>
      <c r="T37" s="102">
        <f t="shared" si="5"/>
        <v>20995.842080508257</v>
      </c>
      <c r="U37" s="102">
        <f>Imóveis!P37</f>
        <v>318.94244936511046</v>
      </c>
      <c r="V37" s="102">
        <f>Imóveis!P37</f>
        <v>318.94244936511046</v>
      </c>
      <c r="W37" s="102">
        <f>S37/'Atendimento '!D37</f>
        <v>27822.328627899238</v>
      </c>
      <c r="X37" s="102">
        <f>T37/'Atendimento '!D37</f>
        <v>20995.842080508257</v>
      </c>
    </row>
    <row r="38" spans="2:24" x14ac:dyDescent="0.15">
      <c r="B38" s="109">
        <f>População!B38</f>
        <v>26</v>
      </c>
      <c r="C38" s="109">
        <f>População!C38</f>
        <v>2052</v>
      </c>
      <c r="D38" s="111">
        <f>Imóveis!I38*'Atendimento '!D38</f>
        <v>26008.424009607454</v>
      </c>
      <c r="E38" s="111">
        <f>D38/'Atendimento '!$E38</f>
        <v>19480.50633630998</v>
      </c>
      <c r="F38" s="216">
        <f t="shared" si="6"/>
        <v>1.3351</v>
      </c>
      <c r="G38" s="111">
        <f>Imóveis!L38*'Atendimento '!D38</f>
        <v>1569</v>
      </c>
      <c r="H38" s="142">
        <f t="shared" si="7"/>
        <v>1.2918000000000001</v>
      </c>
      <c r="I38" s="111">
        <f t="shared" si="0"/>
        <v>1214.584300975383</v>
      </c>
      <c r="J38" s="111">
        <f>Imóveis!M38*'Atendimento '!D38</f>
        <v>158</v>
      </c>
      <c r="K38" s="142">
        <f t="shared" si="8"/>
        <v>1.0246</v>
      </c>
      <c r="L38" s="111">
        <f t="shared" si="1"/>
        <v>154.20651961741169</v>
      </c>
      <c r="M38" s="111">
        <f>Imóveis!N38*'Atendimento '!D38</f>
        <v>120</v>
      </c>
      <c r="N38" s="142">
        <f t="shared" si="9"/>
        <v>1.0105999999999999</v>
      </c>
      <c r="O38" s="111">
        <f t="shared" si="2"/>
        <v>118.74134177716209</v>
      </c>
      <c r="P38" s="111">
        <f>Imóveis!O38*'Atendimento '!D38</f>
        <v>213</v>
      </c>
      <c r="Q38" s="142">
        <v>1</v>
      </c>
      <c r="R38" s="111">
        <f t="shared" si="3"/>
        <v>213</v>
      </c>
      <c r="S38" s="111">
        <f t="shared" si="4"/>
        <v>28068.424009607454</v>
      </c>
      <c r="T38" s="111">
        <f t="shared" si="5"/>
        <v>21181.038498679936</v>
      </c>
      <c r="U38" s="111">
        <f>Imóveis!P38</f>
        <v>317.3477371182849</v>
      </c>
      <c r="V38" s="111">
        <f>Imóveis!P38</f>
        <v>317.3477371182849</v>
      </c>
      <c r="W38" s="111">
        <f>S38/'Atendimento '!D38</f>
        <v>28068.424009607454</v>
      </c>
      <c r="X38" s="111">
        <f>T38/'Atendimento '!D38</f>
        <v>21181.038498679936</v>
      </c>
    </row>
    <row r="39" spans="2:24" x14ac:dyDescent="0.15">
      <c r="B39" s="109">
        <f>População!B39</f>
        <v>27</v>
      </c>
      <c r="C39" s="109">
        <f>População!C39</f>
        <v>2053</v>
      </c>
      <c r="D39" s="111">
        <f>Imóveis!I39*'Atendimento '!D39</f>
        <v>26237.677193231466</v>
      </c>
      <c r="E39" s="111">
        <f>D39/'Atendimento '!$E39</f>
        <v>19652.21870513929</v>
      </c>
      <c r="F39" s="216">
        <f t="shared" si="6"/>
        <v>1.3351</v>
      </c>
      <c r="G39" s="111">
        <f>Imóveis!L39*'Atendimento '!D39</f>
        <v>1574</v>
      </c>
      <c r="H39" s="142">
        <f t="shared" si="7"/>
        <v>1.2918000000000001</v>
      </c>
      <c r="I39" s="111">
        <f t="shared" si="0"/>
        <v>1218.4548691747948</v>
      </c>
      <c r="J39" s="111">
        <f>Imóveis!M39*'Atendimento '!D39</f>
        <v>158</v>
      </c>
      <c r="K39" s="142">
        <f t="shared" si="8"/>
        <v>1.0246</v>
      </c>
      <c r="L39" s="111">
        <f t="shared" si="1"/>
        <v>154.20651961741169</v>
      </c>
      <c r="M39" s="111">
        <f>Imóveis!N39*'Atendimento '!D39</f>
        <v>120</v>
      </c>
      <c r="N39" s="142">
        <f t="shared" si="9"/>
        <v>1.0105999999999999</v>
      </c>
      <c r="O39" s="111">
        <f t="shared" si="2"/>
        <v>118.74134177716209</v>
      </c>
      <c r="P39" s="111">
        <f>Imóveis!O39*'Atendimento '!D39</f>
        <v>214</v>
      </c>
      <c r="Q39" s="142">
        <v>1</v>
      </c>
      <c r="R39" s="111">
        <f t="shared" si="3"/>
        <v>214</v>
      </c>
      <c r="S39" s="111">
        <f t="shared" si="4"/>
        <v>28303.677193231466</v>
      </c>
      <c r="T39" s="111">
        <f t="shared" si="5"/>
        <v>21357.621435708657</v>
      </c>
      <c r="U39" s="111">
        <f>Imóveis!P39</f>
        <v>315.7609984326935</v>
      </c>
      <c r="V39" s="111">
        <f>Imóveis!P39</f>
        <v>315.7609984326935</v>
      </c>
      <c r="W39" s="111">
        <f>S39/'Atendimento '!D39</f>
        <v>28303.677193231466</v>
      </c>
      <c r="X39" s="111">
        <f>T39/'Atendimento '!D39</f>
        <v>21357.621435708657</v>
      </c>
    </row>
    <row r="40" spans="2:24" x14ac:dyDescent="0.15">
      <c r="B40" s="109">
        <f>População!B40</f>
        <v>28</v>
      </c>
      <c r="C40" s="109">
        <f>População!C40</f>
        <v>2054</v>
      </c>
      <c r="D40" s="111">
        <f>Imóveis!I40*'Atendimento '!D40</f>
        <v>26459.176880379982</v>
      </c>
      <c r="E40" s="111">
        <f>D40/'Atendimento '!$E40</f>
        <v>19818.123646453438</v>
      </c>
      <c r="F40" s="216">
        <f t="shared" si="6"/>
        <v>1.3351</v>
      </c>
      <c r="G40" s="111">
        <f>Imóveis!L40*'Atendimento '!D40</f>
        <v>1579</v>
      </c>
      <c r="H40" s="142">
        <f t="shared" si="7"/>
        <v>1.2918000000000001</v>
      </c>
      <c r="I40" s="111">
        <f t="shared" si="0"/>
        <v>1222.3254373742066</v>
      </c>
      <c r="J40" s="111">
        <f>Imóveis!M40*'Atendimento '!D40</f>
        <v>159</v>
      </c>
      <c r="K40" s="142">
        <f t="shared" si="8"/>
        <v>1.0246</v>
      </c>
      <c r="L40" s="111">
        <f t="shared" si="1"/>
        <v>155.18251024790163</v>
      </c>
      <c r="M40" s="111">
        <f>Imóveis!N40*'Atendimento '!D40</f>
        <v>121</v>
      </c>
      <c r="N40" s="142">
        <f t="shared" si="9"/>
        <v>1.0105999999999999</v>
      </c>
      <c r="O40" s="111">
        <f t="shared" si="2"/>
        <v>119.73085295863844</v>
      </c>
      <c r="P40" s="111">
        <f>Imóveis!O40*'Atendimento '!D40</f>
        <v>214</v>
      </c>
      <c r="Q40" s="142">
        <v>1</v>
      </c>
      <c r="R40" s="111">
        <f t="shared" si="3"/>
        <v>214</v>
      </c>
      <c r="S40" s="111">
        <f t="shared" si="4"/>
        <v>28532.176880379982</v>
      </c>
      <c r="T40" s="111">
        <f t="shared" si="5"/>
        <v>21529.362447034182</v>
      </c>
      <c r="U40" s="111">
        <f>Imóveis!P40</f>
        <v>314.18219344053006</v>
      </c>
      <c r="V40" s="111">
        <f>Imóveis!P40</f>
        <v>314.18219344053006</v>
      </c>
      <c r="W40" s="111">
        <f>S40/'Atendimento '!D40</f>
        <v>28532.176880379982</v>
      </c>
      <c r="X40" s="111">
        <f>T40/'Atendimento '!D40</f>
        <v>21529.362447034182</v>
      </c>
    </row>
    <row r="41" spans="2:24" x14ac:dyDescent="0.15">
      <c r="B41" s="109">
        <f>População!B41</f>
        <v>29</v>
      </c>
      <c r="C41" s="109">
        <f>População!C41</f>
        <v>2055</v>
      </c>
      <c r="D41" s="111">
        <f>Imóveis!I41*'Atendimento '!D41</f>
        <v>26673.025050658256</v>
      </c>
      <c r="E41" s="111">
        <f>D41/'Atendimento '!$E41</f>
        <v>19978.297543748227</v>
      </c>
      <c r="F41" s="216">
        <f t="shared" si="6"/>
        <v>1.3351</v>
      </c>
      <c r="G41" s="111">
        <f>Imóveis!L41*'Atendimento '!D41</f>
        <v>1584</v>
      </c>
      <c r="H41" s="142">
        <f t="shared" si="7"/>
        <v>1.2918000000000001</v>
      </c>
      <c r="I41" s="111">
        <f t="shared" si="0"/>
        <v>1226.1960055736181</v>
      </c>
      <c r="J41" s="111">
        <f>Imóveis!M41*'Atendimento '!D41</f>
        <v>159</v>
      </c>
      <c r="K41" s="142">
        <f t="shared" si="8"/>
        <v>1.0246</v>
      </c>
      <c r="L41" s="111">
        <f t="shared" si="1"/>
        <v>155.18251024790163</v>
      </c>
      <c r="M41" s="111">
        <f>Imóveis!N41*'Atendimento '!D41</f>
        <v>121</v>
      </c>
      <c r="N41" s="142">
        <f t="shared" si="9"/>
        <v>1.0105999999999999</v>
      </c>
      <c r="O41" s="111">
        <f t="shared" si="2"/>
        <v>119.73085295863844</v>
      </c>
      <c r="P41" s="111">
        <f>Imóveis!O41*'Atendimento '!D41</f>
        <v>215</v>
      </c>
      <c r="Q41" s="142">
        <v>1</v>
      </c>
      <c r="R41" s="111">
        <f t="shared" si="3"/>
        <v>215</v>
      </c>
      <c r="S41" s="111">
        <f t="shared" si="4"/>
        <v>28752.025050658256</v>
      </c>
      <c r="T41" s="111">
        <f t="shared" si="5"/>
        <v>21694.406912528382</v>
      </c>
      <c r="U41" s="111">
        <f>Imóveis!P41</f>
        <v>312.61128247332738</v>
      </c>
      <c r="V41" s="111">
        <f>Imóveis!P41</f>
        <v>312.61128247332738</v>
      </c>
      <c r="W41" s="111">
        <f>S41/'Atendimento '!D41</f>
        <v>28752.025050658256</v>
      </c>
      <c r="X41" s="111">
        <f>T41/'Atendimento '!D41</f>
        <v>21694.406912528382</v>
      </c>
    </row>
    <row r="42" spans="2:24" x14ac:dyDescent="0.15">
      <c r="B42" s="101">
        <f>População!B42</f>
        <v>30</v>
      </c>
      <c r="C42" s="101">
        <f>População!C42</f>
        <v>2056</v>
      </c>
      <c r="D42" s="102">
        <f>Imóveis!I42*'Atendimento '!D42</f>
        <v>26879.335702021512</v>
      </c>
      <c r="E42" s="102">
        <f>D42/'Atendimento '!$E42</f>
        <v>20132.825782354514</v>
      </c>
      <c r="F42" s="215">
        <f t="shared" si="6"/>
        <v>1.3351</v>
      </c>
      <c r="G42" s="102">
        <f>Imóveis!L42*'Atendimento '!D42</f>
        <v>1588</v>
      </c>
      <c r="H42" s="141">
        <f t="shared" si="7"/>
        <v>1.2918000000000001</v>
      </c>
      <c r="I42" s="102">
        <f t="shared" si="0"/>
        <v>1229.2924601331474</v>
      </c>
      <c r="J42" s="102">
        <f>Imóveis!M42*'Atendimento '!D42</f>
        <v>160</v>
      </c>
      <c r="K42" s="141">
        <f t="shared" si="8"/>
        <v>1.0246</v>
      </c>
      <c r="L42" s="102">
        <f t="shared" si="1"/>
        <v>156.15850087839158</v>
      </c>
      <c r="M42" s="102">
        <f>Imóveis!N42*'Atendimento '!D42</f>
        <v>121</v>
      </c>
      <c r="N42" s="141">
        <f t="shared" si="9"/>
        <v>1.0105999999999999</v>
      </c>
      <c r="O42" s="102">
        <f t="shared" si="2"/>
        <v>119.73085295863844</v>
      </c>
      <c r="P42" s="102">
        <f>Imóveis!O42*'Atendimento '!D42</f>
        <v>216</v>
      </c>
      <c r="Q42" s="141">
        <v>1</v>
      </c>
      <c r="R42" s="102">
        <f t="shared" si="3"/>
        <v>216</v>
      </c>
      <c r="S42" s="102">
        <f t="shared" si="4"/>
        <v>28964.335702021512</v>
      </c>
      <c r="T42" s="102">
        <f t="shared" si="5"/>
        <v>21854.007596324689</v>
      </c>
      <c r="U42" s="102">
        <f>Imóveis!P42</f>
        <v>311.04822606096076</v>
      </c>
      <c r="V42" s="102">
        <f>Imóveis!P42</f>
        <v>311.04822606096076</v>
      </c>
      <c r="W42" s="102">
        <f>S42/'Atendimento '!D42</f>
        <v>28964.335702021512</v>
      </c>
      <c r="X42" s="102">
        <f>T42/'Atendimento '!D42</f>
        <v>21854.007596324689</v>
      </c>
    </row>
    <row r="43" spans="2:24" x14ac:dyDescent="0.15">
      <c r="B43" s="109">
        <f>População!B43</f>
        <v>31</v>
      </c>
      <c r="C43" s="109">
        <f>População!C43</f>
        <v>2057</v>
      </c>
      <c r="D43" s="111">
        <f>Imóveis!I43*'Atendimento '!D43</f>
        <v>27078.233617889797</v>
      </c>
      <c r="E43" s="111">
        <f>D43/'Atendimento '!$E43</f>
        <v>20281.8018259979</v>
      </c>
      <c r="F43" s="216">
        <f t="shared" si="6"/>
        <v>1.3351</v>
      </c>
      <c r="G43" s="111">
        <f>Imóveis!L43*'Atendimento '!D43</f>
        <v>1593</v>
      </c>
      <c r="H43" s="142">
        <f t="shared" si="7"/>
        <v>1.2918000000000001</v>
      </c>
      <c r="I43" s="111">
        <f t="shared" si="0"/>
        <v>1233.1630283325592</v>
      </c>
      <c r="J43" s="111">
        <f>Imóveis!M43*'Atendimento '!D43</f>
        <v>160</v>
      </c>
      <c r="K43" s="142">
        <f t="shared" si="8"/>
        <v>1.0246</v>
      </c>
      <c r="L43" s="111">
        <f t="shared" si="1"/>
        <v>156.15850087839158</v>
      </c>
      <c r="M43" s="111">
        <f>Imóveis!N43*'Atendimento '!D43</f>
        <v>122</v>
      </c>
      <c r="N43" s="142">
        <f t="shared" si="9"/>
        <v>1.0105999999999999</v>
      </c>
      <c r="O43" s="111">
        <f t="shared" si="2"/>
        <v>120.7203641401148</v>
      </c>
      <c r="P43" s="111">
        <f>Imóveis!O43*'Atendimento '!D43</f>
        <v>216</v>
      </c>
      <c r="Q43" s="142">
        <v>1</v>
      </c>
      <c r="R43" s="111">
        <f t="shared" si="3"/>
        <v>216</v>
      </c>
      <c r="S43" s="111">
        <f t="shared" si="4"/>
        <v>29169.233617889797</v>
      </c>
      <c r="T43" s="111">
        <f t="shared" si="5"/>
        <v>22007.843719348963</v>
      </c>
      <c r="U43" s="111">
        <f>Imóveis!P43</f>
        <v>309.49298493065595</v>
      </c>
      <c r="V43" s="111">
        <f>Imóveis!P43</f>
        <v>309.49298493065595</v>
      </c>
      <c r="W43" s="111">
        <f>S43/'Atendimento '!D43</f>
        <v>29169.233617889797</v>
      </c>
      <c r="X43" s="111">
        <f>T43/'Atendimento '!D43</f>
        <v>22007.843719348963</v>
      </c>
    </row>
    <row r="44" spans="2:24" x14ac:dyDescent="0.15">
      <c r="B44" s="109">
        <f>População!B44</f>
        <v>32</v>
      </c>
      <c r="C44" s="109">
        <f>População!C44</f>
        <v>2058</v>
      </c>
      <c r="D44" s="111">
        <f>Imóveis!I44*'Atendimento '!D44</f>
        <v>27269.853168559057</v>
      </c>
      <c r="E44" s="111">
        <f>D44/'Atendimento '!$E44</f>
        <v>20425.326319046555</v>
      </c>
      <c r="F44" s="216">
        <f t="shared" si="6"/>
        <v>1.3351000000000002</v>
      </c>
      <c r="G44" s="111">
        <f>Imóveis!L44*'Atendimento '!D44</f>
        <v>1597</v>
      </c>
      <c r="H44" s="142">
        <f t="shared" si="7"/>
        <v>1.2918000000000001</v>
      </c>
      <c r="I44" s="111">
        <f t="shared" si="0"/>
        <v>1236.2594828920885</v>
      </c>
      <c r="J44" s="111">
        <f>Imóveis!M44*'Atendimento '!D44</f>
        <v>160</v>
      </c>
      <c r="K44" s="142">
        <f t="shared" si="8"/>
        <v>1.0246</v>
      </c>
      <c r="L44" s="111">
        <f t="shared" si="1"/>
        <v>156.15850087839158</v>
      </c>
      <c r="M44" s="111">
        <f>Imóveis!N44*'Atendimento '!D44</f>
        <v>122</v>
      </c>
      <c r="N44" s="142">
        <f t="shared" si="9"/>
        <v>1.0105999999999999</v>
      </c>
      <c r="O44" s="111">
        <f t="shared" si="2"/>
        <v>120.7203641401148</v>
      </c>
      <c r="P44" s="111">
        <f>Imóveis!O44*'Atendimento '!D44</f>
        <v>217</v>
      </c>
      <c r="Q44" s="142">
        <v>1</v>
      </c>
      <c r="R44" s="111">
        <f t="shared" si="3"/>
        <v>217</v>
      </c>
      <c r="S44" s="111">
        <f t="shared" si="4"/>
        <v>29365.853168559057</v>
      </c>
      <c r="T44" s="111">
        <f t="shared" si="5"/>
        <v>22155.464666957148</v>
      </c>
      <c r="U44" s="111">
        <f>Imóveis!P44</f>
        <v>307.94552000600265</v>
      </c>
      <c r="V44" s="111">
        <f>Imóveis!P44</f>
        <v>307.94552000600265</v>
      </c>
      <c r="W44" s="111">
        <f>S44/'Atendimento '!D44</f>
        <v>29365.853168559057</v>
      </c>
      <c r="X44" s="111">
        <f>T44/'Atendimento '!D44</f>
        <v>22155.464666957148</v>
      </c>
    </row>
    <row r="45" spans="2:24" x14ac:dyDescent="0.15">
      <c r="B45" s="109">
        <f>População!B45</f>
        <v>33</v>
      </c>
      <c r="C45" s="109">
        <f>População!C45</f>
        <v>2059</v>
      </c>
      <c r="D45" s="111">
        <f>Imóveis!I45*'Atendimento '!D45</f>
        <v>27454.33715331139</v>
      </c>
      <c r="E45" s="111">
        <f>D45/'Atendimento '!$E45</f>
        <v>20563.506219243045</v>
      </c>
      <c r="F45" s="216">
        <f t="shared" si="6"/>
        <v>1.3351</v>
      </c>
      <c r="G45" s="111">
        <f>Imóveis!L45*'Atendimento '!D45</f>
        <v>1601</v>
      </c>
      <c r="H45" s="142">
        <f t="shared" si="7"/>
        <v>1.2918000000000001</v>
      </c>
      <c r="I45" s="111">
        <f t="shared" si="0"/>
        <v>1239.3559374516178</v>
      </c>
      <c r="J45" s="111">
        <f>Imóveis!M45*'Atendimento '!D45</f>
        <v>161</v>
      </c>
      <c r="K45" s="142">
        <f t="shared" si="8"/>
        <v>1.0246</v>
      </c>
      <c r="L45" s="111">
        <f t="shared" si="1"/>
        <v>157.13449150888152</v>
      </c>
      <c r="M45" s="111">
        <f>Imóveis!N45*'Atendimento '!D45</f>
        <v>122</v>
      </c>
      <c r="N45" s="142">
        <f t="shared" si="9"/>
        <v>1.0105999999999999</v>
      </c>
      <c r="O45" s="111">
        <f t="shared" si="2"/>
        <v>120.7203641401148</v>
      </c>
      <c r="P45" s="111">
        <f>Imóveis!O45*'Atendimento '!D45</f>
        <v>217</v>
      </c>
      <c r="Q45" s="142">
        <v>1</v>
      </c>
      <c r="R45" s="111">
        <f t="shared" si="3"/>
        <v>217</v>
      </c>
      <c r="S45" s="111">
        <f t="shared" si="4"/>
        <v>29555.33715331139</v>
      </c>
      <c r="T45" s="111">
        <f t="shared" si="5"/>
        <v>22297.717012343659</v>
      </c>
      <c r="U45" s="111">
        <f>Imóveis!P45</f>
        <v>306.40579240597265</v>
      </c>
      <c r="V45" s="111">
        <f>Imóveis!P45</f>
        <v>306.40579240597265</v>
      </c>
      <c r="W45" s="111">
        <f>S45/'Atendimento '!D45</f>
        <v>29555.33715331139</v>
      </c>
      <c r="X45" s="111">
        <f>T45/'Atendimento '!D45</f>
        <v>22297.717012343659</v>
      </c>
    </row>
    <row r="46" spans="2:24" x14ac:dyDescent="0.15">
      <c r="B46" s="109">
        <f>População!B46</f>
        <v>34</v>
      </c>
      <c r="C46" s="109">
        <f>População!C46</f>
        <v>2060</v>
      </c>
      <c r="D46" s="111">
        <f>Imóveis!I46*'Atendimento '!D46</f>
        <v>27618</v>
      </c>
      <c r="E46" s="111">
        <f>D46/'Atendimento '!$E46</f>
        <v>20686.090929518388</v>
      </c>
      <c r="F46" s="216">
        <f t="shared" ref="F46:F47" si="10">D46/E46</f>
        <v>1.3351</v>
      </c>
      <c r="G46" s="111">
        <f>Imóveis!L46*'Atendimento '!D46</f>
        <v>1604</v>
      </c>
      <c r="H46" s="142">
        <f t="shared" ref="H46:H47" si="11">H45</f>
        <v>1.2918000000000001</v>
      </c>
      <c r="I46" s="111">
        <f t="shared" ref="I46:I47" si="12">G46/H46</f>
        <v>1241.6782783712649</v>
      </c>
      <c r="J46" s="111">
        <f>Imóveis!M46*'Atendimento '!D46</f>
        <v>161</v>
      </c>
      <c r="K46" s="142">
        <f t="shared" ref="K46:K47" si="13">K45</f>
        <v>1.0246</v>
      </c>
      <c r="L46" s="111">
        <f t="shared" ref="L46:L47" si="14">J46/K46</f>
        <v>157.13449150888152</v>
      </c>
      <c r="M46" s="111">
        <f>Imóveis!N46*'Atendimento '!D46</f>
        <v>123</v>
      </c>
      <c r="N46" s="142">
        <f t="shared" ref="N46:N47" si="15">N45</f>
        <v>1.0105999999999999</v>
      </c>
      <c r="O46" s="111">
        <f t="shared" ref="O46:O47" si="16">M46/N46</f>
        <v>121.70987532159114</v>
      </c>
      <c r="P46" s="111">
        <f>Imóveis!O46*'Atendimento '!D46</f>
        <v>218</v>
      </c>
      <c r="Q46" s="142">
        <v>2</v>
      </c>
      <c r="R46" s="111">
        <f t="shared" ref="R46:R47" si="17">P46/Q46</f>
        <v>109</v>
      </c>
      <c r="S46" s="111">
        <f t="shared" ref="S46:S47" si="18">D46+G46+J46+M46+P46</f>
        <v>29724</v>
      </c>
      <c r="T46" s="111">
        <f t="shared" ref="T46:T47" si="19">E46+I46+L46+O46+R46</f>
        <v>22315.613574720126</v>
      </c>
      <c r="U46" s="111">
        <f>Imóveis!P46</f>
        <v>304.87376344394278</v>
      </c>
      <c r="V46" s="111">
        <f>Imóveis!P46</f>
        <v>304.87376344394278</v>
      </c>
      <c r="W46" s="111">
        <f>S46/'Atendimento '!D46</f>
        <v>29724</v>
      </c>
      <c r="X46" s="111">
        <f>T46/'Atendimento '!D46</f>
        <v>22315.613574720126</v>
      </c>
    </row>
    <row r="47" spans="2:24" x14ac:dyDescent="0.15">
      <c r="B47" s="101">
        <f>População!B47</f>
        <v>35</v>
      </c>
      <c r="C47" s="101">
        <f>População!C47</f>
        <v>2061</v>
      </c>
      <c r="D47" s="102">
        <f>Imóveis!I47*'Atendimento '!D47</f>
        <v>27818.90038361368</v>
      </c>
      <c r="E47" s="102">
        <f>D47/'Atendimento '!$E47</f>
        <v>20836.566836651698</v>
      </c>
      <c r="F47" s="215">
        <f t="shared" si="10"/>
        <v>1.3351</v>
      </c>
      <c r="G47" s="102">
        <f>Imóveis!L47*'Atendimento '!D47</f>
        <v>1601</v>
      </c>
      <c r="H47" s="141">
        <f t="shared" si="11"/>
        <v>1.2918000000000001</v>
      </c>
      <c r="I47" s="102">
        <f t="shared" si="12"/>
        <v>1239.3559374516178</v>
      </c>
      <c r="J47" s="102">
        <f>Imóveis!M47*'Atendimento '!D47</f>
        <v>161</v>
      </c>
      <c r="K47" s="141">
        <f t="shared" si="13"/>
        <v>1.0246</v>
      </c>
      <c r="L47" s="102">
        <f t="shared" si="14"/>
        <v>157.13449150888152</v>
      </c>
      <c r="M47" s="102">
        <f>Imóveis!N47*'Atendimento '!D47</f>
        <v>122</v>
      </c>
      <c r="N47" s="141">
        <f t="shared" si="15"/>
        <v>1.0105999999999999</v>
      </c>
      <c r="O47" s="102">
        <f t="shared" si="16"/>
        <v>120.7203641401148</v>
      </c>
      <c r="P47" s="102">
        <f>Imóveis!O47*'Atendimento '!D47</f>
        <v>217</v>
      </c>
      <c r="Q47" s="141">
        <v>3</v>
      </c>
      <c r="R47" s="102">
        <f t="shared" si="17"/>
        <v>72.333333333333329</v>
      </c>
      <c r="S47" s="102">
        <f t="shared" si="18"/>
        <v>29919.90038361368</v>
      </c>
      <c r="T47" s="102">
        <f t="shared" si="19"/>
        <v>22426.110963085644</v>
      </c>
      <c r="U47" s="102">
        <f>Imóveis!P47</f>
        <v>303.34939462672304</v>
      </c>
      <c r="V47" s="102">
        <f>Imóveis!P47</f>
        <v>303.34939462672304</v>
      </c>
      <c r="W47" s="102">
        <f>S47/'Atendimento '!D47</f>
        <v>29919.90038361368</v>
      </c>
      <c r="X47" s="102">
        <f>T47/'Atendimento '!D47</f>
        <v>22426.110963085644</v>
      </c>
    </row>
  </sheetData>
  <mergeCells count="2">
    <mergeCell ref="B5:X5"/>
    <mergeCell ref="B6:C7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D616B-50CC-4DCF-A5AA-6E861EA76697}">
  <dimension ref="B1:U47"/>
  <sheetViews>
    <sheetView showGridLines="0" topLeftCell="A37" zoomScale="120" zoomScaleNormal="120" workbookViewId="0">
      <selection activeCell="R58" sqref="R58"/>
    </sheetView>
  </sheetViews>
  <sheetFormatPr defaultRowHeight="12" x14ac:dyDescent="0.15"/>
  <sheetData>
    <row r="1" spans="2:21" x14ac:dyDescent="0.15"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2:21" x14ac:dyDescent="0.1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2:21" x14ac:dyDescent="0.15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2:21" ht="12.75" thickBo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2:21" ht="19.5" thickBot="1" x14ac:dyDescent="0.2">
      <c r="B5" s="226" t="s">
        <v>84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8"/>
    </row>
    <row r="6" spans="2:21" ht="72" x14ac:dyDescent="0.15">
      <c r="B6" s="229" t="str">
        <f>População!B6</f>
        <v>ANO</v>
      </c>
      <c r="C6" s="231"/>
      <c r="D6" s="119" t="s">
        <v>176</v>
      </c>
      <c r="E6" s="119" t="s">
        <v>180</v>
      </c>
      <c r="F6" s="119" t="s">
        <v>34</v>
      </c>
      <c r="G6" s="119" t="s">
        <v>87</v>
      </c>
      <c r="H6" s="119" t="s">
        <v>35</v>
      </c>
      <c r="I6" s="119" t="s">
        <v>36</v>
      </c>
      <c r="J6" s="119" t="s">
        <v>89</v>
      </c>
      <c r="K6" s="119" t="s">
        <v>37</v>
      </c>
      <c r="L6" s="119" t="s">
        <v>192</v>
      </c>
      <c r="M6" s="119" t="s">
        <v>198</v>
      </c>
      <c r="N6" s="119" t="s">
        <v>193</v>
      </c>
      <c r="O6" s="119" t="s">
        <v>195</v>
      </c>
      <c r="P6" s="119" t="s">
        <v>194</v>
      </c>
      <c r="Q6" s="119" t="s">
        <v>196</v>
      </c>
      <c r="R6" s="119" t="s">
        <v>48</v>
      </c>
      <c r="S6" s="119" t="s">
        <v>49</v>
      </c>
      <c r="T6" s="119" t="s">
        <v>105</v>
      </c>
      <c r="U6" s="119" t="s">
        <v>106</v>
      </c>
    </row>
    <row r="7" spans="2:21" x14ac:dyDescent="0.15">
      <c r="B7" s="219"/>
      <c r="C7" s="220"/>
      <c r="D7" s="110" t="s">
        <v>220</v>
      </c>
      <c r="E7" s="110" t="s">
        <v>220</v>
      </c>
      <c r="F7" s="110" t="s">
        <v>220</v>
      </c>
      <c r="G7" s="110" t="s">
        <v>220</v>
      </c>
      <c r="H7" s="110" t="s">
        <v>220</v>
      </c>
      <c r="I7" s="110" t="s">
        <v>220</v>
      </c>
      <c r="J7" s="110" t="s">
        <v>220</v>
      </c>
      <c r="K7" s="110" t="s">
        <v>220</v>
      </c>
      <c r="L7" s="110" t="s">
        <v>220</v>
      </c>
      <c r="M7" s="110" t="s">
        <v>220</v>
      </c>
      <c r="N7" s="110" t="s">
        <v>220</v>
      </c>
      <c r="O7" s="110" t="s">
        <v>220</v>
      </c>
      <c r="P7" s="110" t="s">
        <v>220</v>
      </c>
      <c r="Q7" s="110" t="s">
        <v>220</v>
      </c>
      <c r="R7" s="110" t="s">
        <v>220</v>
      </c>
      <c r="S7" s="110" t="s">
        <v>220</v>
      </c>
      <c r="T7" s="110" t="s">
        <v>220</v>
      </c>
      <c r="U7" s="110" t="s">
        <v>220</v>
      </c>
    </row>
    <row r="8" spans="2:21" x14ac:dyDescent="0.15">
      <c r="B8" s="101" t="str">
        <f>População!B8</f>
        <v>CENSO</v>
      </c>
      <c r="C8" s="101">
        <f>População!C8</f>
        <v>2022</v>
      </c>
      <c r="D8" s="102">
        <f>Imóveis!$I8*'Atendimento '!$F8</f>
        <v>0</v>
      </c>
      <c r="E8" s="102">
        <f>Imóveis!$I8*'Atendimento '!$F8</f>
        <v>0</v>
      </c>
      <c r="F8" s="102">
        <f>Imóveis!L8*'Atendimento '!F8</f>
        <v>0</v>
      </c>
      <c r="G8" s="114">
        <f>'Economais e Ligações Água'!H8</f>
        <v>1.2918000000000001</v>
      </c>
      <c r="H8" s="102">
        <f t="shared" ref="H8:H45" si="0">F8/G8</f>
        <v>0</v>
      </c>
      <c r="I8" s="102">
        <f>Imóveis!M8*'Atendimento '!F8</f>
        <v>0</v>
      </c>
      <c r="J8" s="114">
        <f>'Economais e Ligações Água'!K8</f>
        <v>1.0246</v>
      </c>
      <c r="K8" s="102">
        <f t="shared" ref="K8:K45" si="1">I8/J8</f>
        <v>0</v>
      </c>
      <c r="L8" s="102">
        <f>Imóveis!N8*'Atendimento '!F8</f>
        <v>0</v>
      </c>
      <c r="M8" s="114">
        <f>'Economais e Ligações Água'!N8</f>
        <v>1.0105999999999999</v>
      </c>
      <c r="N8" s="102">
        <f t="shared" ref="N8:N45" si="2">L8/M8</f>
        <v>0</v>
      </c>
      <c r="O8" s="102">
        <f>Imóveis!O8*'Atendimento '!F8</f>
        <v>0</v>
      </c>
      <c r="P8" s="114">
        <f>'Economais e Ligações Água'!Q8</f>
        <v>1</v>
      </c>
      <c r="Q8" s="102">
        <f t="shared" ref="Q8:Q45" si="3">O8/P8</f>
        <v>0</v>
      </c>
      <c r="R8" s="102">
        <f t="shared" ref="R8:R45" si="4">D8+F8+I8+L8+O8</f>
        <v>0</v>
      </c>
      <c r="S8" s="102">
        <f t="shared" ref="S8:S45" si="5">E8+H8+K8+N8+Q8</f>
        <v>0</v>
      </c>
      <c r="T8" s="102">
        <f>IFERROR(R8/'Atendimento '!F8,0)</f>
        <v>0</v>
      </c>
      <c r="U8" s="102">
        <f>IFERROR(S8/'Atendimento '!F8,0)</f>
        <v>0</v>
      </c>
    </row>
    <row r="9" spans="2:21" x14ac:dyDescent="0.15">
      <c r="B9" s="109">
        <f>População!B9</f>
        <v>-2</v>
      </c>
      <c r="C9" s="109">
        <f>População!C9</f>
        <v>2023</v>
      </c>
      <c r="D9" s="111">
        <f>Imóveis!$I9*'Atendimento '!$F9</f>
        <v>0</v>
      </c>
      <c r="E9" s="111">
        <f>Imóveis!$I9*'Atendimento '!$F9</f>
        <v>0</v>
      </c>
      <c r="F9" s="111">
        <f>Imóveis!L9*'Atendimento '!F9</f>
        <v>0</v>
      </c>
      <c r="G9" s="116">
        <f>'Economais e Ligações Água'!H9</f>
        <v>1.2918000000000001</v>
      </c>
      <c r="H9" s="111">
        <f t="shared" si="0"/>
        <v>0</v>
      </c>
      <c r="I9" s="111">
        <f>Imóveis!M9*'Atendimento '!F9</f>
        <v>0</v>
      </c>
      <c r="J9" s="116">
        <f>'Economais e Ligações Água'!K9</f>
        <v>1.0246</v>
      </c>
      <c r="K9" s="111">
        <f t="shared" si="1"/>
        <v>0</v>
      </c>
      <c r="L9" s="111">
        <f>Imóveis!N9*'Atendimento '!F9</f>
        <v>0</v>
      </c>
      <c r="M9" s="116">
        <f>'Economais e Ligações Água'!N9</f>
        <v>1.0105999999999999</v>
      </c>
      <c r="N9" s="111">
        <f t="shared" si="2"/>
        <v>0</v>
      </c>
      <c r="O9" s="111">
        <f>Imóveis!O9*'Atendimento '!F9</f>
        <v>0</v>
      </c>
      <c r="P9" s="116">
        <f>'Economais e Ligações Água'!Q9</f>
        <v>1</v>
      </c>
      <c r="Q9" s="111">
        <f t="shared" si="3"/>
        <v>0</v>
      </c>
      <c r="R9" s="111">
        <f t="shared" si="4"/>
        <v>0</v>
      </c>
      <c r="S9" s="111">
        <f t="shared" si="5"/>
        <v>0</v>
      </c>
      <c r="T9" s="111">
        <f>IFERROR(R9/'Atendimento '!F9,0)</f>
        <v>0</v>
      </c>
      <c r="U9" s="111">
        <f>IFERROR(S9/'Atendimento '!F9,0)</f>
        <v>0</v>
      </c>
    </row>
    <row r="10" spans="2:21" x14ac:dyDescent="0.15">
      <c r="B10" s="109">
        <f>População!B10</f>
        <v>-1</v>
      </c>
      <c r="C10" s="109">
        <f>População!C10</f>
        <v>2024</v>
      </c>
      <c r="D10" s="111">
        <f>Imóveis!$I10*'Atendimento '!$F10</f>
        <v>0</v>
      </c>
      <c r="E10" s="111">
        <f>Imóveis!$I10*'Atendimento '!$F10</f>
        <v>0</v>
      </c>
      <c r="F10" s="111">
        <f>Imóveis!L10*'Atendimento '!F10</f>
        <v>0</v>
      </c>
      <c r="G10" s="116">
        <f>'Economais e Ligações Água'!H10</f>
        <v>1.2918000000000001</v>
      </c>
      <c r="H10" s="111">
        <f t="shared" si="0"/>
        <v>0</v>
      </c>
      <c r="I10" s="111">
        <f>Imóveis!M10*'Atendimento '!F10</f>
        <v>0</v>
      </c>
      <c r="J10" s="116">
        <f>'Economais e Ligações Água'!K10</f>
        <v>1.0246</v>
      </c>
      <c r="K10" s="111">
        <f t="shared" si="1"/>
        <v>0</v>
      </c>
      <c r="L10" s="111">
        <f>Imóveis!N10*'Atendimento '!F10</f>
        <v>0</v>
      </c>
      <c r="M10" s="116">
        <f>'Economais e Ligações Água'!N10</f>
        <v>1.0105999999999999</v>
      </c>
      <c r="N10" s="111">
        <f t="shared" si="2"/>
        <v>0</v>
      </c>
      <c r="O10" s="111">
        <f>Imóveis!O10*'Atendimento '!F10</f>
        <v>0</v>
      </c>
      <c r="P10" s="116">
        <f>'Economais e Ligações Água'!Q10</f>
        <v>1</v>
      </c>
      <c r="Q10" s="111">
        <f t="shared" si="3"/>
        <v>0</v>
      </c>
      <c r="R10" s="111">
        <f t="shared" si="4"/>
        <v>0</v>
      </c>
      <c r="S10" s="111">
        <f t="shared" si="5"/>
        <v>0</v>
      </c>
      <c r="T10" s="111">
        <f>IFERROR(R10/'Atendimento '!F10,0)</f>
        <v>0</v>
      </c>
      <c r="U10" s="111">
        <f>IFERROR(S10/'Atendimento '!F10,0)</f>
        <v>0</v>
      </c>
    </row>
    <row r="11" spans="2:21" x14ac:dyDescent="0.15">
      <c r="B11" s="101" t="str">
        <f>População!B11</f>
        <v>Base</v>
      </c>
      <c r="C11" s="101">
        <f>População!C11</f>
        <v>2025</v>
      </c>
      <c r="D11" s="102">
        <f>Imóveis!$I11*'Atendimento '!$F11</f>
        <v>0</v>
      </c>
      <c r="E11" s="102">
        <f>Imóveis!$I11*'Atendimento '!$F11</f>
        <v>0</v>
      </c>
      <c r="F11" s="102">
        <f>Imóveis!L11*'Atendimento '!F11</f>
        <v>0</v>
      </c>
      <c r="G11" s="114">
        <f>'Economais e Ligações Água'!H11</f>
        <v>1.2918000000000001</v>
      </c>
      <c r="H11" s="102">
        <f t="shared" si="0"/>
        <v>0</v>
      </c>
      <c r="I11" s="102">
        <f>Imóveis!M11*'Atendimento '!F11</f>
        <v>0</v>
      </c>
      <c r="J11" s="114">
        <f>'Economais e Ligações Água'!K11</f>
        <v>1.0246</v>
      </c>
      <c r="K11" s="102">
        <f t="shared" si="1"/>
        <v>0</v>
      </c>
      <c r="L11" s="102">
        <f>Imóveis!N11*'Atendimento '!F11</f>
        <v>0</v>
      </c>
      <c r="M11" s="114">
        <f>'Economais e Ligações Água'!N11</f>
        <v>1.0105999999999999</v>
      </c>
      <c r="N11" s="102">
        <f t="shared" si="2"/>
        <v>0</v>
      </c>
      <c r="O11" s="102">
        <f>Imóveis!O11*'Atendimento '!F11</f>
        <v>0</v>
      </c>
      <c r="P11" s="114">
        <f>'Economais e Ligações Água'!Q11</f>
        <v>1</v>
      </c>
      <c r="Q11" s="102">
        <f t="shared" si="3"/>
        <v>0</v>
      </c>
      <c r="R11" s="102">
        <f t="shared" si="4"/>
        <v>0</v>
      </c>
      <c r="S11" s="102">
        <f t="shared" si="5"/>
        <v>0</v>
      </c>
      <c r="T11" s="102">
        <f>IFERROR(R11/'Atendimento '!F11,0)</f>
        <v>0</v>
      </c>
      <c r="U11" s="102">
        <f>IFERROR(S11/'Atendimento '!F11,0)</f>
        <v>0</v>
      </c>
    </row>
    <row r="12" spans="2:21" x14ac:dyDescent="0.15">
      <c r="B12" s="109">
        <f>População!B12</f>
        <v>0</v>
      </c>
      <c r="C12" s="109">
        <f>População!C12</f>
        <v>2026</v>
      </c>
      <c r="D12" s="111">
        <f>Imóveis!$I12*'Atendimento '!$F12</f>
        <v>0</v>
      </c>
      <c r="E12" s="111">
        <f>Imóveis!$I12*'Atendimento '!$F12</f>
        <v>0</v>
      </c>
      <c r="F12" s="111">
        <f>Imóveis!L12*'Atendimento '!F12</f>
        <v>0</v>
      </c>
      <c r="G12" s="116">
        <f>'Economais e Ligações Água'!H12</f>
        <v>1.2918000000000001</v>
      </c>
      <c r="H12" s="111">
        <f t="shared" si="0"/>
        <v>0</v>
      </c>
      <c r="I12" s="111">
        <f>Imóveis!M12*'Atendimento '!F12</f>
        <v>0</v>
      </c>
      <c r="J12" s="116">
        <f>'Economais e Ligações Água'!K12</f>
        <v>1.0246</v>
      </c>
      <c r="K12" s="111">
        <f t="shared" si="1"/>
        <v>0</v>
      </c>
      <c r="L12" s="111">
        <f>Imóveis!N12*'Atendimento '!F12</f>
        <v>0</v>
      </c>
      <c r="M12" s="116">
        <f>'Economais e Ligações Água'!N12</f>
        <v>1.0105999999999999</v>
      </c>
      <c r="N12" s="111">
        <f t="shared" si="2"/>
        <v>0</v>
      </c>
      <c r="O12" s="111">
        <f>Imóveis!O12*'Atendimento '!F12</f>
        <v>0</v>
      </c>
      <c r="P12" s="116">
        <f>'Economais e Ligações Água'!Q12</f>
        <v>1</v>
      </c>
      <c r="Q12" s="111">
        <f t="shared" si="3"/>
        <v>0</v>
      </c>
      <c r="R12" s="111">
        <f t="shared" si="4"/>
        <v>0</v>
      </c>
      <c r="S12" s="111">
        <f t="shared" si="5"/>
        <v>0</v>
      </c>
      <c r="T12" s="111">
        <f>IFERROR(R12/'Atendimento '!F12,0)</f>
        <v>0</v>
      </c>
      <c r="U12" s="111">
        <f>IFERROR(S12/'Atendimento '!F12,0)</f>
        <v>0</v>
      </c>
    </row>
    <row r="13" spans="2:21" x14ac:dyDescent="0.15">
      <c r="B13" s="101">
        <f>População!B13</f>
        <v>1</v>
      </c>
      <c r="C13" s="101">
        <f>População!C13</f>
        <v>2027</v>
      </c>
      <c r="D13" s="102">
        <f>Imóveis!$I13*'Atendimento '!$F13</f>
        <v>0</v>
      </c>
      <c r="E13" s="102">
        <f>Imóveis!$I13*'Atendimento '!$F13</f>
        <v>0</v>
      </c>
      <c r="F13" s="102">
        <f>Imóveis!L13*'Atendimento '!F13</f>
        <v>0</v>
      </c>
      <c r="G13" s="114">
        <f>'Economais e Ligações Água'!H13</f>
        <v>1.2918000000000001</v>
      </c>
      <c r="H13" s="102">
        <f t="shared" si="0"/>
        <v>0</v>
      </c>
      <c r="I13" s="102">
        <f>Imóveis!M13*'Atendimento '!F13</f>
        <v>0</v>
      </c>
      <c r="J13" s="114">
        <f>'Economais e Ligações Água'!K13</f>
        <v>1.0246</v>
      </c>
      <c r="K13" s="102">
        <f t="shared" si="1"/>
        <v>0</v>
      </c>
      <c r="L13" s="102">
        <f>Imóveis!N13*'Atendimento '!F13</f>
        <v>0</v>
      </c>
      <c r="M13" s="114">
        <f>'Economais e Ligações Água'!N13</f>
        <v>1.0105999999999999</v>
      </c>
      <c r="N13" s="102">
        <f t="shared" si="2"/>
        <v>0</v>
      </c>
      <c r="O13" s="102">
        <f>Imóveis!O13*'Atendimento '!F13</f>
        <v>0</v>
      </c>
      <c r="P13" s="114">
        <f>'Economais e Ligações Água'!Q13</f>
        <v>1</v>
      </c>
      <c r="Q13" s="102">
        <f t="shared" si="3"/>
        <v>0</v>
      </c>
      <c r="R13" s="102">
        <f t="shared" si="4"/>
        <v>0</v>
      </c>
      <c r="S13" s="102">
        <f t="shared" si="5"/>
        <v>0</v>
      </c>
      <c r="T13" s="102">
        <f>IFERROR(R13/'Atendimento '!F13,0)</f>
        <v>0</v>
      </c>
      <c r="U13" s="102">
        <f>IFERROR(S13/'Atendimento '!F13,0)</f>
        <v>0</v>
      </c>
    </row>
    <row r="14" spans="2:21" x14ac:dyDescent="0.15">
      <c r="B14" s="109">
        <f>População!B14</f>
        <v>2</v>
      </c>
      <c r="C14" s="109">
        <f>População!C14</f>
        <v>2028</v>
      </c>
      <c r="D14" s="111">
        <f>Imóveis!$I14*'Atendimento '!$F14</f>
        <v>3648.4056594564245</v>
      </c>
      <c r="E14" s="111">
        <f>D14/'Atendimento '!G14</f>
        <v>2732.6834390355962</v>
      </c>
      <c r="F14" s="111">
        <f>Imóveis!L14*'Atendimento '!F14</f>
        <v>267</v>
      </c>
      <c r="G14" s="116">
        <f>'Economais e Ligações Água'!H14</f>
        <v>1.2918000000000001</v>
      </c>
      <c r="H14" s="111">
        <f t="shared" si="0"/>
        <v>206.68834184858335</v>
      </c>
      <c r="I14" s="111">
        <f>Imóveis!M14*'Atendimento '!F14</f>
        <v>26.8</v>
      </c>
      <c r="J14" s="116">
        <f>'Economais e Ligações Água'!K14</f>
        <v>1.0246</v>
      </c>
      <c r="K14" s="111">
        <f t="shared" si="1"/>
        <v>26.156548897130591</v>
      </c>
      <c r="L14" s="111">
        <f>Imóveis!N14*'Atendimento '!F14</f>
        <v>20.400000000000002</v>
      </c>
      <c r="M14" s="116">
        <f>'Economais e Ligações Água'!N14</f>
        <v>1.0105999999999999</v>
      </c>
      <c r="N14" s="111">
        <f t="shared" si="2"/>
        <v>20.186028102117557</v>
      </c>
      <c r="O14" s="111">
        <f>Imóveis!O14*'Atendimento '!F14</f>
        <v>36.200000000000003</v>
      </c>
      <c r="P14" s="116">
        <f>'Economais e Ligações Água'!Q14</f>
        <v>1</v>
      </c>
      <c r="Q14" s="111">
        <f t="shared" si="3"/>
        <v>36.200000000000003</v>
      </c>
      <c r="R14" s="111">
        <f t="shared" si="4"/>
        <v>3998.8056594564246</v>
      </c>
      <c r="S14" s="111">
        <f t="shared" si="5"/>
        <v>3021.9143578834273</v>
      </c>
      <c r="T14" s="111">
        <f>IFERROR(R14/'Atendimento '!F14,0)</f>
        <v>19994.028297282122</v>
      </c>
      <c r="U14" s="111">
        <f>IFERROR(S14/'Atendimento '!F14,0)</f>
        <v>15109.571789417136</v>
      </c>
    </row>
    <row r="15" spans="2:21" x14ac:dyDescent="0.15">
      <c r="B15" s="109">
        <f>População!B15</f>
        <v>3</v>
      </c>
      <c r="C15" s="109">
        <f>População!C15</f>
        <v>2029</v>
      </c>
      <c r="D15" s="111">
        <f>Imóveis!$I15*'Atendimento '!$F15</f>
        <v>7454.7511856651781</v>
      </c>
      <c r="E15" s="111">
        <f>D15/'Atendimento '!G15</f>
        <v>5583.665033080053</v>
      </c>
      <c r="F15" s="111">
        <f>Imóveis!L15*'Atendimento '!F15</f>
        <v>540</v>
      </c>
      <c r="G15" s="116">
        <f>'Economais e Ligações Água'!H15</f>
        <v>1.2918000000000001</v>
      </c>
      <c r="H15" s="111">
        <f t="shared" si="0"/>
        <v>418.02136553646073</v>
      </c>
      <c r="I15" s="111">
        <f>Imóveis!M15*'Atendimento '!F15</f>
        <v>54.400000000000006</v>
      </c>
      <c r="J15" s="116">
        <f>'Economais e Ligações Água'!K15</f>
        <v>1.0246</v>
      </c>
      <c r="K15" s="111">
        <f t="shared" si="1"/>
        <v>53.093890298653143</v>
      </c>
      <c r="L15" s="111">
        <f>Imóveis!N15*'Atendimento '!F15</f>
        <v>41.2</v>
      </c>
      <c r="M15" s="116">
        <f>'Economais e Ligações Água'!N15</f>
        <v>1.0105999999999999</v>
      </c>
      <c r="N15" s="111">
        <f t="shared" si="2"/>
        <v>40.767860676825656</v>
      </c>
      <c r="O15" s="111">
        <f>Imóveis!O15*'Atendimento '!F15</f>
        <v>73.2</v>
      </c>
      <c r="P15" s="116">
        <f>'Economais e Ligações Água'!Q15</f>
        <v>1</v>
      </c>
      <c r="Q15" s="111">
        <f t="shared" si="3"/>
        <v>73.2</v>
      </c>
      <c r="R15" s="111">
        <f t="shared" si="4"/>
        <v>8163.5511856651774</v>
      </c>
      <c r="S15" s="111">
        <f t="shared" si="5"/>
        <v>6168.7481495919919</v>
      </c>
      <c r="T15" s="111">
        <f>IFERROR(R15/'Atendimento '!F15,0)</f>
        <v>20408.877964162941</v>
      </c>
      <c r="U15" s="111">
        <f>IFERROR(S15/'Atendimento '!F15,0)</f>
        <v>15421.870373979978</v>
      </c>
    </row>
    <row r="16" spans="2:21" x14ac:dyDescent="0.15">
      <c r="B16" s="109">
        <f>População!B16</f>
        <v>4</v>
      </c>
      <c r="C16" s="109">
        <f>População!C16</f>
        <v>2030</v>
      </c>
      <c r="D16" s="111">
        <f>Imóveis!$I16*'Atendimento '!$F16</f>
        <v>11416.698730312284</v>
      </c>
      <c r="E16" s="111">
        <f>D16/'Atendimento '!G16</f>
        <v>8551.1937160604339</v>
      </c>
      <c r="F16" s="111">
        <f>Imóveis!L16*'Atendimento '!F16</f>
        <v>819</v>
      </c>
      <c r="G16" s="116">
        <f>'Economais e Ligações Água'!H16</f>
        <v>1.2918000000000001</v>
      </c>
      <c r="H16" s="111">
        <f t="shared" si="0"/>
        <v>633.99907106363207</v>
      </c>
      <c r="I16" s="111">
        <f>Imóveis!M16*'Atendimento '!F16</f>
        <v>82.2</v>
      </c>
      <c r="J16" s="116">
        <f>'Economais e Ligações Água'!K16</f>
        <v>1.0246</v>
      </c>
      <c r="K16" s="111">
        <f t="shared" si="1"/>
        <v>80.226429826273673</v>
      </c>
      <c r="L16" s="111">
        <f>Imóveis!N16*'Atendimento '!F16</f>
        <v>62.4</v>
      </c>
      <c r="M16" s="116">
        <f>'Economais e Ligações Água'!N16</f>
        <v>1.0105999999999999</v>
      </c>
      <c r="N16" s="111">
        <f t="shared" si="2"/>
        <v>61.745497724124284</v>
      </c>
      <c r="O16" s="111">
        <f>Imóveis!O16*'Atendimento '!F16</f>
        <v>111</v>
      </c>
      <c r="P16" s="116">
        <f>'Economais e Ligações Água'!Q16</f>
        <v>1</v>
      </c>
      <c r="Q16" s="111">
        <f t="shared" si="3"/>
        <v>111</v>
      </c>
      <c r="R16" s="111">
        <f t="shared" si="4"/>
        <v>12491.298730312285</v>
      </c>
      <c r="S16" s="111">
        <f t="shared" si="5"/>
        <v>9438.1647146744654</v>
      </c>
      <c r="T16" s="111">
        <f>IFERROR(R16/'Atendimento '!F16,0)</f>
        <v>20818.83121718714</v>
      </c>
      <c r="U16" s="111">
        <f>IFERROR(S16/'Atendimento '!F16,0)</f>
        <v>15730.274524457443</v>
      </c>
    </row>
    <row r="17" spans="2:21" x14ac:dyDescent="0.15">
      <c r="B17" s="101">
        <f>População!B17</f>
        <v>5</v>
      </c>
      <c r="C17" s="101">
        <f>População!C17</f>
        <v>2031</v>
      </c>
      <c r="D17" s="102">
        <f>Imóveis!$I17*'Atendimento '!$F17</f>
        <v>15531.558410333761</v>
      </c>
      <c r="E17" s="102">
        <f>D17/'Atendimento '!G17</f>
        <v>11633.254745212913</v>
      </c>
      <c r="F17" s="102">
        <f>Imóveis!L17*'Atendimento '!F17</f>
        <v>1102.4000000000001</v>
      </c>
      <c r="G17" s="114">
        <f>'Economais e Ligações Água'!H17</f>
        <v>1.2918000000000001</v>
      </c>
      <c r="H17" s="102">
        <f t="shared" si="0"/>
        <v>853.38287660628589</v>
      </c>
      <c r="I17" s="102">
        <f>Imóveis!M17*'Atendimento '!F17</f>
        <v>111.2</v>
      </c>
      <c r="J17" s="114">
        <f>'Economais e Ligações Água'!K17</f>
        <v>1.0246</v>
      </c>
      <c r="K17" s="102">
        <f t="shared" si="1"/>
        <v>108.53015811048215</v>
      </c>
      <c r="L17" s="102">
        <f>Imóveis!N17*'Atendimento '!F17</f>
        <v>84</v>
      </c>
      <c r="M17" s="114">
        <f>'Economais e Ligações Água'!N17</f>
        <v>1.0105999999999999</v>
      </c>
      <c r="N17" s="102">
        <f t="shared" si="2"/>
        <v>83.118939244013461</v>
      </c>
      <c r="O17" s="102">
        <f>Imóveis!O17*'Atendimento '!F17</f>
        <v>149.6</v>
      </c>
      <c r="P17" s="114">
        <f>'Economais e Ligações Água'!Q17</f>
        <v>1</v>
      </c>
      <c r="Q17" s="102">
        <f t="shared" si="3"/>
        <v>149.6</v>
      </c>
      <c r="R17" s="102">
        <f t="shared" si="4"/>
        <v>16978.758410333761</v>
      </c>
      <c r="S17" s="102">
        <f t="shared" si="5"/>
        <v>12827.886719173694</v>
      </c>
      <c r="T17" s="102">
        <f>IFERROR(R17/'Atendimento '!F17,0)</f>
        <v>21223.448012917201</v>
      </c>
      <c r="U17" s="102">
        <f>IFERROR(S17/'Atendimento '!F17,0)</f>
        <v>16034.858398967117</v>
      </c>
    </row>
    <row r="18" spans="2:21" x14ac:dyDescent="0.15">
      <c r="B18" s="109">
        <f>População!B18</f>
        <v>6</v>
      </c>
      <c r="C18" s="109">
        <f>População!C18</f>
        <v>2032</v>
      </c>
      <c r="D18" s="111">
        <f>Imóveis!$I18*'Atendimento '!$F18</f>
        <v>16826.86241318387</v>
      </c>
      <c r="E18" s="111">
        <f>D18/'Atendimento '!G18</f>
        <v>12603.447242291866</v>
      </c>
      <c r="F18" s="111">
        <f>Imóveis!L18*'Atendimento '!F18</f>
        <v>1183.2</v>
      </c>
      <c r="G18" s="116">
        <f>'Economais e Ligações Água'!H18</f>
        <v>1.2918000000000001</v>
      </c>
      <c r="H18" s="111">
        <f t="shared" si="0"/>
        <v>915.93125870877839</v>
      </c>
      <c r="I18" s="111">
        <f>Imóveis!M18*'Atendimento '!F18</f>
        <v>119</v>
      </c>
      <c r="J18" s="116">
        <f>'Economais e Ligações Água'!K18</f>
        <v>1.0246</v>
      </c>
      <c r="K18" s="111">
        <f t="shared" si="1"/>
        <v>116.14288502830374</v>
      </c>
      <c r="L18" s="111">
        <f>Imóveis!N18*'Atendimento '!F18</f>
        <v>90.1</v>
      </c>
      <c r="M18" s="116">
        <f>'Economais e Ligações Água'!N18</f>
        <v>1.0105999999999999</v>
      </c>
      <c r="N18" s="111">
        <f t="shared" si="2"/>
        <v>89.1549574510192</v>
      </c>
      <c r="O18" s="111">
        <f>Imóveis!O18*'Atendimento '!F18</f>
        <v>160.65</v>
      </c>
      <c r="P18" s="116">
        <f>'Economais e Ligações Água'!Q18</f>
        <v>1</v>
      </c>
      <c r="Q18" s="111">
        <f t="shared" si="3"/>
        <v>160.65</v>
      </c>
      <c r="R18" s="111">
        <f t="shared" si="4"/>
        <v>18379.81241318387</v>
      </c>
      <c r="S18" s="111">
        <f t="shared" si="5"/>
        <v>13885.326343479968</v>
      </c>
      <c r="T18" s="111">
        <f>IFERROR(R18/'Atendimento '!F18,0)</f>
        <v>21623.30872139279</v>
      </c>
      <c r="U18" s="111">
        <f>IFERROR(S18/'Atendimento '!F18,0)</f>
        <v>16335.678051152905</v>
      </c>
    </row>
    <row r="19" spans="2:21" x14ac:dyDescent="0.15">
      <c r="B19" s="109">
        <f>População!B19</f>
        <v>7</v>
      </c>
      <c r="C19" s="109">
        <f>População!C19</f>
        <v>2033</v>
      </c>
      <c r="D19" s="111">
        <f>Imóveis!$I19*'Atendimento '!$F19</f>
        <v>18155.714143522222</v>
      </c>
      <c r="E19" s="111">
        <f>D19/'Atendimento '!G19</f>
        <v>13598.767241047279</v>
      </c>
      <c r="F19" s="111">
        <f>Imóveis!L19*'Atendimento '!F19</f>
        <v>1264.5</v>
      </c>
      <c r="G19" s="116">
        <f>'Economais e Ligações Água'!H19</f>
        <v>1.2918000000000001</v>
      </c>
      <c r="H19" s="111">
        <f t="shared" si="0"/>
        <v>978.86669763121222</v>
      </c>
      <c r="I19" s="111">
        <f>Imóveis!M19*'Atendimento '!F19</f>
        <v>126.9</v>
      </c>
      <c r="J19" s="116">
        <f>'Economais e Ligações Água'!K19</f>
        <v>1.0246</v>
      </c>
      <c r="K19" s="111">
        <f t="shared" si="1"/>
        <v>123.85321100917432</v>
      </c>
      <c r="L19" s="111">
        <f>Imóveis!N19*'Atendimento '!F19</f>
        <v>96.3</v>
      </c>
      <c r="M19" s="116">
        <f>'Economais e Ligações Água'!N19</f>
        <v>1.0105999999999999</v>
      </c>
      <c r="N19" s="111">
        <f t="shared" si="2"/>
        <v>95.289926776172578</v>
      </c>
      <c r="O19" s="111">
        <f>Imóveis!O19*'Atendimento '!F19</f>
        <v>171.9</v>
      </c>
      <c r="P19" s="116">
        <f>'Economais e Ligações Água'!Q19</f>
        <v>1</v>
      </c>
      <c r="Q19" s="111">
        <f t="shared" si="3"/>
        <v>171.9</v>
      </c>
      <c r="R19" s="111">
        <f t="shared" si="4"/>
        <v>19815.314143522224</v>
      </c>
      <c r="S19" s="111">
        <f t="shared" si="5"/>
        <v>14968.677076463839</v>
      </c>
      <c r="T19" s="111">
        <f>IFERROR(R19/'Atendimento '!F19,0)</f>
        <v>22017.015715024692</v>
      </c>
      <c r="U19" s="111">
        <f>IFERROR(S19/'Atendimento '!F19,0)</f>
        <v>16631.863418293153</v>
      </c>
    </row>
    <row r="20" spans="2:21" x14ac:dyDescent="0.15">
      <c r="B20" s="109">
        <f>População!B20</f>
        <v>8</v>
      </c>
      <c r="C20" s="109">
        <f>População!C20</f>
        <v>2034</v>
      </c>
      <c r="D20" s="111">
        <f>Imóveis!$I20*'Atendimento '!$F20</f>
        <v>18900.65916826301</v>
      </c>
      <c r="E20" s="111">
        <f>D20/'Atendimento '!G20</f>
        <v>14156.736700069665</v>
      </c>
      <c r="F20" s="111">
        <f>Imóveis!L20*'Atendimento '!F20</f>
        <v>1303.6400000000001</v>
      </c>
      <c r="G20" s="116">
        <f>'Economais e Ligações Água'!H20</f>
        <v>1.2918000000000001</v>
      </c>
      <c r="H20" s="111">
        <f t="shared" si="0"/>
        <v>1009.1655054962068</v>
      </c>
      <c r="I20" s="111">
        <f>Imóveis!M20*'Atendimento '!F20</f>
        <v>130.64000000000001</v>
      </c>
      <c r="J20" s="116">
        <f>'Economais e Ligações Água'!K20</f>
        <v>1.0246</v>
      </c>
      <c r="K20" s="111">
        <f t="shared" si="1"/>
        <v>127.50341596720673</v>
      </c>
      <c r="L20" s="111">
        <f>Imóveis!N20*'Atendimento '!F20</f>
        <v>99.36</v>
      </c>
      <c r="M20" s="116">
        <f>'Economais e Ligações Água'!N20</f>
        <v>1.0105999999999999</v>
      </c>
      <c r="N20" s="111">
        <f t="shared" si="2"/>
        <v>98.317830991490212</v>
      </c>
      <c r="O20" s="111">
        <f>Imóveis!O20*'Atendimento '!F20</f>
        <v>176.64000000000001</v>
      </c>
      <c r="P20" s="116">
        <f>'Economais e Ligações Água'!Q20</f>
        <v>1</v>
      </c>
      <c r="Q20" s="111">
        <f t="shared" si="3"/>
        <v>176.64000000000001</v>
      </c>
      <c r="R20" s="111">
        <f t="shared" si="4"/>
        <v>20610.939168263008</v>
      </c>
      <c r="S20" s="111">
        <f t="shared" si="5"/>
        <v>15568.363452524569</v>
      </c>
      <c r="T20" s="111">
        <f>IFERROR(R20/'Atendimento '!F20,0)</f>
        <v>22403.194748111964</v>
      </c>
      <c r="U20" s="111">
        <f>IFERROR(S20/'Atendimento '!F20,0)</f>
        <v>16922.134187526706</v>
      </c>
    </row>
    <row r="21" spans="2:21" x14ac:dyDescent="0.15">
      <c r="B21" s="109">
        <f>População!B21</f>
        <v>9</v>
      </c>
      <c r="C21" s="109">
        <f>População!C21</f>
        <v>2035</v>
      </c>
      <c r="D21" s="111">
        <f>Imóveis!$I21*'Atendimento '!$F21</f>
        <v>19654.926352937306</v>
      </c>
      <c r="E21" s="111">
        <f>D21/'Atendimento '!G21</f>
        <v>14721.688527404169</v>
      </c>
      <c r="F21" s="111">
        <f>Imóveis!L21*'Atendimento '!F21</f>
        <v>1343.26</v>
      </c>
      <c r="G21" s="116">
        <f>'Economais e Ligações Água'!H21</f>
        <v>1.2918000000000001</v>
      </c>
      <c r="H21" s="111">
        <f t="shared" si="0"/>
        <v>1039.8358879083448</v>
      </c>
      <c r="I21" s="111">
        <f>Imóveis!M21*'Atendimento '!F21</f>
        <v>135.35999999999999</v>
      </c>
      <c r="J21" s="116">
        <f>'Economais e Ligações Água'!K21</f>
        <v>1.0246</v>
      </c>
      <c r="K21" s="111">
        <f t="shared" si="1"/>
        <v>132.11009174311926</v>
      </c>
      <c r="L21" s="111">
        <f>Imóveis!N21*'Atendimento '!F21</f>
        <v>102.46</v>
      </c>
      <c r="M21" s="116">
        <f>'Economais e Ligações Água'!N21</f>
        <v>1.0105999999999999</v>
      </c>
      <c r="N21" s="111">
        <f t="shared" si="2"/>
        <v>101.38531565406689</v>
      </c>
      <c r="O21" s="111">
        <f>Imóveis!O21*'Atendimento '!F21</f>
        <v>182.35999999999999</v>
      </c>
      <c r="P21" s="116">
        <f>'Economais e Ligações Água'!Q21</f>
        <v>1</v>
      </c>
      <c r="Q21" s="111">
        <f t="shared" si="3"/>
        <v>182.35999999999999</v>
      </c>
      <c r="R21" s="111">
        <f t="shared" si="4"/>
        <v>21418.366352937304</v>
      </c>
      <c r="S21" s="111">
        <f t="shared" si="5"/>
        <v>16177.3798227097</v>
      </c>
      <c r="T21" s="111">
        <f>IFERROR(R21/'Atendimento '!F21,0)</f>
        <v>22785.496120146068</v>
      </c>
      <c r="U21" s="111">
        <f>IFERROR(S21/'Atendimento '!F21,0)</f>
        <v>17209.978534797552</v>
      </c>
    </row>
    <row r="22" spans="2:21" x14ac:dyDescent="0.15">
      <c r="B22" s="101">
        <f>População!B22</f>
        <v>10</v>
      </c>
      <c r="C22" s="101">
        <f>População!C22</f>
        <v>2036</v>
      </c>
      <c r="D22" s="102">
        <f>Imóveis!$I22*'Atendimento '!$F22</f>
        <v>20417.851794540733</v>
      </c>
      <c r="E22" s="102">
        <f>D22/'Atendimento '!G22</f>
        <v>15293.125454678102</v>
      </c>
      <c r="F22" s="102">
        <f>Imóveis!L22*'Atendimento '!F22</f>
        <v>1382.3999999999999</v>
      </c>
      <c r="G22" s="114">
        <f>'Economais e Ligações Água'!H22</f>
        <v>1.2918000000000001</v>
      </c>
      <c r="H22" s="102">
        <f t="shared" si="0"/>
        <v>1070.1346957733394</v>
      </c>
      <c r="I22" s="102">
        <f>Imóveis!M22*'Atendimento '!F22</f>
        <v>139.19999999999999</v>
      </c>
      <c r="J22" s="114">
        <f>'Economais e Ligações Água'!K22</f>
        <v>1.0246</v>
      </c>
      <c r="K22" s="102">
        <f t="shared" si="1"/>
        <v>135.85789576420066</v>
      </c>
      <c r="L22" s="102">
        <f>Imóveis!N22*'Atendimento '!F22</f>
        <v>105.6</v>
      </c>
      <c r="M22" s="114">
        <f>'Economais e Ligações Água'!N22</f>
        <v>1.0105999999999999</v>
      </c>
      <c r="N22" s="102">
        <f t="shared" si="2"/>
        <v>104.49238076390263</v>
      </c>
      <c r="O22" s="102">
        <f>Imóveis!O22*'Atendimento '!F22</f>
        <v>188.16</v>
      </c>
      <c r="P22" s="114">
        <f>'Economais e Ligações Água'!Q22</f>
        <v>1</v>
      </c>
      <c r="Q22" s="102">
        <f t="shared" si="3"/>
        <v>188.16</v>
      </c>
      <c r="R22" s="102">
        <f t="shared" si="4"/>
        <v>22233.211794540734</v>
      </c>
      <c r="S22" s="102">
        <f t="shared" si="5"/>
        <v>16791.770426979547</v>
      </c>
      <c r="T22" s="102">
        <f>IFERROR(R22/'Atendimento '!F22,0)</f>
        <v>23159.595619313266</v>
      </c>
      <c r="U22" s="102">
        <f>IFERROR(S22/'Atendimento '!F22,0)</f>
        <v>17491.427528103693</v>
      </c>
    </row>
    <row r="23" spans="2:21" x14ac:dyDescent="0.15">
      <c r="B23" s="109">
        <f>População!B23</f>
        <v>11</v>
      </c>
      <c r="C23" s="109">
        <f>População!C23</f>
        <v>2037</v>
      </c>
      <c r="D23" s="111">
        <f>Imóveis!$I23*'Atendimento '!$F23</f>
        <v>21188.771340842806</v>
      </c>
      <c r="E23" s="111">
        <f>D23/'Atendimento '!G23</f>
        <v>15870.550026846533</v>
      </c>
      <c r="F23" s="111">
        <f>Imóveis!L23*'Atendimento '!F23</f>
        <v>1421.98</v>
      </c>
      <c r="G23" s="116">
        <f>'Economais e Ligações Água'!H23</f>
        <v>1.2918000000000001</v>
      </c>
      <c r="H23" s="111">
        <f t="shared" si="0"/>
        <v>1100.7741136398822</v>
      </c>
      <c r="I23" s="111">
        <f>Imóveis!M23*'Atendimento '!F23</f>
        <v>143.07999999999998</v>
      </c>
      <c r="J23" s="116">
        <f>'Economais e Ligações Água'!K23</f>
        <v>1.0246</v>
      </c>
      <c r="K23" s="111">
        <f t="shared" si="1"/>
        <v>139.64473941050164</v>
      </c>
      <c r="L23" s="111">
        <f>Imóveis!N23*'Atendimento '!F23</f>
        <v>108.78</v>
      </c>
      <c r="M23" s="116">
        <f>'Economais e Ligações Água'!N23</f>
        <v>1.0105999999999999</v>
      </c>
      <c r="N23" s="111">
        <f t="shared" si="2"/>
        <v>107.63902632099743</v>
      </c>
      <c r="O23" s="111">
        <f>Imóveis!O23*'Atendimento '!F23</f>
        <v>193.06</v>
      </c>
      <c r="P23" s="116">
        <f>'Economais e Ligações Água'!Q23</f>
        <v>1</v>
      </c>
      <c r="Q23" s="111">
        <f t="shared" si="3"/>
        <v>193.06</v>
      </c>
      <c r="R23" s="111">
        <f t="shared" si="4"/>
        <v>23055.671340842808</v>
      </c>
      <c r="S23" s="111">
        <f t="shared" si="5"/>
        <v>17411.667906217917</v>
      </c>
      <c r="T23" s="111">
        <f>IFERROR(R23/'Atendimento '!F23,0)</f>
        <v>23526.195245757968</v>
      </c>
      <c r="U23" s="111">
        <f>IFERROR(S23/'Atendimento '!F23,0)</f>
        <v>17767.008067569303</v>
      </c>
    </row>
    <row r="24" spans="2:21" x14ac:dyDescent="0.15">
      <c r="B24" s="109">
        <f>População!B24</f>
        <v>12</v>
      </c>
      <c r="C24" s="109">
        <f>População!C24</f>
        <v>2038</v>
      </c>
      <c r="D24" s="111">
        <f>Imóveis!$I24*'Atendimento '!$F24</f>
        <v>21967.023717160399</v>
      </c>
      <c r="E24" s="111">
        <f>D24/'Atendimento '!G24</f>
        <v>16453.466944169275</v>
      </c>
      <c r="F24" s="111">
        <f>Imóveis!L24*'Atendimento '!F24</f>
        <v>1462</v>
      </c>
      <c r="G24" s="116">
        <f>'Economais e Ligações Água'!H24</f>
        <v>1.2918000000000001</v>
      </c>
      <c r="H24" s="111">
        <f t="shared" si="0"/>
        <v>1131.7541415079734</v>
      </c>
      <c r="I24" s="111">
        <f>Imóveis!M24*'Atendimento '!F24</f>
        <v>147</v>
      </c>
      <c r="J24" s="116">
        <f>'Economais e Ligações Água'!K24</f>
        <v>1.0246</v>
      </c>
      <c r="K24" s="111">
        <f t="shared" si="1"/>
        <v>143.47062268202225</v>
      </c>
      <c r="L24" s="111">
        <f>Imóveis!N24*'Atendimento '!F24</f>
        <v>112</v>
      </c>
      <c r="M24" s="116">
        <f>'Economais e Ligações Água'!N24</f>
        <v>1.0105999999999999</v>
      </c>
      <c r="N24" s="111">
        <f t="shared" si="2"/>
        <v>110.82525232535129</v>
      </c>
      <c r="O24" s="111">
        <f>Imóveis!O24*'Atendimento '!F24</f>
        <v>199</v>
      </c>
      <c r="P24" s="116">
        <f>'Economais e Ligações Água'!Q24</f>
        <v>1</v>
      </c>
      <c r="Q24" s="111">
        <f t="shared" si="3"/>
        <v>199</v>
      </c>
      <c r="R24" s="111">
        <f t="shared" si="4"/>
        <v>23887.023717160399</v>
      </c>
      <c r="S24" s="111">
        <f t="shared" si="5"/>
        <v>18038.516960684621</v>
      </c>
      <c r="T24" s="111">
        <f>IFERROR(R24/'Atendimento '!F24,0)</f>
        <v>23887.023717160399</v>
      </c>
      <c r="U24" s="111">
        <f>IFERROR(S24/'Atendimento '!F24,0)</f>
        <v>18038.516960684621</v>
      </c>
    </row>
    <row r="25" spans="2:21" x14ac:dyDescent="0.15">
      <c r="B25" s="109">
        <f>População!B25</f>
        <v>13</v>
      </c>
      <c r="C25" s="109">
        <f>População!C25</f>
        <v>2039</v>
      </c>
      <c r="D25" s="111">
        <f>Imóveis!$I25*'Atendimento '!$F25</f>
        <v>22305.83676195889</v>
      </c>
      <c r="E25" s="111">
        <f>D25/'Atendimento '!G25</f>
        <v>16707.240477836036</v>
      </c>
      <c r="F25" s="111">
        <f>Imóveis!L25*'Atendimento '!F25</f>
        <v>1472</v>
      </c>
      <c r="G25" s="116">
        <f>'Economais e Ligações Água'!H25</f>
        <v>1.2918000000000001</v>
      </c>
      <c r="H25" s="111">
        <f t="shared" si="0"/>
        <v>1139.4952779067967</v>
      </c>
      <c r="I25" s="111">
        <f>Imóveis!M25*'Atendimento '!F25</f>
        <v>148</v>
      </c>
      <c r="J25" s="116">
        <f>'Economais e Ligações Água'!K25</f>
        <v>1.0246</v>
      </c>
      <c r="K25" s="111">
        <f t="shared" si="1"/>
        <v>144.4466133125122</v>
      </c>
      <c r="L25" s="111">
        <f>Imóveis!N25*'Atendimento '!F25</f>
        <v>112</v>
      </c>
      <c r="M25" s="116">
        <f>'Economais e Ligações Água'!N25</f>
        <v>1.0105999999999999</v>
      </c>
      <c r="N25" s="111">
        <f t="shared" si="2"/>
        <v>110.82525232535129</v>
      </c>
      <c r="O25" s="111">
        <f>Imóveis!O25*'Atendimento '!F25</f>
        <v>200</v>
      </c>
      <c r="P25" s="116">
        <f>'Economais e Ligações Água'!Q25</f>
        <v>1</v>
      </c>
      <c r="Q25" s="111">
        <f t="shared" si="3"/>
        <v>200</v>
      </c>
      <c r="R25" s="111">
        <f t="shared" si="4"/>
        <v>24237.83676195889</v>
      </c>
      <c r="S25" s="111">
        <f t="shared" si="5"/>
        <v>18302.007621380697</v>
      </c>
      <c r="T25" s="111">
        <f>IFERROR(R25/'Atendimento '!F25,0)</f>
        <v>24237.83676195889</v>
      </c>
      <c r="U25" s="111">
        <f>IFERROR(S25/'Atendimento '!F25,0)</f>
        <v>18302.007621380697</v>
      </c>
    </row>
    <row r="26" spans="2:21" x14ac:dyDescent="0.15">
      <c r="B26" s="109">
        <f>População!B26</f>
        <v>14</v>
      </c>
      <c r="C26" s="109">
        <f>População!C26</f>
        <v>2040</v>
      </c>
      <c r="D26" s="111">
        <f>Imóveis!$I26*'Atendimento '!$F26</f>
        <v>22637.417208064111</v>
      </c>
      <c r="E26" s="111">
        <f>D26/'Atendimento '!G26</f>
        <v>16955.596740367098</v>
      </c>
      <c r="F26" s="111">
        <f>Imóveis!L26*'Atendimento '!F26</f>
        <v>1481</v>
      </c>
      <c r="G26" s="116">
        <f>'Economais e Ligações Água'!H26</f>
        <v>1.2918000000000001</v>
      </c>
      <c r="H26" s="111">
        <f t="shared" si="0"/>
        <v>1146.4623006657378</v>
      </c>
      <c r="I26" s="111">
        <f>Imóveis!M26*'Atendimento '!F26</f>
        <v>149</v>
      </c>
      <c r="J26" s="116">
        <f>'Economais e Ligações Água'!K26</f>
        <v>1.0246</v>
      </c>
      <c r="K26" s="111">
        <f t="shared" si="1"/>
        <v>145.42260394300214</v>
      </c>
      <c r="L26" s="111">
        <f>Imóveis!N26*'Atendimento '!F26</f>
        <v>113</v>
      </c>
      <c r="M26" s="116">
        <f>'Economais e Ligações Água'!N26</f>
        <v>1.0105999999999999</v>
      </c>
      <c r="N26" s="111">
        <f t="shared" si="2"/>
        <v>111.81476350682763</v>
      </c>
      <c r="O26" s="111">
        <f>Imóveis!O26*'Atendimento '!F26</f>
        <v>201</v>
      </c>
      <c r="P26" s="116">
        <f>'Economais e Ligações Água'!Q26</f>
        <v>1</v>
      </c>
      <c r="Q26" s="111">
        <f t="shared" si="3"/>
        <v>201</v>
      </c>
      <c r="R26" s="111">
        <f t="shared" si="4"/>
        <v>24581.417208064111</v>
      </c>
      <c r="S26" s="111">
        <f t="shared" si="5"/>
        <v>18560.296408482667</v>
      </c>
      <c r="T26" s="111">
        <f>IFERROR(R26/'Atendimento '!F26,0)</f>
        <v>24581.417208064111</v>
      </c>
      <c r="U26" s="111">
        <f>IFERROR(S26/'Atendimento '!F26,0)</f>
        <v>18560.296408482667</v>
      </c>
    </row>
    <row r="27" spans="2:21" x14ac:dyDescent="0.15">
      <c r="B27" s="101">
        <f>População!B27</f>
        <v>15</v>
      </c>
      <c r="C27" s="101">
        <f>População!C27</f>
        <v>2041</v>
      </c>
      <c r="D27" s="102">
        <f>Imóveis!$I27*'Atendimento '!$F27</f>
        <v>22961.574877135074</v>
      </c>
      <c r="E27" s="102">
        <f>D27/'Atendimento '!G27</f>
        <v>17198.393286746366</v>
      </c>
      <c r="F27" s="102">
        <f>Imóveis!L27*'Atendimento '!F27</f>
        <v>1490</v>
      </c>
      <c r="G27" s="114">
        <f>'Economais e Ligações Água'!H27</f>
        <v>1.2918000000000001</v>
      </c>
      <c r="H27" s="102">
        <f t="shared" si="0"/>
        <v>1153.4293234246786</v>
      </c>
      <c r="I27" s="102">
        <f>Imóveis!M27*'Atendimento '!F27</f>
        <v>150</v>
      </c>
      <c r="J27" s="114">
        <f>'Economais e Ligações Água'!K27</f>
        <v>1.0246</v>
      </c>
      <c r="K27" s="102">
        <f t="shared" si="1"/>
        <v>146.39859457349209</v>
      </c>
      <c r="L27" s="102">
        <f>Imóveis!N27*'Atendimento '!F27</f>
        <v>114</v>
      </c>
      <c r="M27" s="114">
        <f>'Economais e Ligações Água'!N27</f>
        <v>1.0105999999999999</v>
      </c>
      <c r="N27" s="102">
        <f t="shared" si="2"/>
        <v>112.80427468830399</v>
      </c>
      <c r="O27" s="102">
        <f>Imóveis!O27*'Atendimento '!F27</f>
        <v>202</v>
      </c>
      <c r="P27" s="114">
        <f>'Economais e Ligações Água'!Q27</f>
        <v>1</v>
      </c>
      <c r="Q27" s="102">
        <f t="shared" si="3"/>
        <v>202</v>
      </c>
      <c r="R27" s="102">
        <f t="shared" si="4"/>
        <v>24917.574877135074</v>
      </c>
      <c r="S27" s="102">
        <f t="shared" si="5"/>
        <v>18813.025479432843</v>
      </c>
      <c r="T27" s="102">
        <f>IFERROR(R27/'Atendimento '!F27,0)</f>
        <v>24917.574877135074</v>
      </c>
      <c r="U27" s="102">
        <f>IFERROR(S27/'Atendimento '!F27,0)</f>
        <v>18813.025479432843</v>
      </c>
    </row>
    <row r="28" spans="2:21" x14ac:dyDescent="0.15">
      <c r="B28" s="109">
        <f>População!B28</f>
        <v>16</v>
      </c>
      <c r="C28" s="109">
        <f>População!C28</f>
        <v>2042</v>
      </c>
      <c r="D28" s="111">
        <f>Imóveis!$I28*'Atendimento '!$F28</f>
        <v>23278.146296389066</v>
      </c>
      <c r="E28" s="111">
        <f>D28/'Atendimento '!G28</f>
        <v>17435.507674622924</v>
      </c>
      <c r="F28" s="111">
        <f>Imóveis!L28*'Atendimento '!F28</f>
        <v>1499</v>
      </c>
      <c r="G28" s="116">
        <f>'Economais e Ligações Água'!H28</f>
        <v>1.2918000000000001</v>
      </c>
      <c r="H28" s="111">
        <f t="shared" si="0"/>
        <v>1160.3963461836197</v>
      </c>
      <c r="I28" s="111">
        <f>Imóveis!M28*'Atendimento '!F28</f>
        <v>151</v>
      </c>
      <c r="J28" s="116">
        <f>'Economais e Ligações Água'!K28</f>
        <v>1.0246</v>
      </c>
      <c r="K28" s="111">
        <f t="shared" si="1"/>
        <v>147.37458520398204</v>
      </c>
      <c r="L28" s="111">
        <f>Imóveis!N28*'Atendimento '!F28</f>
        <v>114</v>
      </c>
      <c r="M28" s="116">
        <f>'Economais e Ligações Água'!N28</f>
        <v>1.0105999999999999</v>
      </c>
      <c r="N28" s="111">
        <f t="shared" si="2"/>
        <v>112.80427468830399</v>
      </c>
      <c r="O28" s="111">
        <f>Imóveis!O28*'Atendimento '!F28</f>
        <v>204</v>
      </c>
      <c r="P28" s="116">
        <f>'Economais e Ligações Água'!Q28</f>
        <v>1</v>
      </c>
      <c r="Q28" s="111">
        <f t="shared" si="3"/>
        <v>204</v>
      </c>
      <c r="R28" s="111">
        <f t="shared" si="4"/>
        <v>25246.146296389066</v>
      </c>
      <c r="S28" s="111">
        <f t="shared" si="5"/>
        <v>19060.082880698832</v>
      </c>
      <c r="T28" s="111">
        <f>IFERROR(R28/'Atendimento '!F28,0)</f>
        <v>25246.146296389066</v>
      </c>
      <c r="U28" s="111">
        <f>IFERROR(S28/'Atendimento '!F28,0)</f>
        <v>19060.082880698832</v>
      </c>
    </row>
    <row r="29" spans="2:21" x14ac:dyDescent="0.15">
      <c r="B29" s="109">
        <f>População!B29</f>
        <v>17</v>
      </c>
      <c r="C29" s="109">
        <f>População!C29</f>
        <v>2043</v>
      </c>
      <c r="D29" s="111">
        <f>Imóveis!$I29*'Atendimento '!$F29</f>
        <v>23586.99424148638</v>
      </c>
      <c r="E29" s="111">
        <f>D29/'Atendimento '!G29</f>
        <v>17666.837121928231</v>
      </c>
      <c r="F29" s="111">
        <f>Imóveis!L29*'Atendimento '!F29</f>
        <v>1508</v>
      </c>
      <c r="G29" s="116">
        <f>'Economais e Ligações Água'!H29</f>
        <v>1.2918000000000001</v>
      </c>
      <c r="H29" s="111">
        <f t="shared" si="0"/>
        <v>1167.3633689425608</v>
      </c>
      <c r="I29" s="111">
        <f>Imóveis!M29*'Atendimento '!F29</f>
        <v>151</v>
      </c>
      <c r="J29" s="116">
        <f>'Economais e Ligações Água'!K29</f>
        <v>1.0246</v>
      </c>
      <c r="K29" s="111">
        <f t="shared" si="1"/>
        <v>147.37458520398204</v>
      </c>
      <c r="L29" s="111">
        <f>Imóveis!N29*'Atendimento '!F29</f>
        <v>115</v>
      </c>
      <c r="M29" s="116">
        <f>'Economais e Ligações Água'!N29</f>
        <v>1.0105999999999999</v>
      </c>
      <c r="N29" s="111">
        <f t="shared" si="2"/>
        <v>113.79378586978034</v>
      </c>
      <c r="O29" s="111">
        <f>Imóveis!O29*'Atendimento '!F29</f>
        <v>205</v>
      </c>
      <c r="P29" s="116">
        <f>'Economais e Ligações Água'!Q29</f>
        <v>1</v>
      </c>
      <c r="Q29" s="111">
        <f t="shared" si="3"/>
        <v>205</v>
      </c>
      <c r="R29" s="111">
        <f t="shared" si="4"/>
        <v>25565.99424148638</v>
      </c>
      <c r="S29" s="111">
        <f t="shared" si="5"/>
        <v>19300.368861944557</v>
      </c>
      <c r="T29" s="111">
        <f>IFERROR(R29/'Atendimento '!F29,0)</f>
        <v>25565.99424148638</v>
      </c>
      <c r="U29" s="111">
        <f>IFERROR(S29/'Atendimento '!F29,0)</f>
        <v>19300.368861944557</v>
      </c>
    </row>
    <row r="30" spans="2:21" x14ac:dyDescent="0.15">
      <c r="B30" s="109">
        <f>População!B30</f>
        <v>18</v>
      </c>
      <c r="C30" s="109">
        <f>População!C30</f>
        <v>2044</v>
      </c>
      <c r="D30" s="111">
        <f>Imóveis!$I30*'Atendimento '!$F30</f>
        <v>23888.007125258897</v>
      </c>
      <c r="E30" s="111">
        <f>D30/'Atendimento '!G30</f>
        <v>17892.29804902921</v>
      </c>
      <c r="F30" s="111">
        <f>Imóveis!L30*'Atendimento '!F30</f>
        <v>1516</v>
      </c>
      <c r="G30" s="116">
        <f>'Economais e Ligações Água'!H30</f>
        <v>1.2918000000000001</v>
      </c>
      <c r="H30" s="111">
        <f t="shared" si="0"/>
        <v>1173.5562780616194</v>
      </c>
      <c r="I30" s="111">
        <f>Imóveis!M30*'Atendimento '!F30</f>
        <v>152</v>
      </c>
      <c r="J30" s="116">
        <f>'Economais e Ligações Água'!K30</f>
        <v>1.0246</v>
      </c>
      <c r="K30" s="111">
        <f t="shared" si="1"/>
        <v>148.35057583447198</v>
      </c>
      <c r="L30" s="111">
        <f>Imóveis!N30*'Atendimento '!F30</f>
        <v>116</v>
      </c>
      <c r="M30" s="116">
        <f>'Economais e Ligações Água'!N30</f>
        <v>1.0105999999999999</v>
      </c>
      <c r="N30" s="111">
        <f t="shared" si="2"/>
        <v>114.78329705125668</v>
      </c>
      <c r="O30" s="111">
        <f>Imóveis!O30*'Atendimento '!F30</f>
        <v>206</v>
      </c>
      <c r="P30" s="116">
        <f>'Economais e Ligações Água'!Q30</f>
        <v>1</v>
      </c>
      <c r="Q30" s="111">
        <f t="shared" si="3"/>
        <v>206</v>
      </c>
      <c r="R30" s="111">
        <f t="shared" si="4"/>
        <v>25878.007125258897</v>
      </c>
      <c r="S30" s="111">
        <f t="shared" si="5"/>
        <v>19534.98819997656</v>
      </c>
      <c r="T30" s="111">
        <f>IFERROR(R30/'Atendimento '!F30,0)</f>
        <v>25878.007125258897</v>
      </c>
      <c r="U30" s="111">
        <f>IFERROR(S30/'Atendimento '!F30,0)</f>
        <v>19534.98819997656</v>
      </c>
    </row>
    <row r="31" spans="2:21" x14ac:dyDescent="0.15">
      <c r="B31" s="109">
        <f>População!B31</f>
        <v>19</v>
      </c>
      <c r="C31" s="109">
        <f>População!C31</f>
        <v>2045</v>
      </c>
      <c r="D31" s="111">
        <f>Imóveis!$I31*'Atendimento '!$F31</f>
        <v>24181.098247944901</v>
      </c>
      <c r="E31" s="111">
        <f>D31/'Atendimento '!G31</f>
        <v>18111.825517148456</v>
      </c>
      <c r="F31" s="111">
        <f>Imóveis!L31*'Atendimento '!F31</f>
        <v>1523</v>
      </c>
      <c r="G31" s="116">
        <f>'Economais e Ligações Água'!H31</f>
        <v>1.2918000000000001</v>
      </c>
      <c r="H31" s="111">
        <f t="shared" si="0"/>
        <v>1178.9750735407958</v>
      </c>
      <c r="I31" s="111">
        <f>Imóveis!M31*'Atendimento '!F31</f>
        <v>153</v>
      </c>
      <c r="J31" s="116">
        <f>'Economais e Ligações Água'!K31</f>
        <v>1.0246</v>
      </c>
      <c r="K31" s="111">
        <f t="shared" si="1"/>
        <v>149.32656646496196</v>
      </c>
      <c r="L31" s="111">
        <f>Imóveis!N31*'Atendimento '!F31</f>
        <v>116</v>
      </c>
      <c r="M31" s="116">
        <f>'Economais e Ligações Água'!N31</f>
        <v>1.0105999999999999</v>
      </c>
      <c r="N31" s="111">
        <f t="shared" si="2"/>
        <v>114.78329705125668</v>
      </c>
      <c r="O31" s="111">
        <f>Imóveis!O31*'Atendimento '!F31</f>
        <v>207</v>
      </c>
      <c r="P31" s="116">
        <f>'Economais e Ligações Água'!Q31</f>
        <v>1</v>
      </c>
      <c r="Q31" s="111">
        <f t="shared" si="3"/>
        <v>207</v>
      </c>
      <c r="R31" s="111">
        <f t="shared" si="4"/>
        <v>26180.098247944901</v>
      </c>
      <c r="S31" s="111">
        <f t="shared" si="5"/>
        <v>19761.91045420547</v>
      </c>
      <c r="T31" s="111">
        <f>IFERROR(R31/'Atendimento '!F31,0)</f>
        <v>26180.098247944901</v>
      </c>
      <c r="U31" s="111">
        <f>IFERROR(S31/'Atendimento '!F31,0)</f>
        <v>19761.91045420547</v>
      </c>
    </row>
    <row r="32" spans="2:21" x14ac:dyDescent="0.15">
      <c r="B32" s="101">
        <f>População!B32</f>
        <v>20</v>
      </c>
      <c r="C32" s="101">
        <f>População!C32</f>
        <v>2046</v>
      </c>
      <c r="D32" s="102">
        <f>Imóveis!$I32*'Atendimento '!$F32</f>
        <v>24466.204925161077</v>
      </c>
      <c r="E32" s="102">
        <f>D32/'Atendimento '!G32</f>
        <v>18325.372575208658</v>
      </c>
      <c r="F32" s="102">
        <f>Imóveis!L32*'Atendimento '!F32</f>
        <v>1531</v>
      </c>
      <c r="G32" s="114">
        <f>'Economais e Ligações Água'!H32</f>
        <v>1.2918000000000001</v>
      </c>
      <c r="H32" s="102">
        <f t="shared" si="0"/>
        <v>1185.1679826598545</v>
      </c>
      <c r="I32" s="102">
        <f>Imóveis!M32*'Atendimento '!F32</f>
        <v>154</v>
      </c>
      <c r="J32" s="114">
        <f>'Economais e Ligações Água'!K32</f>
        <v>1.0246</v>
      </c>
      <c r="K32" s="102">
        <f t="shared" si="1"/>
        <v>150.3025570954519</v>
      </c>
      <c r="L32" s="102">
        <f>Imóveis!N32*'Atendimento '!F32</f>
        <v>117</v>
      </c>
      <c r="M32" s="114">
        <f>'Economais e Ligações Água'!N32</f>
        <v>1.0105999999999999</v>
      </c>
      <c r="N32" s="102">
        <f t="shared" si="2"/>
        <v>115.77280823273304</v>
      </c>
      <c r="O32" s="102">
        <f>Imóveis!O32*'Atendimento '!F32</f>
        <v>208</v>
      </c>
      <c r="P32" s="114">
        <f>'Economais e Ligações Água'!Q32</f>
        <v>1</v>
      </c>
      <c r="Q32" s="102">
        <f t="shared" si="3"/>
        <v>208</v>
      </c>
      <c r="R32" s="102">
        <f t="shared" si="4"/>
        <v>26476.204925161077</v>
      </c>
      <c r="S32" s="102">
        <f t="shared" si="5"/>
        <v>19984.615923196699</v>
      </c>
      <c r="T32" s="102">
        <f>IFERROR(R32/'Atendimento '!F32,0)</f>
        <v>26476.204925161077</v>
      </c>
      <c r="U32" s="102">
        <f>IFERROR(S32/'Atendimento '!F32,0)</f>
        <v>19984.615923196699</v>
      </c>
    </row>
    <row r="33" spans="2:21" x14ac:dyDescent="0.15">
      <c r="B33" s="109">
        <f>População!B33</f>
        <v>21</v>
      </c>
      <c r="C33" s="109">
        <f>População!C33</f>
        <v>2047</v>
      </c>
      <c r="D33" s="111">
        <f>Imóveis!$I33*'Atendimento '!$F33</f>
        <v>24743.287510105863</v>
      </c>
      <c r="E33" s="111">
        <f>D33/'Atendimento '!G33</f>
        <v>18532.909527455518</v>
      </c>
      <c r="F33" s="111">
        <f>Imóveis!L33*'Atendimento '!F33</f>
        <v>1538</v>
      </c>
      <c r="G33" s="116">
        <f>'Economais e Ligações Água'!H33</f>
        <v>1.2918000000000001</v>
      </c>
      <c r="H33" s="111">
        <f t="shared" si="0"/>
        <v>1190.5867781390307</v>
      </c>
      <c r="I33" s="111">
        <f>Imóveis!M33*'Atendimento '!F33</f>
        <v>155</v>
      </c>
      <c r="J33" s="116">
        <f>'Economais e Ligações Água'!K33</f>
        <v>1.0246</v>
      </c>
      <c r="K33" s="111">
        <f t="shared" si="1"/>
        <v>151.27854772594185</v>
      </c>
      <c r="L33" s="111">
        <f>Imóveis!N33*'Atendimento '!F33</f>
        <v>117</v>
      </c>
      <c r="M33" s="116">
        <f>'Economais e Ligações Água'!N33</f>
        <v>1.0105999999999999</v>
      </c>
      <c r="N33" s="111">
        <f t="shared" si="2"/>
        <v>115.77280823273304</v>
      </c>
      <c r="O33" s="111">
        <f>Imóveis!O33*'Atendimento '!F33</f>
        <v>209</v>
      </c>
      <c r="P33" s="116">
        <f>'Economais e Ligações Água'!Q33</f>
        <v>1</v>
      </c>
      <c r="Q33" s="111">
        <f t="shared" si="3"/>
        <v>209</v>
      </c>
      <c r="R33" s="111">
        <f t="shared" si="4"/>
        <v>26762.287510105863</v>
      </c>
      <c r="S33" s="111">
        <f t="shared" si="5"/>
        <v>20199.547661553224</v>
      </c>
      <c r="T33" s="111">
        <f>IFERROR(R33/'Atendimento '!F33,0)</f>
        <v>26762.287510105863</v>
      </c>
      <c r="U33" s="111">
        <f>IFERROR(S33/'Atendimento '!F33,0)</f>
        <v>20199.547661553224</v>
      </c>
    </row>
    <row r="34" spans="2:21" x14ac:dyDescent="0.15">
      <c r="B34" s="109">
        <f>População!B34</f>
        <v>22</v>
      </c>
      <c r="C34" s="109">
        <f>População!C34</f>
        <v>2048</v>
      </c>
      <c r="D34" s="111">
        <f>Imóveis!$I34*'Atendimento '!$F34</f>
        <v>25012.328326469567</v>
      </c>
      <c r="E34" s="111">
        <f>D34/'Atendimento '!G34</f>
        <v>18734.423134199362</v>
      </c>
      <c r="F34" s="111">
        <f>Imóveis!L34*'Atendimento '!F34</f>
        <v>1545</v>
      </c>
      <c r="G34" s="116">
        <f>'Economais e Ligações Água'!H34</f>
        <v>1.2918000000000001</v>
      </c>
      <c r="H34" s="111">
        <f t="shared" si="0"/>
        <v>1196.0055736182071</v>
      </c>
      <c r="I34" s="111">
        <f>Imóveis!M34*'Atendimento '!F34</f>
        <v>155</v>
      </c>
      <c r="J34" s="116">
        <f>'Economais e Ligações Água'!K34</f>
        <v>1.0246</v>
      </c>
      <c r="K34" s="111">
        <f t="shared" si="1"/>
        <v>151.27854772594185</v>
      </c>
      <c r="L34" s="111">
        <f>Imóveis!N34*'Atendimento '!F34</f>
        <v>118</v>
      </c>
      <c r="M34" s="116">
        <f>'Economais e Ligações Água'!N34</f>
        <v>1.0105999999999999</v>
      </c>
      <c r="N34" s="111">
        <f t="shared" si="2"/>
        <v>116.76231941420939</v>
      </c>
      <c r="O34" s="111">
        <f>Imóveis!O34*'Atendimento '!F34</f>
        <v>210</v>
      </c>
      <c r="P34" s="116">
        <f>'Economais e Ligações Água'!Q34</f>
        <v>1</v>
      </c>
      <c r="Q34" s="111">
        <f t="shared" si="3"/>
        <v>210</v>
      </c>
      <c r="R34" s="111">
        <f t="shared" si="4"/>
        <v>27040.328326469567</v>
      </c>
      <c r="S34" s="111">
        <f t="shared" si="5"/>
        <v>20408.469574957722</v>
      </c>
      <c r="T34" s="111">
        <f>IFERROR(R34/'Atendimento '!F34,0)</f>
        <v>27040.328326469567</v>
      </c>
      <c r="U34" s="111">
        <f>IFERROR(S34/'Atendimento '!F34,0)</f>
        <v>20408.469574957722</v>
      </c>
    </row>
    <row r="35" spans="2:21" x14ac:dyDescent="0.15">
      <c r="B35" s="109">
        <f>População!B35</f>
        <v>23</v>
      </c>
      <c r="C35" s="109">
        <f>População!C35</f>
        <v>2049</v>
      </c>
      <c r="D35" s="111">
        <f>Imóveis!$I35*'Atendimento '!$F35</f>
        <v>25273.33052825378</v>
      </c>
      <c r="E35" s="111">
        <f>D35/'Atendimento '!G35</f>
        <v>18929.915757811235</v>
      </c>
      <c r="F35" s="111">
        <f>Imóveis!L35*'Atendimento '!F35</f>
        <v>1551</v>
      </c>
      <c r="G35" s="116">
        <f>'Economais e Ligações Água'!H35</f>
        <v>1.2918000000000001</v>
      </c>
      <c r="H35" s="111">
        <f t="shared" si="0"/>
        <v>1200.6502554575011</v>
      </c>
      <c r="I35" s="111">
        <f>Imóveis!M35*'Atendimento '!F35</f>
        <v>156</v>
      </c>
      <c r="J35" s="116">
        <f>'Economais e Ligações Água'!K35</f>
        <v>1.0246</v>
      </c>
      <c r="K35" s="111">
        <f t="shared" si="1"/>
        <v>152.25453835643179</v>
      </c>
      <c r="L35" s="111">
        <f>Imóveis!N35*'Atendimento '!F35</f>
        <v>118</v>
      </c>
      <c r="M35" s="116">
        <f>'Economais e Ligações Água'!N35</f>
        <v>1.0105999999999999</v>
      </c>
      <c r="N35" s="111">
        <f t="shared" si="2"/>
        <v>116.76231941420939</v>
      </c>
      <c r="O35" s="111">
        <f>Imóveis!O35*'Atendimento '!F35</f>
        <v>211</v>
      </c>
      <c r="P35" s="116">
        <f>'Economais e Ligações Água'!Q35</f>
        <v>1</v>
      </c>
      <c r="Q35" s="111">
        <f t="shared" si="3"/>
        <v>211</v>
      </c>
      <c r="R35" s="111">
        <f t="shared" si="4"/>
        <v>27309.33052825378</v>
      </c>
      <c r="S35" s="111">
        <f t="shared" si="5"/>
        <v>20610.58287103938</v>
      </c>
      <c r="T35" s="111">
        <f>IFERROR(R35/'Atendimento '!F35,0)</f>
        <v>27309.33052825378</v>
      </c>
      <c r="U35" s="111">
        <f>IFERROR(S35/'Atendimento '!F35,0)</f>
        <v>20610.58287103938</v>
      </c>
    </row>
    <row r="36" spans="2:21" x14ac:dyDescent="0.15">
      <c r="B36" s="109">
        <f>População!B36</f>
        <v>24</v>
      </c>
      <c r="C36" s="109">
        <f>População!C36</f>
        <v>2050</v>
      </c>
      <c r="D36" s="111">
        <f>Imóveis!$I36*'Atendimento '!$F36</f>
        <v>25526.31690220728</v>
      </c>
      <c r="E36" s="111">
        <f>D36/'Atendimento '!G36</f>
        <v>19119.404465738357</v>
      </c>
      <c r="F36" s="111">
        <f>Imóveis!L36*'Atendimento '!F36</f>
        <v>1557</v>
      </c>
      <c r="G36" s="116">
        <f>'Economais e Ligações Água'!H36</f>
        <v>1.2918000000000001</v>
      </c>
      <c r="H36" s="111">
        <f t="shared" si="0"/>
        <v>1205.2949372967951</v>
      </c>
      <c r="I36" s="111">
        <f>Imóveis!M36*'Atendimento '!F36</f>
        <v>156</v>
      </c>
      <c r="J36" s="116">
        <f>'Economais e Ligações Água'!K36</f>
        <v>1.0246</v>
      </c>
      <c r="K36" s="111">
        <f t="shared" si="1"/>
        <v>152.25453835643179</v>
      </c>
      <c r="L36" s="111">
        <f>Imóveis!N36*'Atendimento '!F36</f>
        <v>119</v>
      </c>
      <c r="M36" s="116">
        <f>'Economais e Ligações Água'!N36</f>
        <v>1.0105999999999999</v>
      </c>
      <c r="N36" s="111">
        <f t="shared" si="2"/>
        <v>117.75183059568573</v>
      </c>
      <c r="O36" s="111">
        <f>Imóveis!O36*'Atendimento '!F36</f>
        <v>212</v>
      </c>
      <c r="P36" s="116">
        <f>'Economais e Ligações Água'!Q36</f>
        <v>1</v>
      </c>
      <c r="Q36" s="111">
        <f t="shared" si="3"/>
        <v>212</v>
      </c>
      <c r="R36" s="111">
        <f t="shared" si="4"/>
        <v>27570.31690220728</v>
      </c>
      <c r="S36" s="111">
        <f t="shared" si="5"/>
        <v>20806.705771987272</v>
      </c>
      <c r="T36" s="111">
        <f>IFERROR(R36/'Atendimento '!F36,0)</f>
        <v>27570.31690220728</v>
      </c>
      <c r="U36" s="111">
        <f>IFERROR(S36/'Atendimento '!F36,0)</f>
        <v>20806.705771987272</v>
      </c>
    </row>
    <row r="37" spans="2:21" x14ac:dyDescent="0.15">
      <c r="B37" s="101">
        <f>População!B37</f>
        <v>25</v>
      </c>
      <c r="C37" s="101">
        <f>População!C37</f>
        <v>2051</v>
      </c>
      <c r="D37" s="102">
        <f>Imóveis!$I37*'Atendimento '!$F37</f>
        <v>25771.328627899238</v>
      </c>
      <c r="E37" s="102">
        <f>D37/'Atendimento '!G37</f>
        <v>19302.920101789558</v>
      </c>
      <c r="F37" s="102">
        <f>Imóveis!L37*'Atendimento '!F37</f>
        <v>1563</v>
      </c>
      <c r="G37" s="114">
        <f>'Economais e Ligações Água'!H37</f>
        <v>1.2918000000000001</v>
      </c>
      <c r="H37" s="102">
        <f t="shared" si="0"/>
        <v>1209.939619136089</v>
      </c>
      <c r="I37" s="102">
        <f>Imóveis!M37*'Atendimento '!F37</f>
        <v>157</v>
      </c>
      <c r="J37" s="114">
        <f>'Economais e Ligações Água'!K37</f>
        <v>1.0246</v>
      </c>
      <c r="K37" s="102">
        <f t="shared" si="1"/>
        <v>153.23052898692174</v>
      </c>
      <c r="L37" s="102">
        <f>Imóveis!N37*'Atendimento '!F37</f>
        <v>119</v>
      </c>
      <c r="M37" s="114">
        <f>'Economais e Ligações Água'!N37</f>
        <v>1.0105999999999999</v>
      </c>
      <c r="N37" s="102">
        <f t="shared" si="2"/>
        <v>117.75183059568573</v>
      </c>
      <c r="O37" s="102">
        <f>Imóveis!O37*'Atendimento '!F37</f>
        <v>212</v>
      </c>
      <c r="P37" s="114">
        <f>'Economais e Ligações Água'!Q37</f>
        <v>1</v>
      </c>
      <c r="Q37" s="102">
        <f t="shared" si="3"/>
        <v>212</v>
      </c>
      <c r="R37" s="102">
        <f t="shared" si="4"/>
        <v>27822.328627899238</v>
      </c>
      <c r="S37" s="102">
        <f t="shared" si="5"/>
        <v>20995.842080508257</v>
      </c>
      <c r="T37" s="102">
        <f>IFERROR(R37/'Atendimento '!F37,0)</f>
        <v>27822.328627899238</v>
      </c>
      <c r="U37" s="102">
        <f>IFERROR(S37/'Atendimento '!F37,0)</f>
        <v>20995.842080508257</v>
      </c>
    </row>
    <row r="38" spans="2:21" x14ac:dyDescent="0.15">
      <c r="B38" s="109">
        <f>População!B38</f>
        <v>26</v>
      </c>
      <c r="C38" s="109">
        <f>População!C38</f>
        <v>2052</v>
      </c>
      <c r="D38" s="111">
        <f>Imóveis!$I38*'Atendimento '!$F38</f>
        <v>26008.424009607454</v>
      </c>
      <c r="E38" s="111">
        <f>D38/'Atendimento '!G38</f>
        <v>19480.50633630998</v>
      </c>
      <c r="F38" s="111">
        <f>Imóveis!L38*'Atendimento '!F38</f>
        <v>1569</v>
      </c>
      <c r="G38" s="116">
        <f>'Economais e Ligações Água'!H38</f>
        <v>1.2918000000000001</v>
      </c>
      <c r="H38" s="111">
        <f t="shared" si="0"/>
        <v>1214.584300975383</v>
      </c>
      <c r="I38" s="111">
        <f>Imóveis!M38*'Atendimento '!F38</f>
        <v>158</v>
      </c>
      <c r="J38" s="116">
        <f>'Economais e Ligações Água'!K38</f>
        <v>1.0246</v>
      </c>
      <c r="K38" s="111">
        <f t="shared" si="1"/>
        <v>154.20651961741169</v>
      </c>
      <c r="L38" s="111">
        <f>Imóveis!N38*'Atendimento '!F38</f>
        <v>120</v>
      </c>
      <c r="M38" s="116">
        <f>'Economais e Ligações Água'!N38</f>
        <v>1.0105999999999999</v>
      </c>
      <c r="N38" s="111">
        <f t="shared" si="2"/>
        <v>118.74134177716209</v>
      </c>
      <c r="O38" s="111">
        <f>Imóveis!O38*'Atendimento '!F38</f>
        <v>213</v>
      </c>
      <c r="P38" s="116">
        <f>'Economais e Ligações Água'!Q38</f>
        <v>1</v>
      </c>
      <c r="Q38" s="111">
        <f t="shared" si="3"/>
        <v>213</v>
      </c>
      <c r="R38" s="111">
        <f t="shared" si="4"/>
        <v>28068.424009607454</v>
      </c>
      <c r="S38" s="111">
        <f t="shared" si="5"/>
        <v>21181.038498679936</v>
      </c>
      <c r="T38" s="111">
        <f>IFERROR(R38/'Atendimento '!F38,0)</f>
        <v>28068.424009607454</v>
      </c>
      <c r="U38" s="111">
        <f>IFERROR(S38/'Atendimento '!F38,0)</f>
        <v>21181.038498679936</v>
      </c>
    </row>
    <row r="39" spans="2:21" x14ac:dyDescent="0.15">
      <c r="B39" s="109">
        <f>População!B39</f>
        <v>27</v>
      </c>
      <c r="C39" s="109">
        <f>População!C39</f>
        <v>2053</v>
      </c>
      <c r="D39" s="111">
        <f>Imóveis!$I39*'Atendimento '!$F39</f>
        <v>26237.677193231466</v>
      </c>
      <c r="E39" s="111">
        <f>D39/'Atendimento '!G39</f>
        <v>19652.21870513929</v>
      </c>
      <c r="F39" s="111">
        <f>Imóveis!L39*'Atendimento '!F39</f>
        <v>1574</v>
      </c>
      <c r="G39" s="116">
        <f>'Economais e Ligações Água'!H39</f>
        <v>1.2918000000000001</v>
      </c>
      <c r="H39" s="111">
        <f t="shared" si="0"/>
        <v>1218.4548691747948</v>
      </c>
      <c r="I39" s="111">
        <f>Imóveis!M39*'Atendimento '!F39</f>
        <v>158</v>
      </c>
      <c r="J39" s="116">
        <f>'Economais e Ligações Água'!K39</f>
        <v>1.0246</v>
      </c>
      <c r="K39" s="111">
        <f t="shared" si="1"/>
        <v>154.20651961741169</v>
      </c>
      <c r="L39" s="111">
        <f>Imóveis!N39*'Atendimento '!F39</f>
        <v>120</v>
      </c>
      <c r="M39" s="116">
        <f>'Economais e Ligações Água'!N39</f>
        <v>1.0105999999999999</v>
      </c>
      <c r="N39" s="111">
        <f t="shared" si="2"/>
        <v>118.74134177716209</v>
      </c>
      <c r="O39" s="111">
        <f>Imóveis!O39*'Atendimento '!F39</f>
        <v>214</v>
      </c>
      <c r="P39" s="116">
        <f>'Economais e Ligações Água'!Q39</f>
        <v>1</v>
      </c>
      <c r="Q39" s="111">
        <f t="shared" si="3"/>
        <v>214</v>
      </c>
      <c r="R39" s="111">
        <f t="shared" si="4"/>
        <v>28303.677193231466</v>
      </c>
      <c r="S39" s="111">
        <f t="shared" si="5"/>
        <v>21357.621435708657</v>
      </c>
      <c r="T39" s="111">
        <f>IFERROR(R39/'Atendimento '!F39,0)</f>
        <v>28303.677193231466</v>
      </c>
      <c r="U39" s="111">
        <f>IFERROR(S39/'Atendimento '!F39,0)</f>
        <v>21357.621435708657</v>
      </c>
    </row>
    <row r="40" spans="2:21" x14ac:dyDescent="0.15">
      <c r="B40" s="109">
        <f>População!B40</f>
        <v>28</v>
      </c>
      <c r="C40" s="109">
        <f>População!C40</f>
        <v>2054</v>
      </c>
      <c r="D40" s="111">
        <f>Imóveis!$I40*'Atendimento '!$F40</f>
        <v>26459.176880379982</v>
      </c>
      <c r="E40" s="111">
        <f>D40/'Atendimento '!G40</f>
        <v>19818.123646453438</v>
      </c>
      <c r="F40" s="111">
        <f>Imóveis!L40*'Atendimento '!F40</f>
        <v>1579</v>
      </c>
      <c r="G40" s="116">
        <f>'Economais e Ligações Água'!H40</f>
        <v>1.2918000000000001</v>
      </c>
      <c r="H40" s="111">
        <f t="shared" si="0"/>
        <v>1222.3254373742066</v>
      </c>
      <c r="I40" s="111">
        <f>Imóveis!M40*'Atendimento '!F40</f>
        <v>159</v>
      </c>
      <c r="J40" s="116">
        <f>'Economais e Ligações Água'!K40</f>
        <v>1.0246</v>
      </c>
      <c r="K40" s="111">
        <f t="shared" si="1"/>
        <v>155.18251024790163</v>
      </c>
      <c r="L40" s="111">
        <f>Imóveis!N40*'Atendimento '!F40</f>
        <v>121</v>
      </c>
      <c r="M40" s="116">
        <f>'Economais e Ligações Água'!N40</f>
        <v>1.0105999999999999</v>
      </c>
      <c r="N40" s="111">
        <f t="shared" si="2"/>
        <v>119.73085295863844</v>
      </c>
      <c r="O40" s="111">
        <f>Imóveis!O40*'Atendimento '!F40</f>
        <v>214</v>
      </c>
      <c r="P40" s="116">
        <f>'Economais e Ligações Água'!Q40</f>
        <v>1</v>
      </c>
      <c r="Q40" s="111">
        <f t="shared" si="3"/>
        <v>214</v>
      </c>
      <c r="R40" s="111">
        <f t="shared" si="4"/>
        <v>28532.176880379982</v>
      </c>
      <c r="S40" s="111">
        <f t="shared" si="5"/>
        <v>21529.362447034182</v>
      </c>
      <c r="T40" s="111">
        <f>IFERROR(R40/'Atendimento '!F40,0)</f>
        <v>28532.176880379982</v>
      </c>
      <c r="U40" s="111">
        <f>IFERROR(S40/'Atendimento '!F40,0)</f>
        <v>21529.362447034182</v>
      </c>
    </row>
    <row r="41" spans="2:21" x14ac:dyDescent="0.15">
      <c r="B41" s="109">
        <f>População!B41</f>
        <v>29</v>
      </c>
      <c r="C41" s="109">
        <f>População!C41</f>
        <v>2055</v>
      </c>
      <c r="D41" s="111">
        <f>Imóveis!$I41*'Atendimento '!$F41</f>
        <v>26673.025050658256</v>
      </c>
      <c r="E41" s="111">
        <f>D41/'Atendimento '!G41</f>
        <v>19978.297543748227</v>
      </c>
      <c r="F41" s="111">
        <f>Imóveis!L41*'Atendimento '!F41</f>
        <v>1584</v>
      </c>
      <c r="G41" s="116">
        <f>'Economais e Ligações Água'!H41</f>
        <v>1.2918000000000001</v>
      </c>
      <c r="H41" s="111">
        <f t="shared" si="0"/>
        <v>1226.1960055736181</v>
      </c>
      <c r="I41" s="111">
        <f>Imóveis!M41*'Atendimento '!F41</f>
        <v>159</v>
      </c>
      <c r="J41" s="116">
        <f>'Economais e Ligações Água'!K41</f>
        <v>1.0246</v>
      </c>
      <c r="K41" s="111">
        <f t="shared" si="1"/>
        <v>155.18251024790163</v>
      </c>
      <c r="L41" s="111">
        <f>Imóveis!N41*'Atendimento '!F41</f>
        <v>121</v>
      </c>
      <c r="M41" s="116">
        <f>'Economais e Ligações Água'!N41</f>
        <v>1.0105999999999999</v>
      </c>
      <c r="N41" s="111">
        <f t="shared" si="2"/>
        <v>119.73085295863844</v>
      </c>
      <c r="O41" s="111">
        <f>Imóveis!O41*'Atendimento '!F41</f>
        <v>215</v>
      </c>
      <c r="P41" s="116">
        <f>'Economais e Ligações Água'!Q41</f>
        <v>1</v>
      </c>
      <c r="Q41" s="111">
        <f t="shared" si="3"/>
        <v>215</v>
      </c>
      <c r="R41" s="111">
        <f t="shared" si="4"/>
        <v>28752.025050658256</v>
      </c>
      <c r="S41" s="111">
        <f t="shared" si="5"/>
        <v>21694.406912528382</v>
      </c>
      <c r="T41" s="111">
        <f>IFERROR(R41/'Atendimento '!F41,0)</f>
        <v>28752.025050658256</v>
      </c>
      <c r="U41" s="111">
        <f>IFERROR(S41/'Atendimento '!F41,0)</f>
        <v>21694.406912528382</v>
      </c>
    </row>
    <row r="42" spans="2:21" x14ac:dyDescent="0.15">
      <c r="B42" s="101">
        <f>População!B42</f>
        <v>30</v>
      </c>
      <c r="C42" s="101">
        <f>População!C42</f>
        <v>2056</v>
      </c>
      <c r="D42" s="102">
        <f>Imóveis!$I42*'Atendimento '!$F42</f>
        <v>26879.335702021512</v>
      </c>
      <c r="E42" s="102">
        <f>D42/'Atendimento '!G42</f>
        <v>20132.825782354514</v>
      </c>
      <c r="F42" s="102">
        <f>Imóveis!L42*'Atendimento '!F42</f>
        <v>1588</v>
      </c>
      <c r="G42" s="114">
        <f>'Economais e Ligações Água'!H42</f>
        <v>1.2918000000000001</v>
      </c>
      <c r="H42" s="102">
        <f t="shared" si="0"/>
        <v>1229.2924601331474</v>
      </c>
      <c r="I42" s="102">
        <f>Imóveis!M42*'Atendimento '!F42</f>
        <v>160</v>
      </c>
      <c r="J42" s="114">
        <f>'Economais e Ligações Água'!K42</f>
        <v>1.0246</v>
      </c>
      <c r="K42" s="102">
        <f t="shared" si="1"/>
        <v>156.15850087839158</v>
      </c>
      <c r="L42" s="102">
        <f>Imóveis!N42*'Atendimento '!F42</f>
        <v>121</v>
      </c>
      <c r="M42" s="114">
        <f>'Economais e Ligações Água'!N42</f>
        <v>1.0105999999999999</v>
      </c>
      <c r="N42" s="102">
        <f t="shared" si="2"/>
        <v>119.73085295863844</v>
      </c>
      <c r="O42" s="102">
        <f>Imóveis!O42*'Atendimento '!F42</f>
        <v>216</v>
      </c>
      <c r="P42" s="114">
        <f>'Economais e Ligações Água'!Q42</f>
        <v>1</v>
      </c>
      <c r="Q42" s="102">
        <f t="shared" si="3"/>
        <v>216</v>
      </c>
      <c r="R42" s="102">
        <f t="shared" si="4"/>
        <v>28964.335702021512</v>
      </c>
      <c r="S42" s="102">
        <f t="shared" si="5"/>
        <v>21854.007596324689</v>
      </c>
      <c r="T42" s="102">
        <f>IFERROR(R42/'Atendimento '!F42,0)</f>
        <v>28964.335702021512</v>
      </c>
      <c r="U42" s="102">
        <f>IFERROR(S42/'Atendimento '!F42,0)</f>
        <v>21854.007596324689</v>
      </c>
    </row>
    <row r="43" spans="2:21" x14ac:dyDescent="0.15">
      <c r="B43" s="109">
        <f>População!B43</f>
        <v>31</v>
      </c>
      <c r="C43" s="109">
        <f>População!C43</f>
        <v>2057</v>
      </c>
      <c r="D43" s="111">
        <f>Imóveis!$I43*'Atendimento '!$F43</f>
        <v>27078.233617889797</v>
      </c>
      <c r="E43" s="111">
        <f>D43/'Atendimento '!G43</f>
        <v>20281.8018259979</v>
      </c>
      <c r="F43" s="111">
        <f>Imóveis!L43*'Atendimento '!F43</f>
        <v>1593</v>
      </c>
      <c r="G43" s="116">
        <f>'Economais e Ligações Água'!H43</f>
        <v>1.2918000000000001</v>
      </c>
      <c r="H43" s="111">
        <f t="shared" si="0"/>
        <v>1233.1630283325592</v>
      </c>
      <c r="I43" s="111">
        <f>Imóveis!M43*'Atendimento '!F43</f>
        <v>160</v>
      </c>
      <c r="J43" s="116">
        <f>'Economais e Ligações Água'!K43</f>
        <v>1.0246</v>
      </c>
      <c r="K43" s="111">
        <f t="shared" si="1"/>
        <v>156.15850087839158</v>
      </c>
      <c r="L43" s="111">
        <f>Imóveis!N43*'Atendimento '!F43</f>
        <v>122</v>
      </c>
      <c r="M43" s="116">
        <f>'Economais e Ligações Água'!N43</f>
        <v>1.0105999999999999</v>
      </c>
      <c r="N43" s="111">
        <f t="shared" si="2"/>
        <v>120.7203641401148</v>
      </c>
      <c r="O43" s="111">
        <f>Imóveis!O43*'Atendimento '!F43</f>
        <v>216</v>
      </c>
      <c r="P43" s="116">
        <f>'Economais e Ligações Água'!Q43</f>
        <v>1</v>
      </c>
      <c r="Q43" s="111">
        <f t="shared" si="3"/>
        <v>216</v>
      </c>
      <c r="R43" s="111">
        <f t="shared" si="4"/>
        <v>29169.233617889797</v>
      </c>
      <c r="S43" s="111">
        <f t="shared" si="5"/>
        <v>22007.843719348963</v>
      </c>
      <c r="T43" s="111">
        <f>IFERROR(R43/'Atendimento '!F43,0)</f>
        <v>29169.233617889797</v>
      </c>
      <c r="U43" s="111">
        <f>IFERROR(S43/'Atendimento '!F43,0)</f>
        <v>22007.843719348963</v>
      </c>
    </row>
    <row r="44" spans="2:21" x14ac:dyDescent="0.15">
      <c r="B44" s="109">
        <f>População!B44</f>
        <v>32</v>
      </c>
      <c r="C44" s="109">
        <f>População!C44</f>
        <v>2058</v>
      </c>
      <c r="D44" s="111">
        <f>Imóveis!$I44*'Atendimento '!$F44</f>
        <v>27269.853168559057</v>
      </c>
      <c r="E44" s="111">
        <f>D44/'Atendimento '!G44</f>
        <v>20425.326319046555</v>
      </c>
      <c r="F44" s="111">
        <f>Imóveis!L44*'Atendimento '!F44</f>
        <v>1597</v>
      </c>
      <c r="G44" s="116">
        <f>'Economais e Ligações Água'!H44</f>
        <v>1.2918000000000001</v>
      </c>
      <c r="H44" s="111">
        <f t="shared" si="0"/>
        <v>1236.2594828920885</v>
      </c>
      <c r="I44" s="111">
        <f>Imóveis!M44*'Atendimento '!F44</f>
        <v>160</v>
      </c>
      <c r="J44" s="116">
        <f>'Economais e Ligações Água'!K44</f>
        <v>1.0246</v>
      </c>
      <c r="K44" s="111">
        <f t="shared" si="1"/>
        <v>156.15850087839158</v>
      </c>
      <c r="L44" s="111">
        <f>Imóveis!N44*'Atendimento '!F44</f>
        <v>122</v>
      </c>
      <c r="M44" s="116">
        <f>'Economais e Ligações Água'!N44</f>
        <v>1.0105999999999999</v>
      </c>
      <c r="N44" s="111">
        <f t="shared" si="2"/>
        <v>120.7203641401148</v>
      </c>
      <c r="O44" s="111">
        <f>Imóveis!O44*'Atendimento '!F44</f>
        <v>217</v>
      </c>
      <c r="P44" s="116">
        <f>'Economais e Ligações Água'!Q44</f>
        <v>1</v>
      </c>
      <c r="Q44" s="111">
        <f t="shared" si="3"/>
        <v>217</v>
      </c>
      <c r="R44" s="111">
        <f t="shared" si="4"/>
        <v>29365.853168559057</v>
      </c>
      <c r="S44" s="111">
        <f t="shared" si="5"/>
        <v>22155.464666957148</v>
      </c>
      <c r="T44" s="111">
        <f>IFERROR(R44/'Atendimento '!F44,0)</f>
        <v>29365.853168559057</v>
      </c>
      <c r="U44" s="111">
        <f>IFERROR(S44/'Atendimento '!F44,0)</f>
        <v>22155.464666957148</v>
      </c>
    </row>
    <row r="45" spans="2:21" x14ac:dyDescent="0.15">
      <c r="B45" s="109">
        <f>População!B45</f>
        <v>33</v>
      </c>
      <c r="C45" s="109">
        <f>População!C45</f>
        <v>2059</v>
      </c>
      <c r="D45" s="111">
        <f>Imóveis!$I45*'Atendimento '!$F45</f>
        <v>27454.33715331139</v>
      </c>
      <c r="E45" s="111">
        <f>D45/'Atendimento '!G45</f>
        <v>20563.506219243045</v>
      </c>
      <c r="F45" s="111">
        <f>Imóveis!L45*'Atendimento '!F45</f>
        <v>1601</v>
      </c>
      <c r="G45" s="116">
        <f>'Economais e Ligações Água'!H45</f>
        <v>1.2918000000000001</v>
      </c>
      <c r="H45" s="111">
        <f t="shared" si="0"/>
        <v>1239.3559374516178</v>
      </c>
      <c r="I45" s="111">
        <f>Imóveis!M45*'Atendimento '!F45</f>
        <v>161</v>
      </c>
      <c r="J45" s="116">
        <f>'Economais e Ligações Água'!K45</f>
        <v>1.0246</v>
      </c>
      <c r="K45" s="111">
        <f t="shared" si="1"/>
        <v>157.13449150888152</v>
      </c>
      <c r="L45" s="111">
        <f>Imóveis!N45*'Atendimento '!F45</f>
        <v>122</v>
      </c>
      <c r="M45" s="116">
        <f>'Economais e Ligações Água'!N45</f>
        <v>1.0105999999999999</v>
      </c>
      <c r="N45" s="111">
        <f t="shared" si="2"/>
        <v>120.7203641401148</v>
      </c>
      <c r="O45" s="111">
        <f>Imóveis!O45*'Atendimento '!F45</f>
        <v>217</v>
      </c>
      <c r="P45" s="116">
        <f>'Economais e Ligações Água'!Q45</f>
        <v>1</v>
      </c>
      <c r="Q45" s="111">
        <f t="shared" si="3"/>
        <v>217</v>
      </c>
      <c r="R45" s="111">
        <f t="shared" si="4"/>
        <v>29555.33715331139</v>
      </c>
      <c r="S45" s="111">
        <f t="shared" si="5"/>
        <v>22297.717012343659</v>
      </c>
      <c r="T45" s="111">
        <f>IFERROR(R45/'Atendimento '!F45,0)</f>
        <v>29555.33715331139</v>
      </c>
      <c r="U45" s="111">
        <f>IFERROR(S45/'Atendimento '!F45,0)</f>
        <v>22297.717012343659</v>
      </c>
    </row>
    <row r="46" spans="2:21" x14ac:dyDescent="0.15">
      <c r="B46" s="109">
        <f>População!B46</f>
        <v>34</v>
      </c>
      <c r="C46" s="109">
        <f>População!C46</f>
        <v>2060</v>
      </c>
      <c r="D46" s="111">
        <f>Imóveis!$I46*'Atendimento '!$F46</f>
        <v>27618</v>
      </c>
      <c r="E46" s="111">
        <f>D46/'Atendimento '!G46</f>
        <v>20686.090929518388</v>
      </c>
      <c r="F46" s="111">
        <f>Imóveis!L46*'Atendimento '!F46</f>
        <v>1604</v>
      </c>
      <c r="G46" s="116">
        <f>'Economais e Ligações Água'!H46</f>
        <v>1.2918000000000001</v>
      </c>
      <c r="H46" s="111">
        <f t="shared" ref="H46:H47" si="6">F46/G46</f>
        <v>1241.6782783712649</v>
      </c>
      <c r="I46" s="111">
        <f>Imóveis!M46*'Atendimento '!F46</f>
        <v>161</v>
      </c>
      <c r="J46" s="116">
        <f>'Economais e Ligações Água'!K46</f>
        <v>1.0246</v>
      </c>
      <c r="K46" s="111">
        <f t="shared" ref="K46:K47" si="7">I46/J46</f>
        <v>157.13449150888152</v>
      </c>
      <c r="L46" s="111">
        <f>Imóveis!N46*'Atendimento '!F46</f>
        <v>123</v>
      </c>
      <c r="M46" s="116">
        <f>'Economais e Ligações Água'!N46</f>
        <v>1.0105999999999999</v>
      </c>
      <c r="N46" s="111">
        <f t="shared" ref="N46:N47" si="8">L46/M46</f>
        <v>121.70987532159114</v>
      </c>
      <c r="O46" s="111">
        <f>Imóveis!O46*'Atendimento '!F46</f>
        <v>218</v>
      </c>
      <c r="P46" s="116">
        <f>'Economais e Ligações Água'!Q46</f>
        <v>2</v>
      </c>
      <c r="Q46" s="111">
        <f t="shared" ref="Q46:Q47" si="9">O46/P46</f>
        <v>109</v>
      </c>
      <c r="R46" s="111">
        <f t="shared" ref="R46:R47" si="10">D46+F46+I46+L46+O46</f>
        <v>29724</v>
      </c>
      <c r="S46" s="111">
        <f t="shared" ref="S46:S47" si="11">E46+H46+K46+N46+Q46</f>
        <v>22315.613574720126</v>
      </c>
      <c r="T46" s="111">
        <f>IFERROR(R46/'Atendimento '!F46,0)</f>
        <v>29724</v>
      </c>
      <c r="U46" s="111">
        <f>IFERROR(S46/'Atendimento '!F46,0)</f>
        <v>22315.613574720126</v>
      </c>
    </row>
    <row r="47" spans="2:21" x14ac:dyDescent="0.15">
      <c r="B47" s="101">
        <f>População!B47</f>
        <v>35</v>
      </c>
      <c r="C47" s="101">
        <f>População!C47</f>
        <v>2061</v>
      </c>
      <c r="D47" s="102">
        <f>Imóveis!$I47*'Atendimento '!$F47</f>
        <v>27818.90038361368</v>
      </c>
      <c r="E47" s="102">
        <f>D47/'Atendimento '!G47</f>
        <v>20836.566836651698</v>
      </c>
      <c r="F47" s="102">
        <f>Imóveis!L47*'Atendimento '!F47</f>
        <v>1601</v>
      </c>
      <c r="G47" s="114">
        <f>'Economais e Ligações Água'!H47</f>
        <v>1.2918000000000001</v>
      </c>
      <c r="H47" s="102">
        <f t="shared" si="6"/>
        <v>1239.3559374516178</v>
      </c>
      <c r="I47" s="102">
        <f>Imóveis!M47*'Atendimento '!F47</f>
        <v>161</v>
      </c>
      <c r="J47" s="114">
        <f>'Economais e Ligações Água'!K47</f>
        <v>1.0246</v>
      </c>
      <c r="K47" s="102">
        <f t="shared" si="7"/>
        <v>157.13449150888152</v>
      </c>
      <c r="L47" s="102">
        <f>Imóveis!N47*'Atendimento '!F47</f>
        <v>122</v>
      </c>
      <c r="M47" s="114">
        <f>'Economais e Ligações Água'!N47</f>
        <v>1.0105999999999999</v>
      </c>
      <c r="N47" s="102">
        <f t="shared" si="8"/>
        <v>120.7203641401148</v>
      </c>
      <c r="O47" s="102">
        <f>Imóveis!O47*'Atendimento '!F47</f>
        <v>217</v>
      </c>
      <c r="P47" s="114">
        <f>'Economais e Ligações Água'!Q47</f>
        <v>3</v>
      </c>
      <c r="Q47" s="102">
        <f t="shared" si="9"/>
        <v>72.333333333333329</v>
      </c>
      <c r="R47" s="102">
        <f t="shared" si="10"/>
        <v>29919.90038361368</v>
      </c>
      <c r="S47" s="102">
        <f t="shared" si="11"/>
        <v>22426.110963085644</v>
      </c>
      <c r="T47" s="102">
        <f>IFERROR(R47/'Atendimento '!F47,0)</f>
        <v>29919.90038361368</v>
      </c>
      <c r="U47" s="102">
        <f>IFERROR(S47/'Atendimento '!F47,0)</f>
        <v>22426.110963085644</v>
      </c>
    </row>
  </sheetData>
  <mergeCells count="2">
    <mergeCell ref="B5:U5"/>
    <mergeCell ref="B6:C7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785F-388C-4418-88C4-FE2AEED3047E}">
  <dimension ref="B1:AW47"/>
  <sheetViews>
    <sheetView showGridLines="0" topLeftCell="A33" workbookViewId="0">
      <selection activeCell="AR57" sqref="AR57"/>
    </sheetView>
  </sheetViews>
  <sheetFormatPr defaultRowHeight="12" x14ac:dyDescent="0.15"/>
  <sheetData>
    <row r="1" spans="2:49" ht="12.75" x14ac:dyDescent="0.2">
      <c r="B1" s="40"/>
      <c r="C1" s="40"/>
      <c r="D1" s="40"/>
      <c r="E1" s="36"/>
      <c r="F1" s="36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36"/>
      <c r="AP1" s="36"/>
    </row>
    <row r="2" spans="2:49" ht="12.75" x14ac:dyDescent="0.2">
      <c r="B2" s="40"/>
      <c r="C2" s="40"/>
      <c r="D2" s="40"/>
      <c r="E2" s="36"/>
      <c r="F2" s="36"/>
      <c r="K2" s="40"/>
      <c r="L2" s="40"/>
      <c r="M2" s="40"/>
      <c r="N2" s="80"/>
      <c r="O2" s="40"/>
      <c r="P2" s="40"/>
      <c r="Q2" s="40"/>
      <c r="R2" s="40"/>
      <c r="S2" s="40"/>
      <c r="T2" s="126" t="s">
        <v>8</v>
      </c>
      <c r="U2" s="126" t="s">
        <v>6</v>
      </c>
      <c r="V2" s="126" t="s">
        <v>7</v>
      </c>
      <c r="W2" s="126" t="s">
        <v>9</v>
      </c>
      <c r="X2" s="126" t="s">
        <v>190</v>
      </c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36"/>
      <c r="AP2" s="36"/>
      <c r="AQ2" s="36"/>
      <c r="AR2" s="40"/>
      <c r="AS2" s="40"/>
      <c r="AT2" s="40"/>
      <c r="AU2" s="40"/>
      <c r="AV2" s="40"/>
    </row>
    <row r="3" spans="2:49" ht="12.75" x14ac:dyDescent="0.2">
      <c r="B3" s="40"/>
      <c r="C3" s="40"/>
      <c r="D3" s="50"/>
      <c r="E3" s="36"/>
      <c r="F3" s="36"/>
      <c r="K3" s="40"/>
      <c r="L3" s="40"/>
      <c r="M3" s="40"/>
      <c r="N3" s="40"/>
      <c r="O3" s="40"/>
      <c r="P3" s="40"/>
      <c r="Q3" s="40"/>
      <c r="R3" s="40"/>
      <c r="S3" s="40"/>
      <c r="T3" s="154">
        <v>147.92961538461537</v>
      </c>
      <c r="U3" s="154">
        <v>451.57654680979454</v>
      </c>
      <c r="V3" s="154">
        <v>2255.661738669603</v>
      </c>
      <c r="W3" s="154">
        <v>1923.9473481122266</v>
      </c>
      <c r="X3" s="154">
        <v>323.74647926657576</v>
      </c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36"/>
      <c r="AR3" s="40"/>
      <c r="AS3" s="40"/>
      <c r="AT3" s="40"/>
      <c r="AU3" s="40"/>
      <c r="AV3" s="40"/>
    </row>
    <row r="4" spans="2:49" ht="13.5" thickBot="1" x14ac:dyDescent="0.25">
      <c r="B4" s="40"/>
      <c r="C4" s="40"/>
      <c r="D4" s="40"/>
      <c r="E4" s="40"/>
      <c r="F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36"/>
      <c r="AR4" s="40"/>
      <c r="AS4" s="47"/>
      <c r="AT4" s="47"/>
      <c r="AU4" s="47"/>
      <c r="AV4" s="40"/>
      <c r="AW4" s="40"/>
    </row>
    <row r="5" spans="2:49" ht="19.5" thickBot="1" x14ac:dyDescent="0.35">
      <c r="B5" s="237" t="s">
        <v>226</v>
      </c>
      <c r="C5" s="238"/>
      <c r="D5" s="238"/>
      <c r="E5" s="238"/>
      <c r="F5" s="238"/>
      <c r="G5" s="238"/>
      <c r="H5" s="238"/>
      <c r="I5" s="239"/>
      <c r="J5" s="104"/>
      <c r="K5" s="103"/>
      <c r="L5" s="226" t="s">
        <v>225</v>
      </c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7"/>
      <c r="AT5" s="227"/>
      <c r="AU5" s="227"/>
      <c r="AV5" s="227"/>
      <c r="AW5" s="228"/>
    </row>
    <row r="6" spans="2:49" ht="48" x14ac:dyDescent="0.15">
      <c r="B6" s="234" t="str">
        <f>População!B6</f>
        <v>ANO</v>
      </c>
      <c r="C6" s="235"/>
      <c r="D6" s="136" t="s">
        <v>177</v>
      </c>
      <c r="E6" s="136" t="s">
        <v>38</v>
      </c>
      <c r="F6" s="136" t="s">
        <v>39</v>
      </c>
      <c r="G6" s="136" t="s">
        <v>227</v>
      </c>
      <c r="H6" s="136" t="s">
        <v>228</v>
      </c>
      <c r="I6" s="152" t="s">
        <v>229</v>
      </c>
      <c r="K6" s="40"/>
      <c r="L6" s="229" t="str">
        <f>População!B6</f>
        <v>ANO</v>
      </c>
      <c r="M6" s="231"/>
      <c r="N6" s="127" t="s">
        <v>178</v>
      </c>
      <c r="O6" s="127" t="s">
        <v>179</v>
      </c>
      <c r="P6" s="127" t="s">
        <v>184</v>
      </c>
      <c r="Q6" s="127" t="s">
        <v>100</v>
      </c>
      <c r="R6" s="127" t="s">
        <v>99</v>
      </c>
      <c r="S6" s="127" t="s">
        <v>185</v>
      </c>
      <c r="T6" s="127" t="s">
        <v>98</v>
      </c>
      <c r="U6" s="127" t="s">
        <v>97</v>
      </c>
      <c r="V6" s="127" t="s">
        <v>186</v>
      </c>
      <c r="W6" s="127" t="s">
        <v>199</v>
      </c>
      <c r="X6" s="127" t="s">
        <v>200</v>
      </c>
      <c r="Y6" s="127" t="s">
        <v>201</v>
      </c>
      <c r="Z6" s="127" t="s">
        <v>202</v>
      </c>
      <c r="AA6" s="127" t="s">
        <v>203</v>
      </c>
      <c r="AB6" s="127" t="s">
        <v>204</v>
      </c>
      <c r="AC6" s="127" t="s">
        <v>215</v>
      </c>
      <c r="AD6" s="127" t="s">
        <v>214</v>
      </c>
      <c r="AE6" s="127" t="s">
        <v>213</v>
      </c>
      <c r="AF6" s="127" t="s">
        <v>212</v>
      </c>
      <c r="AG6" s="127" t="s">
        <v>211</v>
      </c>
      <c r="AH6" s="127" t="s">
        <v>216</v>
      </c>
      <c r="AI6" s="127" t="s">
        <v>205</v>
      </c>
      <c r="AJ6" s="127" t="s">
        <v>206</v>
      </c>
      <c r="AK6" s="127" t="s">
        <v>207</v>
      </c>
      <c r="AL6" s="127" t="s">
        <v>208</v>
      </c>
      <c r="AM6" s="127" t="s">
        <v>209</v>
      </c>
      <c r="AN6" s="127" t="s">
        <v>217</v>
      </c>
      <c r="AO6" s="127" t="s">
        <v>183</v>
      </c>
      <c r="AP6" s="127" t="s">
        <v>40</v>
      </c>
      <c r="AQ6" s="127" t="s">
        <v>108</v>
      </c>
      <c r="AR6" s="127" t="s">
        <v>41</v>
      </c>
      <c r="AS6" s="127" t="s">
        <v>42</v>
      </c>
      <c r="AT6" s="127" t="s">
        <v>109</v>
      </c>
      <c r="AU6" s="127" t="s">
        <v>231</v>
      </c>
      <c r="AV6" s="127" t="s">
        <v>112</v>
      </c>
      <c r="AW6" s="127" t="s">
        <v>230</v>
      </c>
    </row>
    <row r="7" spans="2:49" x14ac:dyDescent="0.15">
      <c r="B7" s="234"/>
      <c r="C7" s="236"/>
      <c r="D7" s="110" t="s">
        <v>17</v>
      </c>
      <c r="E7" s="110" t="s">
        <v>17</v>
      </c>
      <c r="F7" s="110" t="s">
        <v>17</v>
      </c>
      <c r="G7" s="110" t="s">
        <v>17</v>
      </c>
      <c r="H7" s="110" t="s">
        <v>17</v>
      </c>
      <c r="I7" s="143" t="s">
        <v>17</v>
      </c>
      <c r="K7" s="40"/>
      <c r="L7" s="219"/>
      <c r="M7" s="220"/>
      <c r="N7" s="110" t="s">
        <v>18</v>
      </c>
      <c r="O7" s="110" t="s">
        <v>18</v>
      </c>
      <c r="P7" s="110" t="s">
        <v>18</v>
      </c>
      <c r="Q7" s="110" t="s">
        <v>18</v>
      </c>
      <c r="R7" s="110" t="s">
        <v>18</v>
      </c>
      <c r="S7" s="110"/>
      <c r="T7" s="110" t="s">
        <v>18</v>
      </c>
      <c r="U7" s="110" t="s">
        <v>18</v>
      </c>
      <c r="V7" s="110"/>
      <c r="W7" s="110" t="s">
        <v>18</v>
      </c>
      <c r="X7" s="110" t="s">
        <v>18</v>
      </c>
      <c r="Y7" s="110"/>
      <c r="Z7" s="110" t="s">
        <v>18</v>
      </c>
      <c r="AA7" s="110" t="s">
        <v>18</v>
      </c>
      <c r="AB7" s="110"/>
      <c r="AC7" s="110" t="s">
        <v>107</v>
      </c>
      <c r="AD7" s="110" t="s">
        <v>107</v>
      </c>
      <c r="AE7" s="110" t="s">
        <v>107</v>
      </c>
      <c r="AF7" s="110" t="s">
        <v>107</v>
      </c>
      <c r="AG7" s="110" t="s">
        <v>107</v>
      </c>
      <c r="AH7" s="110" t="s">
        <v>18</v>
      </c>
      <c r="AI7" s="110" t="s">
        <v>107</v>
      </c>
      <c r="AJ7" s="110" t="s">
        <v>107</v>
      </c>
      <c r="AK7" s="110" t="s">
        <v>107</v>
      </c>
      <c r="AL7" s="110" t="s">
        <v>107</v>
      </c>
      <c r="AM7" s="110" t="s">
        <v>107</v>
      </c>
      <c r="AN7" s="110" t="s">
        <v>18</v>
      </c>
      <c r="AO7" s="110" t="s">
        <v>18</v>
      </c>
      <c r="AP7" s="110" t="s">
        <v>18</v>
      </c>
      <c r="AQ7" s="110" t="s">
        <v>18</v>
      </c>
      <c r="AR7" s="110" t="s">
        <v>18</v>
      </c>
      <c r="AS7" s="110" t="s">
        <v>18</v>
      </c>
      <c r="AT7" s="110" t="s">
        <v>18</v>
      </c>
      <c r="AU7" s="110" t="s">
        <v>222</v>
      </c>
      <c r="AV7" s="110" t="s">
        <v>222</v>
      </c>
      <c r="AW7" s="110" t="s">
        <v>222</v>
      </c>
    </row>
    <row r="8" spans="2:49" s="153" customFormat="1" x14ac:dyDescent="0.15">
      <c r="B8" s="144" t="str">
        <f>População!B8</f>
        <v>CENSO</v>
      </c>
      <c r="C8" s="101">
        <f>População!C8</f>
        <v>2022</v>
      </c>
      <c r="D8" s="120">
        <f>F8/(1-'Perdas e Vazões de Água'!F8)</f>
        <v>232.64579036189761</v>
      </c>
      <c r="E8" s="120">
        <f>(D8*'Perdas e Vazões de Água'!E8)+F8</f>
        <v>144.24039002437652</v>
      </c>
      <c r="F8" s="120">
        <v>124.07</v>
      </c>
      <c r="G8" s="120">
        <f>ROUND(AU8/12/30.4375/'Atendimento '!H8*1000,2)</f>
        <v>272.35000000000002</v>
      </c>
      <c r="H8" s="120">
        <f>ROUND(AV8/12/30.4375/'Atendimento '!H8*1000,2)</f>
        <v>168.86</v>
      </c>
      <c r="I8" s="145">
        <f>ROUND(AW8/12/30.4375/'Atendimento '!H8*1000,2)</f>
        <v>145.24</v>
      </c>
      <c r="K8" s="39"/>
      <c r="L8" s="101" t="str">
        <f>População!B8</f>
        <v>CENSO</v>
      </c>
      <c r="M8" s="101">
        <f>População!C8</f>
        <v>2022</v>
      </c>
      <c r="N8" s="120">
        <f>D8*30.4375*Imóveis!J8/1000</f>
        <v>19.507184808119636</v>
      </c>
      <c r="O8" s="120">
        <f>N8*(1-'Perdas e Vazões de Água'!D8)</f>
        <v>12.094454581034174</v>
      </c>
      <c r="P8" s="122">
        <f>N8*(1-'Perdas e Vazões de Água'!$F8)</f>
        <v>10.403181658170201</v>
      </c>
      <c r="Q8" s="122">
        <f>$U$3/(1-'Perdas e Vazões de Água'!D8)*30.4375/1000</f>
        <v>22.169130876650197</v>
      </c>
      <c r="R8" s="122">
        <f>Q8*(1-'Perdas e Vazões de Água'!D8)</f>
        <v>13.744861143523122</v>
      </c>
      <c r="S8" s="122">
        <f>Q8*(1-'Perdas e Vazões de Água'!$F8)</f>
        <v>11.82279749651755</v>
      </c>
      <c r="T8" s="122">
        <f>$V$3/(1-'Perdas e Vazões de Água'!D8)*30.4375/1000</f>
        <v>110.73661963025168</v>
      </c>
      <c r="U8" s="122">
        <f>T8*(1-'Perdas e Vazões de Água'!D8)</f>
        <v>68.656704170756043</v>
      </c>
      <c r="V8" s="122">
        <f>T8*(1-'Perdas e Vazões de Água'!$F8)</f>
        <v>59.055839248813221</v>
      </c>
      <c r="W8" s="122">
        <f>$W$3/(1-'Perdas e Vazões de Água'!D8)*30.4375/1000</f>
        <v>94.451850658332106</v>
      </c>
      <c r="X8" s="122">
        <f>W8*(1-'Perdas e Vazões de Água'!D8)</f>
        <v>58.560147408165903</v>
      </c>
      <c r="Y8" s="122">
        <f>W8*(1-'Perdas e Vazões de Água'!$F8)</f>
        <v>50.37117195608851</v>
      </c>
      <c r="Z8" s="122">
        <f>$X$3/(1-'Perdas e Vazões de Água'!D8)*30.4375/1000</f>
        <v>15.893602359155485</v>
      </c>
      <c r="AA8" s="122">
        <f>Z8*(1-'Perdas e Vazões de Água'!D8)</f>
        <v>9.8540334626764015</v>
      </c>
      <c r="AB8" s="122">
        <f>Z8*(1-'Perdas e Vazões de Água'!$F8)</f>
        <v>8.4760581381376205</v>
      </c>
      <c r="AC8" s="123">
        <f>P8*'Economais e Ligações Água'!D8</f>
        <v>158631.77744793749</v>
      </c>
      <c r="AD8" s="123">
        <f>S8*'Economais e Ligações Água'!G8</f>
        <v>14075.513331504004</v>
      </c>
      <c r="AE8" s="123">
        <f>V8*'Economais e Ligações Água'!J8</f>
        <v>7059.2988004461376</v>
      </c>
      <c r="AF8" s="123">
        <f>Y8*'Economais e Ligações Água'!M8</f>
        <v>4564.4341179729163</v>
      </c>
      <c r="AG8" s="123">
        <f>AB8*'Economais e Ligações Água'!P8</f>
        <v>1372.7145675876639</v>
      </c>
      <c r="AH8" s="123">
        <f t="shared" ref="AH8:AH45" si="0">SUM(AC8:AG8)</f>
        <v>185703.73826544822</v>
      </c>
      <c r="AI8" s="123">
        <f>O8*'Economais e Ligações Água'!D8</f>
        <v>184420.96759370196</v>
      </c>
      <c r="AJ8" s="123">
        <f>R8*'Economais e Ligações Água'!G8</f>
        <v>16363.806985810017</v>
      </c>
      <c r="AK8" s="123">
        <f>U8*'Economais e Ligações Água'!J8</f>
        <v>8206.9477897554953</v>
      </c>
      <c r="AL8" s="123">
        <f>X8*'Economais e Ligações Água'!M8</f>
        <v>5306.4863175383616</v>
      </c>
      <c r="AM8" s="123">
        <f>AA8*'Economais e Ligações Água'!P8</f>
        <v>1595.8804273473686</v>
      </c>
      <c r="AN8" s="123">
        <f t="shared" ref="AN8:AN45" si="1">AI8+AJ8+AK8+AL8+AM8</f>
        <v>215894.08911415323</v>
      </c>
      <c r="AO8" s="120">
        <f>AP8/(1-'Perdas e Vazões de Água'!D8)</f>
        <v>20.713553982116451</v>
      </c>
      <c r="AP8" s="120">
        <f>SUM(AI8:AM8)/'Economais e Ligações Água'!S8</f>
        <v>12.842403468912199</v>
      </c>
      <c r="AQ8" s="120">
        <f>AP8-('Perdas e Vazões de Água'!E8*AO8)</f>
        <v>11.046538338662703</v>
      </c>
      <c r="AR8" s="120">
        <f>AS8/(1-'Perdas e Vazões de Água'!D8)</f>
        <v>27.394754044237256</v>
      </c>
      <c r="AS8" s="120">
        <f>SUM(AI8:AM8)/'Economais e Ligações Água'!T8</f>
        <v>16.984747507427098</v>
      </c>
      <c r="AT8" s="120">
        <f>AR8*(1-'Perdas e Vazões de Água'!F8)</f>
        <v>14.609622331791728</v>
      </c>
      <c r="AU8" s="120">
        <f>AO8*'Economais e Ligações Água'!S8*12</f>
        <v>4178595.273177159</v>
      </c>
      <c r="AV8" s="120">
        <f>AP8*'Economais e Ligações Água'!S8*12</f>
        <v>2590729.0693698386</v>
      </c>
      <c r="AW8" s="120">
        <f>AQ8*'Economais e Ligações Água'!S8*12</f>
        <v>2228444.859185379</v>
      </c>
    </row>
    <row r="9" spans="2:49" x14ac:dyDescent="0.15">
      <c r="B9" s="147">
        <f>População!B9</f>
        <v>-2</v>
      </c>
      <c r="C9" s="109">
        <f>População!C9</f>
        <v>2023</v>
      </c>
      <c r="D9" s="121">
        <f>(E9/(1-'Perdas e Vazões de Água'!D9))</f>
        <v>232.64579036189761</v>
      </c>
      <c r="E9" s="121">
        <f t="shared" ref="E9:E45" si="2">E8</f>
        <v>144.24039002437652</v>
      </c>
      <c r="F9" s="121">
        <f>E9-(D9*'Perdas e Vazões de Água'!E9)</f>
        <v>124.07</v>
      </c>
      <c r="G9" s="121">
        <f>ROUND(AU9/12/30.4375/'Atendimento '!H9*1000,2)</f>
        <v>272.39999999999998</v>
      </c>
      <c r="H9" s="121">
        <f>ROUND(AV9/12/30.4375/'Atendimento '!H9*1000,2)</f>
        <v>168.89</v>
      </c>
      <c r="I9" s="146">
        <f>ROUND(AW9/12/30.4375/'Atendimento '!H9*1000,2)</f>
        <v>145.27000000000001</v>
      </c>
      <c r="K9" s="40"/>
      <c r="L9" s="109">
        <f>População!B9</f>
        <v>-2</v>
      </c>
      <c r="M9" s="109">
        <f>População!C9</f>
        <v>2023</v>
      </c>
      <c r="N9" s="121">
        <f>D9*30.4375*Imóveis!J9/1000</f>
        <v>19.2948080418149</v>
      </c>
      <c r="O9" s="121">
        <f>N9*(1-'Perdas e Vazões de Água'!D9)</f>
        <v>11.962780985925237</v>
      </c>
      <c r="P9" s="124">
        <f>N9*(1-'Perdas e Vazões de Água'!$F9)</f>
        <v>10.289921128699886</v>
      </c>
      <c r="Q9" s="124">
        <f>$U$3/(1-'Perdas e Vazões de Água'!D9)*30.4375/1000</f>
        <v>22.169130876650197</v>
      </c>
      <c r="R9" s="124">
        <f>Q9*(1-'Perdas e Vazões de Água'!D9)</f>
        <v>13.744861143523122</v>
      </c>
      <c r="S9" s="124">
        <f>Q9*(1-'Perdas e Vazões de Água'!$F9)</f>
        <v>11.82279749651755</v>
      </c>
      <c r="T9" s="124">
        <f>$V$3/(1-'Perdas e Vazões de Água'!D9)*30.4375/1000</f>
        <v>110.73661963025168</v>
      </c>
      <c r="U9" s="124">
        <f>T9*(1-'Perdas e Vazões de Água'!D9)</f>
        <v>68.656704170756043</v>
      </c>
      <c r="V9" s="124">
        <f>T9*(1-'Perdas e Vazões de Água'!$F9)</f>
        <v>59.055839248813221</v>
      </c>
      <c r="W9" s="124">
        <f>$W$3/(1-'Perdas e Vazões de Água'!D9)*30.4375/1000</f>
        <v>94.451850658332106</v>
      </c>
      <c r="X9" s="124">
        <f>W9*(1-'Perdas e Vazões de Água'!D9)</f>
        <v>58.560147408165903</v>
      </c>
      <c r="Y9" s="124">
        <f>W9*(1-'Perdas e Vazões de Água'!$F9)</f>
        <v>50.37117195608851</v>
      </c>
      <c r="Z9" s="124">
        <f>$X$3/(1-'Perdas e Vazões de Água'!D9)*30.4375/1000</f>
        <v>15.893602359155485</v>
      </c>
      <c r="AA9" s="124">
        <f>Z9*(1-'Perdas e Vazões de Água'!D9)</f>
        <v>9.8540334626764015</v>
      </c>
      <c r="AB9" s="124">
        <f>Z9*(1-'Perdas e Vazões de Água'!$F9)</f>
        <v>8.4760581381376205</v>
      </c>
      <c r="AC9" s="125">
        <f>P9*'Economais e Ligações Água'!D9</f>
        <v>160952.79210181089</v>
      </c>
      <c r="AD9" s="125">
        <f>S9*'Economais e Ligações Água'!G9</f>
        <v>14280.662513663578</v>
      </c>
      <c r="AE9" s="125">
        <f>V9*'Economais e Ligações Água'!J9</f>
        <v>7173.1584585178489</v>
      </c>
      <c r="AF9" s="125">
        <f>Y9*'Economais e Ligações Água'!M9</f>
        <v>4661.5497375042551</v>
      </c>
      <c r="AG9" s="125">
        <f>AB9*'Economais e Ligações Água'!P9</f>
        <v>1389.0564076779933</v>
      </c>
      <c r="AH9" s="125">
        <f t="shared" si="0"/>
        <v>188457.21921917456</v>
      </c>
      <c r="AI9" s="125">
        <f>O9*'Economais e Ligações Água'!D9</f>
        <v>187119.31577559112</v>
      </c>
      <c r="AJ9" s="125">
        <f>R9*'Economais e Ligações Água'!G9</f>
        <v>16602.307816372431</v>
      </c>
      <c r="AK9" s="125">
        <f>U9*'Economais e Ligações Água'!J9</f>
        <v>8339.3179153967121</v>
      </c>
      <c r="AL9" s="125">
        <f>X9*'Economais e Ligações Água'!M9</f>
        <v>5419.3902817413054</v>
      </c>
      <c r="AM9" s="125">
        <f>AA9*'Economais e Ligações Água'!P9</f>
        <v>1614.8790038634086</v>
      </c>
      <c r="AN9" s="125">
        <f t="shared" si="1"/>
        <v>219095.21079296496</v>
      </c>
      <c r="AO9" s="121">
        <f>AP9/(1-'Perdas e Vazões de Água'!D9)</f>
        <v>20.512432044118622</v>
      </c>
      <c r="AP9" s="121">
        <f>SUM(AI9:AM9)/'Economais e Ligações Água'!S9</f>
        <v>12.717707867353546</v>
      </c>
      <c r="AQ9" s="121">
        <f>AP9-('Perdas e Vazões de Água'!E9*AO9)</f>
        <v>10.939280009128462</v>
      </c>
      <c r="AR9" s="121">
        <f>AS9/(1-'Perdas e Vazões de Água'!D9)</f>
        <v>27.131132520938596</v>
      </c>
      <c r="AS9" s="121">
        <f>SUM(AI9:AM9)/'Economais e Ligações Água'!T9</f>
        <v>16.821302162981929</v>
      </c>
      <c r="AT9" s="121">
        <f>AR9*(1-'Perdas e Vazões de Água'!F9)</f>
        <v>14.469032973416553</v>
      </c>
      <c r="AU9" s="121">
        <f>AO9*'Economais e Ligações Água'!S9*12</f>
        <v>4240552.4669606127</v>
      </c>
      <c r="AV9" s="121">
        <f>AP9*'Economais e Ligações Água'!S9*12</f>
        <v>2629142.5295155793</v>
      </c>
      <c r="AW9" s="121">
        <f>AQ9*'Economais e Ligações Água'!S9*12</f>
        <v>2261486.6306300946</v>
      </c>
    </row>
    <row r="10" spans="2:49" x14ac:dyDescent="0.15">
      <c r="B10" s="147">
        <f>População!B10</f>
        <v>-1</v>
      </c>
      <c r="C10" s="109">
        <f>População!C10</f>
        <v>2024</v>
      </c>
      <c r="D10" s="121">
        <f>(E10/(1-'Perdas e Vazões de Água'!D10))</f>
        <v>232.64579036189761</v>
      </c>
      <c r="E10" s="121">
        <f t="shared" si="2"/>
        <v>144.24039002437652</v>
      </c>
      <c r="F10" s="121">
        <f>E10-(D10*'Perdas e Vazões de Água'!E10)</f>
        <v>124.07</v>
      </c>
      <c r="G10" s="121">
        <f>ROUND(AU10/12/30.4375/'Atendimento '!H10*1000,2)</f>
        <v>272.41000000000003</v>
      </c>
      <c r="H10" s="121">
        <f>ROUND(AV10/12/30.4375/'Atendimento '!H10*1000,2)</f>
        <v>168.9</v>
      </c>
      <c r="I10" s="146">
        <f>ROUND(AW10/12/30.4375/'Atendimento '!H10*1000,2)</f>
        <v>145.28</v>
      </c>
      <c r="K10" s="40"/>
      <c r="L10" s="109">
        <f>População!B10</f>
        <v>-1</v>
      </c>
      <c r="M10" s="109">
        <f>População!C10</f>
        <v>2024</v>
      </c>
      <c r="N10" s="121">
        <f>D10*30.4375*Imóveis!J10/1000</f>
        <v>19.085868837307462</v>
      </c>
      <c r="O10" s="121">
        <f>N10*(1-'Perdas e Vazões de Água'!D10)</f>
        <v>11.833238679130627</v>
      </c>
      <c r="P10" s="124">
        <f>N10*(1-'Perdas e Vazões de Água'!$F10)</f>
        <v>10.17849385093607</v>
      </c>
      <c r="Q10" s="124">
        <f>$U$3/(1-'Perdas e Vazões de Água'!D10)*30.4375/1000</f>
        <v>22.169130876650197</v>
      </c>
      <c r="R10" s="124">
        <f>Q10*(1-'Perdas e Vazões de Água'!D10)</f>
        <v>13.744861143523122</v>
      </c>
      <c r="S10" s="124">
        <f>Q10*(1-'Perdas e Vazões de Água'!$F10)</f>
        <v>11.82279749651755</v>
      </c>
      <c r="T10" s="124">
        <f>$V$3/(1-'Perdas e Vazões de Água'!D10)*30.4375/1000</f>
        <v>110.73661963025168</v>
      </c>
      <c r="U10" s="124">
        <f>T10*(1-'Perdas e Vazões de Água'!D10)</f>
        <v>68.656704170756043</v>
      </c>
      <c r="V10" s="124">
        <f>T10*(1-'Perdas e Vazões de Água'!$F10)</f>
        <v>59.055839248813221</v>
      </c>
      <c r="W10" s="124">
        <f>$W$3/(1-'Perdas e Vazões de Água'!D10)*30.4375/1000</f>
        <v>94.451850658332106</v>
      </c>
      <c r="X10" s="124">
        <f>W10*(1-'Perdas e Vazões de Água'!D10)</f>
        <v>58.560147408165903</v>
      </c>
      <c r="Y10" s="124">
        <f>W10*(1-'Perdas e Vazões de Água'!$F10)</f>
        <v>50.37117195608851</v>
      </c>
      <c r="Z10" s="124">
        <f>$X$3/(1-'Perdas e Vazões de Água'!D10)*30.4375/1000</f>
        <v>15.893602359155485</v>
      </c>
      <c r="AA10" s="124">
        <f>Z10*(1-'Perdas e Vazões de Água'!D10)</f>
        <v>9.8540334626764015</v>
      </c>
      <c r="AB10" s="124">
        <f>Z10*(1-'Perdas e Vazões de Água'!$F10)</f>
        <v>8.4760581381376205</v>
      </c>
      <c r="AC10" s="125">
        <f>P10*'Economais e Ligações Água'!D10</f>
        <v>163204.87026783658</v>
      </c>
      <c r="AD10" s="125">
        <f>S10*'Economais e Ligações Água'!G10</f>
        <v>14485.811695823148</v>
      </c>
      <c r="AE10" s="125">
        <f>V10*'Economais e Ligações Água'!J10</f>
        <v>7287.018116589561</v>
      </c>
      <c r="AF10" s="125">
        <f>Y10*'Economais e Ligações Água'!M10</f>
        <v>4710.107547269924</v>
      </c>
      <c r="AG10" s="125">
        <f>AB10*'Economais e Ligações Água'!P10</f>
        <v>1413.5691678134872</v>
      </c>
      <c r="AH10" s="125">
        <f t="shared" si="0"/>
        <v>191101.3767953327</v>
      </c>
      <c r="AI10" s="125">
        <f>O10*'Economais e Ligações Água'!D10</f>
        <v>189737.52028137763</v>
      </c>
      <c r="AJ10" s="125">
        <f>R10*'Economais e Ligações Água'!G10</f>
        <v>16840.808646934842</v>
      </c>
      <c r="AK10" s="125">
        <f>U10*'Economais e Ligações Água'!J10</f>
        <v>8471.688041037929</v>
      </c>
      <c r="AL10" s="125">
        <f>X10*'Economais e Ligações Água'!M10</f>
        <v>5475.8422638427774</v>
      </c>
      <c r="AM10" s="125">
        <f>AA10*'Economais e Ligações Água'!P10</f>
        <v>1643.3768686374688</v>
      </c>
      <c r="AN10" s="125">
        <f t="shared" si="1"/>
        <v>222169.23610183067</v>
      </c>
      <c r="AO10" s="121">
        <f>AP10/(1-'Perdas e Vazões de Água'!D10)</f>
        <v>20.310230529970347</v>
      </c>
      <c r="AP10" s="121">
        <f>SUM(AI10:AM10)/'Economais e Ligações Água'!S10</f>
        <v>12.592342928581616</v>
      </c>
      <c r="AQ10" s="121">
        <f>AP10-('Perdas e Vazões de Água'!E10*AO10)</f>
        <v>10.831445941633186</v>
      </c>
      <c r="AR10" s="121">
        <f>AS10/(1-'Perdas e Vazões de Água'!D10)</f>
        <v>26.865892785738879</v>
      </c>
      <c r="AS10" s="121">
        <f>SUM(AI10:AM10)/'Economais e Ligações Água'!T10</f>
        <v>16.656853527158106</v>
      </c>
      <c r="AT10" s="121">
        <f>AR10*(1-'Perdas e Vazões de Água'!F10)</f>
        <v>14.327580622634544</v>
      </c>
      <c r="AU10" s="121">
        <f>AO10*'Economais e Ligações Água'!S10*12</f>
        <v>4300049.7310031746</v>
      </c>
      <c r="AV10" s="121">
        <f>AP10*'Economais e Ligações Água'!S10*12</f>
        <v>2666030.8332219683</v>
      </c>
      <c r="AW10" s="121">
        <f>AQ10*'Economais e Ligações Água'!S10*12</f>
        <v>2293216.5215439927</v>
      </c>
    </row>
    <row r="11" spans="2:49" s="153" customFormat="1" x14ac:dyDescent="0.15">
      <c r="B11" s="144" t="str">
        <f>População!B11</f>
        <v>Base</v>
      </c>
      <c r="C11" s="101">
        <f>População!C11</f>
        <v>2025</v>
      </c>
      <c r="D11" s="120">
        <f>(E11/(1-'Perdas e Vazões de Água'!D11))</f>
        <v>232.64579036189761</v>
      </c>
      <c r="E11" s="120">
        <f t="shared" si="2"/>
        <v>144.24039002437652</v>
      </c>
      <c r="F11" s="120">
        <f>E11-(D11*'Perdas e Vazões de Água'!E11)</f>
        <v>124.07</v>
      </c>
      <c r="G11" s="120">
        <f>ROUND(AU11/12/30.4375/'Atendimento '!H11*1000,2)</f>
        <v>272.33</v>
      </c>
      <c r="H11" s="120">
        <f>ROUND(AV11/12/30.4375/'Atendimento '!H11*1000,2)</f>
        <v>168.85</v>
      </c>
      <c r="I11" s="145">
        <f>ROUND(AW11/12/30.4375/'Atendimento '!H11*1000,2)</f>
        <v>145.24</v>
      </c>
      <c r="K11" s="39"/>
      <c r="L11" s="101" t="str">
        <f>População!B11</f>
        <v>Base</v>
      </c>
      <c r="M11" s="101">
        <f>População!C11</f>
        <v>2025</v>
      </c>
      <c r="N11" s="120">
        <f>D11*30.4375*Imóveis!J11/1000</f>
        <v>18.880649154881365</v>
      </c>
      <c r="O11" s="120">
        <f>N11*(1-'Perdas e Vazões de Água'!D11)</f>
        <v>11.706002476026447</v>
      </c>
      <c r="P11" s="122">
        <f>N11*(1-'Perdas e Vazões de Água'!$F11)</f>
        <v>10.069050194298232</v>
      </c>
      <c r="Q11" s="122">
        <f>$U$3/(1-'Perdas e Vazões de Água'!D11)*30.4375/1000</f>
        <v>22.169130876650197</v>
      </c>
      <c r="R11" s="122">
        <f>Q11*(1-'Perdas e Vazões de Água'!D11)</f>
        <v>13.744861143523122</v>
      </c>
      <c r="S11" s="122">
        <f>Q11*(1-'Perdas e Vazões de Água'!$F11)</f>
        <v>11.82279749651755</v>
      </c>
      <c r="T11" s="122">
        <f>$V$3/(1-'Perdas e Vazões de Água'!D11)*30.4375/1000</f>
        <v>110.73661963025168</v>
      </c>
      <c r="U11" s="122">
        <f>T11*(1-'Perdas e Vazões de Água'!D11)</f>
        <v>68.656704170756043</v>
      </c>
      <c r="V11" s="122">
        <f>T11*(1-'Perdas e Vazões de Água'!$F11)</f>
        <v>59.055839248813221</v>
      </c>
      <c r="W11" s="122">
        <f>$W$3/(1-'Perdas e Vazões de Água'!D11)*30.4375/1000</f>
        <v>94.451850658332106</v>
      </c>
      <c r="X11" s="122">
        <f>W11*(1-'Perdas e Vazões de Água'!D11)</f>
        <v>58.560147408165903</v>
      </c>
      <c r="Y11" s="122">
        <f>W11*(1-'Perdas e Vazões de Água'!$F11)</f>
        <v>50.37117195608851</v>
      </c>
      <c r="Z11" s="122">
        <f>$X$3/(1-'Perdas e Vazões de Água'!D11)*30.4375/1000</f>
        <v>15.893602359155485</v>
      </c>
      <c r="AA11" s="122">
        <f>Z11*(1-'Perdas e Vazões de Água'!D11)</f>
        <v>9.8540334626764015</v>
      </c>
      <c r="AB11" s="122">
        <f>Z11*(1-'Perdas e Vazões de Água'!$F11)</f>
        <v>8.4760581381376205</v>
      </c>
      <c r="AC11" s="123">
        <f>P11*'Economais e Ligações Água'!D11</f>
        <v>165387.90462895494</v>
      </c>
      <c r="AD11" s="123">
        <f>S11*'Economais e Ligações Água'!G11</f>
        <v>14679.563701196079</v>
      </c>
      <c r="AE11" s="123">
        <f>V11*'Economais e Ligações Água'!J11</f>
        <v>7343.9479456254167</v>
      </c>
      <c r="AF11" s="123">
        <f>Y11*'Economais e Ligações Água'!M11</f>
        <v>4758.6653570355938</v>
      </c>
      <c r="AG11" s="123">
        <f>AB11*'Economais e Ligações Água'!P11</f>
        <v>1429.9110079038164</v>
      </c>
      <c r="AH11" s="123">
        <f t="shared" si="0"/>
        <v>193599.99264071582</v>
      </c>
      <c r="AI11" s="123">
        <f>O11*'Economais e Ligações Água'!D11</f>
        <v>192275.45634718184</v>
      </c>
      <c r="AJ11" s="123">
        <f>R11*'Economais e Ligações Água'!G11</f>
        <v>17066.059431354901</v>
      </c>
      <c r="AK11" s="123">
        <f>U11*'Economais e Ligações Água'!J11</f>
        <v>8537.8731038585374</v>
      </c>
      <c r="AL11" s="123">
        <f>X11*'Economais e Ligações Água'!M11</f>
        <v>5532.2942459442493</v>
      </c>
      <c r="AM11" s="123">
        <f>AA11*'Economais e Ligações Água'!P11</f>
        <v>1662.3754451535087</v>
      </c>
      <c r="AN11" s="123">
        <f t="shared" si="1"/>
        <v>225074.05857349301</v>
      </c>
      <c r="AO11" s="120">
        <f>AP11/(1-'Perdas e Vazões de Água'!D11)</f>
        <v>20.107010037480052</v>
      </c>
      <c r="AP11" s="120">
        <f>SUM(AI11:AM11)/'Economais e Ligações Água'!S11</f>
        <v>12.466346223237633</v>
      </c>
      <c r="AQ11" s="120">
        <f>AP11-('Perdas e Vazões de Água'!E11*AO11)</f>
        <v>10.723068452988112</v>
      </c>
      <c r="AR11" s="120">
        <f>AS11/(1-'Perdas e Vazões de Água'!D11)</f>
        <v>26.600048218408165</v>
      </c>
      <c r="AS11" s="120">
        <f>SUM(AI11:AM11)/'Economais e Ligações Água'!T11</f>
        <v>16.492029895413062</v>
      </c>
      <c r="AT11" s="120">
        <f>AR11*(1-'Perdas e Vazões de Água'!F11)</f>
        <v>14.185805714877075</v>
      </c>
      <c r="AU11" s="120">
        <f>AO11*'Economais e Ligações Água'!S11*12</f>
        <v>4356272.1014224449</v>
      </c>
      <c r="AV11" s="120">
        <f>AP11*'Economais e Ligações Água'!S11*12</f>
        <v>2700888.7028819164</v>
      </c>
      <c r="AW11" s="120">
        <f>AQ11*'Economais e Ligações Água'!S11*12</f>
        <v>2323199.9116885904</v>
      </c>
    </row>
    <row r="12" spans="2:49" x14ac:dyDescent="0.15">
      <c r="B12" s="147">
        <f>População!B12</f>
        <v>0</v>
      </c>
      <c r="C12" s="109">
        <f>População!C12</f>
        <v>2026</v>
      </c>
      <c r="D12" s="121">
        <f>(E12/(1-'Perdas e Vazões de Água'!D12))</f>
        <v>233.77696924534283</v>
      </c>
      <c r="E12" s="121">
        <f t="shared" si="2"/>
        <v>144.24039002437652</v>
      </c>
      <c r="F12" s="121">
        <f>E12-(D12*'Perdas e Vazões de Água'!E12)</f>
        <v>124.67325769854133</v>
      </c>
      <c r="G12" s="121">
        <f>ROUND(AU12/12/30.4375/'Atendimento '!H12*1000,2)</f>
        <v>273.72000000000003</v>
      </c>
      <c r="H12" s="121">
        <f>ROUND(AV12/12/30.4375/'Atendimento '!H12*1000,2)</f>
        <v>168.89</v>
      </c>
      <c r="I12" s="146">
        <f>ROUND(AW12/12/30.4375/'Atendimento '!H12*1000,2)</f>
        <v>145.97999999999999</v>
      </c>
      <c r="K12" s="40"/>
      <c r="L12" s="109">
        <f>População!B12</f>
        <v>0</v>
      </c>
      <c r="M12" s="109">
        <f>População!C12</f>
        <v>2026</v>
      </c>
      <c r="N12" s="121">
        <f>D12*30.4375*Imóveis!J12/1000</f>
        <v>18.770219182565373</v>
      </c>
      <c r="O12" s="121">
        <f>N12*(1-'Perdas e Vazões de Água'!D12)</f>
        <v>11.581225235642835</v>
      </c>
      <c r="P12" s="124">
        <f>N12*(1-'Perdas e Vazões de Água'!$F12)</f>
        <v>10.010157890062114</v>
      </c>
      <c r="Q12" s="124">
        <f>$U$3/(1-'Perdas e Vazões de Água'!D12)*30.4375/1000</f>
        <v>22.276922436828396</v>
      </c>
      <c r="R12" s="124">
        <f>Q12*(1-'Perdas e Vazões de Água'!D12)</f>
        <v>13.744861143523121</v>
      </c>
      <c r="S12" s="124">
        <f>Q12*(1-'Perdas e Vazões de Água'!$F12)</f>
        <v>11.880282735560584</v>
      </c>
      <c r="T12" s="124">
        <f>$V$3/(1-'Perdas e Vazões de Água'!D12)*30.4375/1000</f>
        <v>111.27504727837285</v>
      </c>
      <c r="U12" s="124">
        <f>T12*(1-'Perdas e Vazões de Água'!D12)</f>
        <v>68.656704170756043</v>
      </c>
      <c r="V12" s="124">
        <f>T12*(1-'Perdas e Vazões de Água'!$F12)</f>
        <v>59.342982713556239</v>
      </c>
      <c r="W12" s="124">
        <f>$W$3/(1-'Perdas e Vazões de Água'!D12)*30.4375/1000</f>
        <v>94.911097906265638</v>
      </c>
      <c r="X12" s="124">
        <f>W12*(1-'Perdas e Vazões de Água'!D12)</f>
        <v>58.560147408165896</v>
      </c>
      <c r="Y12" s="124">
        <f>W12*(1-'Perdas e Vazões de Água'!$F12)</f>
        <v>50.616088513411462</v>
      </c>
      <c r="Z12" s="124">
        <f>$X$3/(1-'Perdas e Vazões de Água'!D12)*30.4375/1000</f>
        <v>15.970880814710533</v>
      </c>
      <c r="AA12" s="124">
        <f>Z12*(1-'Perdas e Vazões de Água'!D12)</f>
        <v>9.8540334626763979</v>
      </c>
      <c r="AB12" s="124">
        <f>Z12*(1-'Perdas e Vazões de Água'!$F12)</f>
        <v>8.5172707384851272</v>
      </c>
      <c r="AC12" s="125">
        <f>P12*'Economais e Ligações Água'!D12</f>
        <v>168316.41417057734</v>
      </c>
      <c r="AD12" s="125">
        <f>S12*'Economais e Ligações Água'!G12</f>
        <v>14934.180694432845</v>
      </c>
      <c r="AE12" s="125">
        <f>V12*'Economais e Ligações Água'!J12</f>
        <v>7494.0692289987355</v>
      </c>
      <c r="AF12" s="125">
        <f>Y12*'Economais e Ligações Água'!M12</f>
        <v>4879.3909326928642</v>
      </c>
      <c r="AG12" s="125">
        <f>AB12*'Economais e Ligações Água'!P12</f>
        <v>1453.2848715662401</v>
      </c>
      <c r="AH12" s="125">
        <f t="shared" si="0"/>
        <v>197077.33989826799</v>
      </c>
      <c r="AI12" s="125">
        <f>O12*'Economais e Ligações Água'!D12</f>
        <v>194733.22246999101</v>
      </c>
      <c r="AJ12" s="125">
        <f>R12*'Economais e Ligações Água'!G12</f>
        <v>17278.060169632601</v>
      </c>
      <c r="AK12" s="125">
        <f>U12*'Economais e Ligações Água'!J12</f>
        <v>8670.2432294997561</v>
      </c>
      <c r="AL12" s="125">
        <f>X12*'Economais e Ligações Água'!M12</f>
        <v>5645.1982101471922</v>
      </c>
      <c r="AM12" s="125">
        <f>AA12*'Economais e Ligações Água'!P12</f>
        <v>1681.3740216695483</v>
      </c>
      <c r="AN12" s="125">
        <f t="shared" si="1"/>
        <v>228008.09810094011</v>
      </c>
      <c r="AO12" s="121">
        <f>AP12/(1-'Perdas e Vazões de Água'!D12)</f>
        <v>20.013242473836577</v>
      </c>
      <c r="AP12" s="121">
        <f>SUM(AI12:AM12)/'Economais e Ligações Água'!S12</f>
        <v>12.348170606357169</v>
      </c>
      <c r="AQ12" s="121">
        <f>AP12-('Perdas e Vazões de Água'!E12*AO12)</f>
        <v>10.673062211297047</v>
      </c>
      <c r="AR12" s="121">
        <f>AS12/(1-'Perdas e Vazões de Água'!D12)</f>
        <v>26.478005404076686</v>
      </c>
      <c r="AS12" s="121">
        <f>SUM(AI12:AM12)/'Economais e Ligações Água'!T12</f>
        <v>16.336929334315315</v>
      </c>
      <c r="AT12" s="121">
        <f>AR12*(1-'Perdas e Vazões de Água'!F12)</f>
        <v>14.120720281994096</v>
      </c>
      <c r="AU12" s="121">
        <f>AO12*'Economais e Ligações Água'!S12*12</f>
        <v>4434517.3050425947</v>
      </c>
      <c r="AV12" s="121">
        <f>AP12*'Economais e Ligações Água'!S12*12</f>
        <v>2736097.1772112814</v>
      </c>
      <c r="AW12" s="121">
        <f>AQ12*'Economais e Ligações Água'!S12*12</f>
        <v>2364928.0787792164</v>
      </c>
    </row>
    <row r="13" spans="2:49" s="153" customFormat="1" x14ac:dyDescent="0.15">
      <c r="B13" s="144">
        <f>População!B13</f>
        <v>1</v>
      </c>
      <c r="C13" s="101">
        <f>População!C13</f>
        <v>2027</v>
      </c>
      <c r="D13" s="120">
        <f>(E13/(1-'Perdas e Vazões de Água'!D13))</f>
        <v>220.6127648171589</v>
      </c>
      <c r="E13" s="120">
        <f t="shared" si="2"/>
        <v>144.24039002437652</v>
      </c>
      <c r="F13" s="120">
        <f>E13-(D13*'Perdas e Vazões de Água'!E13)</f>
        <v>126.43693990363181</v>
      </c>
      <c r="G13" s="120">
        <f>ROUND(AU13/12/30.4375/'Atendimento '!H13*1000,2)</f>
        <v>258.32</v>
      </c>
      <c r="H13" s="120">
        <f>ROUND(AV13/12/30.4375/'Atendimento '!H13*1000,2)</f>
        <v>168.9</v>
      </c>
      <c r="I13" s="145">
        <f>ROUND(AW13/12/30.4375/'Atendimento '!H13*1000,2)</f>
        <v>148.05000000000001</v>
      </c>
      <c r="K13" s="39"/>
      <c r="L13" s="101">
        <f>População!B13</f>
        <v>1</v>
      </c>
      <c r="M13" s="101">
        <f>População!C13</f>
        <v>2027</v>
      </c>
      <c r="N13" s="120">
        <f>D13*30.4375*Imóveis!J13/1000</f>
        <v>17.526369015500773</v>
      </c>
      <c r="O13" s="120">
        <f>N13*(1-'Perdas e Vazões de Água'!D13)</f>
        <v>11.459039120434227</v>
      </c>
      <c r="P13" s="122">
        <f>N13*(1-'Perdas e Vazões de Água'!$F13)</f>
        <v>10.044661140883315</v>
      </c>
      <c r="Q13" s="122">
        <f>$U$3/(1-'Perdas e Vazões de Água'!D13)*30.4375/1000</f>
        <v>21.022487656807613</v>
      </c>
      <c r="R13" s="122">
        <f>Q13*(1-'Perdas e Vazões de Água'!D13)</f>
        <v>13.744861143523119</v>
      </c>
      <c r="S13" s="122">
        <f>Q13*(1-'Perdas e Vazões de Água'!$F13)</f>
        <v>12.048346389618745</v>
      </c>
      <c r="T13" s="122">
        <f>$V$3/(1-'Perdas e Vazões de Água'!D13)*30.4375/1000</f>
        <v>105.00904308276274</v>
      </c>
      <c r="U13" s="122">
        <f>T13*(1-'Perdas e Vazões de Água'!D13)</f>
        <v>68.656704170756043</v>
      </c>
      <c r="V13" s="122">
        <f>T13*(1-'Perdas e Vazões de Água'!$F13)</f>
        <v>60.182474393977095</v>
      </c>
      <c r="W13" s="122">
        <f>$W$3/(1-'Perdas e Vazões de Água'!D13)*30.4375/1000</f>
        <v>89.566563329678601</v>
      </c>
      <c r="X13" s="122">
        <f>W13*(1-'Perdas e Vazões de Água'!D13)</f>
        <v>58.560147408165903</v>
      </c>
      <c r="Y13" s="122">
        <f>W13*(1-'Perdas e Vazões de Água'!$F13)</f>
        <v>51.332125747460843</v>
      </c>
      <c r="Z13" s="122">
        <f>$X$3/(1-'Perdas e Vazões de Água'!D13)*30.4375/1000</f>
        <v>15.071545261590394</v>
      </c>
      <c r="AA13" s="122">
        <f>Z13*(1-'Perdas e Vazões de Água'!D13)</f>
        <v>9.8540334626763997</v>
      </c>
      <c r="AB13" s="122">
        <f>Z13*(1-'Perdas e Vazões de Água'!$F13)</f>
        <v>8.6377597600660554</v>
      </c>
      <c r="AC13" s="123">
        <f>P13*'Economais e Ligações Água'!D13</f>
        <v>172781.89477414038</v>
      </c>
      <c r="AD13" s="123">
        <f>S13*'Economais e Ligações Água'!G13</f>
        <v>15331.27981386206</v>
      </c>
      <c r="AE13" s="123">
        <f>V13*'Economais e Ligações Água'!J13</f>
        <v>7716.1154070005905</v>
      </c>
      <c r="AF13" s="123">
        <f>Y13*'Economais e Ligações Água'!M13</f>
        <v>4997.9010912757767</v>
      </c>
      <c r="AG13" s="123">
        <f>AB13*'Economais e Ligações Água'!P13</f>
        <v>1490.497273157958</v>
      </c>
      <c r="AH13" s="123">
        <f t="shared" si="0"/>
        <v>202317.68835943675</v>
      </c>
      <c r="AI13" s="123">
        <f>O13*'Economais e Ligações Água'!D13</f>
        <v>197111.12836460638</v>
      </c>
      <c r="AJ13" s="123">
        <f>R13*'Economais e Ligações Água'!G13</f>
        <v>17490.060907910298</v>
      </c>
      <c r="AK13" s="123">
        <f>U13*'Economais e Ligações Água'!J13</f>
        <v>8802.613355140973</v>
      </c>
      <c r="AL13" s="123">
        <f>X13*'Economais e Ligações Água'!M13</f>
        <v>5701.6501922486641</v>
      </c>
      <c r="AM13" s="123">
        <f>AA13*'Economais e Ligações Água'!P13</f>
        <v>1700.3725981855887</v>
      </c>
      <c r="AN13" s="123">
        <f t="shared" si="1"/>
        <v>230805.8254180919</v>
      </c>
      <c r="AO13" s="120">
        <f>AP13/(1-'Perdas e Vazões de Água'!D13)</f>
        <v>18.705662267963845</v>
      </c>
      <c r="AP13" s="120">
        <f>SUM(AI13:AM13)/'Economais e Ligações Água'!S13</f>
        <v>12.230081171556551</v>
      </c>
      <c r="AQ13" s="120">
        <f>AP13-('Perdas e Vazões de Água'!E13*AO13)</f>
        <v>10.720534226531868</v>
      </c>
      <c r="AR13" s="120">
        <f>AS13/(1-'Perdas e Vazões de Água'!D13)</f>
        <v>24.7502003573791</v>
      </c>
      <c r="AS13" s="120">
        <f>SUM(AI13:AM13)/'Economais e Ligações Água'!T13</f>
        <v>16.18210331432353</v>
      </c>
      <c r="AT13" s="120">
        <f>AR13*(1-'Perdas e Vazões de Água'!F13)</f>
        <v>14.184762145483038</v>
      </c>
      <c r="AU13" s="120">
        <f>AO13*'Economais e Ligações Água'!S13*12</f>
        <v>4236154.2094654506</v>
      </c>
      <c r="AV13" s="120">
        <f>AP13*'Economais e Ligações Água'!S13*12</f>
        <v>2769669.9050171031</v>
      </c>
      <c r="AW13" s="120">
        <f>AQ13*'Economais e Ligações Água'!S13*12</f>
        <v>2427812.2603132408</v>
      </c>
    </row>
    <row r="14" spans="2:49" x14ac:dyDescent="0.15">
      <c r="B14" s="147">
        <f>População!B14</f>
        <v>2</v>
      </c>
      <c r="C14" s="109">
        <f>População!C14</f>
        <v>2028</v>
      </c>
      <c r="D14" s="121">
        <f>(E14/(1-'Perdas e Vazões de Água'!D14))</f>
        <v>209.88446754510244</v>
      </c>
      <c r="E14" s="121">
        <f t="shared" si="2"/>
        <v>144.24039002437652</v>
      </c>
      <c r="F14" s="121">
        <f>E14-(D14*'Perdas e Vazões de Água'!E14)</f>
        <v>127.93236689612206</v>
      </c>
      <c r="G14" s="121">
        <f>ROUND(AU14/12/30.4375/'Atendimento '!H14*1000,2)</f>
        <v>245.71</v>
      </c>
      <c r="H14" s="121">
        <f>ROUND(AV14/12/30.4375/'Atendimento '!H14*1000,2)</f>
        <v>168.86</v>
      </c>
      <c r="I14" s="146">
        <f>ROUND(AW14/12/30.4375/'Atendimento '!H14*1000,2)</f>
        <v>149.77000000000001</v>
      </c>
      <c r="K14" s="40"/>
      <c r="L14" s="109">
        <f>População!B14</f>
        <v>2</v>
      </c>
      <c r="M14" s="109">
        <f>População!C14</f>
        <v>2028</v>
      </c>
      <c r="N14" s="121">
        <f>D14*30.4375*Imóveis!J14/1000</f>
        <v>16.500210850092504</v>
      </c>
      <c r="O14" s="121">
        <f>N14*(1-'Perdas e Vazões de Água'!D14)</f>
        <v>11.339556834954212</v>
      </c>
      <c r="P14" s="124">
        <f>N14*(1-'Perdas e Vazões de Água'!$F14)</f>
        <v>10.057490451902027</v>
      </c>
      <c r="Q14" s="124">
        <f>$U$3/(1-'Perdas e Vazões de Água'!D14)*30.4375/1000</f>
        <v>20.000173752318496</v>
      </c>
      <c r="R14" s="124">
        <f>Q14*(1-'Perdas e Vazões de Água'!D14)</f>
        <v>13.744861143523121</v>
      </c>
      <c r="S14" s="124">
        <f>Q14*(1-'Perdas e Vazões de Água'!$F14)</f>
        <v>12.190847642967974</v>
      </c>
      <c r="T14" s="124">
        <f>$V$3/(1-'Perdas e Vazões de Água'!D14)*30.4375/1000</f>
        <v>99.902501621393782</v>
      </c>
      <c r="U14" s="124">
        <f>T14*(1-'Perdas e Vazões de Água'!D14)</f>
        <v>68.656704170756043</v>
      </c>
      <c r="V14" s="124">
        <f>T14*(1-'Perdas e Vazões de Água'!$F14)</f>
        <v>60.894279794773752</v>
      </c>
      <c r="W14" s="124">
        <f>$W$3/(1-'Perdas e Vazões de Água'!D14)*30.4375/1000</f>
        <v>85.210982555222301</v>
      </c>
      <c r="X14" s="124">
        <f>W14*(1-'Perdas e Vazões de Água'!D14)</f>
        <v>58.560147408165889</v>
      </c>
      <c r="Y14" s="124">
        <f>W14*(1-'Perdas e Vazões de Água'!$F14)</f>
        <v>51.939254063625121</v>
      </c>
      <c r="Z14" s="124">
        <f>$X$3/(1-'Perdas e Vazões de Água'!D14)*30.4375/1000</f>
        <v>14.33862294837065</v>
      </c>
      <c r="AA14" s="124">
        <f>Z14*(1-'Perdas e Vazões de Água'!D14)</f>
        <v>9.8540334626763997</v>
      </c>
      <c r="AB14" s="124">
        <f>Z14*(1-'Perdas e Vazões de Água'!$F14)</f>
        <v>8.7399224595880014</v>
      </c>
      <c r="AC14" s="125">
        <f>P14*'Economais e Ligações Água'!D14</f>
        <v>182368.21127070207</v>
      </c>
      <c r="AD14" s="125">
        <f>S14*'Economais e Ligações Água'!G14</f>
        <v>16177.132913742071</v>
      </c>
      <c r="AE14" s="125">
        <f>V14*'Economais e Ligações Água'!J14</f>
        <v>8110.8744915446841</v>
      </c>
      <c r="AF14" s="125">
        <f>Y14*'Economais e Ligações Água'!M14</f>
        <v>5266.0170910028237</v>
      </c>
      <c r="AG14" s="125">
        <f>AB14*'Economais e Ligações Água'!P14</f>
        <v>1572.4344093943155</v>
      </c>
      <c r="AH14" s="125">
        <f t="shared" si="0"/>
        <v>213494.67017638593</v>
      </c>
      <c r="AI14" s="125">
        <f>O14*'Economais e Ligações Água'!D14</f>
        <v>205615.37756190239</v>
      </c>
      <c r="AJ14" s="125">
        <f>R14*'Economais e Ligações Água'!G14</f>
        <v>18239.293288843746</v>
      </c>
      <c r="AK14" s="125">
        <f>U14*'Economais e Ligações Água'!J14</f>
        <v>9144.7983687280212</v>
      </c>
      <c r="AL14" s="125">
        <f>X14*'Economais e Ligações Água'!M14</f>
        <v>5937.2962254191234</v>
      </c>
      <c r="AM14" s="125">
        <f>AA14*'Economais e Ligações Água'!P14</f>
        <v>1772.8785764039617</v>
      </c>
      <c r="AN14" s="125">
        <f t="shared" si="1"/>
        <v>240709.64402129722</v>
      </c>
      <c r="AO14" s="121">
        <f>AP14/(1-'Perdas e Vazões de Água'!D14)</f>
        <v>17.623826782185159</v>
      </c>
      <c r="AP14" s="121">
        <f>SUM(AI14:AM14)/'Economais e Ligações Água'!S14</f>
        <v>12.111747374722576</v>
      </c>
      <c r="AQ14" s="121">
        <f>AP14-('Perdas e Vazões de Água'!E14*AO14)</f>
        <v>10.742376033746789</v>
      </c>
      <c r="AR14" s="121">
        <f>AS14/(1-'Perdas e Vazões de Água'!D14)</f>
        <v>23.321064044727741</v>
      </c>
      <c r="AS14" s="121">
        <f>SUM(AI14:AM14)/'Economais e Ligações Água'!T14</f>
        <v>16.02710011340945</v>
      </c>
      <c r="AT14" s="121">
        <f>AR14*(1-'Perdas e Vazões de Água'!F14)</f>
        <v>14.215053437134104</v>
      </c>
      <c r="AU14" s="121">
        <f>AO14*'Economais e Ligações Água'!S14*12</f>
        <v>4203084.7636928651</v>
      </c>
      <c r="AV14" s="121">
        <f>AP14*'Economais e Ligações Água'!S14*12</f>
        <v>2888515.7282555667</v>
      </c>
      <c r="AW14" s="121">
        <f>AQ14*'Economais e Ligações Água'!S14*12</f>
        <v>2561936.0421166308</v>
      </c>
    </row>
    <row r="15" spans="2:49" x14ac:dyDescent="0.15">
      <c r="B15" s="147">
        <f>População!B15</f>
        <v>3</v>
      </c>
      <c r="C15" s="109">
        <f>População!C15</f>
        <v>2029</v>
      </c>
      <c r="D15" s="121">
        <f>(E15/(1-'Perdas e Vazões de Água'!D15))</f>
        <v>203.57125378591115</v>
      </c>
      <c r="E15" s="121">
        <f t="shared" si="2"/>
        <v>144.24039002437652</v>
      </c>
      <c r="F15" s="121">
        <f>E15-(D15*'Perdas e Vazões de Água'!E15)</f>
        <v>130.86575865064216</v>
      </c>
      <c r="G15" s="121">
        <f>ROUND(AU15/12/30.4375/'Atendimento '!H15*1000,2)</f>
        <v>238.34</v>
      </c>
      <c r="H15" s="121">
        <f>ROUND(AV15/12/30.4375/'Atendimento '!H15*1000,2)</f>
        <v>168.88</v>
      </c>
      <c r="I15" s="146">
        <f>ROUND(AW15/12/30.4375/'Atendimento '!H15*1000,2)</f>
        <v>153.22</v>
      </c>
      <c r="K15" s="40"/>
      <c r="L15" s="109">
        <f>População!B15</f>
        <v>3</v>
      </c>
      <c r="M15" s="109">
        <f>População!C15</f>
        <v>2029</v>
      </c>
      <c r="N15" s="121">
        <f>D15*30.4375*Imóveis!J15/1000</f>
        <v>15.839213242083419</v>
      </c>
      <c r="O15" s="121">
        <f>N15*(1-'Perdas e Vazões de Água'!D15)</f>
        <v>11.222872842941143</v>
      </c>
      <c r="P15" s="124">
        <f>N15*(1-'Perdas e Vazões de Água'!$F15)</f>
        <v>10.182236532936262</v>
      </c>
      <c r="Q15" s="124">
        <f>$U$3/(1-'Perdas e Vazões de Água'!D15)*30.4375/1000</f>
        <v>19.398579105529212</v>
      </c>
      <c r="R15" s="124">
        <f>Q15*(1-'Perdas e Vazões de Água'!D15)</f>
        <v>13.744861143523122</v>
      </c>
      <c r="S15" s="124">
        <f>Q15*(1-'Perdas e Vazões de Água'!$F15)</f>
        <v>12.470374496289852</v>
      </c>
      <c r="T15" s="124">
        <f>$V$3/(1-'Perdas e Vazões de Água'!D15)*30.4375/1000</f>
        <v>96.897487218990321</v>
      </c>
      <c r="U15" s="124">
        <f>T15*(1-'Perdas e Vazões de Água'!D15)</f>
        <v>68.656704170756043</v>
      </c>
      <c r="V15" s="124">
        <f>T15*(1-'Perdas e Vazões de Água'!$F15)</f>
        <v>62.290539260468371</v>
      </c>
      <c r="W15" s="124">
        <f>$W$3/(1-'Perdas e Vazões de Água'!D15)*30.4375/1000</f>
        <v>82.647881274817962</v>
      </c>
      <c r="X15" s="124">
        <f>W15*(1-'Perdas e Vazões de Água'!D15)</f>
        <v>58.560147408165903</v>
      </c>
      <c r="Y15" s="124">
        <f>W15*(1-'Perdas e Vazões de Água'!$F15)</f>
        <v>53.130181608410354</v>
      </c>
      <c r="Z15" s="124">
        <f>$X$3/(1-'Perdas e Vazões de Água'!D15)*30.4375/1000</f>
        <v>13.907324754920213</v>
      </c>
      <c r="AA15" s="124">
        <f>Z15*(1-'Perdas e Vazões de Água'!D15)</f>
        <v>9.8540334626763997</v>
      </c>
      <c r="AB15" s="124">
        <f>Z15*(1-'Perdas e Vazões de Água'!$F15)</f>
        <v>8.9403222262781394</v>
      </c>
      <c r="AC15" s="125">
        <f>P15*'Economais e Ligações Água'!D15</f>
        <v>189765.09966657471</v>
      </c>
      <c r="AD15" s="125">
        <f>S15*'Economais e Ligações Água'!G15</f>
        <v>16835.005569991299</v>
      </c>
      <c r="AE15" s="125">
        <f>V15*'Economais e Ligações Água'!J15</f>
        <v>8471.5133394236982</v>
      </c>
      <c r="AF15" s="125">
        <f>Y15*'Economais e Ligações Água'!M15</f>
        <v>5472.4087056662665</v>
      </c>
      <c r="AG15" s="125">
        <f>AB15*'Economais e Ligações Água'!P15</f>
        <v>1636.0789674088994</v>
      </c>
      <c r="AH15" s="125">
        <f t="shared" si="0"/>
        <v>222180.10624906485</v>
      </c>
      <c r="AI15" s="125">
        <f>O15*'Economais e Ligações Água'!D15</f>
        <v>209159.31158121253</v>
      </c>
      <c r="AJ15" s="125">
        <f>R15*'Economais e Ligações Água'!G15</f>
        <v>18555.562543756216</v>
      </c>
      <c r="AK15" s="125">
        <f>U15*'Economais e Ligações Água'!J15</f>
        <v>9337.3117672228218</v>
      </c>
      <c r="AL15" s="125">
        <f>X15*'Economais e Ligações Água'!M15</f>
        <v>6031.6951830410881</v>
      </c>
      <c r="AM15" s="125">
        <f>AA15*'Economais e Ligações Água'!P15</f>
        <v>1803.288123669781</v>
      </c>
      <c r="AN15" s="125">
        <f t="shared" si="1"/>
        <v>244887.16919890244</v>
      </c>
      <c r="AO15" s="121">
        <f>AP15/(1-'Perdas e Vazões de Água'!D15)</f>
        <v>16.934659372438528</v>
      </c>
      <c r="AP15" s="121">
        <f>SUM(AI15:AM15)/'Economais e Ligações Água'!S15</f>
        <v>11.999051081049782</v>
      </c>
      <c r="AQ15" s="121">
        <f>AP15-('Perdas e Vazões de Água'!E15*AO15)</f>
        <v>10.88644396028057</v>
      </c>
      <c r="AR15" s="121">
        <f>AS15/(1-'Perdas e Vazões de Água'!D15)</f>
        <v>22.410861206556191</v>
      </c>
      <c r="AS15" s="121">
        <f>SUM(AI15:AM15)/'Economais e Ligações Água'!T15</f>
        <v>15.879213302951884</v>
      </c>
      <c r="AT15" s="121">
        <f>AR15*(1-'Perdas e Vazões de Água'!F15)</f>
        <v>14.40681972168114</v>
      </c>
      <c r="AU15" s="121">
        <f>AO15*'Economais e Ligações Água'!S15*12</f>
        <v>4147408.7579611936</v>
      </c>
      <c r="AV15" s="121">
        <f>AP15*'Economais e Ligações Água'!S15*12</f>
        <v>2938646.0303868293</v>
      </c>
      <c r="AW15" s="121">
        <f>AQ15*'Economais e Ligações Água'!S15*12</f>
        <v>2666161.2749887789</v>
      </c>
    </row>
    <row r="16" spans="2:49" x14ac:dyDescent="0.15">
      <c r="B16" s="147">
        <f>População!B16</f>
        <v>4</v>
      </c>
      <c r="C16" s="109">
        <f>População!C16</f>
        <v>2030</v>
      </c>
      <c r="D16" s="121">
        <f>(E16/(1-'Perdas e Vazões de Água'!D16))</f>
        <v>196.56084132231499</v>
      </c>
      <c r="E16" s="121">
        <f t="shared" si="2"/>
        <v>144.24039002437652</v>
      </c>
      <c r="F16" s="121">
        <f>E16-(D16*'Perdas e Vazões de Água'!E16)</f>
        <v>132.34845912437646</v>
      </c>
      <c r="G16" s="121">
        <f>ROUND(AU16/12/30.4375/'Atendimento '!H16*1000,2)</f>
        <v>230.11</v>
      </c>
      <c r="H16" s="121">
        <f>ROUND(AV16/12/30.4375/'Atendimento '!H16*1000,2)</f>
        <v>168.86</v>
      </c>
      <c r="I16" s="146">
        <f>ROUND(AW16/12/30.4375/'Atendimento '!H16*1000,2)</f>
        <v>154.94</v>
      </c>
      <c r="K16" s="40"/>
      <c r="L16" s="109">
        <f>População!B16</f>
        <v>4</v>
      </c>
      <c r="M16" s="109">
        <f>População!C16</f>
        <v>2030</v>
      </c>
      <c r="N16" s="121">
        <f>D16*30.4375*Imóveis!J16/1000</f>
        <v>15.138665918148282</v>
      </c>
      <c r="O16" s="121">
        <f>N16*(1-'Perdas e Vazões de Água'!D16)</f>
        <v>11.109064561347834</v>
      </c>
      <c r="P16" s="124">
        <f>N16*(1-'Perdas e Vazões de Água'!$F16)</f>
        <v>10.193175273299863</v>
      </c>
      <c r="Q16" s="124">
        <f>$U$3/(1-'Perdas e Vazões de Água'!D16)*30.4375/1000</f>
        <v>18.730547454653415</v>
      </c>
      <c r="R16" s="124">
        <f>Q16*(1-'Perdas e Vazões de Água'!D16)</f>
        <v>13.744861143523122</v>
      </c>
      <c r="S16" s="124">
        <f>Q16*(1-'Perdas e Vazões de Água'!$F16)</f>
        <v>12.611663022516591</v>
      </c>
      <c r="T16" s="124">
        <f>$V$3/(1-'Perdas e Vazões de Água'!D16)*30.4375/1000</f>
        <v>93.560614554220351</v>
      </c>
      <c r="U16" s="124">
        <f>T16*(1-'Perdas e Vazões de Água'!D16)</f>
        <v>68.656704170756043</v>
      </c>
      <c r="V16" s="124">
        <f>T16*(1-'Perdas e Vazões de Água'!$F16)</f>
        <v>62.99628699022572</v>
      </c>
      <c r="W16" s="124">
        <f>$W$3/(1-'Perdas e Vazões de Água'!D16)*30.4375/1000</f>
        <v>79.801724333680625</v>
      </c>
      <c r="X16" s="124">
        <f>W16*(1-'Perdas e Vazões de Água'!D16)</f>
        <v>58.560147408165896</v>
      </c>
      <c r="Y16" s="124">
        <f>W16*(1-'Perdas e Vazões de Água'!$F16)</f>
        <v>53.732143085978215</v>
      </c>
      <c r="Z16" s="124">
        <f>$X$3/(1-'Perdas e Vazões de Água'!D16)*30.4375/1000</f>
        <v>13.42839621769312</v>
      </c>
      <c r="AA16" s="124">
        <f>Z16*(1-'Perdas e Vazões de Água'!D16)</f>
        <v>9.8540334626763997</v>
      </c>
      <c r="AB16" s="124">
        <f>Z16*(1-'Perdas e Vazões de Água'!$F16)</f>
        <v>9.0416154915059668</v>
      </c>
      <c r="AC16" s="125">
        <f>P16*'Economais e Ligações Água'!D16</f>
        <v>193954.01866755518</v>
      </c>
      <c r="AD16" s="125">
        <f>S16*'Economais e Ligações Água'!G16</f>
        <v>17214.920025735148</v>
      </c>
      <c r="AE16" s="125">
        <f>V16*'Economais e Ligações Água'!J16</f>
        <v>8630.4913176609243</v>
      </c>
      <c r="AF16" s="125">
        <f>Y16*'Economais e Ligações Água'!M16</f>
        <v>5588.1428809417348</v>
      </c>
      <c r="AG16" s="125">
        <f>AB16*'Economais e Ligações Água'!P16</f>
        <v>1672.6988659286039</v>
      </c>
      <c r="AH16" s="125">
        <f t="shared" si="0"/>
        <v>227060.27175782161</v>
      </c>
      <c r="AI16" s="125">
        <f>O16*'Economais e Ligações Água'!D16</f>
        <v>211381.40545416169</v>
      </c>
      <c r="AJ16" s="125">
        <f>R16*'Economais e Ligações Água'!G16</f>
        <v>18761.735460909062</v>
      </c>
      <c r="AK16" s="125">
        <f>U16*'Economais e Ligações Água'!J16</f>
        <v>9405.9684713935785</v>
      </c>
      <c r="AL16" s="125">
        <f>X16*'Economais e Ligações Água'!M16</f>
        <v>6090.2553304492531</v>
      </c>
      <c r="AM16" s="125">
        <f>AA16*'Economais e Ligações Água'!P16</f>
        <v>1822.9961905951338</v>
      </c>
      <c r="AN16" s="125">
        <f t="shared" si="1"/>
        <v>247462.3609075087</v>
      </c>
      <c r="AO16" s="121">
        <f>AP16/(1-'Perdas e Vazões de Água'!D16)</f>
        <v>16.198056967098935</v>
      </c>
      <c r="AP16" s="121">
        <f>SUM(AI16:AM16)/'Economais e Ligações Água'!S16</f>
        <v>11.886467512317132</v>
      </c>
      <c r="AQ16" s="121">
        <f>AP16-('Perdas e Vazões de Água'!E16*AO16)</f>
        <v>10.906485065807647</v>
      </c>
      <c r="AR16" s="121">
        <f>AS16/(1-'Perdas e Vazões de Água'!D16)</f>
        <v>21.437935715622636</v>
      </c>
      <c r="AS16" s="121">
        <f>SUM(AI16:AM16)/'Economais e Ligações Água'!T16</f>
        <v>15.731598359758699</v>
      </c>
      <c r="AT16" s="121">
        <f>AR16*(1-'Perdas e Vazões de Água'!F16)</f>
        <v>14.43460324896353</v>
      </c>
      <c r="AU16" s="121">
        <f>AO16*'Economais e Ligações Água'!S16*12</f>
        <v>4046695.3685329794</v>
      </c>
      <c r="AV16" s="121">
        <f>AP16*'Economais e Ligações Água'!S16*12</f>
        <v>2969548.3308901042</v>
      </c>
      <c r="AW16" s="121">
        <f>AQ16*'Economais e Ligações Água'!S16*12</f>
        <v>2724723.2610938591</v>
      </c>
    </row>
    <row r="17" spans="2:49" s="153" customFormat="1" x14ac:dyDescent="0.15">
      <c r="B17" s="144">
        <f>População!B17</f>
        <v>5</v>
      </c>
      <c r="C17" s="101">
        <f>População!C17</f>
        <v>2031</v>
      </c>
      <c r="D17" s="120">
        <f>(E17/(1-'Perdas e Vazões de Água'!D17))</f>
        <v>190.69538369660259</v>
      </c>
      <c r="E17" s="120">
        <f t="shared" si="2"/>
        <v>144.24039002437652</v>
      </c>
      <c r="F17" s="120">
        <f>E17-(D17*'Perdas e Vazões de Água'!E17)</f>
        <v>133.71400484432405</v>
      </c>
      <c r="G17" s="120">
        <f>ROUND(AU17/12/30.4375/'Atendimento '!H17*1000,2)</f>
        <v>223.27</v>
      </c>
      <c r="H17" s="120">
        <f>ROUND(AV17/12/30.4375/'Atendimento '!H17*1000,2)</f>
        <v>168.88</v>
      </c>
      <c r="I17" s="145">
        <f>ROUND(AW17/12/30.4375/'Atendimento '!H17*1000,2)</f>
        <v>156.56</v>
      </c>
      <c r="K17" s="39"/>
      <c r="L17" s="101">
        <f>População!B17</f>
        <v>5</v>
      </c>
      <c r="M17" s="101">
        <f>População!C17</f>
        <v>2031</v>
      </c>
      <c r="N17" s="120">
        <f>D17*30.4375*Imóveis!J17/1000</f>
        <v>14.540342927945378</v>
      </c>
      <c r="O17" s="120">
        <f>N17*(1-'Perdas e Vazões de Água'!D17)</f>
        <v>10.998193529172418</v>
      </c>
      <c r="P17" s="122">
        <f>N17*(1-'Perdas e Vazões de Água'!$F17)</f>
        <v>10.195566599549833</v>
      </c>
      <c r="Q17" s="122">
        <f>$U$3/(1-'Perdas e Vazões de Água'!D17)*30.4375/1000</f>
        <v>18.171620093218721</v>
      </c>
      <c r="R17" s="122">
        <f>Q17*(1-'Perdas e Vazões de Água'!D17)</f>
        <v>13.744861143523121</v>
      </c>
      <c r="S17" s="122">
        <f>Q17*(1-'Perdas e Vazões de Água'!$F17)</f>
        <v>12.741787714377447</v>
      </c>
      <c r="T17" s="122">
        <f>$V$3/(1-'Perdas e Vazões de Água'!D17)*30.4375/1000</f>
        <v>90.768726727470948</v>
      </c>
      <c r="U17" s="122">
        <f>T17*(1-'Perdas e Vazões de Água'!D17)</f>
        <v>68.656704170756043</v>
      </c>
      <c r="V17" s="122">
        <f>T17*(1-'Perdas e Vazões de Água'!$F17)</f>
        <v>63.646270455399645</v>
      </c>
      <c r="W17" s="122">
        <f>$W$3/(1-'Perdas e Vazões de Água'!D17)*30.4375/1000</f>
        <v>77.420407539403925</v>
      </c>
      <c r="X17" s="122">
        <f>W17*(1-'Perdas e Vazões de Água'!D17)</f>
        <v>58.560147408165889</v>
      </c>
      <c r="Y17" s="122">
        <f>W17*(1-'Perdas e Vazões de Água'!$F17)</f>
        <v>54.286540911990791</v>
      </c>
      <c r="Z17" s="122">
        <f>$X$3/(1-'Perdas e Vazões de Água'!D17)*30.4375/1000</f>
        <v>13.027687264341616</v>
      </c>
      <c r="AA17" s="122">
        <f>Z17*(1-'Perdas e Vazões de Água'!D17)</f>
        <v>9.8540334626763997</v>
      </c>
      <c r="AB17" s="122">
        <f>Z17*(1-'Perdas e Vazões de Água'!$F17)</f>
        <v>9.1349051256847424</v>
      </c>
      <c r="AC17" s="123">
        <f>P17*'Economais e Ligações Água'!D17</f>
        <v>197941.29770919523</v>
      </c>
      <c r="AD17" s="123">
        <f>S17*'Economais e Ligações Água'!G17</f>
        <v>17558.183470412121</v>
      </c>
      <c r="AE17" s="123">
        <f>V17*'Economais e Ligações Água'!J17</f>
        <v>8846.8315933005506</v>
      </c>
      <c r="AF17" s="123">
        <f>Y17*'Economais e Ligações Água'!M17</f>
        <v>5700.0867957590326</v>
      </c>
      <c r="AG17" s="123">
        <f>AB17*'Economais e Ligações Água'!P17</f>
        <v>1708.2272585030469</v>
      </c>
      <c r="AH17" s="123">
        <f t="shared" si="0"/>
        <v>231754.62682717</v>
      </c>
      <c r="AI17" s="123">
        <f>O17*'Economais e Ligações Água'!D17</f>
        <v>213523.85650812028</v>
      </c>
      <c r="AJ17" s="123">
        <f>R17*'Economais e Ligações Água'!G17</f>
        <v>18940.418655774862</v>
      </c>
      <c r="AK17" s="123">
        <f>U17*'Economais e Ligações Água'!J17</f>
        <v>9543.2818797350901</v>
      </c>
      <c r="AL17" s="123">
        <f>X17*'Economais e Ligações Água'!M17</f>
        <v>6148.815477857418</v>
      </c>
      <c r="AM17" s="123">
        <f>AA17*'Economais e Ligações Água'!P17</f>
        <v>1842.7042575204866</v>
      </c>
      <c r="AN17" s="123">
        <f t="shared" si="1"/>
        <v>249999.07677900817</v>
      </c>
      <c r="AO17" s="120">
        <f>AP17/(1-'Perdas e Vazões de Água'!D17)</f>
        <v>15.573124474263835</v>
      </c>
      <c r="AP17" s="120">
        <f>SUM(AI17:AM17)/'Economais e Ligações Água'!S17</f>
        <v>11.779380835142883</v>
      </c>
      <c r="AQ17" s="120">
        <f>AP17-('Perdas e Vazões de Água'!E17*AO17)</f>
        <v>10.919744364163519</v>
      </c>
      <c r="AR17" s="120">
        <f>AS17/(1-'Perdas e Vazões de Água'!D17)</f>
        <v>20.612305357153456</v>
      </c>
      <c r="AS17" s="120">
        <f>SUM(AI17:AM17)/'Economais e Ligações Água'!T17</f>
        <v>15.590975021962889</v>
      </c>
      <c r="AT17" s="120">
        <f>AR17*(1-'Perdas e Vazões de Água'!F17)</f>
        <v>14.453175766248018</v>
      </c>
      <c r="AU17" s="120">
        <f>AO17*'Economais e Ligações Água'!S17*12</f>
        <v>3966184.7721387246</v>
      </c>
      <c r="AV17" s="120">
        <f>AP17*'Economais e Ligações Água'!S17*12</f>
        <v>2999988.9213480982</v>
      </c>
      <c r="AW17" s="120">
        <f>AQ17*'Economais e Ligações Água'!S17*12</f>
        <v>2781055.5219260403</v>
      </c>
    </row>
    <row r="18" spans="2:49" x14ac:dyDescent="0.15">
      <c r="B18" s="147">
        <f>População!B18</f>
        <v>6</v>
      </c>
      <c r="C18" s="109">
        <f>População!C18</f>
        <v>2032</v>
      </c>
      <c r="D18" s="121">
        <f>(E18/(1-'Perdas e Vazões de Água'!D18))</f>
        <v>185.71290201542212</v>
      </c>
      <c r="E18" s="121">
        <f t="shared" si="2"/>
        <v>144.24039002437652</v>
      </c>
      <c r="F18" s="121">
        <f>E18-(D18*'Perdas e Vazões de Água'!E18)</f>
        <v>134.9547449236054</v>
      </c>
      <c r="G18" s="121">
        <f>ROUND(AU18/12/30.4375/'Atendimento '!H18*1000,2)</f>
        <v>217.43</v>
      </c>
      <c r="H18" s="121">
        <f>ROUND(AV18/12/30.4375/'Atendimento '!H18*1000,2)</f>
        <v>168.87</v>
      </c>
      <c r="I18" s="146">
        <f>ROUND(AW18/12/30.4375/'Atendimento '!H18*1000,2)</f>
        <v>158</v>
      </c>
      <c r="K18" s="40"/>
      <c r="L18" s="109">
        <f>População!B18</f>
        <v>6</v>
      </c>
      <c r="M18" s="109">
        <f>População!C18</f>
        <v>2032</v>
      </c>
      <c r="N18" s="121">
        <f>D18*30.4375*Imóveis!J18/1000</f>
        <v>14.021526374287156</v>
      </c>
      <c r="O18" s="121">
        <f>N18*(1-'Perdas e Vazões de Água'!D18)</f>
        <v>10.890306548525691</v>
      </c>
      <c r="P18" s="124">
        <f>N18*(1-'Perdas e Vazões de Água'!$F18)</f>
        <v>10.189230229811335</v>
      </c>
      <c r="Q18" s="124">
        <f>$U$3/(1-'Perdas e Vazões de Água'!D18)*30.4375/1000</f>
        <v>17.69683269943533</v>
      </c>
      <c r="R18" s="124">
        <f>Q18*(1-'Perdas e Vazões de Água'!D18)</f>
        <v>13.744861143523121</v>
      </c>
      <c r="S18" s="124">
        <f>Q18*(1-'Perdas e Vazões de Água'!$F18)</f>
        <v>12.860019508551355</v>
      </c>
      <c r="T18" s="124">
        <f>$V$3/(1-'Perdas e Vazões de Água'!D18)*30.4375/1000</f>
        <v>88.397124912173524</v>
      </c>
      <c r="U18" s="124">
        <f>T18*(1-'Perdas e Vazões de Água'!D18)</f>
        <v>68.656704170756043</v>
      </c>
      <c r="V18" s="124">
        <f>T18*(1-'Perdas e Vazões de Água'!$F18)</f>
        <v>64.236847925147373</v>
      </c>
      <c r="W18" s="124">
        <f>$W$3/(1-'Perdas e Vazões de Água'!D18)*30.4375/1000</f>
        <v>75.397570096582911</v>
      </c>
      <c r="X18" s="124">
        <f>W18*(1-'Perdas e Vazões de Água'!D18)</f>
        <v>58.560147408165896</v>
      </c>
      <c r="Y18" s="124">
        <f>W18*(1-'Perdas e Vazões de Água'!$F18)</f>
        <v>54.790268903336752</v>
      </c>
      <c r="Z18" s="124">
        <f>$X$3/(1-'Perdas e Vazões de Água'!D18)*30.4375/1000</f>
        <v>12.687300350487408</v>
      </c>
      <c r="AA18" s="124">
        <f>Z18*(1-'Perdas e Vazões de Água'!D18)</f>
        <v>9.8540334626763997</v>
      </c>
      <c r="AB18" s="124">
        <f>Z18*(1-'Perdas e Vazões de Água'!$F18)</f>
        <v>9.2196684451520294</v>
      </c>
      <c r="AC18" s="125">
        <f>P18*'Economais e Ligações Água'!D18</f>
        <v>201709.14726269318</v>
      </c>
      <c r="AD18" s="125">
        <f>S18*'Economais e Ligações Água'!G18</f>
        <v>17901.147155903487</v>
      </c>
      <c r="AE18" s="125">
        <f>V18*'Economais e Ligações Água'!J18</f>
        <v>8993.1587095206323</v>
      </c>
      <c r="AF18" s="125">
        <f>Y18*'Economais e Ligações Água'!M18</f>
        <v>5807.7685037536958</v>
      </c>
      <c r="AG18" s="125">
        <f>AB18*'Economais e Ligações Água'!P18</f>
        <v>1742.5173361337336</v>
      </c>
      <c r="AH18" s="125">
        <f t="shared" si="0"/>
        <v>236153.73896800471</v>
      </c>
      <c r="AI18" s="125">
        <f>O18*'Economais e Ligações Água'!D18</f>
        <v>215587.87050522017</v>
      </c>
      <c r="AJ18" s="125">
        <f>R18*'Economais e Ligações Água'!G18</f>
        <v>19132.846711784183</v>
      </c>
      <c r="AK18" s="125">
        <f>U18*'Economais e Ligações Água'!J18</f>
        <v>9611.9385839058468</v>
      </c>
      <c r="AL18" s="125">
        <f>X18*'Economais e Ligações Água'!M18</f>
        <v>6207.3756252655849</v>
      </c>
      <c r="AM18" s="125">
        <f>AA18*'Economais e Ligações Água'!P18</f>
        <v>1862.4123244458394</v>
      </c>
      <c r="AN18" s="125">
        <f t="shared" si="1"/>
        <v>252402.44375062163</v>
      </c>
      <c r="AO18" s="121">
        <f>AP18/(1-'Perdas e Vazões de Água'!D18)</f>
        <v>15.02887924505413</v>
      </c>
      <c r="AP18" s="121">
        <f>SUM(AI18:AM18)/'Economais e Ligações Água'!S18</f>
        <v>11.672702221603577</v>
      </c>
      <c r="AQ18" s="121">
        <f>AP18-('Perdas e Vazões de Água'!E18*AO18)</f>
        <v>10.921258259350871</v>
      </c>
      <c r="AR18" s="121">
        <f>AS18/(1-'Perdas e Vazões de Água'!D18)</f>
        <v>19.893517406178479</v>
      </c>
      <c r="AS18" s="121">
        <f>SUM(AI18:AM18)/'Economais e Ligações Água'!T18</f>
        <v>15.450992787704218</v>
      </c>
      <c r="AT18" s="121">
        <f>AR18*(1-'Perdas e Vazões de Água'!F18)</f>
        <v>14.456316917395295</v>
      </c>
      <c r="AU18" s="121">
        <f>AO18*'Economais e Ligações Água'!S18*12</f>
        <v>3899689.1478280565</v>
      </c>
      <c r="AV18" s="121">
        <f>AP18*'Economais e Ligações Água'!S18*12</f>
        <v>3028829.3250074596</v>
      </c>
      <c r="AW18" s="121">
        <f>AQ18*'Economais e Ligações Água'!S18*12</f>
        <v>2833844.8676160569</v>
      </c>
    </row>
    <row r="19" spans="2:49" x14ac:dyDescent="0.15">
      <c r="B19" s="147">
        <f>População!B19</f>
        <v>7</v>
      </c>
      <c r="C19" s="109">
        <f>População!C19</f>
        <v>2033</v>
      </c>
      <c r="D19" s="121">
        <f>(E19/(1-'Perdas e Vazões de Água'!D19))</f>
        <v>180.29980707313754</v>
      </c>
      <c r="E19" s="121">
        <f t="shared" si="2"/>
        <v>144.24039002437652</v>
      </c>
      <c r="F19" s="121">
        <f>E19-(D19*'Perdas e Vazões de Água'!E19)</f>
        <v>135.22539967071964</v>
      </c>
      <c r="G19" s="121">
        <f>ROUND(AU19/12/30.4375/'Atendimento '!H19*1000,2)</f>
        <v>211.08</v>
      </c>
      <c r="H19" s="121">
        <f>ROUND(AV19/12/30.4375/'Atendimento '!H19*1000,2)</f>
        <v>168.86</v>
      </c>
      <c r="I19" s="146">
        <f>ROUND(AW19/12/30.4375/'Atendimento '!H19*1000,2)</f>
        <v>158.31</v>
      </c>
      <c r="K19" s="40"/>
      <c r="L19" s="109">
        <f>População!B19</f>
        <v>7</v>
      </c>
      <c r="M19" s="109">
        <f>População!C19</f>
        <v>2033</v>
      </c>
      <c r="N19" s="121">
        <f>D19*30.4375*Imóveis!J19/1000</f>
        <v>13.481745113406802</v>
      </c>
      <c r="O19" s="121">
        <f>N19*(1-'Perdas e Vazões de Água'!D19)</f>
        <v>10.785436795160903</v>
      </c>
      <c r="P19" s="124">
        <f>N19*(1-'Perdas e Vazões de Água'!$F19)</f>
        <v>10.111349539490561</v>
      </c>
      <c r="Q19" s="124">
        <f>$U$3/(1-'Perdas e Vazões de Água'!D19)*30.4375/1000</f>
        <v>17.181011587707648</v>
      </c>
      <c r="R19" s="124">
        <f>Q19*(1-'Perdas e Vazões de Água'!D19)</f>
        <v>13.744861143523122</v>
      </c>
      <c r="S19" s="124">
        <f>Q19*(1-'Perdas e Vazões de Água'!$F19)</f>
        <v>12.88581056413774</v>
      </c>
      <c r="T19" s="124">
        <f>$V$3/(1-'Perdas e Vazões de Água'!D19)*30.4375/1000</f>
        <v>85.820556323875607</v>
      </c>
      <c r="U19" s="124">
        <f>T19*(1-'Perdas e Vazões de Água'!D19)</f>
        <v>68.656704170756043</v>
      </c>
      <c r="V19" s="124">
        <f>T19*(1-'Perdas e Vazões de Água'!$F19)</f>
        <v>64.365676354562254</v>
      </c>
      <c r="W19" s="124">
        <f>$W$3/(1-'Perdas e Vazões de Água'!D19)*30.4375/1000</f>
        <v>73.199908001374979</v>
      </c>
      <c r="X19" s="124">
        <f>W19*(1-'Perdas e Vazões de Água'!D19)</f>
        <v>58.560147408165903</v>
      </c>
      <c r="Y19" s="124">
        <f>W19*(1-'Perdas e Vazões de Água'!$F19)</f>
        <v>54.900152008097152</v>
      </c>
      <c r="Z19" s="124">
        <f>$X$3/(1-'Perdas e Vazões de Água'!D19)*30.4375/1000</f>
        <v>12.31749534171766</v>
      </c>
      <c r="AA19" s="124">
        <f>Z19*(1-'Perdas e Vazões de Água'!D19)</f>
        <v>9.8540334626763997</v>
      </c>
      <c r="AB19" s="124">
        <f>Z19*(1-'Perdas e Vazões de Água'!$F19)</f>
        <v>9.2381586955905153</v>
      </c>
      <c r="AC19" s="125">
        <f>P19*'Economais e Ligações Água'!D19</f>
        <v>203976.41316025076</v>
      </c>
      <c r="AD19" s="125">
        <f>S19*'Economais e Ligações Água'!G19</f>
        <v>18104.563842613527</v>
      </c>
      <c r="AE19" s="125">
        <f>V19*'Economais e Ligações Água'!J19</f>
        <v>9075.5603659932785</v>
      </c>
      <c r="AF19" s="125">
        <f>Y19*'Economais e Ligações Água'!M19</f>
        <v>5874.3162648663956</v>
      </c>
      <c r="AG19" s="125">
        <f>AB19*'Economais e Ligações Água'!P19</f>
        <v>1764.4883108577885</v>
      </c>
      <c r="AH19" s="125">
        <f t="shared" si="0"/>
        <v>238795.34194458174</v>
      </c>
      <c r="AI19" s="125">
        <f>O19*'Economais e Ligações Água'!D19</f>
        <v>217574.7859621864</v>
      </c>
      <c r="AJ19" s="125">
        <f>R19*'Economais e Ligações Água'!G19</f>
        <v>19311.529906649987</v>
      </c>
      <c r="AK19" s="125">
        <f>U19*'Economais e Ligações Água'!J19</f>
        <v>9680.5952880766017</v>
      </c>
      <c r="AL19" s="125">
        <f>X19*'Economais e Ligações Água'!M19</f>
        <v>6265.9357726737517</v>
      </c>
      <c r="AM19" s="125">
        <f>AA19*'Economais e Ligações Água'!P19</f>
        <v>1882.1203913711922</v>
      </c>
      <c r="AN19" s="125">
        <f t="shared" si="1"/>
        <v>254714.96732095795</v>
      </c>
      <c r="AO19" s="121">
        <f>AP19/(1-'Perdas e Vazões de Água'!D19)</f>
        <v>14.461201810845264</v>
      </c>
      <c r="AP19" s="121">
        <f>SUM(AI19:AM19)/'Economais e Ligações Água'!S19</f>
        <v>11.569005110312805</v>
      </c>
      <c r="AQ19" s="121">
        <f>AP19-('Perdas e Vazões de Água'!E19*AO19)</f>
        <v>10.845945019770541</v>
      </c>
      <c r="AR19" s="121">
        <f>AS19/(1-'Perdas e Vazões de Água'!D19)</f>
        <v>19.143525864776414</v>
      </c>
      <c r="AS19" s="121">
        <f>SUM(AI19:AM19)/'Economais e Ligações Água'!T19</f>
        <v>15.31487849045228</v>
      </c>
      <c r="AT19" s="121">
        <f>AR19*(1-'Perdas e Vazões de Água'!F19)</f>
        <v>14.357702197213458</v>
      </c>
      <c r="AU19" s="121">
        <f>AO19*'Economais e Ligações Água'!S19*12</f>
        <v>3820710.0903302841</v>
      </c>
      <c r="AV19" s="121">
        <f>AP19*'Economais e Ligações Água'!S19*12</f>
        <v>3056579.6078514955</v>
      </c>
      <c r="AW19" s="121">
        <f>AQ19*'Economais e Ligações Água'!S19*12</f>
        <v>2865544.103334981</v>
      </c>
    </row>
    <row r="20" spans="2:49" x14ac:dyDescent="0.15">
      <c r="B20" s="147">
        <f>População!B20</f>
        <v>8</v>
      </c>
      <c r="C20" s="109">
        <f>População!C20</f>
        <v>2034</v>
      </c>
      <c r="D20" s="121">
        <f>(E20/(1-'Perdas e Vazões de Água'!D20))</f>
        <v>179.17560586461235</v>
      </c>
      <c r="E20" s="121">
        <f t="shared" si="2"/>
        <v>144.24039002437652</v>
      </c>
      <c r="F20" s="121">
        <f>E20-(D20*'Perdas e Vazões de Água'!E20)</f>
        <v>135.28160973114592</v>
      </c>
      <c r="G20" s="121">
        <f>ROUND(AU20/12/30.4375/'Atendimento '!H20*1000,2)</f>
        <v>209.74</v>
      </c>
      <c r="H20" s="121">
        <f>ROUND(AV20/12/30.4375/'Atendimento '!H20*1000,2)</f>
        <v>168.85</v>
      </c>
      <c r="I20" s="146">
        <f>ROUND(AW20/12/30.4375/'Atendimento '!H20*1000,2)</f>
        <v>158.36000000000001</v>
      </c>
      <c r="K20" s="40"/>
      <c r="L20" s="109">
        <f>População!B20</f>
        <v>8</v>
      </c>
      <c r="M20" s="109">
        <f>População!C20</f>
        <v>2034</v>
      </c>
      <c r="N20" s="121">
        <f>D20*30.4375*Imóveis!J20/1000</f>
        <v>13.271188324394659</v>
      </c>
      <c r="O20" s="121">
        <f>N20*(1-'Perdas e Vazões de Água'!D20)</f>
        <v>10.68360489565787</v>
      </c>
      <c r="P20" s="124">
        <f>N20*(1-'Perdas e Vazões de Água'!$F20)</f>
        <v>10.020045479438137</v>
      </c>
      <c r="Q20" s="124">
        <f>$U$3/(1-'Perdas e Vazões de Água'!D20)*30.4375/1000</f>
        <v>17.073884939575677</v>
      </c>
      <c r="R20" s="124">
        <f>Q20*(1-'Perdas e Vazões de Água'!D20)</f>
        <v>13.744861143523122</v>
      </c>
      <c r="S20" s="124">
        <f>Q20*(1-'Perdas e Vazões de Água'!$F20)</f>
        <v>12.891166896544338</v>
      </c>
      <c r="T20" s="124">
        <f>$V$3/(1-'Perdas e Vazões de Água'!D20)*30.4375/1000</f>
        <v>85.285449965739204</v>
      </c>
      <c r="U20" s="124">
        <f>T20*(1-'Perdas e Vazões de Água'!D20)</f>
        <v>68.656704170756043</v>
      </c>
      <c r="V20" s="124">
        <f>T20*(1-'Perdas e Vazões de Água'!$F20)</f>
        <v>64.392431672469073</v>
      </c>
      <c r="W20" s="124">
        <f>$W$3/(1-'Perdas e Vazões de Água'!D20)*30.4375/1000</f>
        <v>72.743493619269202</v>
      </c>
      <c r="X20" s="124">
        <f>W20*(1-'Perdas e Vazões de Água'!D20)</f>
        <v>58.560147408165903</v>
      </c>
      <c r="Y20" s="124">
        <f>W20*(1-'Perdas e Vazões de Água'!$F20)</f>
        <v>54.922972727202442</v>
      </c>
      <c r="Z20" s="124">
        <f>$X$3/(1-'Perdas e Vazões de Água'!D20)*30.4375/1000</f>
        <v>12.240693578177527</v>
      </c>
      <c r="AA20" s="124">
        <f>Z20*(1-'Perdas e Vazões de Água'!D20)</f>
        <v>9.8540334626763979</v>
      </c>
      <c r="AB20" s="124">
        <f>Z20*(1-'Perdas e Vazões de Água'!$F20)</f>
        <v>9.2419987837675208</v>
      </c>
      <c r="AC20" s="125">
        <f>P20*'Economais e Ligações Água'!D20</f>
        <v>205853.76571451605</v>
      </c>
      <c r="AD20" s="125">
        <f>S20*'Economais e Ligações Água'!G20</f>
        <v>18266.783492403327</v>
      </c>
      <c r="AE20" s="125">
        <f>V20*'Economais e Ligações Água'!J20</f>
        <v>9143.7252974906078</v>
      </c>
      <c r="AF20" s="125">
        <f>Y20*'Economais e Ligações Água'!M20</f>
        <v>5931.6810545378639</v>
      </c>
      <c r="AG20" s="125">
        <f>AB20*'Economais e Ligações Água'!P20</f>
        <v>1774.463766483364</v>
      </c>
      <c r="AH20" s="125">
        <f t="shared" si="0"/>
        <v>240970.4193254312</v>
      </c>
      <c r="AI20" s="125">
        <f>O20*'Economais e Ligações Água'!D20</f>
        <v>219486.05958827774</v>
      </c>
      <c r="AJ20" s="125">
        <f>R20*'Economais e Ligações Água'!G20</f>
        <v>19476.468240372265</v>
      </c>
      <c r="AK20" s="125">
        <f>U20*'Economais e Ligações Água'!J20</f>
        <v>9749.2519922473584</v>
      </c>
      <c r="AL20" s="125">
        <f>X20*'Economais e Ligações Água'!M20</f>
        <v>6324.4959200819176</v>
      </c>
      <c r="AM20" s="125">
        <f>AA20*'Economais e Ligações Água'!P20</f>
        <v>1891.9744248338684</v>
      </c>
      <c r="AN20" s="125">
        <f t="shared" si="1"/>
        <v>256928.25016581314</v>
      </c>
      <c r="AO20" s="121">
        <f>AP20/(1-'Perdas e Vazões de Água'!D20)</f>
        <v>14.246031443106366</v>
      </c>
      <c r="AP20" s="121">
        <f>SUM(AI20:AM20)/'Economais e Ligações Água'!S20</f>
        <v>11.468375517624146</v>
      </c>
      <c r="AQ20" s="121">
        <f>AP20-('Perdas e Vazões de Água'!E20*AO20)</f>
        <v>10.756073945468827</v>
      </c>
      <c r="AR20" s="121">
        <f>AS20/(1-'Perdas e Vazões de Água'!D20)</f>
        <v>18.860305282467774</v>
      </c>
      <c r="AS20" s="121">
        <f>SUM(AI20:AM20)/'Economais e Ligações Água'!T20</f>
        <v>15.18296967265481</v>
      </c>
      <c r="AT20" s="121">
        <f>AR20*(1-'Perdas e Vazões de Água'!F20)</f>
        <v>14.239954408531419</v>
      </c>
      <c r="AU20" s="121">
        <f>AO20*'Economais e Ligações Água'!S20*12</f>
        <v>3829879.4016916621</v>
      </c>
      <c r="AV20" s="121">
        <f>AP20*'Economais e Ligações Água'!S20*12</f>
        <v>3083139.0019897576</v>
      </c>
      <c r="AW20" s="121">
        <f>AQ20*'Economais e Ligações Água'!S20*12</f>
        <v>2891645.0319051743</v>
      </c>
    </row>
    <row r="21" spans="2:49" x14ac:dyDescent="0.15">
      <c r="B21" s="147">
        <f>População!B21</f>
        <v>9</v>
      </c>
      <c r="C21" s="109">
        <f>População!C21</f>
        <v>2035</v>
      </c>
      <c r="D21" s="121">
        <f>(E21/(1-'Perdas e Vazões de Água'!D21))</f>
        <v>178.08749365544904</v>
      </c>
      <c r="E21" s="121">
        <f t="shared" si="2"/>
        <v>144.24039002437652</v>
      </c>
      <c r="F21" s="121">
        <f>E21-(D21*'Perdas e Vazões de Água'!E21)</f>
        <v>135.33601534160408</v>
      </c>
      <c r="G21" s="121">
        <f>ROUND(AU21/12/30.4375/'Atendimento '!H21*1000,2)</f>
        <v>208.52</v>
      </c>
      <c r="H21" s="121">
        <f>ROUND(AV21/12/30.4375/'Atendimento '!H21*1000,2)</f>
        <v>168.89</v>
      </c>
      <c r="I21" s="146">
        <f>ROUND(AW21/12/30.4375/'Atendimento '!H21*1000,2)</f>
        <v>158.46</v>
      </c>
      <c r="K21" s="40"/>
      <c r="L21" s="109">
        <f>População!B21</f>
        <v>9</v>
      </c>
      <c r="M21" s="109">
        <f>População!C21</f>
        <v>2035</v>
      </c>
      <c r="N21" s="121">
        <f>D21*30.4375*Imóveis!J21/1000</f>
        <v>13.068628410365093</v>
      </c>
      <c r="O21" s="121">
        <f>N21*(1-'Perdas e Vazões de Água'!D21)</f>
        <v>10.584819968558369</v>
      </c>
      <c r="P21" s="124">
        <f>N21*(1-'Perdas e Vazões de Água'!$F21)</f>
        <v>9.9313885480401147</v>
      </c>
      <c r="Q21" s="124">
        <f>$U$3/(1-'Perdas e Vazões de Água'!D21)*30.4375/1000</f>
        <v>16.970197260826371</v>
      </c>
      <c r="R21" s="124">
        <f>Q21*(1-'Perdas e Vazões de Água'!D21)</f>
        <v>13.744861143523122</v>
      </c>
      <c r="S21" s="124">
        <f>Q21*(1-'Perdas e Vazões de Água'!$F21)</f>
        <v>12.896351280481802</v>
      </c>
      <c r="T21" s="124">
        <f>$V$3/(1-'Perdas e Vazões de Água'!D21)*30.4375/1000</f>
        <v>84.767521540583871</v>
      </c>
      <c r="U21" s="124">
        <f>T21*(1-'Perdas e Vazões de Água'!D21)</f>
        <v>68.656704170756029</v>
      </c>
      <c r="V21" s="124">
        <f>T21*(1-'Perdas e Vazões de Água'!$F21)</f>
        <v>64.418328093726842</v>
      </c>
      <c r="W21" s="124">
        <f>$W$3/(1-'Perdas e Vazões de Água'!D21)*30.4375/1000</f>
        <v>72.301731007878161</v>
      </c>
      <c r="X21" s="124">
        <f>W21*(1-'Perdas e Vazões de Água'!D21)</f>
        <v>58.560147408165896</v>
      </c>
      <c r="Y21" s="124">
        <f>W21*(1-'Perdas e Vazões de Água'!$F21)</f>
        <v>54.945060857771985</v>
      </c>
      <c r="Z21" s="124">
        <f>$X$3/(1-'Perdas e Vazões de Água'!D21)*30.4375/1000</f>
        <v>12.16635729748368</v>
      </c>
      <c r="AA21" s="124">
        <f>Z21*(1-'Perdas e Vazões de Água'!D21)</f>
        <v>9.8540334626763979</v>
      </c>
      <c r="AB21" s="124">
        <f>Z21*(1-'Perdas e Vazões de Água'!$F21)</f>
        <v>9.2457155978022136</v>
      </c>
      <c r="AC21" s="125">
        <f>P21*'Economais e Ligações Água'!D21</f>
        <v>207660.3303129079</v>
      </c>
      <c r="AD21" s="125">
        <f>S21*'Economais e Ligações Água'!G21</f>
        <v>18428.885979808496</v>
      </c>
      <c r="AE21" s="125">
        <f>V21*'Economais e Ligações Água'!J21</f>
        <v>9276.2392454966648</v>
      </c>
      <c r="AF21" s="125">
        <f>Y21*'Economais e Ligações Água'!M21</f>
        <v>5989.0116334971462</v>
      </c>
      <c r="AG21" s="125">
        <f>AB21*'Economais e Ligações Água'!P21</f>
        <v>1793.6688259736295</v>
      </c>
      <c r="AH21" s="125">
        <f t="shared" si="0"/>
        <v>243148.13599768383</v>
      </c>
      <c r="AI21" s="125">
        <f>O21*'Economais e Ligações Água'!D21</f>
        <v>221323.2520650159</v>
      </c>
      <c r="AJ21" s="125">
        <f>R21*'Economais e Ligações Água'!G21</f>
        <v>19641.406574094541</v>
      </c>
      <c r="AK21" s="125">
        <f>U21*'Economais e Ligações Água'!J21</f>
        <v>9886.5654005888682</v>
      </c>
      <c r="AL21" s="125">
        <f>X21*'Economais e Ligações Água'!M21</f>
        <v>6383.0560674900826</v>
      </c>
      <c r="AM21" s="125">
        <f>AA21*'Economais e Ligações Água'!P21</f>
        <v>1911.6824917592212</v>
      </c>
      <c r="AN21" s="125">
        <f t="shared" si="1"/>
        <v>259145.96259894862</v>
      </c>
      <c r="AO21" s="121">
        <f>AP21/(1-'Perdas e Vazões de Água'!D21)</f>
        <v>14.042113910453841</v>
      </c>
      <c r="AP21" s="121">
        <f>SUM(AI21:AM21)/'Economais e Ligações Água'!S21</f>
        <v>11.37328593735651</v>
      </c>
      <c r="AQ21" s="121">
        <f>AP21-('Perdas e Vazões de Água'!E21*AO21)</f>
        <v>10.671180241833818</v>
      </c>
      <c r="AR21" s="121">
        <f>AS21/(1-'Perdas e Vazões de Água'!D21)</f>
        <v>18.591338238938647</v>
      </c>
      <c r="AS21" s="121">
        <f>SUM(AI21:AM21)/'Economais e Ligações Água'!T21</f>
        <v>15.057889937222804</v>
      </c>
      <c r="AT21" s="121">
        <f>AR21*(1-'Perdas e Vazões de Água'!F21)</f>
        <v>14.12832302527587</v>
      </c>
      <c r="AU21" s="121">
        <f>AO21*'Economais e Ligações Água'!S21*12</f>
        <v>3839478.3843035423</v>
      </c>
      <c r="AV21" s="121">
        <f>AP21*'Economais e Ligações Água'!S21*12</f>
        <v>3109751.5511873835</v>
      </c>
      <c r="AW21" s="121">
        <f>AQ21*'Economais e Ligações Água'!S21*12</f>
        <v>2917777.6319722068</v>
      </c>
    </row>
    <row r="22" spans="2:49" s="153" customFormat="1" x14ac:dyDescent="0.15">
      <c r="B22" s="144">
        <f>População!B22</f>
        <v>10</v>
      </c>
      <c r="C22" s="101">
        <f>População!C22</f>
        <v>2036</v>
      </c>
      <c r="D22" s="120">
        <f>(E22/(1-'Perdas e Vazões de Água'!D22))</f>
        <v>177.03397338970441</v>
      </c>
      <c r="E22" s="120">
        <f t="shared" si="2"/>
        <v>144.24039002437652</v>
      </c>
      <c r="F22" s="120">
        <f>E22-(D22*'Perdas e Vazões de Água'!E22)</f>
        <v>135.38869135489131</v>
      </c>
      <c r="G22" s="120">
        <f>ROUND(AU22/12/30.4375/'Atendimento '!H22*1000,2)</f>
        <v>207.28</v>
      </c>
      <c r="H22" s="120">
        <f>ROUND(AV22/12/30.4375/'Atendimento '!H22*1000,2)</f>
        <v>168.89</v>
      </c>
      <c r="I22" s="145">
        <f>ROUND(AW22/12/30.4375/'Atendimento '!H22*1000,2)</f>
        <v>158.52000000000001</v>
      </c>
      <c r="K22" s="39"/>
      <c r="L22" s="101">
        <f>População!B22</f>
        <v>10</v>
      </c>
      <c r="M22" s="101">
        <f>População!C22</f>
        <v>2036</v>
      </c>
      <c r="N22" s="120">
        <f>D22*30.4375*Imóveis!J22/1000</f>
        <v>12.873811699221793</v>
      </c>
      <c r="O22" s="120">
        <f>N22*(1-'Perdas e Vazões de Água'!D22)</f>
        <v>10.489080626962441</v>
      </c>
      <c r="P22" s="122">
        <f>N22*(1-'Perdas e Vazões de Água'!$F22)</f>
        <v>9.8453900420013518</v>
      </c>
      <c r="Q22" s="122">
        <f>$U$3/(1-'Perdas e Vazões de Água'!D22)*30.4375/1000</f>
        <v>16.869805894981475</v>
      </c>
      <c r="R22" s="122">
        <f>Q22*(1-'Perdas e Vazões de Água'!D22)</f>
        <v>13.744861143523121</v>
      </c>
      <c r="S22" s="122">
        <f>Q22*(1-'Perdas e Vazões de Água'!$F22)</f>
        <v>12.901370848774045</v>
      </c>
      <c r="T22" s="122">
        <f>$V$3/(1-'Perdas e Vazões de Água'!D22)*30.4375/1000</f>
        <v>84.266058467647795</v>
      </c>
      <c r="U22" s="122">
        <f>T22*(1-'Perdas e Vazões de Água'!D22)</f>
        <v>68.656704170756043</v>
      </c>
      <c r="V22" s="122">
        <f>T22*(1-'Perdas e Vazões de Água'!$F22)</f>
        <v>64.443401247373657</v>
      </c>
      <c r="W22" s="122">
        <f>$W$3/(1-'Perdas e Vazões de Água'!D22)*30.4375/1000</f>
        <v>71.874012377548127</v>
      </c>
      <c r="X22" s="122">
        <f>W22*(1-'Perdas e Vazões de Água'!D22)</f>
        <v>58.560147408165889</v>
      </c>
      <c r="Y22" s="122">
        <f>W22*(1-'Perdas e Vazões de Água'!$F22)</f>
        <v>54.966446789288476</v>
      </c>
      <c r="Z22" s="122">
        <f>$X$3/(1-'Perdas e Vazões de Água'!D22)*30.4375/1000</f>
        <v>12.094384225651993</v>
      </c>
      <c r="AA22" s="122">
        <f>Z22*(1-'Perdas e Vazões de Água'!D22)</f>
        <v>9.8540334626763997</v>
      </c>
      <c r="AB22" s="122">
        <f>Z22*(1-'Perdas e Vazões de Água'!$F22)</f>
        <v>9.2493142513937983</v>
      </c>
      <c r="AC22" s="123">
        <f>P22*'Economais e Ligações Água'!D22</f>
        <v>209397.61951774036</v>
      </c>
      <c r="AD22" s="123">
        <f>S22*'Economais e Ligações Água'!G22</f>
        <v>18577.974022234626</v>
      </c>
      <c r="AE22" s="123">
        <f>V22*'Economais e Ligações Água'!J22</f>
        <v>9344.293180869181</v>
      </c>
      <c r="AF22" s="123">
        <f>Y22*'Economais e Ligações Água'!M22</f>
        <v>6046.3091468217326</v>
      </c>
      <c r="AG22" s="123">
        <f>AB22*'Economais e Ligações Água'!P22</f>
        <v>1812.8655932731845</v>
      </c>
      <c r="AH22" s="123">
        <f t="shared" si="0"/>
        <v>245179.06146093909</v>
      </c>
      <c r="AI22" s="123">
        <f>O22*'Economais e Ligações Água'!D22</f>
        <v>223088.01427323697</v>
      </c>
      <c r="AJ22" s="123">
        <f>R22*'Economais e Ligações Água'!G22</f>
        <v>19792.600046673295</v>
      </c>
      <c r="AK22" s="123">
        <f>U22*'Economais e Ligações Água'!J22</f>
        <v>9955.2221047596267</v>
      </c>
      <c r="AL22" s="123">
        <f>X22*'Economais e Ligações Água'!M22</f>
        <v>6441.6162148982476</v>
      </c>
      <c r="AM22" s="123">
        <f>AA22*'Economais e Ligações Água'!P22</f>
        <v>1931.3905586845744</v>
      </c>
      <c r="AN22" s="123">
        <f t="shared" si="1"/>
        <v>261208.8431982527</v>
      </c>
      <c r="AO22" s="120">
        <f>AP22/(1-'Perdas e Vazões de Água'!D22)</f>
        <v>13.842885688337384</v>
      </c>
      <c r="AP22" s="120">
        <f>SUM(AI22:AM22)/'Economais e Ligações Água'!S22</f>
        <v>11.278644389646651</v>
      </c>
      <c r="AQ22" s="120">
        <f>AP22-('Perdas e Vazões de Água'!E22*AO22)</f>
        <v>10.586500105229781</v>
      </c>
      <c r="AR22" s="120">
        <f>AS22/(1-'Perdas e Vazões de Água'!D22)</f>
        <v>18.328728986308739</v>
      </c>
      <c r="AS22" s="120">
        <f>SUM(AI22:AM22)/'Economais e Ligações Água'!T22</f>
        <v>14.933534886078638</v>
      </c>
      <c r="AT22" s="120">
        <f>AR22*(1-'Perdas e Vazões de Água'!F22)</f>
        <v>14.017098436763199</v>
      </c>
      <c r="AU22" s="120">
        <f>AO22*'Economais e Ligações Água'!S22*12</f>
        <v>3847147.6169552729</v>
      </c>
      <c r="AV22" s="120">
        <f>AP22*'Economais e Ligações Água'!S22*12</f>
        <v>3134506.1183790322</v>
      </c>
      <c r="AW22" s="120">
        <f>AQ22*'Economais e Ligações Água'!S22*12</f>
        <v>2942148.7375312685</v>
      </c>
    </row>
    <row r="23" spans="2:49" x14ac:dyDescent="0.15">
      <c r="B23" s="147">
        <f>População!B23</f>
        <v>11</v>
      </c>
      <c r="C23" s="109">
        <f>População!C23</f>
        <v>2037</v>
      </c>
      <c r="D23" s="121">
        <f>(E23/(1-'Perdas e Vazões de Água'!D23))</f>
        <v>176.01362791531994</v>
      </c>
      <c r="E23" s="121">
        <f t="shared" si="2"/>
        <v>144.24039002437652</v>
      </c>
      <c r="F23" s="121">
        <f>E23-(D23*'Perdas e Vazões de Água'!E23)</f>
        <v>135.43970862861053</v>
      </c>
      <c r="G23" s="121">
        <f>ROUND(AU23/12/30.4375/'Atendimento '!H23*1000,2)</f>
        <v>206.09</v>
      </c>
      <c r="H23" s="121">
        <f>ROUND(AV23/12/30.4375/'Atendimento '!H23*1000,2)</f>
        <v>168.89</v>
      </c>
      <c r="I23" s="146">
        <f>ROUND(AW23/12/30.4375/'Atendimento '!H23*1000,2)</f>
        <v>158.58000000000001</v>
      </c>
      <c r="K23" s="40"/>
      <c r="L23" s="109">
        <f>População!B23</f>
        <v>11</v>
      </c>
      <c r="M23" s="109">
        <f>População!C23</f>
        <v>2037</v>
      </c>
      <c r="N23" s="121">
        <f>D23*30.4375*Imóveis!J23/1000</f>
        <v>12.686487093731943</v>
      </c>
      <c r="O23" s="121">
        <f>N23*(1-'Perdas e Vazões de Água'!D23)</f>
        <v>10.3963759403873</v>
      </c>
      <c r="P23" s="124">
        <f>N23*(1-'Perdas e Vazões de Água'!$F23)</f>
        <v>9.7620515857007035</v>
      </c>
      <c r="Q23" s="124">
        <f>$U$3/(1-'Perdas e Vazões de Água'!D23)*30.4375/1000</f>
        <v>16.772575799711582</v>
      </c>
      <c r="R23" s="124">
        <f>Q23*(1-'Perdas e Vazões de Água'!D23)</f>
        <v>13.744861143523122</v>
      </c>
      <c r="S23" s="124">
        <f>Q23*(1-'Perdas e Vazões de Água'!$F23)</f>
        <v>12.906232353537543</v>
      </c>
      <c r="T23" s="124">
        <f>$V$3/(1-'Perdas e Vazões de Água'!D23)*30.4375/1000</f>
        <v>83.780386199464488</v>
      </c>
      <c r="U23" s="124">
        <f>T23*(1-'Perdas e Vazões de Água'!D23)</f>
        <v>68.656704170756058</v>
      </c>
      <c r="V23" s="124">
        <f>T23*(1-'Perdas e Vazões de Água'!$F23)</f>
        <v>64.467684860782839</v>
      </c>
      <c r="W23" s="124">
        <f>$W$3/(1-'Perdas e Vazões de Água'!D23)*30.4375/1000</f>
        <v>71.459762378798757</v>
      </c>
      <c r="X23" s="124">
        <f>W23*(1-'Perdas e Vazões de Água'!D23)</f>
        <v>58.560147408165911</v>
      </c>
      <c r="Y23" s="124">
        <f>W23*(1-'Perdas e Vazões de Água'!$F23)</f>
        <v>54.987159289225978</v>
      </c>
      <c r="Z23" s="124">
        <f>$X$3/(1-'Perdas e Vazões de Água'!D23)*30.4375/1000</f>
        <v>12.024677547471381</v>
      </c>
      <c r="AA23" s="124">
        <f>Z23*(1-'Perdas e Vazões de Água'!D23)</f>
        <v>9.8540334626763979</v>
      </c>
      <c r="AB23" s="124">
        <f>Z23*(1-'Perdas e Vazões de Água'!$F23)</f>
        <v>9.2527995853028298</v>
      </c>
      <c r="AC23" s="125">
        <f>P23*'Economais e Ligações Água'!D23</f>
        <v>211067.22333359605</v>
      </c>
      <c r="AD23" s="125">
        <f>S23*'Economais e Ligações Água'!G23</f>
        <v>18726.943144982975</v>
      </c>
      <c r="AE23" s="125">
        <f>V23*'Economais e Ligações Água'!J23</f>
        <v>9412.2819896742949</v>
      </c>
      <c r="AF23" s="125">
        <f>Y23*'Economais e Ligações Água'!M23</f>
        <v>6103.5746811040835</v>
      </c>
      <c r="AG23" s="125">
        <f>AB23*'Economais e Ligações Água'!P23</f>
        <v>1822.8015183046575</v>
      </c>
      <c r="AH23" s="125">
        <f t="shared" si="0"/>
        <v>247132.82466766203</v>
      </c>
      <c r="AI23" s="125">
        <f>O23*'Economais e Ligações Água'!D23</f>
        <v>224782.07405541436</v>
      </c>
      <c r="AJ23" s="125">
        <f>R23*'Economais e Ligações Água'!G23</f>
        <v>19943.793519252049</v>
      </c>
      <c r="AK23" s="125">
        <f>U23*'Economais e Ligações Água'!J23</f>
        <v>10023.878808930385</v>
      </c>
      <c r="AL23" s="125">
        <f>X23*'Economais e Ligações Água'!M23</f>
        <v>6500.1763623064162</v>
      </c>
      <c r="AM23" s="125">
        <f>AA23*'Economais e Ligações Água'!P23</f>
        <v>1941.2445921472504</v>
      </c>
      <c r="AN23" s="125">
        <f t="shared" si="1"/>
        <v>263191.16733805044</v>
      </c>
      <c r="AO23" s="121">
        <f>AP23/(1-'Perdas e Vazões de Água'!D23)</f>
        <v>13.65145745212153</v>
      </c>
      <c r="AP23" s="121">
        <f>SUM(AI23:AM23)/'Economais e Ligações Água'!S23</f>
        <v>11.18715391880065</v>
      </c>
      <c r="AQ23" s="121">
        <f>AP23-('Perdas e Vazões de Água'!E23*AO23)</f>
        <v>10.504581046194573</v>
      </c>
      <c r="AR23" s="121">
        <f>AS23/(1-'Perdas e Vazões de Água'!D23)</f>
        <v>18.076586231420976</v>
      </c>
      <c r="AS23" s="121">
        <f>SUM(AI23:AM23)/'Economais e Ligações Água'!T23</f>
        <v>14.81347711089645</v>
      </c>
      <c r="AT23" s="121">
        <f>AR23*(1-'Perdas e Vazões de Água'!F23)</f>
        <v>13.909647799325402</v>
      </c>
      <c r="AU23" s="121">
        <f>AO23*'Economais e Ligações Água'!S23*12</f>
        <v>3854002.2408932243</v>
      </c>
      <c r="AV23" s="121">
        <f>AP23*'Economais e Ligações Água'!S23*12</f>
        <v>3158294.0080566052</v>
      </c>
      <c r="AW23" s="121">
        <f>AQ23*'Economais e Ligações Água'!S23*12</f>
        <v>2965593.8960119439</v>
      </c>
    </row>
    <row r="24" spans="2:49" x14ac:dyDescent="0.15">
      <c r="B24" s="147">
        <f>População!B24</f>
        <v>12</v>
      </c>
      <c r="C24" s="109">
        <f>População!C24</f>
        <v>2038</v>
      </c>
      <c r="D24" s="121">
        <f>(E24/(1-'Perdas e Vazões de Água'!D24))</f>
        <v>175.025114716795</v>
      </c>
      <c r="E24" s="121">
        <f t="shared" si="2"/>
        <v>144.24039002437652</v>
      </c>
      <c r="F24" s="121">
        <f>E24-(D24*'Perdas e Vazões de Água'!E24)</f>
        <v>135.48913428853677</v>
      </c>
      <c r="G24" s="121">
        <f>ROUND(AU24/12/30.4375/'Atendimento '!H24*1000,2)</f>
        <v>204.95</v>
      </c>
      <c r="H24" s="121">
        <f>ROUND(AV24/12/30.4375/'Atendimento '!H24*1000,2)</f>
        <v>168.9</v>
      </c>
      <c r="I24" s="146">
        <f>ROUND(AW24/12/30.4375/'Atendimento '!H24*1000,2)</f>
        <v>158.65</v>
      </c>
      <c r="K24" s="40"/>
      <c r="L24" s="109">
        <f>População!B24</f>
        <v>12</v>
      </c>
      <c r="M24" s="109">
        <f>População!C24</f>
        <v>2038</v>
      </c>
      <c r="N24" s="121">
        <f>D24*30.4375*Imóveis!J24/1000</f>
        <v>12.506406570035448</v>
      </c>
      <c r="O24" s="121">
        <f>N24*(1-'Perdas e Vazões de Água'!D24)</f>
        <v>10.306686354036923</v>
      </c>
      <c r="P24" s="124">
        <f>N24*(1-'Perdas e Vazões de Água'!$F24)</f>
        <v>9.6813660255351515</v>
      </c>
      <c r="Q24" s="124">
        <f>$U$3/(1-'Perdas e Vazões de Água'!D24)*30.4375/1000</f>
        <v>16.678379044905462</v>
      </c>
      <c r="R24" s="124">
        <f>Q24*(1-'Perdas e Vazões de Água'!D24)</f>
        <v>13.744861143523121</v>
      </c>
      <c r="S24" s="124">
        <f>Q24*(1-'Perdas e Vazões de Água'!$F24)</f>
        <v>12.910942191277847</v>
      </c>
      <c r="T24" s="124">
        <f>$V$3/(1-'Perdas e Vazões de Água'!D24)*30.4375/1000</f>
        <v>83.30986571467831</v>
      </c>
      <c r="U24" s="124">
        <f>T24*(1-'Perdas e Vazões de Água'!D24)</f>
        <v>68.656704170756043</v>
      </c>
      <c r="V24" s="124">
        <f>T24*(1-'Perdas e Vazões de Água'!$F24)</f>
        <v>64.491210885022127</v>
      </c>
      <c r="W24" s="124">
        <f>$W$3/(1-'Perdas e Vazões de Água'!D24)*30.4375/1000</f>
        <v>71.058435963841362</v>
      </c>
      <c r="X24" s="124">
        <f>W24*(1-'Perdas e Vazões de Água'!D24)</f>
        <v>58.560147408165896</v>
      </c>
      <c r="Y24" s="124">
        <f>W24*(1-'Perdas e Vazões de Água'!$F24)</f>
        <v>55.00722560997383</v>
      </c>
      <c r="Z24" s="124">
        <f>$X$3/(1-'Perdas e Vazões de Água'!D24)*30.4375/1000</f>
        <v>11.957145546657213</v>
      </c>
      <c r="AA24" s="124">
        <f>Z24*(1-'Perdas e Vazões de Água'!D24)</f>
        <v>9.8540334626763979</v>
      </c>
      <c r="AB24" s="124">
        <f>Z24*(1-'Perdas e Vazões de Água'!$F24)</f>
        <v>9.2561761853435378</v>
      </c>
      <c r="AC24" s="125">
        <f>P24*'Economais e Ligações Água'!D24</f>
        <v>212670.79709744157</v>
      </c>
      <c r="AD24" s="125">
        <f>S24*'Economais e Ligações Água'!G24</f>
        <v>18875.797483648214</v>
      </c>
      <c r="AE24" s="125">
        <f>V24*'Economais e Ligações Água'!J24</f>
        <v>9480.2080000982533</v>
      </c>
      <c r="AF24" s="125">
        <f>Y24*'Economais e Ligações Água'!M24</f>
        <v>6160.8092683170689</v>
      </c>
      <c r="AG24" s="125">
        <f>AB24*'Economais e Ligações Água'!P24</f>
        <v>1841.9790608833641</v>
      </c>
      <c r="AH24" s="125">
        <f t="shared" si="0"/>
        <v>249029.59091038848</v>
      </c>
      <c r="AI24" s="125">
        <f>O24*'Economais e Ligações Água'!D24</f>
        <v>226407.22358446254</v>
      </c>
      <c r="AJ24" s="125">
        <f>R24*'Economais e Ligações Água'!G24</f>
        <v>20094.986991830803</v>
      </c>
      <c r="AK24" s="125">
        <f>U24*'Economais e Ligações Água'!J24</f>
        <v>10092.535513101138</v>
      </c>
      <c r="AL24" s="125">
        <f>X24*'Economais e Ligações Água'!M24</f>
        <v>6558.7365097145803</v>
      </c>
      <c r="AM24" s="125">
        <f>AA24*'Economais e Ligações Água'!P24</f>
        <v>1960.9526590726032</v>
      </c>
      <c r="AN24" s="125">
        <f t="shared" si="1"/>
        <v>265114.43525818165</v>
      </c>
      <c r="AO24" s="121">
        <f>AP24/(1-'Perdas e Vazões de Água'!D24)</f>
        <v>13.467432810591522</v>
      </c>
      <c r="AP24" s="121">
        <f>SUM(AI24:AM24)/'Economais e Ligações Água'!S24</f>
        <v>11.098680120107382</v>
      </c>
      <c r="AQ24" s="121">
        <f>AP24-('Perdas e Vazões de Água'!E24*AO24)</f>
        <v>10.425308479577806</v>
      </c>
      <c r="AR24" s="121">
        <f>AS24/(1-'Perdas e Vazões de Água'!D24)</f>
        <v>17.833887766772062</v>
      </c>
      <c r="AS24" s="121">
        <f>SUM(AI24:AM24)/'Economais e Ligações Água'!T24</f>
        <v>14.697130359219935</v>
      </c>
      <c r="AT24" s="121">
        <f>AR24*(1-'Perdas e Vazões de Água'!F24)</f>
        <v>13.80543597088133</v>
      </c>
      <c r="AU24" s="121">
        <f>AO24*'Economais e Ligações Água'!S24*12</f>
        <v>3860362.6434703656</v>
      </c>
      <c r="AV24" s="121">
        <f>AP24*'Economais e Ligações Água'!S24*12</f>
        <v>3181373.2230981798</v>
      </c>
      <c r="AW24" s="121">
        <f>AQ24*'Economais e Ligações Água'!S24*12</f>
        <v>2988355.0909246616</v>
      </c>
    </row>
    <row r="25" spans="2:49" x14ac:dyDescent="0.15">
      <c r="B25" s="147">
        <f>População!B25</f>
        <v>13</v>
      </c>
      <c r="C25" s="109">
        <f>População!C25</f>
        <v>2039</v>
      </c>
      <c r="D25" s="121">
        <f>(E25/(1-'Perdas e Vazões de Água'!D25))</f>
        <v>174.06716105960152</v>
      </c>
      <c r="E25" s="121">
        <f t="shared" si="2"/>
        <v>144.24039002437652</v>
      </c>
      <c r="F25" s="121">
        <f>E25-(D25*'Perdas e Vazões de Água'!E25)</f>
        <v>135.53703197139646</v>
      </c>
      <c r="G25" s="121">
        <f>ROUND(AU25/12/30.4375/'Atendimento '!H25*1000,2)</f>
        <v>203.79</v>
      </c>
      <c r="H25" s="121">
        <f>ROUND(AV25/12/30.4375/'Atendimento '!H25*1000,2)</f>
        <v>168.87</v>
      </c>
      <c r="I25" s="146">
        <f>ROUND(AW25/12/30.4375/'Atendimento '!H25*1000,2)</f>
        <v>158.68</v>
      </c>
      <c r="K25" s="40"/>
      <c r="L25" s="109">
        <f>População!B25</f>
        <v>13</v>
      </c>
      <c r="M25" s="109">
        <f>População!C25</f>
        <v>2039</v>
      </c>
      <c r="N25" s="121">
        <f>D25*30.4375*Imóveis!J25/1000</f>
        <v>12.333325629731638</v>
      </c>
      <c r="O25" s="121">
        <f>N25*(1-'Perdas e Vazões de Água'!D25)</f>
        <v>10.219984564009774</v>
      </c>
      <c r="P25" s="124">
        <f>N25*(1-'Perdas e Vazões de Água'!$F25)</f>
        <v>9.6033182825231922</v>
      </c>
      <c r="Q25" s="124">
        <f>$U$3/(1-'Perdas e Vazões de Água'!D25)*30.4375/1000</f>
        <v>16.587094349974798</v>
      </c>
      <c r="R25" s="124">
        <f>Q25*(1-'Perdas e Vazões de Água'!D25)</f>
        <v>13.744861143523117</v>
      </c>
      <c r="S25" s="124">
        <f>Q25*(1-'Perdas e Vazões de Água'!$F25)</f>
        <v>12.915506426024379</v>
      </c>
      <c r="T25" s="124">
        <f>$V$3/(1-'Perdas e Vazões de Água'!D25)*30.4375/1000</f>
        <v>82.853891206843784</v>
      </c>
      <c r="U25" s="124">
        <f>T25*(1-'Perdas e Vazões de Água'!D25)</f>
        <v>68.656704170756043</v>
      </c>
      <c r="V25" s="124">
        <f>T25*(1-'Perdas e Vazões de Água'!$F25)</f>
        <v>64.514009610413865</v>
      </c>
      <c r="W25" s="124">
        <f>$W$3/(1-'Perdas e Vazões de Água'!D25)*30.4375/1000</f>
        <v>70.669516415260262</v>
      </c>
      <c r="X25" s="124">
        <f>W25*(1-'Perdas e Vazões de Água'!D25)</f>
        <v>58.560147408165896</v>
      </c>
      <c r="Y25" s="124">
        <f>W25*(1-'Perdas e Vazões de Água'!$F25)</f>
        <v>55.026671587402888</v>
      </c>
      <c r="Z25" s="124">
        <f>$X$3/(1-'Perdas e Vazões de Água'!D25)*30.4375/1000</f>
        <v>11.89170127413353</v>
      </c>
      <c r="AA25" s="124">
        <f>Z25*(1-'Perdas e Vazões de Água'!D25)</f>
        <v>9.8540334626763997</v>
      </c>
      <c r="AB25" s="124">
        <f>Z25*(1-'Perdas e Vazões de Água'!$F25)</f>
        <v>9.2594483989697238</v>
      </c>
      <c r="AC25" s="125">
        <f>P25*'Economais e Ligações Água'!D25</f>
        <v>214210.04998309774</v>
      </c>
      <c r="AD25" s="125">
        <f>S25*'Economais e Ligações Água'!G25</f>
        <v>19011.625459107887</v>
      </c>
      <c r="AE25" s="125">
        <f>V25*'Economais e Ligações Água'!J25</f>
        <v>9548.0734223412528</v>
      </c>
      <c r="AF25" s="125">
        <f>Y25*'Economais e Ligações Água'!M25</f>
        <v>6162.987217789123</v>
      </c>
      <c r="AG25" s="125">
        <f>AB25*'Economais e Ligações Água'!P25</f>
        <v>1851.8896797939447</v>
      </c>
      <c r="AH25" s="125">
        <f t="shared" si="0"/>
        <v>250784.62576212993</v>
      </c>
      <c r="AI25" s="125">
        <f>O25*'Economais e Ligações Água'!D25</f>
        <v>227965.30739454163</v>
      </c>
      <c r="AJ25" s="125">
        <f>R25*'Economais e Ligações Água'!G25</f>
        <v>20232.435603266029</v>
      </c>
      <c r="AK25" s="125">
        <f>U25*'Economais e Ligações Água'!J25</f>
        <v>10161.192217271895</v>
      </c>
      <c r="AL25" s="125">
        <f>X25*'Economais e Ligações Água'!M25</f>
        <v>6558.7365097145803</v>
      </c>
      <c r="AM25" s="125">
        <f>AA25*'Economais e Ligações Água'!P25</f>
        <v>1970.80669253528</v>
      </c>
      <c r="AN25" s="125">
        <f t="shared" si="1"/>
        <v>266888.47841732943</v>
      </c>
      <c r="AO25" s="121">
        <f>AP25/(1-'Perdas e Vazões de Água'!D25)</f>
        <v>13.288193012731526</v>
      </c>
      <c r="AP25" s="121">
        <f>SUM(AI25:AM25)/'Economais e Ligações Água'!S25</f>
        <v>11.011233429717993</v>
      </c>
      <c r="AQ25" s="121">
        <f>AP25-('Perdas e Vazões de Água'!E25*AO25)</f>
        <v>10.346823779081417</v>
      </c>
      <c r="AR25" s="121">
        <f>AS25/(1-'Perdas e Vazões de Água'!D25)</f>
        <v>17.59790836977545</v>
      </c>
      <c r="AS25" s="121">
        <f>SUM(AI25:AM25)/'Economais e Ligações Água'!T25</f>
        <v>14.582470073149027</v>
      </c>
      <c r="AT25" s="121">
        <f>AR25*(1-'Perdas e Vazões de Água'!F25)</f>
        <v>13.702574654660257</v>
      </c>
      <c r="AU25" s="121">
        <f>AO25*'Economais e Ligações Água'!S25*12</f>
        <v>3864924.6372478735</v>
      </c>
      <c r="AV25" s="121">
        <f>AP25*'Economais e Ligações Água'!S25*12</f>
        <v>3202661.741007953</v>
      </c>
      <c r="AW25" s="121">
        <f>AQ25*'Economais e Ligações Água'!S25*12</f>
        <v>3009415.5091455597</v>
      </c>
    </row>
    <row r="26" spans="2:49" x14ac:dyDescent="0.15">
      <c r="B26" s="147">
        <f>População!B26</f>
        <v>14</v>
      </c>
      <c r="C26" s="109">
        <f>População!C26</f>
        <v>2040</v>
      </c>
      <c r="D26" s="121">
        <f>(E26/(1-'Perdas e Vazões de Água'!D26))</f>
        <v>173.13855950926873</v>
      </c>
      <c r="E26" s="121">
        <f t="shared" si="2"/>
        <v>144.24039002437652</v>
      </c>
      <c r="F26" s="121">
        <f>E26-(D26*'Perdas e Vazões de Água'!E26)</f>
        <v>135.58346204891308</v>
      </c>
      <c r="G26" s="121">
        <f>ROUND(AU26/12/30.4375/'Atendimento '!H26*1000,2)</f>
        <v>202.7</v>
      </c>
      <c r="H26" s="121">
        <f>ROUND(AV26/12/30.4375/'Atendimento '!H26*1000,2)</f>
        <v>168.87</v>
      </c>
      <c r="I26" s="146">
        <f>ROUND(AW26/12/30.4375/'Atendimento '!H26*1000,2)</f>
        <v>158.74</v>
      </c>
      <c r="K26" s="40"/>
      <c r="L26" s="109">
        <f>População!B26</f>
        <v>14</v>
      </c>
      <c r="M26" s="109">
        <f>População!C26</f>
        <v>2040</v>
      </c>
      <c r="N26" s="121">
        <f>D26*30.4375*Imóveis!J26/1000</f>
        <v>12.167003706326748</v>
      </c>
      <c r="O26" s="121">
        <f>N26*(1-'Perdas e Vazões de Água'!D26)</f>
        <v>10.136236347366946</v>
      </c>
      <c r="P26" s="124">
        <f>N26*(1-'Perdas e Vazões de Água'!$F26)</f>
        <v>9.5278861620506081</v>
      </c>
      <c r="Q26" s="124">
        <f>$U$3/(1-'Perdas e Vazões de Água'!D26)*30.4375/1000</f>
        <v>16.498606656861746</v>
      </c>
      <c r="R26" s="124">
        <f>Q26*(1-'Perdas e Vazões de Água'!D26)</f>
        <v>13.744861143523119</v>
      </c>
      <c r="S26" s="124">
        <f>Q26*(1-'Perdas e Vazões de Água'!$F26)</f>
        <v>12.919930810680031</v>
      </c>
      <c r="T26" s="124">
        <f>$V$3/(1-'Perdas e Vazões de Água'!D26)*30.4375/1000</f>
        <v>82.411887951563287</v>
      </c>
      <c r="U26" s="124">
        <f>T26*(1-'Perdas e Vazões de Água'!D26)</f>
        <v>68.656704170756043</v>
      </c>
      <c r="V26" s="124">
        <f>T26*(1-'Perdas e Vazões de Água'!$F26)</f>
        <v>64.536109773177884</v>
      </c>
      <c r="W26" s="124">
        <f>$W$3/(1-'Perdas e Vazões de Água'!D26)*30.4375/1000</f>
        <v>70.292513526806147</v>
      </c>
      <c r="X26" s="124">
        <f>W26*(1-'Perdas e Vazões de Água'!D26)</f>
        <v>58.560147408165903</v>
      </c>
      <c r="Y26" s="124">
        <f>W26*(1-'Perdas e Vazões de Água'!$F26)</f>
        <v>55.045521731825588</v>
      </c>
      <c r="Z26" s="124">
        <f>$X$3/(1-'Perdas e Vazões de Água'!D26)*30.4375/1000</f>
        <v>11.828262241911515</v>
      </c>
      <c r="AA26" s="124">
        <f>Z26*(1-'Perdas e Vazões de Água'!D26)</f>
        <v>9.8540334626763997</v>
      </c>
      <c r="AB26" s="124">
        <f>Z26*(1-'Perdas e Vazões de Água'!$F26)</f>
        <v>9.2626203505808231</v>
      </c>
      <c r="AC26" s="125">
        <f>P26*'Economais e Ligações Água'!D26</f>
        <v>215686.73416128036</v>
      </c>
      <c r="AD26" s="125">
        <f>S26*'Economais e Ligações Água'!G26</f>
        <v>19134.417530617124</v>
      </c>
      <c r="AE26" s="125">
        <f>V26*'Economais e Ligações Água'!J26</f>
        <v>9615.8803562035046</v>
      </c>
      <c r="AF26" s="125">
        <f>Y26*'Economais e Ligações Água'!M26</f>
        <v>6220.1439556962914</v>
      </c>
      <c r="AG26" s="125">
        <f>AB26*'Economais e Ligações Água'!P26</f>
        <v>1861.7866904667455</v>
      </c>
      <c r="AH26" s="125">
        <f t="shared" si="0"/>
        <v>252518.96269426402</v>
      </c>
      <c r="AI26" s="125">
        <f>O26*'Economais e Ligações Água'!D26</f>
        <v>229458.21111488942</v>
      </c>
      <c r="AJ26" s="125">
        <f>R26*'Economais e Ligações Água'!G26</f>
        <v>20356.139353557741</v>
      </c>
      <c r="AK26" s="125">
        <f>U26*'Economais e Ligações Água'!J26</f>
        <v>10229.84892144265</v>
      </c>
      <c r="AL26" s="125">
        <f>X26*'Economais e Ligações Água'!M26</f>
        <v>6617.2966571227471</v>
      </c>
      <c r="AM26" s="125">
        <f>AA26*'Economais e Ligações Água'!P26</f>
        <v>1980.6607259979564</v>
      </c>
      <c r="AN26" s="125">
        <f t="shared" si="1"/>
        <v>268642.1567730105</v>
      </c>
      <c r="AO26" s="121">
        <f>AP26/(1-'Perdas e Vazões de Água'!D26)</f>
        <v>13.118197329531625</v>
      </c>
      <c r="AP26" s="121">
        <f>SUM(AI26:AM26)/'Economais e Ligações Água'!S26</f>
        <v>10.928668371686905</v>
      </c>
      <c r="AQ26" s="121">
        <f>AP26-('Perdas e Vazões de Água'!E26*AO26)</f>
        <v>10.272758505210325</v>
      </c>
      <c r="AR26" s="121">
        <f>AS26/(1-'Perdas e Vazões de Água'!D26)</f>
        <v>17.373854084978554</v>
      </c>
      <c r="AS26" s="121">
        <f>SUM(AI26:AM26)/'Economais e Ligações Água'!T26</f>
        <v>14.474022982210142</v>
      </c>
      <c r="AT26" s="121">
        <f>AR26*(1-'Perdas e Vazões de Água'!F26)</f>
        <v>13.605330277961214</v>
      </c>
      <c r="AU26" s="121">
        <f>AO26*'Economais e Ligações Água'!S26*12</f>
        <v>3869566.5788991521</v>
      </c>
      <c r="AV26" s="121">
        <f>AP26*'Economais e Ligações Água'!S26*12</f>
        <v>3223705.881276126</v>
      </c>
      <c r="AW26" s="121">
        <f>AQ26*'Economais e Ligações Água'!S26*12</f>
        <v>3030227.5523311682</v>
      </c>
    </row>
    <row r="27" spans="2:49" s="153" customFormat="1" x14ac:dyDescent="0.15">
      <c r="B27" s="144">
        <f>População!B27</f>
        <v>15</v>
      </c>
      <c r="C27" s="101">
        <f>População!C27</f>
        <v>2041</v>
      </c>
      <c r="D27" s="120">
        <f>(E27/(1-'Perdas e Vazões de Água'!D27))</f>
        <v>172.23816379183583</v>
      </c>
      <c r="E27" s="120">
        <f t="shared" si="2"/>
        <v>144.24039002437652</v>
      </c>
      <c r="F27" s="120">
        <f>E27-(D27*'Perdas e Vazões de Água'!E27)</f>
        <v>135.62848183478474</v>
      </c>
      <c r="G27" s="120">
        <f>ROUND(AU27/12/30.4375/'Atendimento '!H27*1000,2)</f>
        <v>201.66</v>
      </c>
      <c r="H27" s="120">
        <f>ROUND(AV27/12/30.4375/'Atendimento '!H27*1000,2)</f>
        <v>168.88</v>
      </c>
      <c r="I27" s="145">
        <f>ROUND(AW27/12/30.4375/'Atendimento '!H27*1000,2)</f>
        <v>158.80000000000001</v>
      </c>
      <c r="K27" s="39"/>
      <c r="L27" s="101">
        <f>População!B27</f>
        <v>15</v>
      </c>
      <c r="M27" s="101">
        <f>População!C27</f>
        <v>2041</v>
      </c>
      <c r="N27" s="120">
        <f>D27*30.4375*Imóveis!J27/1000</f>
        <v>12.007204527091522</v>
      </c>
      <c r="O27" s="120">
        <f>N27*(1-'Perdas e Vazões de Água'!D27)</f>
        <v>10.055401346378233</v>
      </c>
      <c r="P27" s="122">
        <f>N27*(1-'Perdas e Vazões de Água'!$F27)</f>
        <v>9.4550411200236582</v>
      </c>
      <c r="Q27" s="122">
        <f>$U$3/(1-'Perdas e Vazões de Água'!D27)*30.4375/1000</f>
        <v>16.412806735575852</v>
      </c>
      <c r="R27" s="122">
        <f>Q27*(1-'Perdas e Vazões de Água'!D27)</f>
        <v>13.744861143523121</v>
      </c>
      <c r="S27" s="122">
        <f>Q27*(1-'Perdas e Vazões de Água'!$F27)</f>
        <v>12.924220806744328</v>
      </c>
      <c r="T27" s="122">
        <f>$V$3/(1-'Perdas e Vazões de Água'!D27)*30.4375/1000</f>
        <v>81.983310336112012</v>
      </c>
      <c r="U27" s="122">
        <f>T27*(1-'Perdas e Vazões de Água'!D27)</f>
        <v>68.656704170756029</v>
      </c>
      <c r="V27" s="122">
        <f>T27*(1-'Perdas e Vazões de Água'!$F27)</f>
        <v>64.557538653950445</v>
      </c>
      <c r="W27" s="122">
        <f>$W$3/(1-'Perdas e Vazões de Água'!D27)*30.4375/1000</f>
        <v>69.926961922781487</v>
      </c>
      <c r="X27" s="122">
        <f>W27*(1-'Perdas e Vazões de Água'!D27)</f>
        <v>58.560147408165896</v>
      </c>
      <c r="Y27" s="122">
        <f>W27*(1-'Perdas e Vazões de Água'!$F27)</f>
        <v>55.063799312026823</v>
      </c>
      <c r="Z27" s="122">
        <f>$X$3/(1-'Perdas e Vazões de Água'!D27)*30.4375/1000</f>
        <v>11.766750140289112</v>
      </c>
      <c r="AA27" s="122">
        <f>Z27*(1-'Perdas e Vazões de Água'!D27)</f>
        <v>9.8540334626763979</v>
      </c>
      <c r="AB27" s="122">
        <f>Z27*(1-'Perdas e Vazões de Água'!$F27)</f>
        <v>9.2656959556619434</v>
      </c>
      <c r="AC27" s="123">
        <f>P27*'Economais e Ligações Água'!D27</f>
        <v>217102.63464381429</v>
      </c>
      <c r="AD27" s="123">
        <f>S27*'Economais e Ligações Água'!G27</f>
        <v>19257.089002049048</v>
      </c>
      <c r="AE27" s="123">
        <f>V27*'Economais e Ligações Água'!J27</f>
        <v>9683.6307980925667</v>
      </c>
      <c r="AF27" s="123">
        <f>Y27*'Economais e Ligações Água'!M27</f>
        <v>6277.2731215710583</v>
      </c>
      <c r="AG27" s="123">
        <f>AB27*'Economais e Ligações Água'!P27</f>
        <v>1871.6705830437127</v>
      </c>
      <c r="AH27" s="123">
        <f t="shared" si="0"/>
        <v>254192.2981485707</v>
      </c>
      <c r="AI27" s="123">
        <f>O27*'Economais e Ligações Água'!D27</f>
        <v>230887.85093450861</v>
      </c>
      <c r="AJ27" s="123">
        <f>R27*'Economais e Ligações Água'!G27</f>
        <v>20479.843103849449</v>
      </c>
      <c r="AK27" s="123">
        <f>U27*'Economais e Ligações Água'!J27</f>
        <v>10298.505625613405</v>
      </c>
      <c r="AL27" s="123">
        <f>X27*'Economais e Ligações Água'!M27</f>
        <v>6675.8568045309121</v>
      </c>
      <c r="AM27" s="123">
        <f>AA27*'Economais e Ligações Água'!P27</f>
        <v>1990.5147594606324</v>
      </c>
      <c r="AN27" s="123">
        <f t="shared" si="1"/>
        <v>270332.57122796302</v>
      </c>
      <c r="AO27" s="120">
        <f>AP27/(1-'Perdas e Vazões de Água'!D27)</f>
        <v>12.954930934473124</v>
      </c>
      <c r="AP27" s="120">
        <f>SUM(AI27:AM27)/'Economais e Ligações Água'!S27</f>
        <v>10.849072293789964</v>
      </c>
      <c r="AQ27" s="120">
        <f>AP27-('Perdas e Vazões de Água'!E27*AO27)</f>
        <v>10.201325747066308</v>
      </c>
      <c r="AR27" s="120">
        <f>AS27/(1-'Perdas e Vazões de Água'!D27)</f>
        <v>17.158615021318685</v>
      </c>
      <c r="AS27" s="120">
        <f>SUM(AI27:AM27)/'Economais e Ligações Água'!T27</f>
        <v>14.369436299520324</v>
      </c>
      <c r="AT27" s="120">
        <f>AR27*(1-'Perdas e Vazões de Água'!F27)</f>
        <v>13.511505548454391</v>
      </c>
      <c r="AU27" s="120">
        <f>AO27*'Economais e Ligações Água'!S27*12</f>
        <v>3873665.5390541703</v>
      </c>
      <c r="AV27" s="120">
        <f>AP27*'Economais e Ligações Água'!S27*12</f>
        <v>3243990.8547355561</v>
      </c>
      <c r="AW27" s="120">
        <f>AQ27*'Economais e Ligações Água'!S27*12</f>
        <v>3050307.5777828475</v>
      </c>
    </row>
    <row r="28" spans="2:49" x14ac:dyDescent="0.15">
      <c r="B28" s="147">
        <f>População!B28</f>
        <v>16</v>
      </c>
      <c r="C28" s="109">
        <f>População!C28</f>
        <v>2042</v>
      </c>
      <c r="D28" s="121">
        <f>(E28/(1-'Perdas e Vazões de Água'!D28))</f>
        <v>171.36488496570729</v>
      </c>
      <c r="E28" s="121">
        <f t="shared" si="2"/>
        <v>144.24039002437652</v>
      </c>
      <c r="F28" s="121">
        <f>E28-(D28*'Perdas e Vazões de Água'!E28)</f>
        <v>135.67214577609116</v>
      </c>
      <c r="G28" s="121">
        <f>ROUND(AU28/12/30.4375/'Atendimento '!H28*1000,2)</f>
        <v>200.62</v>
      </c>
      <c r="H28" s="121">
        <f>ROUND(AV28/12/30.4375/'Atendimento '!H28*1000,2)</f>
        <v>168.87</v>
      </c>
      <c r="I28" s="146">
        <f>ROUND(AW28/12/30.4375/'Atendimento '!H28*1000,2)</f>
        <v>158.84</v>
      </c>
      <c r="K28" s="40"/>
      <c r="L28" s="109">
        <f>População!B28</f>
        <v>16</v>
      </c>
      <c r="M28" s="109">
        <f>População!C28</f>
        <v>2042</v>
      </c>
      <c r="N28" s="121">
        <f>D28*30.4375*Imóveis!J28/1000</f>
        <v>11.853696431631844</v>
      </c>
      <c r="O28" s="121">
        <f>N28*(1-'Perdas e Vazões de Água'!D28)</f>
        <v>9.9774338066476727</v>
      </c>
      <c r="P28" s="124">
        <f>N28*(1-'Perdas e Vazões de Água'!$F28)</f>
        <v>9.3847489850660821</v>
      </c>
      <c r="Q28" s="124">
        <f>$U$3/(1-'Perdas e Vazões de Água'!D28)*30.4375/1000</f>
        <v>16.329590819405031</v>
      </c>
      <c r="R28" s="124">
        <f>Q28*(1-'Perdas e Vazões de Água'!D28)</f>
        <v>13.744861143523122</v>
      </c>
      <c r="S28" s="124">
        <f>Q28*(1-'Perdas e Vazões de Água'!$F28)</f>
        <v>12.928381602552873</v>
      </c>
      <c r="T28" s="124">
        <f>$V$3/(1-'Perdas e Vazões de Água'!D28)*30.4375/1000</f>
        <v>81.56764003728685</v>
      </c>
      <c r="U28" s="124">
        <f>T28*(1-'Perdas e Vazões de Água'!D28)</f>
        <v>68.656704170756043</v>
      </c>
      <c r="V28" s="124">
        <f>T28*(1-'Perdas e Vazões de Água'!$F28)</f>
        <v>64.578322168891717</v>
      </c>
      <c r="W28" s="124">
        <f>$W$3/(1-'Perdas e Vazões de Água'!D28)*30.4375/1000</f>
        <v>69.572419503852402</v>
      </c>
      <c r="X28" s="124">
        <f>W28*(1-'Perdas e Vazões de Água'!D28)</f>
        <v>58.560147408165896</v>
      </c>
      <c r="Y28" s="124">
        <f>W28*(1-'Perdas e Vazões de Água'!$F28)</f>
        <v>55.081526432973284</v>
      </c>
      <c r="Z28" s="124">
        <f>$X$3/(1-'Perdas e Vazões de Água'!D28)*30.4375/1000</f>
        <v>11.707090576324656</v>
      </c>
      <c r="AA28" s="124">
        <f>Z28*(1-'Perdas e Vazões de Água'!D28)</f>
        <v>9.8540334626763997</v>
      </c>
      <c r="AB28" s="124">
        <f>Z28*(1-'Perdas e Vazões de Água'!$F28)</f>
        <v>9.2686789338601674</v>
      </c>
      <c r="AC28" s="125">
        <f>P28*'Economais e Ligações Água'!D28</f>
        <v>218459.55982925708</v>
      </c>
      <c r="AD28" s="125">
        <f>S28*'Economais e Ligações Água'!G28</f>
        <v>19379.644022226756</v>
      </c>
      <c r="AE28" s="125">
        <f>V28*'Economais e Ligações Água'!J28</f>
        <v>9751.3266475026485</v>
      </c>
      <c r="AF28" s="125">
        <f>Y28*'Economais e Ligações Água'!M28</f>
        <v>6279.2940133589545</v>
      </c>
      <c r="AG28" s="125">
        <f>AB28*'Economais e Ligações Água'!P28</f>
        <v>1890.8105025074742</v>
      </c>
      <c r="AH28" s="125">
        <f t="shared" si="0"/>
        <v>255760.63501485289</v>
      </c>
      <c r="AI28" s="125">
        <f>O28*'Economais e Ligações Água'!D28</f>
        <v>232256.16381368259</v>
      </c>
      <c r="AJ28" s="125">
        <f>R28*'Economais e Ligações Água'!G28</f>
        <v>20603.546854141161</v>
      </c>
      <c r="AK28" s="125">
        <f>U28*'Economais e Ligações Água'!J28</f>
        <v>10367.162329784163</v>
      </c>
      <c r="AL28" s="125">
        <f>X28*'Economais e Ligações Água'!M28</f>
        <v>6675.8568045309121</v>
      </c>
      <c r="AM28" s="125">
        <f>AA28*'Economais e Ligações Água'!P28</f>
        <v>2010.2228263859856</v>
      </c>
      <c r="AN28" s="125">
        <f t="shared" si="1"/>
        <v>271912.9526285248</v>
      </c>
      <c r="AO28" s="121">
        <f>AP28/(1-'Perdas e Vazões de Água'!D28)</f>
        <v>12.795867871511303</v>
      </c>
      <c r="AP28" s="121">
        <f>SUM(AI28:AM28)/'Economais e Ligações Água'!S28</f>
        <v>10.77047361748895</v>
      </c>
      <c r="AQ28" s="121">
        <f>AP28-('Perdas e Vazões de Água'!E28*AO28)</f>
        <v>10.130680223913384</v>
      </c>
      <c r="AR28" s="121">
        <f>AS28/(1-'Perdas e Vazões de Água'!D28)</f>
        <v>16.948842997979376</v>
      </c>
      <c r="AS28" s="121">
        <f>SUM(AI28:AM28)/'Economais e Ligações Água'!T28</f>
        <v>14.266094976107219</v>
      </c>
      <c r="AT28" s="121">
        <f>AR28*(1-'Perdas e Vazões de Água'!F28)</f>
        <v>13.418652826208252</v>
      </c>
      <c r="AU28" s="121">
        <f>AO28*'Economais e Ligações Água'!S28*12</f>
        <v>3876556.2272812673</v>
      </c>
      <c r="AV28" s="121">
        <f>AP28*'Economais e Ligações Água'!S28*12</f>
        <v>3262955.4315422978</v>
      </c>
      <c r="AW28" s="121">
        <f>AQ28*'Economais e Ligações Água'!S28*12</f>
        <v>3069127.6201782338</v>
      </c>
    </row>
    <row r="29" spans="2:49" x14ac:dyDescent="0.15">
      <c r="B29" s="147">
        <f>População!B29</f>
        <v>17</v>
      </c>
      <c r="C29" s="109">
        <f>População!C29</f>
        <v>2043</v>
      </c>
      <c r="D29" s="121">
        <f>(E29/(1-'Perdas e Vazões de Água'!D29))</f>
        <v>170.51768787791738</v>
      </c>
      <c r="E29" s="121">
        <f t="shared" si="2"/>
        <v>144.24039002437652</v>
      </c>
      <c r="F29" s="121">
        <f>E29-(D29*'Perdas e Vazões de Água'!E29)</f>
        <v>135.71450563048066</v>
      </c>
      <c r="G29" s="121">
        <f>ROUND(AU29/12/30.4375/'Atendimento '!H29*1000,2)</f>
        <v>199.61</v>
      </c>
      <c r="H29" s="121">
        <f>ROUND(AV29/12/30.4375/'Atendimento '!H29*1000,2)</f>
        <v>168.85</v>
      </c>
      <c r="I29" s="146">
        <f>ROUND(AW29/12/30.4375/'Atendimento '!H29*1000,2)</f>
        <v>158.87</v>
      </c>
      <c r="K29" s="40"/>
      <c r="L29" s="109">
        <f>População!B29</f>
        <v>17</v>
      </c>
      <c r="M29" s="109">
        <f>População!C29</f>
        <v>2043</v>
      </c>
      <c r="N29" s="121">
        <f>D29*30.4375*Imóveis!J29/1000</f>
        <v>11.706252648707201</v>
      </c>
      <c r="O29" s="121">
        <f>N29*(1-'Perdas e Vazões de Água'!D29)</f>
        <v>9.9022832691838634</v>
      </c>
      <c r="P29" s="124">
        <f>N29*(1-'Perdas e Vazões de Água'!$F29)</f>
        <v>9.3169706367485023</v>
      </c>
      <c r="Q29" s="124">
        <f>$U$3/(1-'Perdas e Vazões de Água'!D29)*30.4375/1000</f>
        <v>16.248860267228203</v>
      </c>
      <c r="R29" s="124">
        <f>Q29*(1-'Perdas e Vazões de Água'!D29)</f>
        <v>13.744861143523124</v>
      </c>
      <c r="S29" s="124">
        <f>Q29*(1-'Perdas e Vazões de Água'!$F29)</f>
        <v>12.932418130161713</v>
      </c>
      <c r="T29" s="124">
        <f>$V$3/(1-'Perdas e Vazões de Água'!D29)*30.4375/1000</f>
        <v>81.164384334630427</v>
      </c>
      <c r="U29" s="124">
        <f>T29*(1-'Perdas e Vazões de Água'!D29)</f>
        <v>68.656704170756043</v>
      </c>
      <c r="V29" s="124">
        <f>T29*(1-'Perdas e Vazões de Água'!$F29)</f>
        <v>64.598484954024514</v>
      </c>
      <c r="W29" s="124">
        <f>$W$3/(1-'Perdas e Vazões de Água'!D29)*30.4375/1000</f>
        <v>69.228466008327601</v>
      </c>
      <c r="X29" s="124">
        <f>W29*(1-'Perdas e Vazões de Água'!D29)</f>
        <v>58.560147408165896</v>
      </c>
      <c r="Y29" s="124">
        <f>W29*(1-'Perdas e Vazões de Água'!$F29)</f>
        <v>55.098724107749511</v>
      </c>
      <c r="Z29" s="124">
        <f>$X$3/(1-'Perdas e Vazões de Água'!D29)*30.4375/1000</f>
        <v>11.649212831740407</v>
      </c>
      <c r="AA29" s="124">
        <f>Z29*(1-'Perdas e Vazões de Água'!D29)</f>
        <v>9.8540334626763997</v>
      </c>
      <c r="AB29" s="124">
        <f>Z29*(1-'Perdas e Vazões de Água'!$F29)</f>
        <v>9.2715728210893786</v>
      </c>
      <c r="AC29" s="125">
        <f>P29*'Economais e Ligações Água'!D29</f>
        <v>219759.3327570846</v>
      </c>
      <c r="AD29" s="125">
        <f>S29*'Economais e Ligações Água'!G29</f>
        <v>19502.086540283864</v>
      </c>
      <c r="AE29" s="125">
        <f>V29*'Economais e Ligações Água'!J29</f>
        <v>9754.371228057702</v>
      </c>
      <c r="AF29" s="125">
        <f>Y29*'Economais e Ligações Água'!M29</f>
        <v>6336.353272391194</v>
      </c>
      <c r="AG29" s="125">
        <f>AB29*'Economais e Ligações Água'!P29</f>
        <v>1900.6724283233227</v>
      </c>
      <c r="AH29" s="125">
        <f t="shared" si="0"/>
        <v>257252.81622614068</v>
      </c>
      <c r="AI29" s="125">
        <f>O29*'Economais e Ligações Água'!D29</f>
        <v>233565.0984478067</v>
      </c>
      <c r="AJ29" s="125">
        <f>R29*'Economais e Ligações Água'!G29</f>
        <v>20727.250604432873</v>
      </c>
      <c r="AK29" s="125">
        <f>U29*'Economais e Ligações Água'!J29</f>
        <v>10367.162329784163</v>
      </c>
      <c r="AL29" s="125">
        <f>X29*'Economais e Ligações Água'!M29</f>
        <v>6734.416951939078</v>
      </c>
      <c r="AM29" s="125">
        <f>AA29*'Economais e Ligações Água'!P29</f>
        <v>2020.076859848662</v>
      </c>
      <c r="AN29" s="125">
        <f t="shared" si="1"/>
        <v>273414.00519381149</v>
      </c>
      <c r="AO29" s="121">
        <f>AP29/(1-'Perdas e Vazões de Água'!D29)</f>
        <v>12.64272284114476</v>
      </c>
      <c r="AP29" s="121">
        <f>SUM(AI29:AM29)/'Economais e Ligações Água'!S29</f>
        <v>10.694440537350113</v>
      </c>
      <c r="AQ29" s="121">
        <f>AP29-('Perdas e Vazões de Água'!E29*AO29)</f>
        <v>10.062304395292875</v>
      </c>
      <c r="AR29" s="121">
        <f>AS29/(1-'Perdas e Vazões de Água'!D29)</f>
        <v>16.747026011027735</v>
      </c>
      <c r="AS29" s="121">
        <f>SUM(AI29:AM29)/'Economais e Ligações Água'!T29</f>
        <v>14.166258020742532</v>
      </c>
      <c r="AT29" s="121">
        <f>AR29*(1-'Perdas e Vazões de Água'!F29)</f>
        <v>13.328906720191146</v>
      </c>
      <c r="AU29" s="121">
        <f>AO29*'Economais e Ligações Água'!S29*12</f>
        <v>3878685.3522409829</v>
      </c>
      <c r="AV29" s="121">
        <f>AP29*'Economais e Ligações Água'!S29*12</f>
        <v>3280968.0623257379</v>
      </c>
      <c r="AW29" s="121">
        <f>AQ29*'Economais e Ligações Água'!S29*12</f>
        <v>3087033.794713689</v>
      </c>
    </row>
    <row r="30" spans="2:49" x14ac:dyDescent="0.15">
      <c r="B30" s="147">
        <f>População!B30</f>
        <v>18</v>
      </c>
      <c r="C30" s="109">
        <f>População!C30</f>
        <v>2044</v>
      </c>
      <c r="D30" s="121">
        <f>(E30/(1-'Perdas e Vazões de Água'!D30))</f>
        <v>169.69558788044952</v>
      </c>
      <c r="E30" s="121">
        <f t="shared" si="2"/>
        <v>144.24039002437652</v>
      </c>
      <c r="F30" s="121">
        <f>E30-(D30*'Perdas e Vazões de Água'!E30)</f>
        <v>135.75561063035406</v>
      </c>
      <c r="G30" s="121">
        <f>ROUND(AU30/12/30.4375/'Atendimento '!H30*1000,2)</f>
        <v>198.67</v>
      </c>
      <c r="H30" s="121">
        <f>ROUND(AV30/12/30.4375/'Atendimento '!H30*1000,2)</f>
        <v>168.87</v>
      </c>
      <c r="I30" s="146">
        <f>ROUND(AW30/12/30.4375/'Atendimento '!H30*1000,2)</f>
        <v>158.94</v>
      </c>
      <c r="K30" s="40"/>
      <c r="L30" s="109">
        <f>População!B30</f>
        <v>18</v>
      </c>
      <c r="M30" s="109">
        <f>População!C30</f>
        <v>2044</v>
      </c>
      <c r="N30" s="121">
        <f>D30*30.4375*Imóveis!J30/1000</f>
        <v>11.564651533035077</v>
      </c>
      <c r="O30" s="121">
        <f>N30*(1-'Perdas e Vazões de Água'!D30)</f>
        <v>9.8298952168170217</v>
      </c>
      <c r="P30" s="124">
        <f>N30*(1-'Perdas e Vazões de Água'!$F30)</f>
        <v>9.251662640165268</v>
      </c>
      <c r="Q30" s="124">
        <f>$U$3/(1-'Perdas e Vazões de Água'!D30)*30.4375/1000</f>
        <v>16.17052125060895</v>
      </c>
      <c r="R30" s="124">
        <f>Q30*(1-'Perdas e Vazões de Água'!D30)</f>
        <v>13.744861143523121</v>
      </c>
      <c r="S30" s="124">
        <f>Q30*(1-'Perdas e Vazões de Água'!$F30)</f>
        <v>12.936335080992674</v>
      </c>
      <c r="T30" s="124">
        <f>$V$3/(1-'Perdas e Vazões de Água'!D30)*30.4375/1000</f>
        <v>80.773074547438412</v>
      </c>
      <c r="U30" s="124">
        <f>T30*(1-'Perdas e Vazões de Água'!D30)</f>
        <v>68.656704170756043</v>
      </c>
      <c r="V30" s="124">
        <f>T30*(1-'Perdas e Vazões de Água'!$F30)</f>
        <v>64.618050443384121</v>
      </c>
      <c r="W30" s="124">
        <f>$W$3/(1-'Perdas e Vazões de Água'!D30)*30.4375/1000</f>
        <v>68.894701679017103</v>
      </c>
      <c r="X30" s="124">
        <f>W30*(1-'Perdas e Vazões de Água'!D30)</f>
        <v>58.560147408165903</v>
      </c>
      <c r="Y30" s="124">
        <f>W30*(1-'Perdas e Vazões de Água'!$F30)</f>
        <v>55.115412324215043</v>
      </c>
      <c r="Z30" s="124">
        <f>$X$3/(1-'Perdas e Vazões de Água'!D30)*30.4375/1000</f>
        <v>11.593049638592179</v>
      </c>
      <c r="AA30" s="124">
        <f>Z30*(1-'Perdas e Vazões de Água'!D30)</f>
        <v>9.8540334626763997</v>
      </c>
      <c r="AB30" s="124">
        <f>Z30*(1-'Perdas e Vazões de Água'!$F30)</f>
        <v>9.2743809807467894</v>
      </c>
      <c r="AC30" s="125">
        <f>P30*'Economais e Ligações Água'!D30</f>
        <v>221003.78306875945</v>
      </c>
      <c r="AD30" s="125">
        <f>S30*'Economais e Ligações Água'!G30</f>
        <v>19611.483982784892</v>
      </c>
      <c r="AE30" s="125">
        <f>V30*'Economais e Ligações Água'!J30</f>
        <v>9821.9436673943856</v>
      </c>
      <c r="AF30" s="125">
        <f>Y30*'Economais e Ligações Água'!M30</f>
        <v>6393.3878296089451</v>
      </c>
      <c r="AG30" s="125">
        <f>AB30*'Economais e Ligações Água'!P30</f>
        <v>1910.5224820338385</v>
      </c>
      <c r="AH30" s="125">
        <f t="shared" si="0"/>
        <v>258741.12103058153</v>
      </c>
      <c r="AI30" s="125">
        <f>O30*'Economais e Ligações Água'!D30</f>
        <v>234816.60697987335</v>
      </c>
      <c r="AJ30" s="125">
        <f>R30*'Economais e Ligações Água'!G30</f>
        <v>20837.209493581053</v>
      </c>
      <c r="AK30" s="125">
        <f>U30*'Economais e Ligações Água'!J30</f>
        <v>10435.819033954918</v>
      </c>
      <c r="AL30" s="125">
        <f>X30*'Economais e Ligações Água'!M30</f>
        <v>6792.9770993472448</v>
      </c>
      <c r="AM30" s="125">
        <f>AA30*'Economais e Ligações Água'!P30</f>
        <v>2029.9308933113384</v>
      </c>
      <c r="AN30" s="125">
        <f t="shared" si="1"/>
        <v>274912.5435000679</v>
      </c>
      <c r="AO30" s="121">
        <f>AP30/(1-'Perdas e Vazões de Água'!D30)</f>
        <v>12.498197709901595</v>
      </c>
      <c r="AP30" s="121">
        <f>SUM(AI30:AM30)/'Economais e Ligações Água'!S30</f>
        <v>10.62340473782977</v>
      </c>
      <c r="AQ30" s="121">
        <f>AP30-('Perdas e Vazões de Água'!E30*AO30)</f>
        <v>9.998494852334689</v>
      </c>
      <c r="AR30" s="121">
        <f>AS30/(1-'Perdas e Vazões de Água'!D30)</f>
        <v>16.556367788853642</v>
      </c>
      <c r="AS30" s="121">
        <f>SUM(AI30:AM30)/'Economais e Ligações Água'!T30</f>
        <v>14.072828746341283</v>
      </c>
      <c r="AT30" s="121">
        <f>AR30*(1-'Perdas e Vazões de Água'!F30)</f>
        <v>13.2450103568986</v>
      </c>
      <c r="AU30" s="121">
        <f>AO30*'Economais e Ligações Água'!S30*12</f>
        <v>3881141.3926767348</v>
      </c>
      <c r="AV30" s="121">
        <f>AP30*'Economais e Ligações Água'!S30*12</f>
        <v>3298950.5220008148</v>
      </c>
      <c r="AW30" s="121">
        <f>AQ30*'Economais e Ligações Água'!S30*12</f>
        <v>3104893.4523669779</v>
      </c>
    </row>
    <row r="31" spans="2:49" x14ac:dyDescent="0.15">
      <c r="B31" s="147">
        <f>População!B31</f>
        <v>19</v>
      </c>
      <c r="C31" s="109">
        <f>População!C31</f>
        <v>2045</v>
      </c>
      <c r="D31" s="121">
        <f>(E31/(1-'Perdas e Vazões de Água'!D31))</f>
        <v>169.69558788044952</v>
      </c>
      <c r="E31" s="121">
        <f t="shared" si="2"/>
        <v>144.24039002437652</v>
      </c>
      <c r="F31" s="121">
        <f>E31-(D31*'Perdas e Vazões de Água'!E31)</f>
        <v>135.75561063035406</v>
      </c>
      <c r="G31" s="121">
        <f>ROUND(AU31/12/30.4375/'Atendimento '!H31*1000,2)</f>
        <v>198.65</v>
      </c>
      <c r="H31" s="121">
        <f>ROUND(AV31/12/30.4375/'Atendimento '!H31*1000,2)</f>
        <v>168.85</v>
      </c>
      <c r="I31" s="146">
        <f>ROUND(AW31/12/30.4375/'Atendimento '!H31*1000,2)</f>
        <v>158.91999999999999</v>
      </c>
      <c r="K31" s="40"/>
      <c r="L31" s="109">
        <f>População!B31</f>
        <v>19</v>
      </c>
      <c r="M31" s="109">
        <f>População!C31</f>
        <v>2045</v>
      </c>
      <c r="N31" s="121">
        <f>D31*30.4375*Imóveis!J31/1000</f>
        <v>11.482670407786086</v>
      </c>
      <c r="O31" s="121">
        <f>N31*(1-'Perdas e Vazões de Água'!D31)</f>
        <v>9.760211675669904</v>
      </c>
      <c r="P31" s="124">
        <f>N31*(1-'Perdas e Vazões de Água'!$F31)</f>
        <v>9.1860781552805992</v>
      </c>
      <c r="Q31" s="124">
        <f>$U$3/(1-'Perdas e Vazões de Água'!D31)*30.4375/1000</f>
        <v>16.17052125060895</v>
      </c>
      <c r="R31" s="124">
        <f>Q31*(1-'Perdas e Vazões de Água'!D31)</f>
        <v>13.744861143523121</v>
      </c>
      <c r="S31" s="124">
        <f>Q31*(1-'Perdas e Vazões de Água'!$F31)</f>
        <v>12.936335080992674</v>
      </c>
      <c r="T31" s="124">
        <f>$V$3/(1-'Perdas e Vazões de Água'!D31)*30.4375/1000</f>
        <v>80.773074547438412</v>
      </c>
      <c r="U31" s="124">
        <f>T31*(1-'Perdas e Vazões de Água'!D31)</f>
        <v>68.656704170756043</v>
      </c>
      <c r="V31" s="124">
        <f>T31*(1-'Perdas e Vazões de Água'!$F31)</f>
        <v>64.618050443384121</v>
      </c>
      <c r="W31" s="124">
        <f>$W$3/(1-'Perdas e Vazões de Água'!D31)*30.4375/1000</f>
        <v>68.894701679017103</v>
      </c>
      <c r="X31" s="124">
        <f>W31*(1-'Perdas e Vazões de Água'!D31)</f>
        <v>58.560147408165903</v>
      </c>
      <c r="Y31" s="124">
        <f>W31*(1-'Perdas e Vazões de Água'!$F31)</f>
        <v>55.115412324215043</v>
      </c>
      <c r="Z31" s="124">
        <f>$X$3/(1-'Perdas e Vazões de Água'!D31)*30.4375/1000</f>
        <v>11.593049638592179</v>
      </c>
      <c r="AA31" s="124">
        <f>Z31*(1-'Perdas e Vazões de Água'!D31)</f>
        <v>9.8540334626763997</v>
      </c>
      <c r="AB31" s="124">
        <f>Z31*(1-'Perdas e Vazões de Água'!$F31)</f>
        <v>9.2743809807467894</v>
      </c>
      <c r="AC31" s="125">
        <f>P31*'Economais e Ligações Água'!D31</f>
        <v>222129.45838614064</v>
      </c>
      <c r="AD31" s="125">
        <f>S31*'Economais e Ligações Água'!G31</f>
        <v>19702.038328351842</v>
      </c>
      <c r="AE31" s="125">
        <f>V31*'Economais e Ligações Água'!J31</f>
        <v>9886.5617178377706</v>
      </c>
      <c r="AF31" s="125">
        <f>Y31*'Economais e Ligações Água'!M31</f>
        <v>6393.3878296089451</v>
      </c>
      <c r="AG31" s="125">
        <f>AB31*'Economais e Ligações Água'!P31</f>
        <v>1919.7968630145854</v>
      </c>
      <c r="AH31" s="125">
        <f t="shared" si="0"/>
        <v>260031.24312495376</v>
      </c>
      <c r="AI31" s="125">
        <f>O31*'Economais e Ligações Água'!D31</f>
        <v>236012.63745011287</v>
      </c>
      <c r="AJ31" s="125">
        <f>R31*'Economais e Ligações Água'!G31</f>
        <v>20933.423521585712</v>
      </c>
      <c r="AK31" s="125">
        <f>U31*'Economais e Ligações Água'!J31</f>
        <v>10504.475738125675</v>
      </c>
      <c r="AL31" s="125">
        <f>X31*'Economais e Ligações Água'!M31</f>
        <v>6792.9770993472448</v>
      </c>
      <c r="AM31" s="125">
        <f>AA31*'Economais e Ligações Água'!P31</f>
        <v>2039.7849267740148</v>
      </c>
      <c r="AN31" s="125">
        <f t="shared" si="1"/>
        <v>276283.29873594549</v>
      </c>
      <c r="AO31" s="121">
        <f>AP31/(1-'Perdas e Vazões de Água'!D31)</f>
        <v>12.415580306133883</v>
      </c>
      <c r="AP31" s="121">
        <f>SUM(AI31:AM31)/'Economais e Ligações Água'!S31</f>
        <v>10.553180363165112</v>
      </c>
      <c r="AQ31" s="121">
        <f>AP31-('Perdas e Vazões de Água'!E31*AO31)</f>
        <v>9.9324013478584181</v>
      </c>
      <c r="AR31" s="121">
        <f>AS31/(1-'Perdas e Vazões de Água'!D31)</f>
        <v>16.44785877221015</v>
      </c>
      <c r="AS31" s="121">
        <f>SUM(AI31:AM31)/'Economais e Ligações Água'!T31</f>
        <v>13.980596631898537</v>
      </c>
      <c r="AT31" s="121">
        <f>AR31*(1-'Perdas e Vazões de Água'!F31)</f>
        <v>13.158203693288028</v>
      </c>
      <c r="AU31" s="121">
        <f>AO31*'Economais e Ligações Água'!S31*12</f>
        <v>3900493.3466380183</v>
      </c>
      <c r="AV31" s="121">
        <f>AP31*'Economais e Ligações Água'!S31*12</f>
        <v>3315399.5848313458</v>
      </c>
      <c r="AW31" s="121">
        <f>AQ31*'Economais e Ligações Água'!S31*12</f>
        <v>3120374.9174994449</v>
      </c>
    </row>
    <row r="32" spans="2:49" s="153" customFormat="1" x14ac:dyDescent="0.15">
      <c r="B32" s="144">
        <f>População!B32</f>
        <v>20</v>
      </c>
      <c r="C32" s="101">
        <f>População!C32</f>
        <v>2046</v>
      </c>
      <c r="D32" s="120">
        <f>(E32/(1-'Perdas e Vazões de Água'!D32))</f>
        <v>169.69558788044952</v>
      </c>
      <c r="E32" s="120">
        <f t="shared" si="2"/>
        <v>144.24039002437652</v>
      </c>
      <c r="F32" s="120">
        <f>E32-(D32*'Perdas e Vazões de Água'!E32)</f>
        <v>135.75561063035406</v>
      </c>
      <c r="G32" s="120">
        <f>ROUND(AU32/12/30.4375/'Atendimento '!H32*1000,2)</f>
        <v>198.69</v>
      </c>
      <c r="H32" s="120">
        <f>ROUND(AV32/12/30.4375/'Atendimento '!H32*1000,2)</f>
        <v>168.88</v>
      </c>
      <c r="I32" s="145">
        <f>ROUND(AW32/12/30.4375/'Atendimento '!H32*1000,2)</f>
        <v>158.94999999999999</v>
      </c>
      <c r="K32" s="39"/>
      <c r="L32" s="101">
        <f>População!B32</f>
        <v>20</v>
      </c>
      <c r="M32" s="101">
        <f>População!C32</f>
        <v>2046</v>
      </c>
      <c r="N32" s="120">
        <f>D32*30.4375*Imóveis!J32/1000</f>
        <v>11.403799463588365</v>
      </c>
      <c r="O32" s="120">
        <f>N32*(1-'Perdas e Vazões de Água'!D32)</f>
        <v>9.6931717726602589</v>
      </c>
      <c r="P32" s="122">
        <f>N32*(1-'Perdas e Vazões de Água'!$F32)</f>
        <v>9.12298179948084</v>
      </c>
      <c r="Q32" s="122">
        <f>$U$3/(1-'Perdas e Vazões de Água'!D32)*30.4375/1000</f>
        <v>16.17052125060895</v>
      </c>
      <c r="R32" s="122">
        <f>Q32*(1-'Perdas e Vazões de Água'!D32)</f>
        <v>13.744861143523121</v>
      </c>
      <c r="S32" s="122">
        <f>Q32*(1-'Perdas e Vazões de Água'!$F32)</f>
        <v>12.936335080992674</v>
      </c>
      <c r="T32" s="122">
        <f>$V$3/(1-'Perdas e Vazões de Água'!D32)*30.4375/1000</f>
        <v>80.773074547438412</v>
      </c>
      <c r="U32" s="122">
        <f>T32*(1-'Perdas e Vazões de Água'!D32)</f>
        <v>68.656704170756043</v>
      </c>
      <c r="V32" s="122">
        <f>T32*(1-'Perdas e Vazões de Água'!$F32)</f>
        <v>64.618050443384121</v>
      </c>
      <c r="W32" s="122">
        <f>$W$3/(1-'Perdas e Vazões de Água'!D32)*30.4375/1000</f>
        <v>68.894701679017103</v>
      </c>
      <c r="X32" s="122">
        <f>W32*(1-'Perdas e Vazões de Água'!D32)</f>
        <v>58.560147408165903</v>
      </c>
      <c r="Y32" s="122">
        <f>W32*(1-'Perdas e Vazões de Água'!$F32)</f>
        <v>55.115412324215043</v>
      </c>
      <c r="Z32" s="122">
        <f>$X$3/(1-'Perdas e Vazões de Água'!D32)*30.4375/1000</f>
        <v>11.593049638592179</v>
      </c>
      <c r="AA32" s="122">
        <f>Z32*(1-'Perdas e Vazões de Água'!D32)</f>
        <v>9.8540334626763997</v>
      </c>
      <c r="AB32" s="122">
        <f>Z32*(1-'Perdas e Vazões de Água'!$F32)</f>
        <v>9.2743809807467894</v>
      </c>
      <c r="AC32" s="123">
        <f>P32*'Economais e Ligações Água'!D32</f>
        <v>223204.74223461299</v>
      </c>
      <c r="AD32" s="123">
        <f>S32*'Economais e Ligações Água'!G32</f>
        <v>19805.529008999783</v>
      </c>
      <c r="AE32" s="123">
        <f>V32*'Economais e Ligações Água'!J32</f>
        <v>9951.1797682811539</v>
      </c>
      <c r="AF32" s="123">
        <f>Y32*'Economais e Ligações Água'!M32</f>
        <v>6448.5032419331601</v>
      </c>
      <c r="AG32" s="123">
        <f>AB32*'Economais e Ligações Água'!P32</f>
        <v>1929.0712439953322</v>
      </c>
      <c r="AH32" s="123">
        <f t="shared" si="0"/>
        <v>261339.02549782241</v>
      </c>
      <c r="AI32" s="123">
        <f>O32*'Economais e Ligações Água'!D32</f>
        <v>237155.12696469275</v>
      </c>
      <c r="AJ32" s="123">
        <f>R32*'Economais e Ligações Água'!G32</f>
        <v>21043.382410733899</v>
      </c>
      <c r="AK32" s="123">
        <f>U32*'Economais e Ligações Água'!J32</f>
        <v>10573.13244229643</v>
      </c>
      <c r="AL32" s="123">
        <f>X32*'Economais e Ligações Água'!M32</f>
        <v>6851.5372467554107</v>
      </c>
      <c r="AM32" s="123">
        <f>AA32*'Economais e Ligações Água'!P32</f>
        <v>2049.6389602366912</v>
      </c>
      <c r="AN32" s="123">
        <f t="shared" si="1"/>
        <v>277672.81802471518</v>
      </c>
      <c r="AO32" s="120">
        <f>AP32/(1-'Perdas e Vazões de Água'!D32)</f>
        <v>12.338469635706955</v>
      </c>
      <c r="AP32" s="120">
        <f>SUM(AI32:AM32)/'Economais e Ligações Água'!S32</f>
        <v>10.487636683943133</v>
      </c>
      <c r="AQ32" s="120">
        <f>AP32-('Perdas e Vazões de Água'!E32*AO32)</f>
        <v>9.8707132021577859</v>
      </c>
      <c r="AR32" s="120">
        <f>AS32/(1-'Perdas e Vazões de Água'!D32)</f>
        <v>16.346366214557726</v>
      </c>
      <c r="AS32" s="120">
        <f>SUM(AI32:AM32)/'Economais e Ligações Água'!T32</f>
        <v>13.894328472052976</v>
      </c>
      <c r="AT32" s="120">
        <f>AR32*(1-'Perdas e Vazões de Água'!F32)</f>
        <v>13.077010161325088</v>
      </c>
      <c r="AU32" s="120">
        <f>AO32*'Economais e Ligações Água'!S32*12</f>
        <v>3920110.2064542584</v>
      </c>
      <c r="AV32" s="120">
        <f>AP32*'Economais e Ligações Água'!S32*12</f>
        <v>3332073.8162965821</v>
      </c>
      <c r="AW32" s="120">
        <f>AQ32*'Economais e Ligações Água'!S32*12</f>
        <v>3136068.3059738693</v>
      </c>
    </row>
    <row r="33" spans="2:49" x14ac:dyDescent="0.15">
      <c r="B33" s="147">
        <f>População!B33</f>
        <v>21</v>
      </c>
      <c r="C33" s="109">
        <f>População!C33</f>
        <v>2047</v>
      </c>
      <c r="D33" s="121">
        <f>(E33/(1-'Perdas e Vazões de Água'!D33))</f>
        <v>169.69558788044952</v>
      </c>
      <c r="E33" s="121">
        <f t="shared" si="2"/>
        <v>144.24039002437652</v>
      </c>
      <c r="F33" s="121">
        <f>E33-(D33*'Perdas e Vazões de Água'!E33)</f>
        <v>135.75561063035406</v>
      </c>
      <c r="G33" s="121">
        <f>ROUND(AU33/12/30.4375/'Atendimento '!H33*1000,2)</f>
        <v>198.68</v>
      </c>
      <c r="H33" s="121">
        <f>ROUND(AV33/12/30.4375/'Atendimento '!H33*1000,2)</f>
        <v>168.88</v>
      </c>
      <c r="I33" s="146">
        <f>ROUND(AW33/12/30.4375/'Atendimento '!H33*1000,2)</f>
        <v>158.94</v>
      </c>
      <c r="K33" s="40"/>
      <c r="L33" s="109">
        <f>População!B33</f>
        <v>21</v>
      </c>
      <c r="M33" s="109">
        <f>População!C33</f>
        <v>2047</v>
      </c>
      <c r="N33" s="121">
        <f>D33*30.4375*Imóveis!J33/1000</f>
        <v>11.327964279361892</v>
      </c>
      <c r="O33" s="121">
        <f>N33*(1-'Perdas e Vazões de Água'!D33)</f>
        <v>9.6287122502470819</v>
      </c>
      <c r="P33" s="124">
        <f>N33*(1-'Perdas e Vazões de Água'!$F33)</f>
        <v>9.0623140362789876</v>
      </c>
      <c r="Q33" s="124">
        <f>$U$3/(1-'Perdas e Vazões de Água'!D33)*30.4375/1000</f>
        <v>16.17052125060895</v>
      </c>
      <c r="R33" s="124">
        <f>Q33*(1-'Perdas e Vazões de Água'!D33)</f>
        <v>13.744861143523121</v>
      </c>
      <c r="S33" s="124">
        <f>Q33*(1-'Perdas e Vazões de Água'!$F33)</f>
        <v>12.936335080992674</v>
      </c>
      <c r="T33" s="124">
        <f>$V$3/(1-'Perdas e Vazões de Água'!D33)*30.4375/1000</f>
        <v>80.773074547438412</v>
      </c>
      <c r="U33" s="124">
        <f>T33*(1-'Perdas e Vazões de Água'!D33)</f>
        <v>68.656704170756043</v>
      </c>
      <c r="V33" s="124">
        <f>T33*(1-'Perdas e Vazões de Água'!$F33)</f>
        <v>64.618050443384121</v>
      </c>
      <c r="W33" s="124">
        <f>$W$3/(1-'Perdas e Vazões de Água'!D33)*30.4375/1000</f>
        <v>68.894701679017103</v>
      </c>
      <c r="X33" s="124">
        <f>W33*(1-'Perdas e Vazões de Água'!D33)</f>
        <v>58.560147408165903</v>
      </c>
      <c r="Y33" s="124">
        <f>W33*(1-'Perdas e Vazões de Água'!$F33)</f>
        <v>55.115412324215043</v>
      </c>
      <c r="Z33" s="124">
        <f>$X$3/(1-'Perdas e Vazões de Água'!D33)*30.4375/1000</f>
        <v>11.593049638592179</v>
      </c>
      <c r="AA33" s="124">
        <f>Z33*(1-'Perdas e Vazões de Água'!D33)</f>
        <v>9.8540334626763997</v>
      </c>
      <c r="AB33" s="124">
        <f>Z33*(1-'Perdas e Vazões de Água'!$F33)</f>
        <v>9.2743809807467894</v>
      </c>
      <c r="AC33" s="125">
        <f>P33*'Economais e Ligações Água'!D33</f>
        <v>224231.44170651893</v>
      </c>
      <c r="AD33" s="125">
        <f>S33*'Economais e Ligações Água'!G33</f>
        <v>19896.083354566734</v>
      </c>
      <c r="AE33" s="125">
        <f>V33*'Economais e Ligações Água'!J33</f>
        <v>10015.797818724539</v>
      </c>
      <c r="AF33" s="125">
        <f>Y33*'Economais e Ligações Água'!M33</f>
        <v>6448.5032419331601</v>
      </c>
      <c r="AG33" s="125">
        <f>AB33*'Economais e Ligações Água'!P33</f>
        <v>1938.3456249760791</v>
      </c>
      <c r="AH33" s="125">
        <f t="shared" si="0"/>
        <v>262530.17174671945</v>
      </c>
      <c r="AI33" s="125">
        <f>O33*'Economais e Ligações Água'!D33</f>
        <v>238245.99555994195</v>
      </c>
      <c r="AJ33" s="125">
        <f>R33*'Economais e Ligações Água'!G33</f>
        <v>21139.596438738561</v>
      </c>
      <c r="AK33" s="125">
        <f>U33*'Economais e Ligações Água'!J33</f>
        <v>10641.789146467187</v>
      </c>
      <c r="AL33" s="125">
        <f>X33*'Economais e Ligações Água'!M33</f>
        <v>6851.5372467554107</v>
      </c>
      <c r="AM33" s="125">
        <f>AA33*'Economais e Ligações Água'!P33</f>
        <v>2059.4929936993676</v>
      </c>
      <c r="AN33" s="125">
        <f t="shared" si="1"/>
        <v>278938.41138560243</v>
      </c>
      <c r="AO33" s="121">
        <f>AP33/(1-'Perdas e Vazões de Água'!D33)</f>
        <v>12.26221012137847</v>
      </c>
      <c r="AP33" s="121">
        <f>SUM(AI33:AM33)/'Economais e Ligações Água'!S33</f>
        <v>10.422816483092893</v>
      </c>
      <c r="AQ33" s="121">
        <f>AP33-('Perdas e Vazões de Água'!E33*AO33)</f>
        <v>9.8097059770239703</v>
      </c>
      <c r="AR33" s="121">
        <f>AS33/(1-'Perdas e Vazões de Água'!D33)</f>
        <v>16.246145620491919</v>
      </c>
      <c r="AS33" s="121">
        <f>SUM(AI33:AM33)/'Economais e Ligações Água'!T33</f>
        <v>13.8091414748123</v>
      </c>
      <c r="AT33" s="121">
        <f>AR33*(1-'Perdas e Vazões de Água'!F33)</f>
        <v>12.996834193787704</v>
      </c>
      <c r="AU33" s="121">
        <f>AO33*'Economais e Ligações Água'!S33*12</f>
        <v>3937977.5133319283</v>
      </c>
      <c r="AV33" s="121">
        <f>AP33*'Economais e Ligações Água'!S33*12</f>
        <v>3347260.9366272292</v>
      </c>
      <c r="AW33" s="121">
        <f>AQ33*'Economais e Ligações Água'!S33*12</f>
        <v>3150362.0609606337</v>
      </c>
    </row>
    <row r="34" spans="2:49" x14ac:dyDescent="0.15">
      <c r="B34" s="147">
        <f>População!B34</f>
        <v>22</v>
      </c>
      <c r="C34" s="109">
        <f>População!C34</f>
        <v>2048</v>
      </c>
      <c r="D34" s="121">
        <f>(E34/(1-'Perdas e Vazões de Água'!D34))</f>
        <v>169.69558788044952</v>
      </c>
      <c r="E34" s="121">
        <f t="shared" si="2"/>
        <v>144.24039002437652</v>
      </c>
      <c r="F34" s="121">
        <f>E34-(D34*'Perdas e Vazões de Água'!E34)</f>
        <v>135.75561063035406</v>
      </c>
      <c r="G34" s="121">
        <f>ROUND(AU34/12/30.4375/'Atendimento '!H34*1000,2)</f>
        <v>198.67</v>
      </c>
      <c r="H34" s="121">
        <f>ROUND(AV34/12/30.4375/'Atendimento '!H34*1000,2)</f>
        <v>168.87</v>
      </c>
      <c r="I34" s="146">
        <f>ROUND(AW34/12/30.4375/'Atendimento '!H34*1000,2)</f>
        <v>158.94</v>
      </c>
      <c r="K34" s="40"/>
      <c r="L34" s="109">
        <f>População!B34</f>
        <v>22</v>
      </c>
      <c r="M34" s="109">
        <f>População!C34</f>
        <v>2048</v>
      </c>
      <c r="N34" s="121">
        <f>D34*30.4375*Imóveis!J34/1000</f>
        <v>11.25508818570991</v>
      </c>
      <c r="O34" s="121">
        <f>N34*(1-'Perdas e Vazões de Água'!D34)</f>
        <v>9.5667679398315375</v>
      </c>
      <c r="P34" s="124">
        <f>N34*(1-'Perdas e Vazões de Água'!$F34)</f>
        <v>9.0040135305460414</v>
      </c>
      <c r="Q34" s="124">
        <f>$U$3/(1-'Perdas e Vazões de Água'!D34)*30.4375/1000</f>
        <v>16.17052125060895</v>
      </c>
      <c r="R34" s="124">
        <f>Q34*(1-'Perdas e Vazões de Água'!D34)</f>
        <v>13.744861143523121</v>
      </c>
      <c r="S34" s="124">
        <f>Q34*(1-'Perdas e Vazões de Água'!$F34)</f>
        <v>12.936335080992674</v>
      </c>
      <c r="T34" s="124">
        <f>$V$3/(1-'Perdas e Vazões de Água'!D34)*30.4375/1000</f>
        <v>80.773074547438412</v>
      </c>
      <c r="U34" s="124">
        <f>T34*(1-'Perdas e Vazões de Água'!D34)</f>
        <v>68.656704170756043</v>
      </c>
      <c r="V34" s="124">
        <f>T34*(1-'Perdas e Vazões de Água'!$F34)</f>
        <v>64.618050443384121</v>
      </c>
      <c r="W34" s="124">
        <f>$W$3/(1-'Perdas e Vazões de Água'!D34)*30.4375/1000</f>
        <v>68.894701679017103</v>
      </c>
      <c r="X34" s="124">
        <f>W34*(1-'Perdas e Vazões de Água'!D34)</f>
        <v>58.560147408165903</v>
      </c>
      <c r="Y34" s="124">
        <f>W34*(1-'Perdas e Vazões de Água'!$F34)</f>
        <v>55.115412324215043</v>
      </c>
      <c r="Z34" s="124">
        <f>$X$3/(1-'Perdas e Vazões de Água'!D34)*30.4375/1000</f>
        <v>11.593049638592179</v>
      </c>
      <c r="AA34" s="124">
        <f>Z34*(1-'Perdas e Vazões de Água'!D34)</f>
        <v>9.8540334626763997</v>
      </c>
      <c r="AB34" s="124">
        <f>Z34*(1-'Perdas e Vazões de Água'!$F34)</f>
        <v>9.2743809807467894</v>
      </c>
      <c r="AC34" s="125">
        <f>P34*'Economais e Ligações Água'!D34</f>
        <v>225211.34268199201</v>
      </c>
      <c r="AD34" s="125">
        <f>S34*'Economais e Ligações Água'!G34</f>
        <v>19986.63770013368</v>
      </c>
      <c r="AE34" s="125">
        <f>V34*'Economais e Ligações Água'!J34</f>
        <v>10015.797818724539</v>
      </c>
      <c r="AF34" s="125">
        <f>Y34*'Economais e Ligações Água'!M34</f>
        <v>6503.6186542573751</v>
      </c>
      <c r="AG34" s="125">
        <f>AB34*'Economais e Ligações Água'!P34</f>
        <v>1947.6200059568257</v>
      </c>
      <c r="AH34" s="125">
        <f t="shared" si="0"/>
        <v>263665.01686106448</v>
      </c>
      <c r="AI34" s="125">
        <f>O34*'Economais e Ligações Água'!D34</f>
        <v>239287.14073420927</v>
      </c>
      <c r="AJ34" s="125">
        <f>R34*'Economais e Ligações Água'!G34</f>
        <v>21235.81046674322</v>
      </c>
      <c r="AK34" s="125">
        <f>U34*'Economais e Ligações Água'!J34</f>
        <v>10641.789146467187</v>
      </c>
      <c r="AL34" s="125">
        <f>X34*'Economais e Ligações Água'!M34</f>
        <v>6910.0973941635766</v>
      </c>
      <c r="AM34" s="125">
        <f>AA34*'Economais e Ligações Água'!P34</f>
        <v>2069.347027162044</v>
      </c>
      <c r="AN34" s="125">
        <f t="shared" si="1"/>
        <v>280144.18476874533</v>
      </c>
      <c r="AO34" s="121">
        <f>AP34/(1-'Perdas e Vazões de Água'!D34)</f>
        <v>12.188585662659669</v>
      </c>
      <c r="AP34" s="121">
        <f>SUM(AI34:AM34)/'Economais e Ligações Água'!S34</f>
        <v>10.360236066161754</v>
      </c>
      <c r="AQ34" s="121">
        <f>AP34-('Perdas e Vazões de Água'!E34*AO34)</f>
        <v>9.7508067830287697</v>
      </c>
      <c r="AR34" s="121">
        <f>AS34/(1-'Perdas e Vazões de Água'!D34)</f>
        <v>16.149342161258062</v>
      </c>
      <c r="AS34" s="121">
        <f>SUM(AI34:AM34)/'Economais e Ligações Água'!T34</f>
        <v>13.726859024867654</v>
      </c>
      <c r="AT34" s="121">
        <f>AR34*(1-'Perdas e Vazões de Água'!F34)</f>
        <v>12.91939191680475</v>
      </c>
      <c r="AU34" s="121">
        <f>AO34*'Economais e Ligações Água'!S34*12</f>
        <v>3955000.297843405</v>
      </c>
      <c r="AV34" s="121">
        <f>AP34*'Economais e Ligações Água'!S34*12</f>
        <v>3361730.2172249439</v>
      </c>
      <c r="AW34" s="121">
        <f>AQ34*'Economais e Ligações Água'!S34*12</f>
        <v>3163980.2023327732</v>
      </c>
    </row>
    <row r="35" spans="2:49" x14ac:dyDescent="0.15">
      <c r="B35" s="147">
        <f>População!B35</f>
        <v>23</v>
      </c>
      <c r="C35" s="109">
        <f>População!C35</f>
        <v>2049</v>
      </c>
      <c r="D35" s="121">
        <f>(E35/(1-'Perdas e Vazões de Água'!D35))</f>
        <v>169.69558788044952</v>
      </c>
      <c r="E35" s="121">
        <f t="shared" si="2"/>
        <v>144.24039002437652</v>
      </c>
      <c r="F35" s="121">
        <f>E35-(D35*'Perdas e Vazões de Água'!E35)</f>
        <v>135.75561063035406</v>
      </c>
      <c r="G35" s="121">
        <f>ROUND(AU35/12/30.4375/'Atendimento '!H35*1000,2)</f>
        <v>198.66</v>
      </c>
      <c r="H35" s="121">
        <f>ROUND(AV35/12/30.4375/'Atendimento '!H35*1000,2)</f>
        <v>168.86</v>
      </c>
      <c r="I35" s="146">
        <f>ROUND(AW35/12/30.4375/'Atendimento '!H35*1000,2)</f>
        <v>158.93</v>
      </c>
      <c r="K35" s="40"/>
      <c r="L35" s="109">
        <f>População!B35</f>
        <v>23</v>
      </c>
      <c r="M35" s="109">
        <f>População!C35</f>
        <v>2049</v>
      </c>
      <c r="N35" s="121">
        <f>D35*30.4375*Imóveis!J35/1000</f>
        <v>11.185092775074702</v>
      </c>
      <c r="O35" s="121">
        <f>N35*(1-'Perdas e Vazões de Água'!D35)</f>
        <v>9.5072721953867756</v>
      </c>
      <c r="P35" s="124">
        <f>N35*(1-'Perdas e Vazões de Água'!$F35)</f>
        <v>8.9480175566330402</v>
      </c>
      <c r="Q35" s="124">
        <f>$U$3/(1-'Perdas e Vazões de Água'!D35)*30.4375/1000</f>
        <v>16.17052125060895</v>
      </c>
      <c r="R35" s="124">
        <f>Q35*(1-'Perdas e Vazões de Água'!D35)</f>
        <v>13.744861143523121</v>
      </c>
      <c r="S35" s="124">
        <f>Q35*(1-'Perdas e Vazões de Água'!$F35)</f>
        <v>12.936335080992674</v>
      </c>
      <c r="T35" s="124">
        <f>$V$3/(1-'Perdas e Vazões de Água'!D35)*30.4375/1000</f>
        <v>80.773074547438412</v>
      </c>
      <c r="U35" s="124">
        <f>T35*(1-'Perdas e Vazões de Água'!D35)</f>
        <v>68.656704170756043</v>
      </c>
      <c r="V35" s="124">
        <f>T35*(1-'Perdas e Vazões de Água'!$F35)</f>
        <v>64.618050443384121</v>
      </c>
      <c r="W35" s="124">
        <f>$W$3/(1-'Perdas e Vazões de Água'!D35)*30.4375/1000</f>
        <v>68.894701679017103</v>
      </c>
      <c r="X35" s="124">
        <f>W35*(1-'Perdas e Vazões de Água'!D35)</f>
        <v>58.560147408165903</v>
      </c>
      <c r="Y35" s="124">
        <f>W35*(1-'Perdas e Vazões de Água'!$F35)</f>
        <v>55.115412324215043</v>
      </c>
      <c r="Z35" s="124">
        <f>$X$3/(1-'Perdas e Vazões de Água'!D35)*30.4375/1000</f>
        <v>11.593049638592179</v>
      </c>
      <c r="AA35" s="124">
        <f>Z35*(1-'Perdas e Vazões de Água'!D35)</f>
        <v>9.8540334626763997</v>
      </c>
      <c r="AB35" s="124">
        <f>Z35*(1-'Perdas e Vazões de Água'!$F35)</f>
        <v>9.2743809807467894</v>
      </c>
      <c r="AC35" s="125">
        <f>P35*'Economais e Ligações Água'!D35</f>
        <v>226146.2052814046</v>
      </c>
      <c r="AD35" s="125">
        <f>S35*'Economais e Ligações Água'!G35</f>
        <v>20064.255710619636</v>
      </c>
      <c r="AE35" s="125">
        <f>V35*'Economais e Ligações Água'!J35</f>
        <v>10080.415869167922</v>
      </c>
      <c r="AF35" s="125">
        <f>Y35*'Economais e Ligações Água'!M35</f>
        <v>6503.6186542573751</v>
      </c>
      <c r="AG35" s="125">
        <f>AB35*'Economais e Ligações Água'!P35</f>
        <v>1956.8943869375726</v>
      </c>
      <c r="AH35" s="125">
        <f t="shared" si="0"/>
        <v>264751.38990238711</v>
      </c>
      <c r="AI35" s="125">
        <f>O35*'Economais e Ligações Água'!D35</f>
        <v>240280.43261608694</v>
      </c>
      <c r="AJ35" s="125">
        <f>R35*'Economais e Ligações Água'!G35</f>
        <v>21318.279633604361</v>
      </c>
      <c r="AK35" s="125">
        <f>U35*'Economais e Ligações Água'!J35</f>
        <v>10710.445850637943</v>
      </c>
      <c r="AL35" s="125">
        <f>X35*'Economais e Ligações Água'!M35</f>
        <v>6910.0973941635766</v>
      </c>
      <c r="AM35" s="125">
        <f>AA35*'Economais e Ligações Água'!P35</f>
        <v>2079.2010606247204</v>
      </c>
      <c r="AN35" s="125">
        <f t="shared" si="1"/>
        <v>281298.45655511756</v>
      </c>
      <c r="AO35" s="121">
        <f>AP35/(1-'Perdas e Vazões de Água'!D35)</f>
        <v>12.118251405402331</v>
      </c>
      <c r="AP35" s="121">
        <f>SUM(AI35:AM35)/'Economais e Ligações Água'!S35</f>
        <v>10.30045230380477</v>
      </c>
      <c r="AQ35" s="121">
        <f>AP35-('Perdas e Vazões de Água'!E35*AO35)</f>
        <v>9.6945397335346524</v>
      </c>
      <c r="AR35" s="121">
        <f>AS35/(1-'Perdas e Vazões de Água'!D35)</f>
        <v>16.056864336409664</v>
      </c>
      <c r="AS35" s="121">
        <f>SUM(AI35:AM35)/'Economais e Ligações Água'!T35</f>
        <v>13.648253342237082</v>
      </c>
      <c r="AT35" s="121">
        <f>AR35*(1-'Perdas e Vazões de Água'!F35)</f>
        <v>12.845410125416597</v>
      </c>
      <c r="AU35" s="121">
        <f>AO35*'Economais e Ligações Água'!S35*12</f>
        <v>3971295.9966552975</v>
      </c>
      <c r="AV35" s="121">
        <f>AP35*'Economais e Ligações Água'!S35*12</f>
        <v>3375581.4786614105</v>
      </c>
      <c r="AW35" s="121">
        <f>AQ35*'Economais e Ligações Água'!S35*12</f>
        <v>3177016.678828646</v>
      </c>
    </row>
    <row r="36" spans="2:49" x14ac:dyDescent="0.15">
      <c r="B36" s="147">
        <f>População!B36</f>
        <v>24</v>
      </c>
      <c r="C36" s="109">
        <f>População!C36</f>
        <v>2050</v>
      </c>
      <c r="D36" s="121">
        <f>(E36/(1-'Perdas e Vazões de Água'!D36))</f>
        <v>169.69558788044952</v>
      </c>
      <c r="E36" s="121">
        <f t="shared" si="2"/>
        <v>144.24039002437652</v>
      </c>
      <c r="F36" s="121">
        <f>E36-(D36*'Perdas e Vazões de Água'!E36)</f>
        <v>135.75561063035406</v>
      </c>
      <c r="G36" s="121">
        <f>ROUND(AU36/12/30.4375/'Atendimento '!H36*1000,2)</f>
        <v>198.66</v>
      </c>
      <c r="H36" s="121">
        <f>ROUND(AV36/12/30.4375/'Atendimento '!H36*1000,2)</f>
        <v>168.86</v>
      </c>
      <c r="I36" s="146">
        <f>ROUND(AW36/12/30.4375/'Atendimento '!H36*1000,2)</f>
        <v>158.93</v>
      </c>
      <c r="K36" s="40"/>
      <c r="L36" s="109">
        <f>População!B36</f>
        <v>24</v>
      </c>
      <c r="M36" s="109">
        <f>População!C36</f>
        <v>2050</v>
      </c>
      <c r="N36" s="121">
        <f>D36*30.4375*Imóveis!J36/1000</f>
        <v>11.117898367107738</v>
      </c>
      <c r="O36" s="121">
        <f>N36*(1-'Perdas e Vazões de Água'!D36)</f>
        <v>9.4501572890202059</v>
      </c>
      <c r="P36" s="124">
        <f>N36*(1-'Perdas e Vazões de Água'!$F36)</f>
        <v>8.8942623706648192</v>
      </c>
      <c r="Q36" s="124">
        <f>$U$3/(1-'Perdas e Vazões de Água'!D36)*30.4375/1000</f>
        <v>16.17052125060895</v>
      </c>
      <c r="R36" s="124">
        <f>Q36*(1-'Perdas e Vazões de Água'!D36)</f>
        <v>13.744861143523121</v>
      </c>
      <c r="S36" s="124">
        <f>Q36*(1-'Perdas e Vazões de Água'!$F36)</f>
        <v>12.936335080992674</v>
      </c>
      <c r="T36" s="124">
        <f>$V$3/(1-'Perdas e Vazões de Água'!D36)*30.4375/1000</f>
        <v>80.773074547438412</v>
      </c>
      <c r="U36" s="124">
        <f>T36*(1-'Perdas e Vazões de Água'!D36)</f>
        <v>68.656704170756043</v>
      </c>
      <c r="V36" s="124">
        <f>T36*(1-'Perdas e Vazões de Água'!$F36)</f>
        <v>64.618050443384121</v>
      </c>
      <c r="W36" s="124">
        <f>$W$3/(1-'Perdas e Vazões de Água'!D36)*30.4375/1000</f>
        <v>68.894701679017103</v>
      </c>
      <c r="X36" s="124">
        <f>W36*(1-'Perdas e Vazões de Água'!D36)</f>
        <v>58.560147408165903</v>
      </c>
      <c r="Y36" s="124">
        <f>W36*(1-'Perdas e Vazões de Água'!$F36)</f>
        <v>55.115412324215043</v>
      </c>
      <c r="Z36" s="124">
        <f>$X$3/(1-'Perdas e Vazões de Água'!D36)*30.4375/1000</f>
        <v>11.593049638592179</v>
      </c>
      <c r="AA36" s="124">
        <f>Z36*(1-'Perdas e Vazões de Água'!D36)</f>
        <v>9.8540334626763997</v>
      </c>
      <c r="AB36" s="124">
        <f>Z36*(1-'Perdas e Vazões de Água'!$F36)</f>
        <v>9.2743809807467894</v>
      </c>
      <c r="AC36" s="125">
        <f>P36*'Economais e Ligações Água'!D36</f>
        <v>227037.75988496756</v>
      </c>
      <c r="AD36" s="125">
        <f>S36*'Economais e Ligações Água'!G36</f>
        <v>20141.873721105592</v>
      </c>
      <c r="AE36" s="125">
        <f>V36*'Economais e Ligações Água'!J36</f>
        <v>10080.415869167922</v>
      </c>
      <c r="AF36" s="125">
        <f>Y36*'Economais e Ligações Água'!M36</f>
        <v>6558.73406658159</v>
      </c>
      <c r="AG36" s="125">
        <f>AB36*'Economais e Ligações Água'!P36</f>
        <v>1966.1687679183194</v>
      </c>
      <c r="AH36" s="125">
        <f t="shared" si="0"/>
        <v>265784.952309741</v>
      </c>
      <c r="AI36" s="125">
        <f>O36*'Economais e Ligações Água'!D36</f>
        <v>241227.7097352338</v>
      </c>
      <c r="AJ36" s="125">
        <f>R36*'Economais e Ligações Água'!G36</f>
        <v>21400.748800465499</v>
      </c>
      <c r="AK36" s="125">
        <f>U36*'Economais e Ligações Água'!J36</f>
        <v>10710.445850637943</v>
      </c>
      <c r="AL36" s="125">
        <f>X36*'Economais e Ligações Água'!M36</f>
        <v>6968.6575415717425</v>
      </c>
      <c r="AM36" s="125">
        <f>AA36*'Economais e Ligações Água'!P36</f>
        <v>2089.0550940873968</v>
      </c>
      <c r="AN36" s="125">
        <f t="shared" si="1"/>
        <v>282396.61702199635</v>
      </c>
      <c r="AO36" s="121">
        <f>AP36/(1-'Perdas e Vazões de Água'!D36)</f>
        <v>12.050398093846699</v>
      </c>
      <c r="AP36" s="121">
        <f>SUM(AI36:AM36)/'Economais e Ligações Água'!S36</f>
        <v>10.242777332725822</v>
      </c>
      <c r="AQ36" s="121">
        <f>AP36-('Perdas e Vazões de Água'!E36*AO36)</f>
        <v>9.6402574280334878</v>
      </c>
      <c r="AR36" s="121">
        <f>AS36/(1-'Perdas e Vazões de Água'!D36)</f>
        <v>15.967606688243952</v>
      </c>
      <c r="AS36" s="121">
        <f>SUM(AI36:AM36)/'Economais e Ligações Água'!T36</f>
        <v>13.572384793473452</v>
      </c>
      <c r="AT36" s="121">
        <f>AR36*(1-'Perdas e Vazões de Água'!F36)</f>
        <v>12.774004459061253</v>
      </c>
      <c r="AU36" s="121">
        <f>AO36*'Economais e Ligações Água'!S36*12</f>
        <v>3986799.5309412964</v>
      </c>
      <c r="AV36" s="121">
        <f>AP36*'Economais e Ligações Água'!S36*12</f>
        <v>3388759.4042639565</v>
      </c>
      <c r="AW36" s="121">
        <f>AQ36*'Economais e Ligações Água'!S36*12</f>
        <v>3189419.4277168913</v>
      </c>
    </row>
    <row r="37" spans="2:49" s="153" customFormat="1" x14ac:dyDescent="0.15">
      <c r="B37" s="144">
        <f>População!B37</f>
        <v>25</v>
      </c>
      <c r="C37" s="101">
        <f>População!C37</f>
        <v>2051</v>
      </c>
      <c r="D37" s="120">
        <f>(E37/(1-'Perdas e Vazões de Água'!D37))</f>
        <v>169.69558788044952</v>
      </c>
      <c r="E37" s="120">
        <f t="shared" si="2"/>
        <v>144.24039002437652</v>
      </c>
      <c r="F37" s="120">
        <f>E37-(D37*'Perdas e Vazões de Água'!E37)</f>
        <v>135.75561063035406</v>
      </c>
      <c r="G37" s="120">
        <f>ROUND(AU37/12/30.4375/'Atendimento '!H37*1000,2)</f>
        <v>198.65</v>
      </c>
      <c r="H37" s="120">
        <f>ROUND(AV37/12/30.4375/'Atendimento '!H37*1000,2)</f>
        <v>168.86</v>
      </c>
      <c r="I37" s="145">
        <f>ROUND(AW37/12/30.4375/'Atendimento '!H37*1000,2)</f>
        <v>158.91999999999999</v>
      </c>
      <c r="K37" s="39"/>
      <c r="L37" s="101">
        <f>População!B37</f>
        <v>25</v>
      </c>
      <c r="M37" s="101">
        <f>População!C37</f>
        <v>2051</v>
      </c>
      <c r="N37" s="120">
        <f>D37*30.4375*Imóveis!J37/1000</f>
        <v>11.053424431373639</v>
      </c>
      <c r="O37" s="120">
        <f>N37*(1-'Perdas e Vazões de Água'!D37)</f>
        <v>9.3953547702697193</v>
      </c>
      <c r="P37" s="122">
        <f>N37*(1-'Perdas e Vazões de Água'!$F37)</f>
        <v>8.8426835487010376</v>
      </c>
      <c r="Q37" s="122">
        <f>$U$3/(1-'Perdas e Vazões de Água'!D37)*30.4375/1000</f>
        <v>16.17052125060895</v>
      </c>
      <c r="R37" s="122">
        <f>Q37*(1-'Perdas e Vazões de Água'!D37)</f>
        <v>13.744861143523121</v>
      </c>
      <c r="S37" s="122">
        <f>Q37*(1-'Perdas e Vazões de Água'!$F37)</f>
        <v>12.936335080992674</v>
      </c>
      <c r="T37" s="122">
        <f>$V$3/(1-'Perdas e Vazões de Água'!D37)*30.4375/1000</f>
        <v>80.773074547438412</v>
      </c>
      <c r="U37" s="122">
        <f>T37*(1-'Perdas e Vazões de Água'!D37)</f>
        <v>68.656704170756043</v>
      </c>
      <c r="V37" s="122">
        <f>T37*(1-'Perdas e Vazões de Água'!$F37)</f>
        <v>64.618050443384121</v>
      </c>
      <c r="W37" s="122">
        <f>$W$3/(1-'Perdas e Vazões de Água'!D37)*30.4375/1000</f>
        <v>68.894701679017103</v>
      </c>
      <c r="X37" s="122">
        <f>W37*(1-'Perdas e Vazões de Água'!D37)</f>
        <v>58.560147408165903</v>
      </c>
      <c r="Y37" s="122">
        <f>W37*(1-'Perdas e Vazões de Água'!$F37)</f>
        <v>55.115412324215043</v>
      </c>
      <c r="Z37" s="122">
        <f>$X$3/(1-'Perdas e Vazões de Água'!D37)*30.4375/1000</f>
        <v>11.593049638592179</v>
      </c>
      <c r="AA37" s="122">
        <f>Z37*(1-'Perdas e Vazões de Água'!D37)</f>
        <v>9.8540334626763997</v>
      </c>
      <c r="AB37" s="122">
        <f>Z37*(1-'Perdas e Vazões de Água'!$F37)</f>
        <v>9.2743809807467894</v>
      </c>
      <c r="AC37" s="123">
        <f>P37*'Economais e Ligações Água'!D37</f>
        <v>227887.70368609269</v>
      </c>
      <c r="AD37" s="123">
        <f>S37*'Economais e Ligações Água'!G37</f>
        <v>20219.491731591548</v>
      </c>
      <c r="AE37" s="123">
        <f>V37*'Economais e Ligações Água'!J37</f>
        <v>10145.033919611307</v>
      </c>
      <c r="AF37" s="123">
        <f>Y37*'Economais e Ligações Água'!M37</f>
        <v>6558.73406658159</v>
      </c>
      <c r="AG37" s="123">
        <f>AB37*'Economais e Ligações Água'!P37</f>
        <v>1966.1687679183194</v>
      </c>
      <c r="AH37" s="123">
        <f t="shared" si="0"/>
        <v>266777.13217179547</v>
      </c>
      <c r="AI37" s="123">
        <f>O37*'Economais e Ligações Água'!D37</f>
        <v>242130.77536032168</v>
      </c>
      <c r="AJ37" s="123">
        <f>R37*'Economais e Ligações Água'!G37</f>
        <v>21483.217967326636</v>
      </c>
      <c r="AK37" s="123">
        <f>U37*'Economais e Ligações Água'!J37</f>
        <v>10779.102554808698</v>
      </c>
      <c r="AL37" s="123">
        <f>X37*'Economais e Ligações Água'!M37</f>
        <v>6968.6575415717425</v>
      </c>
      <c r="AM37" s="123">
        <f>AA37*'Economais e Ligações Água'!P37</f>
        <v>2089.0550940873968</v>
      </c>
      <c r="AN37" s="123">
        <f t="shared" si="1"/>
        <v>283450.80851811619</v>
      </c>
      <c r="AO37" s="120">
        <f>AP37/(1-'Perdas e Vazões de Água'!D37)</f>
        <v>11.985823738420629</v>
      </c>
      <c r="AP37" s="120">
        <f>SUM(AI37:AM37)/'Economais e Ligações Água'!S37</f>
        <v>10.187889457745886</v>
      </c>
      <c r="AQ37" s="120">
        <f>AP37-('Perdas e Vazões de Água'!E37*AO37)</f>
        <v>9.5885982708248552</v>
      </c>
      <c r="AR37" s="120">
        <f>AS37/(1-'Perdas e Vazões de Água'!D37)</f>
        <v>15.882836499137069</v>
      </c>
      <c r="AS37" s="120">
        <f>SUM(AI37:AM37)/'Economais e Ligações Água'!T37</f>
        <v>13.500330562176458</v>
      </c>
      <c r="AT37" s="120">
        <f>AR37*(1-'Perdas e Vazões de Água'!F37)</f>
        <v>12.706188737219605</v>
      </c>
      <c r="AU37" s="120">
        <f>AO37*'Economais e Ligações Água'!S37*12</f>
        <v>4001682.3231169749</v>
      </c>
      <c r="AV37" s="120">
        <f>AP37*'Economais e Ligações Água'!S37*12</f>
        <v>3401409.7022173945</v>
      </c>
      <c r="AW37" s="120">
        <f>AQ37*'Economais e Ligações Água'!S37*12</f>
        <v>3201325.5860615466</v>
      </c>
    </row>
    <row r="38" spans="2:49" x14ac:dyDescent="0.15">
      <c r="B38" s="147">
        <f>População!B38</f>
        <v>26</v>
      </c>
      <c r="C38" s="109">
        <f>População!C38</f>
        <v>2052</v>
      </c>
      <c r="D38" s="121">
        <f>(E38/(1-'Perdas e Vazões de Água'!D38))</f>
        <v>169.69558788044952</v>
      </c>
      <c r="E38" s="121">
        <f t="shared" si="2"/>
        <v>144.24039002437652</v>
      </c>
      <c r="F38" s="121">
        <f>E38-(D38*'Perdas e Vazões de Água'!E38)</f>
        <v>135.75561063035406</v>
      </c>
      <c r="G38" s="121">
        <f>ROUND(AU38/12/30.4375/'Atendimento '!H38*1000,2)</f>
        <v>198.71</v>
      </c>
      <c r="H38" s="121">
        <f>ROUND(AV38/12/30.4375/'Atendimento '!H38*1000,2)</f>
        <v>168.9</v>
      </c>
      <c r="I38" s="146">
        <f>ROUND(AW38/12/30.4375/'Atendimento '!H38*1000,2)</f>
        <v>158.96</v>
      </c>
      <c r="K38" s="40"/>
      <c r="L38" s="109">
        <f>População!B38</f>
        <v>26</v>
      </c>
      <c r="M38" s="109">
        <f>População!C38</f>
        <v>2052</v>
      </c>
      <c r="N38" s="121">
        <f>D38*30.4375*Imóveis!J38/1000</f>
        <v>10.991589969588087</v>
      </c>
      <c r="O38" s="121">
        <f>N38*(1-'Perdas e Vazões de Água'!D38)</f>
        <v>9.3427957910039847</v>
      </c>
      <c r="P38" s="124">
        <f>N38*(1-'Perdas e Vazões de Água'!$F38)</f>
        <v>8.7932162925245798</v>
      </c>
      <c r="Q38" s="124">
        <f>$U$3/(1-'Perdas e Vazões de Água'!D38)*30.4375/1000</f>
        <v>16.17052125060895</v>
      </c>
      <c r="R38" s="124">
        <f>Q38*(1-'Perdas e Vazões de Água'!D38)</f>
        <v>13.744861143523121</v>
      </c>
      <c r="S38" s="124">
        <f>Q38*(1-'Perdas e Vazões de Água'!$F38)</f>
        <v>12.936335080992674</v>
      </c>
      <c r="T38" s="124">
        <f>$V$3/(1-'Perdas e Vazões de Água'!D38)*30.4375/1000</f>
        <v>80.773074547438412</v>
      </c>
      <c r="U38" s="124">
        <f>T38*(1-'Perdas e Vazões de Água'!D38)</f>
        <v>68.656704170756043</v>
      </c>
      <c r="V38" s="124">
        <f>T38*(1-'Perdas e Vazões de Água'!$F38)</f>
        <v>64.618050443384121</v>
      </c>
      <c r="W38" s="124">
        <f>$W$3/(1-'Perdas e Vazões de Água'!D38)*30.4375/1000</f>
        <v>68.894701679017103</v>
      </c>
      <c r="X38" s="124">
        <f>W38*(1-'Perdas e Vazões de Água'!D38)</f>
        <v>58.560147408165903</v>
      </c>
      <c r="Y38" s="124">
        <f>W38*(1-'Perdas e Vazões de Água'!$F38)</f>
        <v>55.115412324215043</v>
      </c>
      <c r="Z38" s="124">
        <f>$X$3/(1-'Perdas e Vazões de Água'!D38)*30.4375/1000</f>
        <v>11.593049638592179</v>
      </c>
      <c r="AA38" s="124">
        <f>Z38*(1-'Perdas e Vazões de Água'!D38)</f>
        <v>9.8540334626763997</v>
      </c>
      <c r="AB38" s="124">
        <f>Z38*(1-'Perdas e Vazões de Água'!$F38)</f>
        <v>9.2743809807467894</v>
      </c>
      <c r="AC38" s="125">
        <f>P38*'Economais e Ligações Água'!D38</f>
        <v>228697.69774416773</v>
      </c>
      <c r="AD38" s="125">
        <f>S38*'Economais e Ligações Água'!G38</f>
        <v>20297.109742077504</v>
      </c>
      <c r="AE38" s="125">
        <f>V38*'Economais e Ligações Água'!J38</f>
        <v>10209.651970054691</v>
      </c>
      <c r="AF38" s="125">
        <f>Y38*'Economais e Ligações Água'!M38</f>
        <v>6613.849478905805</v>
      </c>
      <c r="AG38" s="125">
        <f>AB38*'Economais e Ligações Água'!P38</f>
        <v>1975.443148899066</v>
      </c>
      <c r="AH38" s="125">
        <f t="shared" si="0"/>
        <v>267793.75208410481</v>
      </c>
      <c r="AI38" s="125">
        <f>O38*'Economais e Ligações Água'!D38</f>
        <v>242991.39436760749</v>
      </c>
      <c r="AJ38" s="125">
        <f>R38*'Economais e Ligações Água'!G38</f>
        <v>21565.687134187778</v>
      </c>
      <c r="AK38" s="125">
        <f>U38*'Economais e Ligações Água'!J38</f>
        <v>10847.759258979455</v>
      </c>
      <c r="AL38" s="125">
        <f>X38*'Economais e Ligações Água'!M38</f>
        <v>7027.2176889799084</v>
      </c>
      <c r="AM38" s="125">
        <f>AA38*'Economais e Ligações Água'!P38</f>
        <v>2098.9091275500732</v>
      </c>
      <c r="AN38" s="125">
        <f t="shared" si="1"/>
        <v>284530.96757730475</v>
      </c>
      <c r="AO38" s="121">
        <f>AP38/(1-'Perdas e Vazões de Água'!D38)</f>
        <v>11.926010158226896</v>
      </c>
      <c r="AP38" s="121">
        <f>SUM(AI38:AM38)/'Economais e Ligações Água'!S38</f>
        <v>10.137048217595456</v>
      </c>
      <c r="AQ38" s="121">
        <f>AP38-('Perdas e Vazões de Água'!E38*AO38)</f>
        <v>9.540747709684112</v>
      </c>
      <c r="AR38" s="121">
        <f>AS38/(1-'Perdas e Vazões de Água'!D38)</f>
        <v>15.803961164834314</v>
      </c>
      <c r="AS38" s="121">
        <f>SUM(AI38:AM38)/'Economais e Ligações Água'!T38</f>
        <v>13.433286927599775</v>
      </c>
      <c r="AT38" s="121">
        <f>AR38*(1-'Perdas e Vazões de Água'!F38)</f>
        <v>12.643088869358058</v>
      </c>
      <c r="AU38" s="121">
        <f>AO38*'Economais e Ligações Água'!S38*12</f>
        <v>4016931.7183679785</v>
      </c>
      <c r="AV38" s="121">
        <f>AP38*'Economais e Ligações Água'!S38*12</f>
        <v>3414371.6109276572</v>
      </c>
      <c r="AW38" s="121">
        <f>AQ38*'Economais e Ligações Água'!S38*12</f>
        <v>3213525.0250092587</v>
      </c>
    </row>
    <row r="39" spans="2:49" x14ac:dyDescent="0.15">
      <c r="B39" s="147">
        <f>População!B39</f>
        <v>27</v>
      </c>
      <c r="C39" s="109">
        <f>População!C39</f>
        <v>2053</v>
      </c>
      <c r="D39" s="121">
        <f>(E39/(1-'Perdas e Vazões de Água'!D39))</f>
        <v>169.69558788044952</v>
      </c>
      <c r="E39" s="121">
        <f t="shared" si="2"/>
        <v>144.24039002437652</v>
      </c>
      <c r="F39" s="121">
        <f>E39-(D39*'Perdas e Vazões de Água'!E39)</f>
        <v>135.75561063035406</v>
      </c>
      <c r="G39" s="121">
        <f>ROUND(AU39/12/30.4375/'Atendimento '!H39*1000,2)</f>
        <v>198.66</v>
      </c>
      <c r="H39" s="121">
        <f>ROUND(AV39/12/30.4375/'Atendimento '!H39*1000,2)</f>
        <v>168.86</v>
      </c>
      <c r="I39" s="146">
        <f>ROUND(AW39/12/30.4375/'Atendimento '!H39*1000,2)</f>
        <v>158.93</v>
      </c>
      <c r="K39" s="40"/>
      <c r="L39" s="109">
        <f>População!B39</f>
        <v>27</v>
      </c>
      <c r="M39" s="109">
        <f>População!C39</f>
        <v>2053</v>
      </c>
      <c r="N39" s="121">
        <f>D39*30.4375*Imóveis!J39/1000</f>
        <v>10.932313859639335</v>
      </c>
      <c r="O39" s="121">
        <f>N39*(1-'Perdas e Vazões de Água'!D39)</f>
        <v>9.2924113978389755</v>
      </c>
      <c r="P39" s="124">
        <f>N39*(1-'Perdas e Vazões de Água'!$F39)</f>
        <v>8.7457957048570076</v>
      </c>
      <c r="Q39" s="124">
        <f>$U$3/(1-'Perdas e Vazões de Água'!D39)*30.4375/1000</f>
        <v>16.17052125060895</v>
      </c>
      <c r="R39" s="124">
        <f>Q39*(1-'Perdas e Vazões de Água'!D39)</f>
        <v>13.744861143523121</v>
      </c>
      <c r="S39" s="124">
        <f>Q39*(1-'Perdas e Vazões de Água'!$F39)</f>
        <v>12.936335080992674</v>
      </c>
      <c r="T39" s="124">
        <f>$V$3/(1-'Perdas e Vazões de Água'!D39)*30.4375/1000</f>
        <v>80.773074547438412</v>
      </c>
      <c r="U39" s="124">
        <f>T39*(1-'Perdas e Vazões de Água'!D39)</f>
        <v>68.656704170756043</v>
      </c>
      <c r="V39" s="124">
        <f>T39*(1-'Perdas e Vazões de Água'!$F39)</f>
        <v>64.618050443384121</v>
      </c>
      <c r="W39" s="124">
        <f>$W$3/(1-'Perdas e Vazões de Água'!D39)*30.4375/1000</f>
        <v>68.894701679017103</v>
      </c>
      <c r="X39" s="124">
        <f>W39*(1-'Perdas e Vazões de Água'!D39)</f>
        <v>58.560147408165903</v>
      </c>
      <c r="Y39" s="124">
        <f>W39*(1-'Perdas e Vazões de Água'!$F39)</f>
        <v>55.115412324215043</v>
      </c>
      <c r="Z39" s="124">
        <f>$X$3/(1-'Perdas e Vazões de Água'!D39)*30.4375/1000</f>
        <v>11.593049638592179</v>
      </c>
      <c r="AA39" s="124">
        <f>Z39*(1-'Perdas e Vazões de Água'!D39)</f>
        <v>9.8540334626763997</v>
      </c>
      <c r="AB39" s="124">
        <f>Z39*(1-'Perdas e Vazões de Água'!$F39)</f>
        <v>9.2743809807467894</v>
      </c>
      <c r="AC39" s="125">
        <f>P39*'Economais e Ligações Água'!D39</f>
        <v>229469.36450198843</v>
      </c>
      <c r="AD39" s="125">
        <f>S39*'Economais e Ligações Água'!G39</f>
        <v>20361.791417482469</v>
      </c>
      <c r="AE39" s="125">
        <f>V39*'Economais e Ligações Água'!J39</f>
        <v>10209.651970054691</v>
      </c>
      <c r="AF39" s="125">
        <f>Y39*'Economais e Ligações Água'!M39</f>
        <v>6613.849478905805</v>
      </c>
      <c r="AG39" s="125">
        <f>AB39*'Economais e Ligações Água'!P39</f>
        <v>1984.7175298798129</v>
      </c>
      <c r="AH39" s="125">
        <f t="shared" si="0"/>
        <v>268639.37489831122</v>
      </c>
      <c r="AI39" s="125">
        <f>O39*'Economais e Ligações Água'!D39</f>
        <v>243811.29060320382</v>
      </c>
      <c r="AJ39" s="125">
        <f>R39*'Economais e Ligações Água'!G39</f>
        <v>21634.411439905391</v>
      </c>
      <c r="AK39" s="125">
        <f>U39*'Economais e Ligações Água'!J39</f>
        <v>10847.759258979455</v>
      </c>
      <c r="AL39" s="125">
        <f>X39*'Economais e Ligações Água'!M39</f>
        <v>7027.2176889799084</v>
      </c>
      <c r="AM39" s="125">
        <f>AA39*'Economais e Ligações Água'!P39</f>
        <v>2108.7631610127496</v>
      </c>
      <c r="AN39" s="125">
        <f t="shared" si="1"/>
        <v>285429.44215208135</v>
      </c>
      <c r="AO39" s="121">
        <f>AP39/(1-'Perdas e Vazões de Água'!D39)</f>
        <v>11.864230318303138</v>
      </c>
      <c r="AP39" s="121">
        <f>SUM(AI39:AM39)/'Economais e Ligações Água'!S39</f>
        <v>10.084535666635531</v>
      </c>
      <c r="AQ39" s="121">
        <f>AP39-('Perdas e Vazões de Água'!E39*AO39)</f>
        <v>9.4913241507203754</v>
      </c>
      <c r="AR39" s="121">
        <f>AS39/(1-'Perdas e Vazões de Água'!D39)</f>
        <v>15.722787581296958</v>
      </c>
      <c r="AS39" s="121">
        <f>SUM(AI39:AM39)/'Economais e Ligações Água'!T39</f>
        <v>13.364289792816558</v>
      </c>
      <c r="AT39" s="121">
        <f>AR39*(1-'Perdas e Vazões de Água'!F39)</f>
        <v>12.578150413751709</v>
      </c>
      <c r="AU39" s="121">
        <f>AO39*'Economais e Ligações Água'!S39*12</f>
        <v>4029616.1409048219</v>
      </c>
      <c r="AV39" s="121">
        <f>AP39*'Economais e Ligações Água'!S39*12</f>
        <v>3425153.3058249764</v>
      </c>
      <c r="AW39" s="121">
        <f>AQ39*'Economais e Ligações Água'!S39*12</f>
        <v>3223672.4987797355</v>
      </c>
    </row>
    <row r="40" spans="2:49" x14ac:dyDescent="0.15">
      <c r="B40" s="147">
        <f>População!B40</f>
        <v>28</v>
      </c>
      <c r="C40" s="109">
        <f>População!C40</f>
        <v>2054</v>
      </c>
      <c r="D40" s="121">
        <f>(E40/(1-'Perdas e Vazões de Água'!D40))</f>
        <v>169.69558788044952</v>
      </c>
      <c r="E40" s="121">
        <f t="shared" si="2"/>
        <v>144.24039002437652</v>
      </c>
      <c r="F40" s="121">
        <f>E40-(D40*'Perdas e Vazões de Água'!E40)</f>
        <v>135.75561063035406</v>
      </c>
      <c r="G40" s="121">
        <f>ROUND(AU40/12/30.4375/'Atendimento '!H40*1000,2)</f>
        <v>198.7</v>
      </c>
      <c r="H40" s="121">
        <f>ROUND(AV40/12/30.4375/'Atendimento '!H40*1000,2)</f>
        <v>168.9</v>
      </c>
      <c r="I40" s="146">
        <f>ROUND(AW40/12/30.4375/'Atendimento '!H40*1000,2)</f>
        <v>158.96</v>
      </c>
      <c r="K40" s="40"/>
      <c r="L40" s="109">
        <f>População!B40</f>
        <v>28</v>
      </c>
      <c r="M40" s="109">
        <f>População!C40</f>
        <v>2054</v>
      </c>
      <c r="N40" s="121">
        <f>D40*30.4375*Imóveis!J40/1000</f>
        <v>10.875515163664527</v>
      </c>
      <c r="O40" s="121">
        <f>N40*(1-'Perdas e Vazões de Água'!D40)</f>
        <v>9.2441327940012972</v>
      </c>
      <c r="P40" s="124">
        <f>N40*(1-'Perdas e Vazões de Água'!$F40)</f>
        <v>8.7003570358180706</v>
      </c>
      <c r="Q40" s="124">
        <f>$U$3/(1-'Perdas e Vazões de Água'!D40)*30.4375/1000</f>
        <v>16.17052125060895</v>
      </c>
      <c r="R40" s="124">
        <f>Q40*(1-'Perdas e Vazões de Água'!D40)</f>
        <v>13.744861143523121</v>
      </c>
      <c r="S40" s="124">
        <f>Q40*(1-'Perdas e Vazões de Água'!$F40)</f>
        <v>12.936335080992674</v>
      </c>
      <c r="T40" s="124">
        <f>$V$3/(1-'Perdas e Vazões de Água'!D40)*30.4375/1000</f>
        <v>80.773074547438412</v>
      </c>
      <c r="U40" s="124">
        <f>T40*(1-'Perdas e Vazões de Água'!D40)</f>
        <v>68.656704170756043</v>
      </c>
      <c r="V40" s="124">
        <f>T40*(1-'Perdas e Vazões de Água'!$F40)</f>
        <v>64.618050443384121</v>
      </c>
      <c r="W40" s="124">
        <f>$W$3/(1-'Perdas e Vazões de Água'!D40)*30.4375/1000</f>
        <v>68.894701679017103</v>
      </c>
      <c r="X40" s="124">
        <f>W40*(1-'Perdas e Vazões de Água'!D40)</f>
        <v>58.560147408165903</v>
      </c>
      <c r="Y40" s="124">
        <f>W40*(1-'Perdas e Vazões de Água'!$F40)</f>
        <v>55.115412324215043</v>
      </c>
      <c r="Z40" s="124">
        <f>$X$3/(1-'Perdas e Vazões de Água'!D40)*30.4375/1000</f>
        <v>11.593049638592179</v>
      </c>
      <c r="AA40" s="124">
        <f>Z40*(1-'Perdas e Vazões de Água'!D40)</f>
        <v>9.8540334626763997</v>
      </c>
      <c r="AB40" s="124">
        <f>Z40*(1-'Perdas e Vazões de Água'!$F40)</f>
        <v>9.2743809807467894</v>
      </c>
      <c r="AC40" s="125">
        <f>P40*'Economais e Ligações Água'!D40</f>
        <v>230204.2857331688</v>
      </c>
      <c r="AD40" s="125">
        <f>S40*'Economais e Ligações Água'!G40</f>
        <v>20426.473092887431</v>
      </c>
      <c r="AE40" s="125">
        <f>V40*'Economais e Ligações Água'!J40</f>
        <v>10274.270020498076</v>
      </c>
      <c r="AF40" s="125">
        <f>Y40*'Economais e Ligações Água'!M40</f>
        <v>6668.9648912300199</v>
      </c>
      <c r="AG40" s="125">
        <f>AB40*'Economais e Ligações Água'!P40</f>
        <v>1984.7175298798129</v>
      </c>
      <c r="AH40" s="125">
        <f t="shared" si="0"/>
        <v>269558.71126766416</v>
      </c>
      <c r="AI40" s="125">
        <f>O40*'Economais e Ligações Água'!D40</f>
        <v>244592.14470220153</v>
      </c>
      <c r="AJ40" s="125">
        <f>R40*'Economais e Ligações Água'!G40</f>
        <v>21703.135745623007</v>
      </c>
      <c r="AK40" s="125">
        <f>U40*'Economais e Ligações Água'!J40</f>
        <v>10916.415963150212</v>
      </c>
      <c r="AL40" s="125">
        <f>X40*'Economais e Ligações Água'!M40</f>
        <v>7085.7778363880743</v>
      </c>
      <c r="AM40" s="125">
        <f>AA40*'Economais e Ligações Água'!P40</f>
        <v>2108.7631610127496</v>
      </c>
      <c r="AN40" s="125">
        <f t="shared" si="1"/>
        <v>286406.2374083756</v>
      </c>
      <c r="AO40" s="121">
        <f>AP40/(1-'Perdas e Vazões de Água'!D40)</f>
        <v>11.809492287492823</v>
      </c>
      <c r="AP40" s="121">
        <f>SUM(AI40:AM40)/'Economais e Ligações Água'!S40</f>
        <v>10.038008617748389</v>
      </c>
      <c r="AQ40" s="121">
        <f>AP40-('Perdas e Vazões de Água'!E40*AO40)</f>
        <v>9.4475340033737485</v>
      </c>
      <c r="AR40" s="121">
        <f>AS40/(1-'Perdas e Vazões de Água'!D40)</f>
        <v>15.650743195168129</v>
      </c>
      <c r="AS40" s="121">
        <f>SUM(AI40:AM40)/'Economais e Ligações Água'!T40</f>
        <v>13.303052429582282</v>
      </c>
      <c r="AT40" s="121">
        <f>AR40*(1-'Perdas e Vazões de Água'!F40)</f>
        <v>12.520515269823875</v>
      </c>
      <c r="AU40" s="121">
        <f>AO40*'Economais e Ligações Água'!S40*12</f>
        <v>4043406.2737707412</v>
      </c>
      <c r="AV40" s="121">
        <f>AP40*'Economais e Ligações Água'!S40*12</f>
        <v>3436874.8489005072</v>
      </c>
      <c r="AW40" s="121">
        <f>AQ40*'Economais e Ligações Água'!S40*12</f>
        <v>3234704.5352119706</v>
      </c>
    </row>
    <row r="41" spans="2:49" x14ac:dyDescent="0.15">
      <c r="B41" s="147">
        <f>População!B41</f>
        <v>29</v>
      </c>
      <c r="C41" s="109">
        <f>População!C41</f>
        <v>2055</v>
      </c>
      <c r="D41" s="121">
        <f>(E41/(1-'Perdas e Vazões de Água'!D41))</f>
        <v>169.69558788044952</v>
      </c>
      <c r="E41" s="121">
        <f t="shared" si="2"/>
        <v>144.24039002437652</v>
      </c>
      <c r="F41" s="121">
        <f>E41-(D41*'Perdas e Vazões de Água'!E41)</f>
        <v>135.75561063035406</v>
      </c>
      <c r="G41" s="121">
        <f>ROUND(AU41/12/30.4375/'Atendimento '!H41*1000,2)</f>
        <v>198.67</v>
      </c>
      <c r="H41" s="121">
        <f>ROUND(AV41/12/30.4375/'Atendimento '!H41*1000,2)</f>
        <v>168.87</v>
      </c>
      <c r="I41" s="146">
        <f>ROUND(AW41/12/30.4375/'Atendimento '!H41*1000,2)</f>
        <v>158.94</v>
      </c>
      <c r="K41" s="40"/>
      <c r="L41" s="109">
        <f>População!B41</f>
        <v>29</v>
      </c>
      <c r="M41" s="109">
        <f>População!C41</f>
        <v>2055</v>
      </c>
      <c r="N41" s="121">
        <f>D41*30.4375*Imóveis!J41/1000</f>
        <v>10.821113402449383</v>
      </c>
      <c r="O41" s="121">
        <f>N41*(1-'Perdas e Vazões de Água'!D41)</f>
        <v>9.1978915725665154</v>
      </c>
      <c r="P41" s="124">
        <f>N41*(1-'Perdas e Vazões de Água'!$F41)</f>
        <v>8.6568359024440458</v>
      </c>
      <c r="Q41" s="124">
        <f>$U$3/(1-'Perdas e Vazões de Água'!D41)*30.4375/1000</f>
        <v>16.17052125060895</v>
      </c>
      <c r="R41" s="124">
        <f>Q41*(1-'Perdas e Vazões de Água'!D41)</f>
        <v>13.744861143523121</v>
      </c>
      <c r="S41" s="124">
        <f>Q41*(1-'Perdas e Vazões de Água'!$F41)</f>
        <v>12.936335080992674</v>
      </c>
      <c r="T41" s="124">
        <f>$V$3/(1-'Perdas e Vazões de Água'!D41)*30.4375/1000</f>
        <v>80.773074547438412</v>
      </c>
      <c r="U41" s="124">
        <f>T41*(1-'Perdas e Vazões de Água'!D41)</f>
        <v>68.656704170756043</v>
      </c>
      <c r="V41" s="124">
        <f>T41*(1-'Perdas e Vazões de Água'!$F41)</f>
        <v>64.618050443384121</v>
      </c>
      <c r="W41" s="124">
        <f>$W$3/(1-'Perdas e Vazões de Água'!D41)*30.4375/1000</f>
        <v>68.894701679017103</v>
      </c>
      <c r="X41" s="124">
        <f>W41*(1-'Perdas e Vazões de Água'!D41)</f>
        <v>58.560147408165903</v>
      </c>
      <c r="Y41" s="124">
        <f>W41*(1-'Perdas e Vazões de Água'!$F41)</f>
        <v>55.115412324215043</v>
      </c>
      <c r="Z41" s="124">
        <f>$X$3/(1-'Perdas e Vazões de Água'!D41)*30.4375/1000</f>
        <v>11.593049638592179</v>
      </c>
      <c r="AA41" s="124">
        <f>Z41*(1-'Perdas e Vazões de Água'!D41)</f>
        <v>9.8540334626763997</v>
      </c>
      <c r="AB41" s="124">
        <f>Z41*(1-'Perdas e Vazões de Água'!$F41)</f>
        <v>9.2743809807467894</v>
      </c>
      <c r="AC41" s="125">
        <f>P41*'Economais e Ligações Água'!D41</f>
        <v>230904.00088532781</v>
      </c>
      <c r="AD41" s="125">
        <f>S41*'Economais e Ligações Água'!G41</f>
        <v>20491.154768292396</v>
      </c>
      <c r="AE41" s="125">
        <f>V41*'Economais e Ligações Água'!J41</f>
        <v>10274.270020498076</v>
      </c>
      <c r="AF41" s="125">
        <f>Y41*'Economais e Ligações Água'!M41</f>
        <v>6668.9648912300199</v>
      </c>
      <c r="AG41" s="125">
        <f>AB41*'Economais e Ligações Água'!P41</f>
        <v>1993.9919108605598</v>
      </c>
      <c r="AH41" s="125">
        <f t="shared" si="0"/>
        <v>270332.38247620891</v>
      </c>
      <c r="AI41" s="125">
        <f>O41*'Economais e Ligações Água'!D41</f>
        <v>245335.59232830512</v>
      </c>
      <c r="AJ41" s="125">
        <f>R41*'Economais e Ligações Água'!G41</f>
        <v>21771.860051340624</v>
      </c>
      <c r="AK41" s="125">
        <f>U41*'Economais e Ligações Água'!J41</f>
        <v>10916.415963150212</v>
      </c>
      <c r="AL41" s="125">
        <f>X41*'Economais e Ligações Água'!M41</f>
        <v>7085.7778363880743</v>
      </c>
      <c r="AM41" s="125">
        <f>AA41*'Economais e Ligações Água'!P41</f>
        <v>2118.617194475426</v>
      </c>
      <c r="AN41" s="125">
        <f t="shared" si="1"/>
        <v>287228.26337365946</v>
      </c>
      <c r="AO41" s="121">
        <f>AP41/(1-'Perdas e Vazões de Água'!D41)</f>
        <v>11.752828447861814</v>
      </c>
      <c r="AP41" s="121">
        <f>SUM(AI41:AM41)/'Economais e Ligações Água'!S41</f>
        <v>9.9898446411197597</v>
      </c>
      <c r="AQ41" s="121">
        <f>AP41-('Perdas e Vazões de Água'!E41*AO41)</f>
        <v>9.4022032187266689</v>
      </c>
      <c r="AR41" s="121">
        <f>AS41/(1-'Perdas e Vazões de Água'!D41)</f>
        <v>15.576255175423423</v>
      </c>
      <c r="AS41" s="121">
        <f>SUM(AI41:AM41)/'Economais e Ligações Água'!T41</f>
        <v>13.239737990153904</v>
      </c>
      <c r="AT41" s="121">
        <f>AR41*(1-'Perdas e Vazões de Água'!F41)</f>
        <v>12.460925231382731</v>
      </c>
      <c r="AU41" s="121">
        <f>AO41*'Economais e Ligações Água'!S41*12</f>
        <v>4055011.4153881422</v>
      </c>
      <c r="AV41" s="121">
        <f>AP41*'Economais e Ligações Água'!S41*12</f>
        <v>3446739.1604839135</v>
      </c>
      <c r="AW41" s="121">
        <f>AQ41*'Economais e Ligações Água'!S41*12</f>
        <v>3243988.5897145062</v>
      </c>
    </row>
    <row r="42" spans="2:49" s="153" customFormat="1" x14ac:dyDescent="0.15">
      <c r="B42" s="144">
        <f>População!B42</f>
        <v>30</v>
      </c>
      <c r="C42" s="101">
        <f>População!C42</f>
        <v>2056</v>
      </c>
      <c r="D42" s="120">
        <f>(E42/(1-'Perdas e Vazões de Água'!D42))</f>
        <v>169.69558788044952</v>
      </c>
      <c r="E42" s="120">
        <f t="shared" si="2"/>
        <v>144.24039002437652</v>
      </c>
      <c r="F42" s="120">
        <f>E42-(D42*'Perdas e Vazões de Água'!E42)</f>
        <v>135.75561063035406</v>
      </c>
      <c r="G42" s="120">
        <f>ROUND(AU42/12/30.4375/'Atendimento '!H42*1000,2)</f>
        <v>198.68</v>
      </c>
      <c r="H42" s="120">
        <f>ROUND(AV42/12/30.4375/'Atendimento '!H42*1000,2)</f>
        <v>168.88</v>
      </c>
      <c r="I42" s="145">
        <f>ROUND(AW42/12/30.4375/'Atendimento '!H42*1000,2)</f>
        <v>158.94</v>
      </c>
      <c r="K42" s="39"/>
      <c r="L42" s="101">
        <f>População!B42</f>
        <v>30</v>
      </c>
      <c r="M42" s="101">
        <f>População!C42</f>
        <v>2056</v>
      </c>
      <c r="N42" s="120">
        <f>D42*30.4375*Imóveis!J42/1000</f>
        <v>10.769028798395585</v>
      </c>
      <c r="O42" s="120">
        <f>N42*(1-'Perdas e Vazões de Água'!D42)</f>
        <v>9.1536199229802104</v>
      </c>
      <c r="P42" s="122">
        <f>N42*(1-'Perdas e Vazões de Água'!$F42)</f>
        <v>8.6151684830604314</v>
      </c>
      <c r="Q42" s="122">
        <f>$U$3/(1-'Perdas e Vazões de Água'!D42)*30.4375/1000</f>
        <v>16.17052125060895</v>
      </c>
      <c r="R42" s="122">
        <f>Q42*(1-'Perdas e Vazões de Água'!D42)</f>
        <v>13.744861143523121</v>
      </c>
      <c r="S42" s="122">
        <f>Q42*(1-'Perdas e Vazões de Água'!$F42)</f>
        <v>12.936335080992674</v>
      </c>
      <c r="T42" s="122">
        <f>$V$3/(1-'Perdas e Vazões de Água'!D42)*30.4375/1000</f>
        <v>80.773074547438412</v>
      </c>
      <c r="U42" s="122">
        <f>T42*(1-'Perdas e Vazões de Água'!D42)</f>
        <v>68.656704170756043</v>
      </c>
      <c r="V42" s="122">
        <f>T42*(1-'Perdas e Vazões de Água'!$F42)</f>
        <v>64.618050443384121</v>
      </c>
      <c r="W42" s="122">
        <f>$W$3/(1-'Perdas e Vazões de Água'!D42)*30.4375/1000</f>
        <v>68.894701679017103</v>
      </c>
      <c r="X42" s="122">
        <f>W42*(1-'Perdas e Vazões de Água'!D42)</f>
        <v>58.560147408165903</v>
      </c>
      <c r="Y42" s="122">
        <f>W42*(1-'Perdas e Vazões de Água'!$F42)</f>
        <v>55.115412324215043</v>
      </c>
      <c r="Z42" s="122">
        <f>$X$3/(1-'Perdas e Vazões de Água'!D42)*30.4375/1000</f>
        <v>11.593049638592179</v>
      </c>
      <c r="AA42" s="122">
        <f>Z42*(1-'Perdas e Vazões de Água'!D42)</f>
        <v>9.8540334626763997</v>
      </c>
      <c r="AB42" s="122">
        <f>Z42*(1-'Perdas e Vazões de Água'!$F42)</f>
        <v>9.2743809807467894</v>
      </c>
      <c r="AC42" s="123">
        <f>P42*'Economais e Ligações Água'!D42</f>
        <v>231570.00578565677</v>
      </c>
      <c r="AD42" s="123">
        <f>S42*'Economais e Ligações Água'!G42</f>
        <v>20542.900108616366</v>
      </c>
      <c r="AE42" s="123">
        <f>V42*'Economais e Ligações Água'!J42</f>
        <v>10338.888070941459</v>
      </c>
      <c r="AF42" s="123">
        <f>Y42*'Economais e Ligações Água'!M42</f>
        <v>6668.9648912300199</v>
      </c>
      <c r="AG42" s="123">
        <f>AB42*'Economais e Ligações Água'!P42</f>
        <v>2003.2662918413066</v>
      </c>
      <c r="AH42" s="123">
        <f t="shared" si="0"/>
        <v>271124.0251482859</v>
      </c>
      <c r="AI42" s="123">
        <f>O42*'Economais e Ligações Água'!D42</f>
        <v>246043.22279849736</v>
      </c>
      <c r="AJ42" s="123">
        <f>R42*'Economais e Ligações Água'!G42</f>
        <v>21826.839495914715</v>
      </c>
      <c r="AK42" s="123">
        <f>U42*'Economais e Ligações Água'!J42</f>
        <v>10985.072667320967</v>
      </c>
      <c r="AL42" s="123">
        <f>X42*'Economais e Ligações Água'!M42</f>
        <v>7085.7778363880743</v>
      </c>
      <c r="AM42" s="123">
        <f>AA42*'Economais e Ligações Água'!P42</f>
        <v>2128.4712279381024</v>
      </c>
      <c r="AN42" s="123">
        <f t="shared" si="1"/>
        <v>288069.38402605918</v>
      </c>
      <c r="AO42" s="120">
        <f>AP42/(1-'Perdas e Vazões de Água'!D42)</f>
        <v>11.700844136115053</v>
      </c>
      <c r="AP42" s="120">
        <f>SUM(AI42:AM42)/'Economais e Ligações Água'!S42</f>
        <v>9.9456582394863595</v>
      </c>
      <c r="AQ42" s="120">
        <f>AP42-('Perdas e Vazões de Água'!E42*AO42)</f>
        <v>9.3606160326806069</v>
      </c>
      <c r="AR42" s="120">
        <f>AS42/(1-'Perdas e Vazões de Água'!D42)</f>
        <v>15.507781630517153</v>
      </c>
      <c r="AS42" s="120">
        <f>SUM(AI42:AM42)/'Economais e Ligações Água'!T42</f>
        <v>13.181535823869002</v>
      </c>
      <c r="AT42" s="120">
        <f>AR42*(1-'Perdas e Vazões de Água'!F42)</f>
        <v>12.406146742343143</v>
      </c>
      <c r="AU42" s="120">
        <f>AO42*'Economais e Ligações Água'!S42*12</f>
        <v>4066886.1306655956</v>
      </c>
      <c r="AV42" s="120">
        <f>AP42*'Economais e Ligações Água'!S42*12</f>
        <v>3456832.6083127102</v>
      </c>
      <c r="AW42" s="120">
        <f>AQ42*'Economais e Ligações Água'!S42*12</f>
        <v>3253488.3017794304</v>
      </c>
    </row>
    <row r="43" spans="2:49" x14ac:dyDescent="0.15">
      <c r="B43" s="147">
        <f>População!B43</f>
        <v>31</v>
      </c>
      <c r="C43" s="109">
        <f>População!C43</f>
        <v>2057</v>
      </c>
      <c r="D43" s="121">
        <f>(E43/(1-'Perdas e Vazões de Água'!D43))</f>
        <v>169.69558788044952</v>
      </c>
      <c r="E43" s="121">
        <f t="shared" si="2"/>
        <v>144.24039002437652</v>
      </c>
      <c r="F43" s="121">
        <f>E43-(D43*'Perdas e Vazões de Água'!E43)</f>
        <v>135.75561063035406</v>
      </c>
      <c r="G43" s="121">
        <f>ROUND(AU43/12/30.4375/'Atendimento '!H43*1000,2)</f>
        <v>198.69</v>
      </c>
      <c r="H43" s="121">
        <f>ROUND(AV43/12/30.4375/'Atendimento '!H43*1000,2)</f>
        <v>168.88</v>
      </c>
      <c r="I43" s="146">
        <f>ROUND(AW43/12/30.4375/'Atendimento '!H43*1000,2)</f>
        <v>158.94999999999999</v>
      </c>
      <c r="K43" s="40"/>
      <c r="L43" s="109">
        <f>População!B43</f>
        <v>31</v>
      </c>
      <c r="M43" s="109">
        <f>População!C43</f>
        <v>2057</v>
      </c>
      <c r="N43" s="121">
        <f>D43*30.4375*Imóveis!J43/1000</f>
        <v>10.719182489258122</v>
      </c>
      <c r="O43" s="121">
        <f>N43*(1-'Perdas e Vazões de Água'!D43)</f>
        <v>9.1112508127336405</v>
      </c>
      <c r="P43" s="124">
        <f>N43*(1-'Perdas e Vazões de Água'!$F43)</f>
        <v>8.5752916882707346</v>
      </c>
      <c r="Q43" s="124">
        <f>$U$3/(1-'Perdas e Vazões de Água'!D43)*30.4375/1000</f>
        <v>16.17052125060895</v>
      </c>
      <c r="R43" s="124">
        <f>Q43*(1-'Perdas e Vazões de Água'!D43)</f>
        <v>13.744861143523121</v>
      </c>
      <c r="S43" s="124">
        <f>Q43*(1-'Perdas e Vazões de Água'!$F43)</f>
        <v>12.936335080992674</v>
      </c>
      <c r="T43" s="124">
        <f>$V$3/(1-'Perdas e Vazões de Água'!D43)*30.4375/1000</f>
        <v>80.773074547438412</v>
      </c>
      <c r="U43" s="124">
        <f>T43*(1-'Perdas e Vazões de Água'!D43)</f>
        <v>68.656704170756043</v>
      </c>
      <c r="V43" s="124">
        <f>T43*(1-'Perdas e Vazões de Água'!$F43)</f>
        <v>64.618050443384121</v>
      </c>
      <c r="W43" s="124">
        <f>$W$3/(1-'Perdas e Vazões de Água'!D43)*30.4375/1000</f>
        <v>68.894701679017103</v>
      </c>
      <c r="X43" s="124">
        <f>W43*(1-'Perdas e Vazões de Água'!D43)</f>
        <v>58.560147408165903</v>
      </c>
      <c r="Y43" s="124">
        <f>W43*(1-'Perdas e Vazões de Água'!$F43)</f>
        <v>55.115412324215043</v>
      </c>
      <c r="Z43" s="124">
        <f>$X$3/(1-'Perdas e Vazões de Água'!D43)*30.4375/1000</f>
        <v>11.593049638592179</v>
      </c>
      <c r="AA43" s="124">
        <f>Z43*(1-'Perdas e Vazões de Água'!D43)</f>
        <v>9.8540334626763997</v>
      </c>
      <c r="AB43" s="124">
        <f>Z43*(1-'Perdas e Vazões de Água'!$F43)</f>
        <v>9.2743809807467894</v>
      </c>
      <c r="AC43" s="125">
        <f>P43*'Economais e Ligações Água'!D43</f>
        <v>232203.75167654356</v>
      </c>
      <c r="AD43" s="125">
        <f>S43*'Economais e Ligações Água'!G43</f>
        <v>20607.581784021328</v>
      </c>
      <c r="AE43" s="125">
        <f>V43*'Economais e Ligações Água'!J43</f>
        <v>10338.888070941459</v>
      </c>
      <c r="AF43" s="125">
        <f>Y43*'Economais e Ligações Água'!M43</f>
        <v>6724.0803035542349</v>
      </c>
      <c r="AG43" s="125">
        <f>AB43*'Economais e Ligações Água'!P43</f>
        <v>2003.2662918413066</v>
      </c>
      <c r="AH43" s="125">
        <f t="shared" si="0"/>
        <v>271877.56812690187</v>
      </c>
      <c r="AI43" s="125">
        <f>O43*'Economais e Ligações Água'!D43</f>
        <v>246716.5780583898</v>
      </c>
      <c r="AJ43" s="125">
        <f>R43*'Economais e Ligações Água'!G43</f>
        <v>21895.563801632332</v>
      </c>
      <c r="AK43" s="125">
        <f>U43*'Economais e Ligações Água'!J43</f>
        <v>10985.072667320967</v>
      </c>
      <c r="AL43" s="125">
        <f>X43*'Economais e Ligações Água'!M43</f>
        <v>7144.3379837962402</v>
      </c>
      <c r="AM43" s="125">
        <f>AA43*'Economais e Ligações Água'!P43</f>
        <v>2128.4712279381024</v>
      </c>
      <c r="AN43" s="125">
        <f t="shared" si="1"/>
        <v>288870.02373907744</v>
      </c>
      <c r="AO43" s="121">
        <f>AP43/(1-'Perdas e Vazões de Água'!D43)</f>
        <v>11.650944165878874</v>
      </c>
      <c r="AP43" s="121">
        <f>SUM(AI43:AM43)/'Economais e Ligações Água'!S43</f>
        <v>9.9032435175777263</v>
      </c>
      <c r="AQ43" s="121">
        <f>AP43-('Perdas e Vazões de Água'!E43*AO43)</f>
        <v>9.3206963092837825</v>
      </c>
      <c r="AR43" s="121">
        <f>AS43/(1-'Perdas e Vazões de Água'!D43)</f>
        <v>15.442181277610624</v>
      </c>
      <c r="AS43" s="121">
        <f>SUM(AI43:AM43)/'Economais e Ligações Água'!T43</f>
        <v>13.125775856228355</v>
      </c>
      <c r="AT43" s="121">
        <f>AR43*(1-'Perdas e Vazões de Água'!F43)</f>
        <v>12.353666792347823</v>
      </c>
      <c r="AU43" s="121">
        <f>AO43*'Economais e Ligações Água'!S43*12</f>
        <v>4078189.3469221331</v>
      </c>
      <c r="AV43" s="121">
        <f>AP43*'Economais e Ligações Água'!S43*12</f>
        <v>3466440.2848689295</v>
      </c>
      <c r="AW43" s="121">
        <f>AQ43*'Economais e Ligações Água'!S43*12</f>
        <v>3262530.8175228224</v>
      </c>
    </row>
    <row r="44" spans="2:49" x14ac:dyDescent="0.15">
      <c r="B44" s="147">
        <f>População!B44</f>
        <v>32</v>
      </c>
      <c r="C44" s="109">
        <f>População!C44</f>
        <v>2058</v>
      </c>
      <c r="D44" s="121">
        <f>(E44/(1-'Perdas e Vazões de Água'!D44))</f>
        <v>169.69558788044952</v>
      </c>
      <c r="E44" s="121">
        <f t="shared" si="2"/>
        <v>144.24039002437652</v>
      </c>
      <c r="F44" s="121">
        <f>E44-(D44*'Perdas e Vazões de Água'!E44)</f>
        <v>135.75561063035406</v>
      </c>
      <c r="G44" s="121">
        <f>ROUND(AU44/12/30.4375/'Atendimento '!H44*1000,2)</f>
        <v>198.66</v>
      </c>
      <c r="H44" s="121">
        <f>ROUND(AV44/12/30.4375/'Atendimento '!H44*1000,2)</f>
        <v>168.86</v>
      </c>
      <c r="I44" s="146">
        <f>ROUND(AW44/12/30.4375/'Atendimento '!H44*1000,2)</f>
        <v>158.91999999999999</v>
      </c>
      <c r="K44" s="40"/>
      <c r="L44" s="109">
        <f>População!B44</f>
        <v>32</v>
      </c>
      <c r="M44" s="109">
        <f>População!C44</f>
        <v>2058</v>
      </c>
      <c r="N44" s="121">
        <f>D44*30.4375*Imóveis!J44/1000</f>
        <v>10.671496714797792</v>
      </c>
      <c r="O44" s="121">
        <f>N44*(1-'Perdas e Vazões de Água'!D44)</f>
        <v>9.0707181460174144</v>
      </c>
      <c r="P44" s="124">
        <f>N44*(1-'Perdas e Vazões de Água'!$F44)</f>
        <v>8.5371433102775232</v>
      </c>
      <c r="Q44" s="124">
        <f>$U$3/(1-'Perdas e Vazões de Água'!D44)*30.4375/1000</f>
        <v>16.17052125060895</v>
      </c>
      <c r="R44" s="124">
        <f>Q44*(1-'Perdas e Vazões de Água'!D44)</f>
        <v>13.744861143523121</v>
      </c>
      <c r="S44" s="124">
        <f>Q44*(1-'Perdas e Vazões de Água'!$F44)</f>
        <v>12.936335080992674</v>
      </c>
      <c r="T44" s="124">
        <f>$V$3/(1-'Perdas e Vazões de Água'!D44)*30.4375/1000</f>
        <v>80.773074547438412</v>
      </c>
      <c r="U44" s="124">
        <f>T44*(1-'Perdas e Vazões de Água'!D44)</f>
        <v>68.656704170756043</v>
      </c>
      <c r="V44" s="124">
        <f>T44*(1-'Perdas e Vazões de Água'!$F44)</f>
        <v>64.618050443384121</v>
      </c>
      <c r="W44" s="124">
        <f>$W$3/(1-'Perdas e Vazões de Água'!D44)*30.4375/1000</f>
        <v>68.894701679017103</v>
      </c>
      <c r="X44" s="124">
        <f>W44*(1-'Perdas e Vazões de Água'!D44)</f>
        <v>58.560147408165903</v>
      </c>
      <c r="Y44" s="124">
        <f>W44*(1-'Perdas e Vazões de Água'!$F44)</f>
        <v>55.115412324215043</v>
      </c>
      <c r="Z44" s="124">
        <f>$X$3/(1-'Perdas e Vazões de Água'!D44)*30.4375/1000</f>
        <v>11.593049638592179</v>
      </c>
      <c r="AA44" s="124">
        <f>Z44*(1-'Perdas e Vazões de Água'!D44)</f>
        <v>9.8540334626763997</v>
      </c>
      <c r="AB44" s="124">
        <f>Z44*(1-'Perdas e Vazões de Água'!$F44)</f>
        <v>9.2743809807467894</v>
      </c>
      <c r="AC44" s="125">
        <f>P44*'Economais e Ligações Água'!D44</f>
        <v>232806.64455021426</v>
      </c>
      <c r="AD44" s="125">
        <f>S44*'Economais e Ligações Água'!G44</f>
        <v>20659.327124345298</v>
      </c>
      <c r="AE44" s="125">
        <f>V44*'Economais e Ligações Água'!J44</f>
        <v>10338.888070941459</v>
      </c>
      <c r="AF44" s="125">
        <f>Y44*'Economais e Ligações Água'!M44</f>
        <v>6724.0803035542349</v>
      </c>
      <c r="AG44" s="125">
        <f>AB44*'Economais e Ligações Água'!P44</f>
        <v>2012.5406728220532</v>
      </c>
      <c r="AH44" s="125">
        <f t="shared" si="0"/>
        <v>272541.48072187731</v>
      </c>
      <c r="AI44" s="125">
        <f>O44*'Economais e Ligações Água'!D44</f>
        <v>247357.15197527912</v>
      </c>
      <c r="AJ44" s="125">
        <f>R44*'Economais e Ligações Água'!G44</f>
        <v>21950.543246206424</v>
      </c>
      <c r="AK44" s="125">
        <f>U44*'Economais e Ligações Água'!J44</f>
        <v>10985.072667320967</v>
      </c>
      <c r="AL44" s="125">
        <f>X44*'Economais e Ligações Água'!M44</f>
        <v>7144.3379837962402</v>
      </c>
      <c r="AM44" s="125">
        <f>AA44*'Economais e Ligações Água'!P44</f>
        <v>2138.3252614007788</v>
      </c>
      <c r="AN44" s="125">
        <f t="shared" si="1"/>
        <v>289575.43113400356</v>
      </c>
      <c r="AO44" s="121">
        <f>AP44/(1-'Perdas e Vazões de Água'!D44)</f>
        <v>11.601195656977401</v>
      </c>
      <c r="AP44" s="121">
        <f>SUM(AI44:AM44)/'Economais e Ligações Água'!S44</f>
        <v>9.8609575370362936</v>
      </c>
      <c r="AQ44" s="121">
        <f>AP44-('Perdas e Vazões de Água'!E44*AO44)</f>
        <v>9.2808977541874231</v>
      </c>
      <c r="AR44" s="121">
        <f>AS44/(1-'Perdas e Vazões de Água'!D44)</f>
        <v>15.376748507135353</v>
      </c>
      <c r="AS44" s="121">
        <f>SUM(AI44:AM44)/'Economais e Ligações Água'!T44</f>
        <v>13.070158332805308</v>
      </c>
      <c r="AT44" s="121">
        <f>AR44*(1-'Perdas e Vazões de Água'!F44)</f>
        <v>12.30132090744854</v>
      </c>
      <c r="AU44" s="121">
        <f>AO44*'Economais e Ligações Água'!S44*12</f>
        <v>4088148.0989102805</v>
      </c>
      <c r="AV44" s="121">
        <f>AP44*'Economais e Ligações Água'!S44*12</f>
        <v>3474905.1736080428</v>
      </c>
      <c r="AW44" s="121">
        <f>AQ44*'Economais e Ligações Água'!S44*12</f>
        <v>3270497.7686625281</v>
      </c>
    </row>
    <row r="45" spans="2:49" x14ac:dyDescent="0.15">
      <c r="B45" s="147">
        <f>População!B45</f>
        <v>33</v>
      </c>
      <c r="C45" s="109">
        <f>População!C45</f>
        <v>2059</v>
      </c>
      <c r="D45" s="121">
        <f>(E45/(1-'Perdas e Vazões de Água'!D45))</f>
        <v>169.69558788044952</v>
      </c>
      <c r="E45" s="121">
        <f t="shared" si="2"/>
        <v>144.24039002437652</v>
      </c>
      <c r="F45" s="121">
        <f>E45-(D45*'Perdas e Vazões de Água'!E45)</f>
        <v>135.75561063035406</v>
      </c>
      <c r="G45" s="121">
        <f>ROUND(AU45/12/30.4375/'Atendimento '!H45*1000,2)</f>
        <v>198.67</v>
      </c>
      <c r="H45" s="121">
        <f>ROUND(AV45/12/30.4375/'Atendimento '!H45*1000,2)</f>
        <v>168.87</v>
      </c>
      <c r="I45" s="146">
        <f>ROUND(AW45/12/30.4375/'Atendimento '!H45*1000,2)</f>
        <v>158.94</v>
      </c>
      <c r="K45" s="40"/>
      <c r="L45" s="109">
        <f>População!B45</f>
        <v>33</v>
      </c>
      <c r="M45" s="109">
        <f>População!C45</f>
        <v>2059</v>
      </c>
      <c r="N45" s="121">
        <f>D45*30.4375*Imóveis!J45/1000</f>
        <v>10.625894978424435</v>
      </c>
      <c r="O45" s="121">
        <f>N45*(1-'Perdas e Vazões de Água'!D45)</f>
        <v>9.0319569011174252</v>
      </c>
      <c r="P45" s="124">
        <f>N45*(1-'Perdas e Vazões de Água'!$F45)</f>
        <v>8.5006621521962025</v>
      </c>
      <c r="Q45" s="124">
        <f>$U$3/(1-'Perdas e Vazões de Água'!D45)*30.4375/1000</f>
        <v>16.17052125060895</v>
      </c>
      <c r="R45" s="124">
        <f>Q45*(1-'Perdas e Vazões de Água'!D45)</f>
        <v>13.744861143523121</v>
      </c>
      <c r="S45" s="124">
        <f>Q45*(1-'Perdas e Vazões de Água'!$F45)</f>
        <v>12.936335080992674</v>
      </c>
      <c r="T45" s="124">
        <f>$V$3/(1-'Perdas e Vazões de Água'!D45)*30.4375/1000</f>
        <v>80.773074547438412</v>
      </c>
      <c r="U45" s="124">
        <f>T45*(1-'Perdas e Vazões de Água'!D45)</f>
        <v>68.656704170756043</v>
      </c>
      <c r="V45" s="124">
        <f>T45*(1-'Perdas e Vazões de Água'!$F45)</f>
        <v>64.618050443384121</v>
      </c>
      <c r="W45" s="124">
        <f>$W$3/(1-'Perdas e Vazões de Água'!D45)*30.4375/1000</f>
        <v>68.894701679017103</v>
      </c>
      <c r="X45" s="124">
        <f>W45*(1-'Perdas e Vazões de Água'!D45)</f>
        <v>58.560147408165903</v>
      </c>
      <c r="Y45" s="124">
        <f>W45*(1-'Perdas e Vazões de Água'!$F45)</f>
        <v>55.115412324215043</v>
      </c>
      <c r="Z45" s="124">
        <f>$X$3/(1-'Perdas e Vazões de Água'!D45)*30.4375/1000</f>
        <v>11.593049638592179</v>
      </c>
      <c r="AA45" s="124">
        <f>Z45*(1-'Perdas e Vazões de Água'!D45)</f>
        <v>9.8540334626763997</v>
      </c>
      <c r="AB45" s="124">
        <f>Z45*(1-'Perdas e Vazões de Água'!$F45)</f>
        <v>9.2743809807467894</v>
      </c>
      <c r="AC45" s="125">
        <f>P45*'Economais e Ligações Água'!D45</f>
        <v>233380.04475278815</v>
      </c>
      <c r="AD45" s="125">
        <f>S45*'Economais e Ligações Água'!G45</f>
        <v>20711.072464669269</v>
      </c>
      <c r="AE45" s="125">
        <f>V45*'Economais e Ligações Água'!J45</f>
        <v>10403.506121384844</v>
      </c>
      <c r="AF45" s="125">
        <f>Y45*'Economais e Ligações Água'!M45</f>
        <v>6724.0803035542349</v>
      </c>
      <c r="AG45" s="125">
        <f>AB45*'Economais e Ligações Água'!P45</f>
        <v>2012.5406728220532</v>
      </c>
      <c r="AH45" s="125">
        <f t="shared" si="0"/>
        <v>273231.24431521853</v>
      </c>
      <c r="AI45" s="125">
        <f>O45*'Economais e Ligações Água'!D45</f>
        <v>247966.38991745532</v>
      </c>
      <c r="AJ45" s="125">
        <f>R45*'Economais e Ligações Água'!G45</f>
        <v>22005.522690780515</v>
      </c>
      <c r="AK45" s="125">
        <f>U45*'Economais e Ligações Água'!J45</f>
        <v>11053.729371491723</v>
      </c>
      <c r="AL45" s="125">
        <f>X45*'Economais e Ligações Água'!M45</f>
        <v>7144.3379837962402</v>
      </c>
      <c r="AM45" s="125">
        <f>AA45*'Economais e Ligações Água'!P45</f>
        <v>2138.3252614007788</v>
      </c>
      <c r="AN45" s="125">
        <f t="shared" si="1"/>
        <v>290308.30522492458</v>
      </c>
      <c r="AO45" s="121">
        <f>AP45/(1-'Perdas e Vazões de Água'!D45)</f>
        <v>11.555991272319273</v>
      </c>
      <c r="AP45" s="121">
        <f>SUM(AI45:AM45)/'Economais e Ligações Água'!S45</f>
        <v>9.8225340390812743</v>
      </c>
      <c r="AQ45" s="121">
        <f>AP45-('Perdas e Vazões de Água'!E45*AO45)</f>
        <v>9.2447344754653109</v>
      </c>
      <c r="AR45" s="121">
        <f>AS45/(1-'Perdas e Vazões de Água'!D45)</f>
        <v>15.317317822494932</v>
      </c>
      <c r="AS45" s="121">
        <f>SUM(AI45:AM45)/'Economais e Ligações Água'!T45</f>
        <v>13.019642551935453</v>
      </c>
      <c r="AT45" s="121">
        <f>AR45*(1-'Perdas e Vazões de Água'!F45)</f>
        <v>12.253776660810706</v>
      </c>
      <c r="AU45" s="121">
        <f>AO45*'Economais e Ligações Água'!S45*12</f>
        <v>4098494.6183294398</v>
      </c>
      <c r="AV45" s="121">
        <f>AP45*'Economais e Ligações Água'!S45*12</f>
        <v>3483699.662699095</v>
      </c>
      <c r="AW45" s="121">
        <f>AQ45*'Economais e Ligações Água'!S45*12</f>
        <v>3278774.9317826228</v>
      </c>
    </row>
    <row r="46" spans="2:49" x14ac:dyDescent="0.15">
      <c r="B46" s="147">
        <f>População!B46</f>
        <v>34</v>
      </c>
      <c r="C46" s="109">
        <f>População!C46</f>
        <v>2060</v>
      </c>
      <c r="D46" s="121">
        <f>(E46/(1-'Perdas e Vazões de Água'!D46))</f>
        <v>169.69558788044952</v>
      </c>
      <c r="E46" s="121">
        <f t="shared" ref="E46:E47" si="3">E45</f>
        <v>144.24039002437652</v>
      </c>
      <c r="F46" s="121">
        <f>E46-(D46*'Perdas e Vazões de Água'!E46)</f>
        <v>135.75561063035406</v>
      </c>
      <c r="G46" s="121">
        <f>ROUND(AU46/12/30.4375/'Atendimento '!H46*1000,2)</f>
        <v>198.68</v>
      </c>
      <c r="H46" s="121">
        <f>ROUND(AV46/12/30.4375/'Atendimento '!H46*1000,2)</f>
        <v>168.88</v>
      </c>
      <c r="I46" s="146">
        <f>ROUND(AW46/12/30.4375/'Atendimento '!H46*1000,2)</f>
        <v>158.94</v>
      </c>
      <c r="K46" s="40"/>
      <c r="L46" s="109">
        <f>População!B46</f>
        <v>34</v>
      </c>
      <c r="M46" s="109">
        <f>População!C46</f>
        <v>2060</v>
      </c>
      <c r="N46" s="121">
        <f>D46*30.4375*Imóveis!J46/1000</f>
        <v>10.588119047640474</v>
      </c>
      <c r="O46" s="121">
        <f>N46*(1-'Perdas e Vazões de Água'!D46)</f>
        <v>8.999847551323068</v>
      </c>
      <c r="P46" s="124">
        <f>N46*(1-'Perdas e Vazões de Água'!$F46)</f>
        <v>8.4704415989410435</v>
      </c>
      <c r="Q46" s="124">
        <f>$U$3/(1-'Perdas e Vazões de Água'!D46)*30.4375/1000</f>
        <v>16.17052125060895</v>
      </c>
      <c r="R46" s="124">
        <f>Q46*(1-'Perdas e Vazões de Água'!D46)</f>
        <v>13.744861143523121</v>
      </c>
      <c r="S46" s="124">
        <f>Q46*(1-'Perdas e Vazões de Água'!$F46)</f>
        <v>12.936335080992674</v>
      </c>
      <c r="T46" s="124">
        <f>$V$3/(1-'Perdas e Vazões de Água'!D46)*30.4375/1000</f>
        <v>80.773074547438412</v>
      </c>
      <c r="U46" s="124">
        <f>T46*(1-'Perdas e Vazões de Água'!D46)</f>
        <v>68.656704170756043</v>
      </c>
      <c r="V46" s="124">
        <f>T46*(1-'Perdas e Vazões de Água'!$F46)</f>
        <v>64.618050443384121</v>
      </c>
      <c r="W46" s="124">
        <f>$W$3/(1-'Perdas e Vazões de Água'!D46)*30.4375/1000</f>
        <v>68.894701679017103</v>
      </c>
      <c r="X46" s="124">
        <f>W46*(1-'Perdas e Vazões de Água'!D46)</f>
        <v>58.560147408165903</v>
      </c>
      <c r="Y46" s="124">
        <f>W46*(1-'Perdas e Vazões de Água'!$F46)</f>
        <v>55.115412324215043</v>
      </c>
      <c r="Z46" s="124">
        <f>$X$3/(1-'Perdas e Vazões de Água'!D46)*30.4375/1000</f>
        <v>11.593049638592179</v>
      </c>
      <c r="AA46" s="124">
        <f>Z46*(1-'Perdas e Vazões de Água'!D46)</f>
        <v>9.8540334626763997</v>
      </c>
      <c r="AB46" s="124">
        <f>Z46*(1-'Perdas e Vazões de Água'!$F46)</f>
        <v>9.2743809807467894</v>
      </c>
      <c r="AC46" s="125">
        <f>P46*'Economais e Ligações Água'!D46</f>
        <v>233936.65607955374</v>
      </c>
      <c r="AD46" s="125">
        <f>S46*'Economais e Ligações Água'!G46</f>
        <v>20749.881469912249</v>
      </c>
      <c r="AE46" s="125">
        <f>V46*'Economais e Ligações Água'!J46</f>
        <v>10403.506121384844</v>
      </c>
      <c r="AF46" s="125">
        <f>Y46*'Economais e Ligações Água'!M46</f>
        <v>6779.1957158784508</v>
      </c>
      <c r="AG46" s="125">
        <f>AB46*'Economais e Ligações Água'!P46</f>
        <v>2021.8150538028001</v>
      </c>
      <c r="AH46" s="125">
        <f t="shared" ref="AH46:AH47" si="4">SUM(AC46:AG46)</f>
        <v>273891.05444053205</v>
      </c>
      <c r="AI46" s="125">
        <f>O46*'Economais e Ligações Água'!D46</f>
        <v>248557.7896724405</v>
      </c>
      <c r="AJ46" s="125">
        <f>R46*'Economais e Ligações Água'!G46</f>
        <v>22046.757274211086</v>
      </c>
      <c r="AK46" s="125">
        <f>U46*'Economais e Ligações Água'!J46</f>
        <v>11053.729371491723</v>
      </c>
      <c r="AL46" s="125">
        <f>X46*'Economais e Ligações Água'!M46</f>
        <v>7202.8981312044061</v>
      </c>
      <c r="AM46" s="125">
        <f>AA46*'Economais e Ligações Água'!P46</f>
        <v>2148.1792948634552</v>
      </c>
      <c r="AN46" s="125">
        <f t="shared" ref="AN46:AN47" si="5">AI46+AJ46+AK46+AL46+AM46</f>
        <v>291009.3537442112</v>
      </c>
      <c r="AO46" s="121">
        <f>AP46/(1-'Perdas e Vazões de Água'!D46)</f>
        <v>11.518166669142147</v>
      </c>
      <c r="AP46" s="121">
        <f>SUM(AI46:AM46)/'Economais e Ligações Água'!S46</f>
        <v>9.7903833179993001</v>
      </c>
      <c r="AQ46" s="121">
        <f>AP46-('Perdas e Vazões de Água'!E46*AO46)</f>
        <v>9.2144749845421927</v>
      </c>
      <c r="AR46" s="121">
        <f>AS46/(1-'Perdas e Vazões de Água'!D46)</f>
        <v>15.341992947100719</v>
      </c>
      <c r="AS46" s="121">
        <f>SUM(AI46:AM46)/'Economais e Ligações Água'!T46</f>
        <v>13.040616282846749</v>
      </c>
      <c r="AT46" s="121">
        <f>AR46*(1-'Perdas e Vazões de Água'!F46)</f>
        <v>12.273516635491713</v>
      </c>
      <c r="AU46" s="121">
        <f>AO46*'Economais e Ligações Água'!S46*12</f>
        <v>4108391.8328829738</v>
      </c>
      <c r="AV46" s="121">
        <f>AP46*'Economais e Ligações Água'!S46*12</f>
        <v>3492112.2449305346</v>
      </c>
      <c r="AW46" s="121">
        <f>AQ46*'Economais e Ligações Água'!S46*12</f>
        <v>3286692.6532863853</v>
      </c>
    </row>
    <row r="47" spans="2:49" s="153" customFormat="1" ht="12.75" thickBot="1" x14ac:dyDescent="0.2">
      <c r="B47" s="148">
        <f>População!B47</f>
        <v>35</v>
      </c>
      <c r="C47" s="149">
        <f>População!C47</f>
        <v>2061</v>
      </c>
      <c r="D47" s="150">
        <f>(E47/(1-'Perdas e Vazões de Água'!D47))</f>
        <v>169.69558788044952</v>
      </c>
      <c r="E47" s="150">
        <f t="shared" si="3"/>
        <v>144.24039002437652</v>
      </c>
      <c r="F47" s="150">
        <f>E47-(D47*'Perdas e Vazões de Água'!E47)</f>
        <v>135.75561063035406</v>
      </c>
      <c r="G47" s="150">
        <f>ROUND(AU47/12/30.4375/'Atendimento '!H47*1000,2)</f>
        <v>198.67</v>
      </c>
      <c r="H47" s="150">
        <f>ROUND(AV47/12/30.4375/'Atendimento '!H47*1000,2)</f>
        <v>168.87</v>
      </c>
      <c r="I47" s="151">
        <f>ROUND(AW47/12/30.4375/'Atendimento '!H47*1000,2)</f>
        <v>158.94</v>
      </c>
      <c r="K47" s="39"/>
      <c r="L47" s="101">
        <f>População!B47</f>
        <v>35</v>
      </c>
      <c r="M47" s="101">
        <f>População!C47</f>
        <v>2061</v>
      </c>
      <c r="N47" s="120">
        <f>D47*30.4375*Imóveis!J47/1000</f>
        <v>10.487015284187818</v>
      </c>
      <c r="O47" s="120">
        <f>N47*(1-'Perdas e Vazões de Água'!D47)</f>
        <v>8.9139098645776862</v>
      </c>
      <c r="P47" s="122">
        <f>N47*(1-'Perdas e Vazões de Água'!$F47)</f>
        <v>8.3895591003682952</v>
      </c>
      <c r="Q47" s="122">
        <f>$U$3/(1-'Perdas e Vazões de Água'!D47)*30.4375/1000</f>
        <v>16.17052125060895</v>
      </c>
      <c r="R47" s="122">
        <f>Q47*(1-'Perdas e Vazões de Água'!D47)</f>
        <v>13.744861143523121</v>
      </c>
      <c r="S47" s="122">
        <f>Q47*(1-'Perdas e Vazões de Água'!$F47)</f>
        <v>12.936335080992674</v>
      </c>
      <c r="T47" s="122">
        <f>$V$3/(1-'Perdas e Vazões de Água'!D47)*30.4375/1000</f>
        <v>80.773074547438412</v>
      </c>
      <c r="U47" s="122">
        <f>T47*(1-'Perdas e Vazões de Água'!D47)</f>
        <v>68.656704170756043</v>
      </c>
      <c r="V47" s="122">
        <f>T47*(1-'Perdas e Vazões de Água'!$F47)</f>
        <v>64.618050443384121</v>
      </c>
      <c r="W47" s="122">
        <f>$W$3/(1-'Perdas e Vazões de Água'!D47)*30.4375/1000</f>
        <v>68.894701679017103</v>
      </c>
      <c r="X47" s="122">
        <f>W47*(1-'Perdas e Vazões de Água'!D47)</f>
        <v>58.560147408165903</v>
      </c>
      <c r="Y47" s="122">
        <f>W47*(1-'Perdas e Vazões de Água'!$F47)</f>
        <v>55.115412324215043</v>
      </c>
      <c r="Z47" s="122">
        <f>$X$3/(1-'Perdas e Vazões de Água'!D47)*30.4375/1000</f>
        <v>11.593049638592179</v>
      </c>
      <c r="AA47" s="122">
        <f>Z47*(1-'Perdas e Vazões de Água'!D47)</f>
        <v>9.8540334626763997</v>
      </c>
      <c r="AB47" s="122">
        <f>Z47*(1-'Perdas e Vazões de Água'!$F47)</f>
        <v>9.2743809807467894</v>
      </c>
      <c r="AC47" s="123">
        <f>P47*'Economais e Ligações Água'!D47</f>
        <v>233388.30887558521</v>
      </c>
      <c r="AD47" s="123">
        <f>S47*'Economais e Ligações Água'!G47</f>
        <v>20711.072464669269</v>
      </c>
      <c r="AE47" s="123">
        <f>V47*'Economais e Ligações Água'!J47</f>
        <v>10403.506121384844</v>
      </c>
      <c r="AF47" s="123">
        <f>Y47*'Economais e Ligações Água'!M47</f>
        <v>6724.0803035542349</v>
      </c>
      <c r="AG47" s="123">
        <f>AB47*'Economais e Ligações Água'!P47</f>
        <v>2012.5406728220532</v>
      </c>
      <c r="AH47" s="123">
        <f t="shared" si="4"/>
        <v>273239.50843801559</v>
      </c>
      <c r="AI47" s="123">
        <f>O47*'Economais e Ligações Água'!D47</f>
        <v>247975.17055119795</v>
      </c>
      <c r="AJ47" s="123">
        <f>R47*'Economais e Ligações Água'!G47</f>
        <v>22005.522690780515</v>
      </c>
      <c r="AK47" s="123">
        <f>U47*'Economais e Ligações Água'!J47</f>
        <v>11053.729371491723</v>
      </c>
      <c r="AL47" s="123">
        <f>X47*'Economais e Ligações Água'!M47</f>
        <v>7144.3379837962402</v>
      </c>
      <c r="AM47" s="123">
        <f>AA47*'Economais e Ligações Água'!P47</f>
        <v>2138.3252614007788</v>
      </c>
      <c r="AN47" s="123">
        <f t="shared" si="5"/>
        <v>290317.08585866721</v>
      </c>
      <c r="AO47" s="120">
        <f>AP47/(1-'Perdas e Vazões de Água'!D47)</f>
        <v>11.415530935393443</v>
      </c>
      <c r="AP47" s="120">
        <f>SUM(AI47:AM47)/'Economais e Ligações Água'!S47</f>
        <v>9.7031434642632046</v>
      </c>
      <c r="AQ47" s="120">
        <f>AP47-('Perdas e Vazões de Água'!E47*AO47)</f>
        <v>9.1323669174935329</v>
      </c>
      <c r="AR47" s="120">
        <f>AS47/(1-'Perdas e Vazões de Água'!D47)</f>
        <v>15.230083761524272</v>
      </c>
      <c r="AS47" s="120">
        <f>SUM(AI47:AM47)/'Economais e Ligações Água'!T47</f>
        <v>12.945494042036168</v>
      </c>
      <c r="AT47" s="120">
        <f>AR47*(1-'Perdas e Vazões de Água'!F47)</f>
        <v>12.183989853959954</v>
      </c>
      <c r="AU47" s="120">
        <f>AO47*'Economais e Ligações Água'!S47*12</f>
        <v>4098618.580956385</v>
      </c>
      <c r="AV47" s="120">
        <f>AP47*'Economais e Ligações Água'!S47*12</f>
        <v>3483805.0303040063</v>
      </c>
      <c r="AW47" s="120">
        <f>AQ47*'Economais e Ligações Água'!S47*12</f>
        <v>3278874.101256188</v>
      </c>
    </row>
  </sheetData>
  <mergeCells count="4">
    <mergeCell ref="B6:C7"/>
    <mergeCell ref="L6:M7"/>
    <mergeCell ref="L5:AW5"/>
    <mergeCell ref="B5:I5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76CDF-8809-468D-9945-4EF2B1190614}">
  <dimension ref="B1:AH47"/>
  <sheetViews>
    <sheetView showGridLines="0" topLeftCell="A30" workbookViewId="0">
      <selection activeCell="W21" sqref="W21"/>
    </sheetView>
  </sheetViews>
  <sheetFormatPr defaultRowHeight="12" x14ac:dyDescent="0.15"/>
  <cols>
    <col min="24" max="24" width="9" customWidth="1"/>
  </cols>
  <sheetData>
    <row r="1" spans="2:34" x14ac:dyDescent="0.15">
      <c r="B1" s="40"/>
      <c r="C1" s="40"/>
      <c r="D1" s="241" t="s">
        <v>16</v>
      </c>
      <c r="E1" s="241"/>
      <c r="F1" s="241"/>
      <c r="G1" s="40"/>
      <c r="H1" s="40"/>
      <c r="I1" s="40"/>
      <c r="J1" s="241" t="s">
        <v>10</v>
      </c>
      <c r="K1" s="241"/>
      <c r="L1" s="241"/>
      <c r="M1" s="241"/>
      <c r="N1" s="126"/>
      <c r="O1" s="40"/>
      <c r="R1" s="241" t="s">
        <v>11</v>
      </c>
      <c r="S1" s="241"/>
      <c r="T1" s="241"/>
      <c r="U1" s="241"/>
      <c r="V1" s="241"/>
      <c r="W1" s="241"/>
    </row>
    <row r="2" spans="2:34" ht="36" x14ac:dyDescent="0.2">
      <c r="B2" s="40"/>
      <c r="C2" s="40"/>
      <c r="D2" s="126" t="s">
        <v>22</v>
      </c>
      <c r="E2" s="126" t="s">
        <v>23</v>
      </c>
      <c r="F2" s="126" t="s">
        <v>47</v>
      </c>
      <c r="G2" s="40"/>
      <c r="H2" s="40"/>
      <c r="I2" s="40"/>
      <c r="J2" s="126" t="s">
        <v>8</v>
      </c>
      <c r="K2" s="126" t="s">
        <v>6</v>
      </c>
      <c r="L2" s="126" t="s">
        <v>7</v>
      </c>
      <c r="M2" s="126" t="s">
        <v>9</v>
      </c>
      <c r="N2" s="126" t="s">
        <v>190</v>
      </c>
      <c r="O2" s="40"/>
      <c r="P2" s="36"/>
      <c r="Q2" s="36"/>
      <c r="R2" s="126" t="s">
        <v>12</v>
      </c>
      <c r="S2" s="126" t="s">
        <v>13</v>
      </c>
      <c r="T2" s="126" t="s">
        <v>14</v>
      </c>
      <c r="U2" s="126" t="s">
        <v>15</v>
      </c>
      <c r="V2" s="126" t="s">
        <v>21</v>
      </c>
      <c r="W2" s="130" t="s">
        <v>92</v>
      </c>
      <c r="AD2" s="130" t="s">
        <v>280</v>
      </c>
      <c r="AE2" s="130" t="s">
        <v>287</v>
      </c>
      <c r="AF2" s="130" t="s">
        <v>282</v>
      </c>
    </row>
    <row r="3" spans="2:34" ht="12.75" x14ac:dyDescent="0.2">
      <c r="B3" s="40"/>
      <c r="C3" s="40"/>
      <c r="D3" s="157">
        <v>8.5316184536629494E-2</v>
      </c>
      <c r="E3" s="154">
        <v>2.00780729802136E-2</v>
      </c>
      <c r="F3" s="154">
        <v>0</v>
      </c>
      <c r="G3" s="40"/>
      <c r="H3" s="40"/>
      <c r="I3" s="40"/>
      <c r="J3" s="139">
        <f>J8/O8</f>
        <v>0.85421962384616312</v>
      </c>
      <c r="K3" s="139">
        <f>K8/O8</f>
        <v>7.5795530359136956E-2</v>
      </c>
      <c r="L3" s="139">
        <f>L8/O8</f>
        <v>3.8013767877712039E-2</v>
      </c>
      <c r="M3" s="139">
        <f>M8/O8</f>
        <v>2.4579118119035567E-2</v>
      </c>
      <c r="N3" s="139">
        <f>N8/O8</f>
        <v>7.3919597979523795E-3</v>
      </c>
      <c r="O3" s="40"/>
      <c r="P3" s="36"/>
      <c r="Q3" s="36"/>
      <c r="R3" s="154">
        <v>1.2</v>
      </c>
      <c r="S3" s="154">
        <v>1.5</v>
      </c>
      <c r="T3" s="154">
        <v>0.5</v>
      </c>
      <c r="U3" s="154">
        <v>0.8</v>
      </c>
      <c r="V3" s="154">
        <v>18</v>
      </c>
      <c r="W3" s="139">
        <v>0.04</v>
      </c>
      <c r="AD3" s="155">
        <v>0.2</v>
      </c>
      <c r="AE3" s="154">
        <v>7.5368372319707536E-5</v>
      </c>
      <c r="AF3" s="154">
        <v>1.6305350815077001E-5</v>
      </c>
    </row>
    <row r="4" spans="2:34" ht="13.5" thickBot="1" x14ac:dyDescent="0.25">
      <c r="B4" s="40"/>
      <c r="C4" s="40"/>
      <c r="G4" s="40"/>
      <c r="H4" s="40"/>
      <c r="I4" s="40"/>
      <c r="J4" s="40"/>
      <c r="K4" s="40"/>
      <c r="L4" s="40"/>
      <c r="M4" s="40"/>
      <c r="N4" s="40"/>
      <c r="O4" s="40"/>
      <c r="P4" s="36"/>
      <c r="Q4" s="36"/>
      <c r="R4" s="40"/>
      <c r="S4" s="40"/>
    </row>
    <row r="5" spans="2:34" ht="19.5" thickBot="1" x14ac:dyDescent="0.2">
      <c r="B5" s="226" t="s">
        <v>218</v>
      </c>
      <c r="C5" s="227"/>
      <c r="D5" s="227"/>
      <c r="E5" s="227"/>
      <c r="F5" s="228"/>
      <c r="G5" s="103"/>
      <c r="H5" s="226" t="s">
        <v>96</v>
      </c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8"/>
      <c r="AA5" s="226" t="s">
        <v>295</v>
      </c>
      <c r="AB5" s="227"/>
      <c r="AC5" s="227"/>
      <c r="AD5" s="227"/>
      <c r="AE5" s="227"/>
      <c r="AF5" s="228"/>
    </row>
    <row r="6" spans="2:34" ht="60" x14ac:dyDescent="0.15">
      <c r="B6" s="242" t="str">
        <f>População!B6</f>
        <v>ANO</v>
      </c>
      <c r="C6" s="230"/>
      <c r="D6" s="138" t="s">
        <v>43</v>
      </c>
      <c r="E6" s="138" t="s">
        <v>44</v>
      </c>
      <c r="F6" s="176" t="s">
        <v>5</v>
      </c>
      <c r="G6" s="40"/>
      <c r="H6" s="242" t="str">
        <f>População!B6</f>
        <v>ANO</v>
      </c>
      <c r="I6" s="230"/>
      <c r="J6" s="138" t="s">
        <v>298</v>
      </c>
      <c r="K6" s="138" t="s">
        <v>299</v>
      </c>
      <c r="L6" s="138" t="s">
        <v>300</v>
      </c>
      <c r="M6" s="138" t="s">
        <v>301</v>
      </c>
      <c r="N6" s="138" t="s">
        <v>302</v>
      </c>
      <c r="O6" s="138" t="s">
        <v>303</v>
      </c>
      <c r="P6" s="138" t="s">
        <v>304</v>
      </c>
      <c r="Q6" s="138" t="s">
        <v>305</v>
      </c>
      <c r="R6" s="138" t="s">
        <v>306</v>
      </c>
      <c r="S6" s="138" t="s">
        <v>307</v>
      </c>
      <c r="T6" s="138" t="s">
        <v>308</v>
      </c>
      <c r="U6" s="138" t="s">
        <v>309</v>
      </c>
      <c r="V6" s="138" t="s">
        <v>310</v>
      </c>
      <c r="W6" s="138" t="s">
        <v>292</v>
      </c>
      <c r="X6" s="138" t="s">
        <v>294</v>
      </c>
      <c r="Y6" s="185" t="s">
        <v>293</v>
      </c>
      <c r="AA6" s="87" t="s">
        <v>288</v>
      </c>
      <c r="AB6" s="87" t="s">
        <v>297</v>
      </c>
      <c r="AC6" s="87" t="s">
        <v>289</v>
      </c>
      <c r="AD6" s="87" t="s">
        <v>296</v>
      </c>
      <c r="AE6" s="87" t="s">
        <v>290</v>
      </c>
      <c r="AF6" s="87" t="s">
        <v>291</v>
      </c>
    </row>
    <row r="7" spans="2:34" x14ac:dyDescent="0.15">
      <c r="B7" s="243"/>
      <c r="C7" s="220"/>
      <c r="D7" s="101" t="s">
        <v>2</v>
      </c>
      <c r="E7" s="101" t="s">
        <v>2</v>
      </c>
      <c r="F7" s="186" t="s">
        <v>2</v>
      </c>
      <c r="G7" s="40"/>
      <c r="H7" s="243"/>
      <c r="I7" s="220"/>
      <c r="J7" s="110" t="s">
        <v>19</v>
      </c>
      <c r="K7" s="110" t="s">
        <v>19</v>
      </c>
      <c r="L7" s="110" t="s">
        <v>19</v>
      </c>
      <c r="M7" s="110" t="s">
        <v>19</v>
      </c>
      <c r="N7" s="110" t="s">
        <v>19</v>
      </c>
      <c r="O7" s="110" t="s">
        <v>19</v>
      </c>
      <c r="P7" s="110" t="s">
        <v>19</v>
      </c>
      <c r="Q7" s="110" t="s">
        <v>19</v>
      </c>
      <c r="R7" s="110" t="s">
        <v>19</v>
      </c>
      <c r="S7" s="110" t="s">
        <v>19</v>
      </c>
      <c r="T7" s="110" t="s">
        <v>19</v>
      </c>
      <c r="U7" s="110" t="s">
        <v>19</v>
      </c>
      <c r="V7" s="110" t="s">
        <v>19</v>
      </c>
      <c r="W7" s="110" t="s">
        <v>113</v>
      </c>
      <c r="X7" s="110" t="s">
        <v>113</v>
      </c>
      <c r="Y7" s="143" t="s">
        <v>113</v>
      </c>
      <c r="AA7" s="110" t="s">
        <v>2</v>
      </c>
      <c r="AB7" s="110" t="s">
        <v>113</v>
      </c>
      <c r="AC7" s="110" t="s">
        <v>2</v>
      </c>
      <c r="AD7" s="110" t="s">
        <v>113</v>
      </c>
      <c r="AE7" s="110" t="s">
        <v>279</v>
      </c>
      <c r="AF7" s="110" t="s">
        <v>279</v>
      </c>
    </row>
    <row r="8" spans="2:34" s="153" customFormat="1" x14ac:dyDescent="0.15">
      <c r="B8" s="144" t="str">
        <f>População!B8</f>
        <v>CENSO</v>
      </c>
      <c r="C8" s="101">
        <f>População!C8</f>
        <v>2022</v>
      </c>
      <c r="D8" s="110">
        <v>0.38</v>
      </c>
      <c r="E8" s="110">
        <v>8.6699999999999999E-2</v>
      </c>
      <c r="F8" s="143">
        <f>D8+E8</f>
        <v>0.4667</v>
      </c>
      <c r="G8" s="39"/>
      <c r="H8" s="144" t="str">
        <f>População!B8</f>
        <v>CENSO</v>
      </c>
      <c r="I8" s="101">
        <f>População!C8</f>
        <v>2022</v>
      </c>
      <c r="J8" s="120">
        <f>'Cota per capita e por economia '!AI8/30.4375/86.4</f>
        <v>70.127373790288971</v>
      </c>
      <c r="K8" s="120">
        <f>'Cota per capita e por economia '!AJ8/30.4375/86.4</f>
        <v>6.2224530328580174</v>
      </c>
      <c r="L8" s="120">
        <f>'Cota per capita e por economia '!AK8/30.4375/86.4</f>
        <v>3.1207497869630751</v>
      </c>
      <c r="M8" s="120">
        <f>'Cota per capita e por economia '!AL8/30.4375/86.4</f>
        <v>2.0178288529691844</v>
      </c>
      <c r="N8" s="120">
        <f>'Cota per capita e por economia '!AM8/30.4375/86.4</f>
        <v>0.60684478946968157</v>
      </c>
      <c r="O8" s="120">
        <f t="shared" ref="O8:O45" si="0">J8+K8+L8+M8+N8</f>
        <v>82.095250252548922</v>
      </c>
      <c r="P8" s="120">
        <f t="shared" ref="P8:P47" si="1">Q8-O8</f>
        <v>50.316443703175153</v>
      </c>
      <c r="Q8" s="120">
        <f t="shared" ref="Q8:Q45" si="2">O8/(1-D8)</f>
        <v>132.41169395572408</v>
      </c>
      <c r="R8" s="120">
        <f t="shared" ref="R8:R47" si="3">((O8)*$R$3)*((1+$W$3)*24/$V$3)+(Q8-O8)</f>
        <v>186.92294012341654</v>
      </c>
      <c r="S8" s="120">
        <f t="shared" ref="S8:S47" si="4">O8*$R$3+(Q8-O8)</f>
        <v>148.83074400623386</v>
      </c>
      <c r="T8" s="120">
        <f t="shared" ref="T8:T47" si="5">(O8)*$S$3+(Q8-O8)</f>
        <v>173.45931908199856</v>
      </c>
      <c r="U8" s="120">
        <f t="shared" ref="U8:U47" si="6">(Q8)*$T$3</f>
        <v>66.205846977862038</v>
      </c>
      <c r="V8" s="120">
        <f t="shared" ref="V8:V47" si="7">O8*$R$3*$S$3+(Q8-O8)</f>
        <v>198.08789415776323</v>
      </c>
      <c r="W8" s="102">
        <f t="shared" ref="W8:W47" si="8">(O8)*86.4*365.25</f>
        <v>2590729.0693698381</v>
      </c>
      <c r="X8" s="102">
        <f t="shared" ref="X8:X45" si="9">(Q8)*86.4*365.25</f>
        <v>4178595.2731771581</v>
      </c>
      <c r="Y8" s="177">
        <f>(R8)*$V$3/24*86.4*365.25</f>
        <v>4424129.5314290477</v>
      </c>
      <c r="Z8"/>
      <c r="AA8" s="181">
        <v>0</v>
      </c>
      <c r="AB8" s="102">
        <f>Y8*AA8</f>
        <v>0</v>
      </c>
      <c r="AC8" s="181">
        <f>1-AA8</f>
        <v>1</v>
      </c>
      <c r="AD8" s="102">
        <f>Y8-AB8</f>
        <v>4424129.5314290477</v>
      </c>
      <c r="AE8" s="102">
        <f>($AE$3*AD8/(1-$AD$3))</f>
        <v>416.7993021441971</v>
      </c>
      <c r="AF8" s="102">
        <f>$AF$3*AD8</f>
        <v>72.13698406129285</v>
      </c>
      <c r="AG8" s="183"/>
    </row>
    <row r="9" spans="2:34" x14ac:dyDescent="0.15">
      <c r="B9" s="147">
        <f>População!B9</f>
        <v>-2</v>
      </c>
      <c r="C9" s="109">
        <f>População!C9</f>
        <v>2023</v>
      </c>
      <c r="D9" s="112">
        <f t="shared" ref="D9:D45" si="10">F9-E9</f>
        <v>0.38</v>
      </c>
      <c r="E9" s="112">
        <v>8.6699999999999999E-2</v>
      </c>
      <c r="F9" s="187">
        <f>F8</f>
        <v>0.4667</v>
      </c>
      <c r="G9" s="240"/>
      <c r="H9" s="147">
        <f>População!B9</f>
        <v>-2</v>
      </c>
      <c r="I9" s="109">
        <f>População!C9</f>
        <v>2023</v>
      </c>
      <c r="J9" s="121">
        <f>'Cota per capita e por economia '!AI9/30.4375/86.4</f>
        <v>71.153439719975324</v>
      </c>
      <c r="K9" s="121">
        <f>'Cota per capita e por economia '!AJ9/30.4375/86.4</f>
        <v>6.3131446560089861</v>
      </c>
      <c r="L9" s="121">
        <f>'Cota per capita e por economia '!AK9/30.4375/86.4</f>
        <v>3.17108446094635</v>
      </c>
      <c r="M9" s="121">
        <f>'Cota per capita e por economia '!AL9/30.4375/86.4</f>
        <v>2.0607613817557628</v>
      </c>
      <c r="N9" s="121">
        <f>'Cota per capita e por economia '!AM9/30.4375/86.4</f>
        <v>0.61406913220146342</v>
      </c>
      <c r="O9" s="121">
        <f t="shared" si="0"/>
        <v>83.31249935088789</v>
      </c>
      <c r="P9" s="121">
        <f t="shared" si="1"/>
        <v>51.062499602157089</v>
      </c>
      <c r="Q9" s="121">
        <f t="shared" si="2"/>
        <v>134.37499895304498</v>
      </c>
      <c r="R9" s="121">
        <f t="shared" si="3"/>
        <v>189.69449852203454</v>
      </c>
      <c r="S9" s="121">
        <f t="shared" si="4"/>
        <v>151.03749882322256</v>
      </c>
      <c r="T9" s="121">
        <f t="shared" si="5"/>
        <v>176.03124862848892</v>
      </c>
      <c r="U9" s="121">
        <f t="shared" si="6"/>
        <v>67.18749947652249</v>
      </c>
      <c r="V9" s="121">
        <f t="shared" si="7"/>
        <v>201.02499843375529</v>
      </c>
      <c r="W9" s="111">
        <f t="shared" si="8"/>
        <v>2629142.5295155798</v>
      </c>
      <c r="X9" s="111">
        <f t="shared" si="9"/>
        <v>4240552.4669606127</v>
      </c>
      <c r="Y9" s="178">
        <f t="shared" ref="Y9:Y47" si="11">(R9)*$V$3/24*86.4*365.25</f>
        <v>4489727.3299192181</v>
      </c>
      <c r="AA9" s="181">
        <v>0</v>
      </c>
      <c r="AB9" s="111">
        <f t="shared" ref="AB9:AB47" si="12">V9*AA9</f>
        <v>0</v>
      </c>
      <c r="AC9" s="181">
        <f t="shared" ref="AC9:AC45" si="13">1-AA9</f>
        <v>1</v>
      </c>
      <c r="AD9" s="102">
        <f t="shared" ref="AD9:AD47" si="14">Y9-AB9</f>
        <v>4489727.3299192181</v>
      </c>
      <c r="AE9" s="102">
        <f t="shared" ref="AE9:AE47" si="15">($AE$3*AD9/(1-$AD$3))</f>
        <v>422.97930126914747</v>
      </c>
      <c r="AF9" s="102">
        <f t="shared" ref="AF9:AF47" si="16">$AF$3*AD9</f>
        <v>73.206579178371811</v>
      </c>
      <c r="AG9" s="182"/>
    </row>
    <row r="10" spans="2:34" x14ac:dyDescent="0.15">
      <c r="B10" s="147">
        <f>População!B10</f>
        <v>-1</v>
      </c>
      <c r="C10" s="109">
        <f>População!C10</f>
        <v>2024</v>
      </c>
      <c r="D10" s="112">
        <f t="shared" si="10"/>
        <v>0.38</v>
      </c>
      <c r="E10" s="112">
        <v>8.6699999999999999E-2</v>
      </c>
      <c r="F10" s="187">
        <f>F9</f>
        <v>0.4667</v>
      </c>
      <c r="G10" s="240"/>
      <c r="H10" s="147">
        <f>População!B10</f>
        <v>-1</v>
      </c>
      <c r="I10" s="109">
        <f>População!C10</f>
        <v>2024</v>
      </c>
      <c r="J10" s="121">
        <f>'Cota per capita e por economia '!AI10/30.4375/86.4</f>
        <v>72.149030451508708</v>
      </c>
      <c r="K10" s="121">
        <f>'Cota per capita e por economia '!AJ10/30.4375/86.4</f>
        <v>6.4038362791599512</v>
      </c>
      <c r="L10" s="121">
        <f>'Cota per capita e por economia '!AK10/30.4375/86.4</f>
        <v>3.2214191349296253</v>
      </c>
      <c r="M10" s="121">
        <f>'Cota per capita e por economia '!AL10/30.4375/86.4</f>
        <v>2.0822276461490521</v>
      </c>
      <c r="N10" s="121">
        <f>'Cota per capita e por economia '!AM10/30.4375/86.4</f>
        <v>0.62490564629913625</v>
      </c>
      <c r="O10" s="121">
        <f t="shared" si="0"/>
        <v>84.481419158046464</v>
      </c>
      <c r="P10" s="121">
        <f t="shared" si="1"/>
        <v>51.778934322673649</v>
      </c>
      <c r="Q10" s="121">
        <f t="shared" si="2"/>
        <v>136.26035348072011</v>
      </c>
      <c r="R10" s="121">
        <f t="shared" si="3"/>
        <v>192.35601580166298</v>
      </c>
      <c r="S10" s="121">
        <f t="shared" si="4"/>
        <v>153.15663731232939</v>
      </c>
      <c r="T10" s="121">
        <f t="shared" si="5"/>
        <v>178.50106305974333</v>
      </c>
      <c r="U10" s="121">
        <f t="shared" si="6"/>
        <v>68.130176740360056</v>
      </c>
      <c r="V10" s="121">
        <f t="shared" si="7"/>
        <v>203.8454888071573</v>
      </c>
      <c r="W10" s="111">
        <f t="shared" si="8"/>
        <v>2666030.8332219673</v>
      </c>
      <c r="X10" s="111">
        <f t="shared" si="9"/>
        <v>4300049.7310031727</v>
      </c>
      <c r="Y10" s="178">
        <f t="shared" si="11"/>
        <v>4552720.6531969206</v>
      </c>
      <c r="AA10" s="181">
        <v>0</v>
      </c>
      <c r="AB10" s="102">
        <f t="shared" si="12"/>
        <v>0</v>
      </c>
      <c r="AC10" s="181">
        <f t="shared" si="13"/>
        <v>1</v>
      </c>
      <c r="AD10" s="102">
        <f t="shared" si="14"/>
        <v>4552720.6531969206</v>
      </c>
      <c r="AE10" s="102">
        <f t="shared" si="15"/>
        <v>428.91393157220949</v>
      </c>
      <c r="AF10" s="102">
        <f t="shared" si="16"/>
        <v>74.233707413422309</v>
      </c>
      <c r="AG10" s="182"/>
      <c r="AH10" s="182"/>
    </row>
    <row r="11" spans="2:34" s="153" customFormat="1" x14ac:dyDescent="0.15">
      <c r="B11" s="144" t="str">
        <f>População!B11</f>
        <v>Base</v>
      </c>
      <c r="C11" s="101">
        <f>População!C11</f>
        <v>2025</v>
      </c>
      <c r="D11" s="110">
        <f t="shared" si="10"/>
        <v>0.38</v>
      </c>
      <c r="E11" s="110">
        <v>8.6699999999999999E-2</v>
      </c>
      <c r="F11" s="143">
        <f t="shared" ref="F11:F12" si="17">F10</f>
        <v>0.4667</v>
      </c>
      <c r="G11" s="39"/>
      <c r="H11" s="144" t="str">
        <f>População!B11</f>
        <v>Base</v>
      </c>
      <c r="I11" s="101">
        <f>População!C11</f>
        <v>2025</v>
      </c>
      <c r="J11" s="120">
        <f>'Cota per capita e por economia '!AI11/30.4375/86.4</f>
        <v>73.114098542543857</v>
      </c>
      <c r="K11" s="120">
        <f>'Cota per capita e por economia '!AJ11/30.4375/86.4</f>
        <v>6.4894894788025326</v>
      </c>
      <c r="L11" s="120">
        <f>'Cota per capita e por economia '!AK11/30.4375/86.4</f>
        <v>3.2465864719212627</v>
      </c>
      <c r="M11" s="120">
        <f>'Cota per capita e por economia '!AL11/30.4375/86.4</f>
        <v>2.1036939105423413</v>
      </c>
      <c r="N11" s="120">
        <f>'Cota per capita e por economia '!AM11/30.4375/86.4</f>
        <v>0.6321299890309181</v>
      </c>
      <c r="O11" s="120">
        <f t="shared" si="0"/>
        <v>85.585998392840906</v>
      </c>
      <c r="P11" s="120">
        <f t="shared" si="1"/>
        <v>52.455934498837962</v>
      </c>
      <c r="Q11" s="120">
        <f t="shared" si="2"/>
        <v>138.04193289167887</v>
      </c>
      <c r="R11" s="120">
        <f t="shared" si="3"/>
        <v>194.87103582452525</v>
      </c>
      <c r="S11" s="120">
        <f t="shared" si="4"/>
        <v>155.15913257024704</v>
      </c>
      <c r="T11" s="120">
        <f t="shared" si="5"/>
        <v>180.83493208809932</v>
      </c>
      <c r="U11" s="120">
        <f t="shared" si="6"/>
        <v>69.020966445839434</v>
      </c>
      <c r="V11" s="120">
        <f t="shared" si="7"/>
        <v>206.51073160595161</v>
      </c>
      <c r="W11" s="102">
        <f t="shared" si="8"/>
        <v>2700888.7028819164</v>
      </c>
      <c r="X11" s="102">
        <f t="shared" si="9"/>
        <v>4356272.1014224458</v>
      </c>
      <c r="Y11" s="177">
        <f t="shared" si="11"/>
        <v>4612246.6501020286</v>
      </c>
      <c r="Z11"/>
      <c r="AA11" s="181">
        <v>0</v>
      </c>
      <c r="AB11" s="102">
        <f t="shared" si="12"/>
        <v>0</v>
      </c>
      <c r="AC11" s="181">
        <f t="shared" si="13"/>
        <v>1</v>
      </c>
      <c r="AD11" s="102">
        <f t="shared" si="14"/>
        <v>4612246.6501020286</v>
      </c>
      <c r="AE11" s="102">
        <f t="shared" si="15"/>
        <v>434.52190344401691</v>
      </c>
      <c r="AF11" s="102">
        <f t="shared" si="16"/>
        <v>75.204299675577275</v>
      </c>
      <c r="AG11" s="183"/>
    </row>
    <row r="12" spans="2:34" x14ac:dyDescent="0.15">
      <c r="B12" s="147">
        <f>População!B12</f>
        <v>0</v>
      </c>
      <c r="C12" s="109">
        <f>População!C12</f>
        <v>2026</v>
      </c>
      <c r="D12" s="112">
        <f t="shared" si="10"/>
        <v>0.38300000000000001</v>
      </c>
      <c r="E12" s="112">
        <f>($E$15-$E$8)/7+E11</f>
        <v>8.3699999999999997E-2</v>
      </c>
      <c r="F12" s="187">
        <f t="shared" si="17"/>
        <v>0.4667</v>
      </c>
      <c r="G12" s="40"/>
      <c r="H12" s="147">
        <f>População!B12</f>
        <v>0</v>
      </c>
      <c r="I12" s="109">
        <f>População!C12</f>
        <v>2026</v>
      </c>
      <c r="J12" s="121">
        <f>'Cota per capita e por economia '!AI12/30.4375/86.4</f>
        <v>74.048681447254921</v>
      </c>
      <c r="K12" s="121">
        <f>'Cota per capita e por economia '!AJ12/30.4375/86.4</f>
        <v>6.5701042549367248</v>
      </c>
      <c r="L12" s="121">
        <f>'Cota per capita e por economia '!AK12/30.4375/86.4</f>
        <v>3.2969211459045384</v>
      </c>
      <c r="M12" s="121">
        <f>'Cota per capita e por economia '!AL12/30.4375/86.4</f>
        <v>2.1466264393289194</v>
      </c>
      <c r="N12" s="121">
        <f>'Cota per capita e por economia '!AM12/30.4375/86.4</f>
        <v>0.63935433176269985</v>
      </c>
      <c r="O12" s="121">
        <f t="shared" si="0"/>
        <v>86.701687619187808</v>
      </c>
      <c r="P12" s="121">
        <f t="shared" si="1"/>
        <v>53.81968615583294</v>
      </c>
      <c r="Q12" s="121">
        <f t="shared" si="2"/>
        <v>140.52137377502075</v>
      </c>
      <c r="R12" s="121">
        <f t="shared" si="3"/>
        <v>198.09129435416145</v>
      </c>
      <c r="S12" s="121">
        <f t="shared" si="4"/>
        <v>157.86171129885832</v>
      </c>
      <c r="T12" s="121">
        <f t="shared" si="5"/>
        <v>183.87221758461465</v>
      </c>
      <c r="U12" s="121">
        <f t="shared" si="6"/>
        <v>70.260686887510374</v>
      </c>
      <c r="V12" s="121">
        <f t="shared" si="7"/>
        <v>209.88272387037097</v>
      </c>
      <c r="W12" s="111">
        <f t="shared" si="8"/>
        <v>2736097.1772112814</v>
      </c>
      <c r="X12" s="111">
        <f t="shared" si="9"/>
        <v>4434517.3050425956</v>
      </c>
      <c r="Y12" s="178">
        <f t="shared" si="11"/>
        <v>4688464.3730331641</v>
      </c>
      <c r="AA12" s="181">
        <v>0</v>
      </c>
      <c r="AB12" s="111">
        <f t="shared" si="12"/>
        <v>0</v>
      </c>
      <c r="AC12" s="181">
        <f t="shared" si="13"/>
        <v>1</v>
      </c>
      <c r="AD12" s="102">
        <f t="shared" si="14"/>
        <v>4688464.3730331641</v>
      </c>
      <c r="AE12" s="102">
        <f t="shared" si="15"/>
        <v>441.70241059305954</v>
      </c>
      <c r="AF12" s="102">
        <f t="shared" si="16"/>
        <v>76.447056386295785</v>
      </c>
      <c r="AG12" s="182"/>
    </row>
    <row r="13" spans="2:34" s="153" customFormat="1" x14ac:dyDescent="0.15">
      <c r="B13" s="144">
        <f>População!B13</f>
        <v>1</v>
      </c>
      <c r="C13" s="101">
        <f>População!C13</f>
        <v>2027</v>
      </c>
      <c r="D13" s="110">
        <f t="shared" si="10"/>
        <v>0.34618293667675504</v>
      </c>
      <c r="E13" s="110">
        <f t="shared" ref="E13:E14" si="18">($E$15-$E$8)/7+E12</f>
        <v>8.0699999999999994E-2</v>
      </c>
      <c r="F13" s="143">
        <f>F12*(1-$D$3)</f>
        <v>0.42688293667675503</v>
      </c>
      <c r="G13" s="39"/>
      <c r="H13" s="144">
        <f>População!B13</f>
        <v>1</v>
      </c>
      <c r="I13" s="101">
        <f>População!C13</f>
        <v>2027</v>
      </c>
      <c r="J13" s="120">
        <f>'Cota per capita e por economia '!AI13/30.4375/86.4</f>
        <v>74.952896936879753</v>
      </c>
      <c r="K13" s="120">
        <f>'Cota per capita e por economia '!AJ13/30.4375/86.4</f>
        <v>6.6507190310709161</v>
      </c>
      <c r="L13" s="120">
        <f>'Cota per capita e por economia '!AK13/30.4375/86.4</f>
        <v>3.3472558198878137</v>
      </c>
      <c r="M13" s="120">
        <f>'Cota per capita e por economia '!AL13/30.4375/86.4</f>
        <v>2.1680927037222082</v>
      </c>
      <c r="N13" s="120">
        <f>'Cota per capita e por economia '!AM13/30.4375/86.4</f>
        <v>0.64657867449448192</v>
      </c>
      <c r="O13" s="120">
        <f t="shared" si="0"/>
        <v>87.765543166055181</v>
      </c>
      <c r="P13" s="120">
        <f t="shared" si="1"/>
        <v>46.470083417254386</v>
      </c>
      <c r="Q13" s="120">
        <f t="shared" si="2"/>
        <v>134.23562658330957</v>
      </c>
      <c r="R13" s="120">
        <f t="shared" si="3"/>
        <v>192.51194724557021</v>
      </c>
      <c r="S13" s="120">
        <f t="shared" si="4"/>
        <v>151.78873521652059</v>
      </c>
      <c r="T13" s="120">
        <f t="shared" si="5"/>
        <v>178.11839816633716</v>
      </c>
      <c r="U13" s="120">
        <f t="shared" si="6"/>
        <v>67.117813291654784</v>
      </c>
      <c r="V13" s="120">
        <f t="shared" si="7"/>
        <v>204.44806111615372</v>
      </c>
      <c r="W13" s="102">
        <f t="shared" si="8"/>
        <v>2769669.9050171031</v>
      </c>
      <c r="X13" s="102">
        <f t="shared" si="9"/>
        <v>4236154.2094654506</v>
      </c>
      <c r="Y13" s="177">
        <f t="shared" si="11"/>
        <v>4556411.2697976055</v>
      </c>
      <c r="AA13" s="181">
        <v>0</v>
      </c>
      <c r="AB13" s="102">
        <f t="shared" si="12"/>
        <v>0</v>
      </c>
      <c r="AC13" s="181">
        <f t="shared" si="13"/>
        <v>1</v>
      </c>
      <c r="AD13" s="102">
        <f t="shared" si="14"/>
        <v>4556411.2697976055</v>
      </c>
      <c r="AE13" s="102">
        <f t="shared" si="15"/>
        <v>429.26162627977163</v>
      </c>
      <c r="AF13" s="102">
        <f t="shared" si="16"/>
        <v>74.293884211820426</v>
      </c>
      <c r="AG13" s="183"/>
    </row>
    <row r="14" spans="2:34" x14ac:dyDescent="0.15">
      <c r="B14" s="147">
        <f>População!B14</f>
        <v>2</v>
      </c>
      <c r="C14" s="109">
        <f>População!C14</f>
        <v>2028</v>
      </c>
      <c r="D14" s="112">
        <f t="shared" si="10"/>
        <v>0.31276291327570271</v>
      </c>
      <c r="E14" s="112">
        <f t="shared" si="18"/>
        <v>7.7699999999999991E-2</v>
      </c>
      <c r="F14" s="187">
        <f t="shared" ref="F14:F19" si="19">F13*(1-$D$3)</f>
        <v>0.39046291327570271</v>
      </c>
      <c r="G14" s="156"/>
      <c r="H14" s="147">
        <f>População!B14</f>
        <v>2</v>
      </c>
      <c r="I14" s="109">
        <f>População!C14</f>
        <v>2028</v>
      </c>
      <c r="J14" s="121">
        <f>'Cota per capita e por economia '!AI14/30.4375/86.4</f>
        <v>78.186697681155366</v>
      </c>
      <c r="K14" s="121">
        <f>'Cota per capita e por economia '!AJ14/30.4375/86.4</f>
        <v>6.935619928832514</v>
      </c>
      <c r="L14" s="121">
        <f>'Cota per capita e por economia '!AK14/30.4375/86.4</f>
        <v>3.4773740849981061</v>
      </c>
      <c r="M14" s="121">
        <f>'Cota per capita e por economia '!AL14/30.4375/86.4</f>
        <v>2.2576987700278055</v>
      </c>
      <c r="N14" s="121">
        <f>'Cota per capita e por economia '!AM14/30.4375/86.4</f>
        <v>0.67414958415239246</v>
      </c>
      <c r="O14" s="121">
        <f t="shared" si="0"/>
        <v>91.531540049166168</v>
      </c>
      <c r="P14" s="121">
        <f t="shared" si="1"/>
        <v>41.656179032540464</v>
      </c>
      <c r="Q14" s="121">
        <f t="shared" si="2"/>
        <v>133.18771908170663</v>
      </c>
      <c r="R14" s="121">
        <f t="shared" si="3"/>
        <v>193.96466167435295</v>
      </c>
      <c r="S14" s="121">
        <f t="shared" si="4"/>
        <v>151.49402709153986</v>
      </c>
      <c r="T14" s="121">
        <f t="shared" si="5"/>
        <v>178.95348910628974</v>
      </c>
      <c r="U14" s="121">
        <f t="shared" si="6"/>
        <v>66.593859540853316</v>
      </c>
      <c r="V14" s="121">
        <f t="shared" si="7"/>
        <v>206.41295112103955</v>
      </c>
      <c r="W14" s="111">
        <f t="shared" si="8"/>
        <v>2888515.7282555667</v>
      </c>
      <c r="X14" s="111">
        <f t="shared" si="9"/>
        <v>4203084.7636928651</v>
      </c>
      <c r="Y14" s="178">
        <f t="shared" si="11"/>
        <v>4590794.4054409219</v>
      </c>
      <c r="AA14" s="181">
        <v>0</v>
      </c>
      <c r="AB14" s="111">
        <f t="shared" si="12"/>
        <v>0</v>
      </c>
      <c r="AC14" s="181">
        <f t="shared" si="13"/>
        <v>1</v>
      </c>
      <c r="AD14" s="102">
        <f t="shared" si="14"/>
        <v>4590794.4054409219</v>
      </c>
      <c r="AE14" s="102">
        <f t="shared" si="15"/>
        <v>432.5008774906272</v>
      </c>
      <c r="AF14" s="102">
        <f t="shared" si="16"/>
        <v>74.854513300607067</v>
      </c>
      <c r="AG14" s="182"/>
    </row>
    <row r="15" spans="2:34" x14ac:dyDescent="0.15">
      <c r="B15" s="147">
        <f>População!B15</f>
        <v>3</v>
      </c>
      <c r="C15" s="109">
        <f>População!C15</f>
        <v>2029</v>
      </c>
      <c r="D15" s="112">
        <f t="shared" si="10"/>
        <v>0.29145010731196291</v>
      </c>
      <c r="E15" s="112">
        <v>6.5699999999999995E-2</v>
      </c>
      <c r="F15" s="187">
        <f t="shared" si="19"/>
        <v>0.35715010731196289</v>
      </c>
      <c r="G15" s="156"/>
      <c r="H15" s="147">
        <f>População!B15</f>
        <v>3</v>
      </c>
      <c r="I15" s="109">
        <f>População!C15</f>
        <v>2029</v>
      </c>
      <c r="J15" s="121">
        <f>'Cota per capita e por economia '!AI15/30.4375/86.4</f>
        <v>79.53430359008766</v>
      </c>
      <c r="K15" s="121">
        <f>'Cota per capita e por economia '!AJ15/30.4375/86.4</f>
        <v>7.0558835439030405</v>
      </c>
      <c r="L15" s="121">
        <f>'Cota per capita e por economia '!AK15/30.4375/86.4</f>
        <v>3.5505786627206715</v>
      </c>
      <c r="M15" s="121">
        <f>'Cota per capita e por economia '!AL15/30.4375/86.4</f>
        <v>2.2935946395319369</v>
      </c>
      <c r="N15" s="121">
        <f>'Cota per capita e por economia '!AM15/30.4375/86.4</f>
        <v>0.68571302900212217</v>
      </c>
      <c r="O15" s="121">
        <f t="shared" si="0"/>
        <v>93.120073465245412</v>
      </c>
      <c r="P15" s="121">
        <f t="shared" si="1"/>
        <v>38.303379457701595</v>
      </c>
      <c r="Q15" s="121">
        <f t="shared" si="2"/>
        <v>131.42345292294701</v>
      </c>
      <c r="R15" s="121">
        <f t="shared" si="3"/>
        <v>193.25518170386997</v>
      </c>
      <c r="S15" s="121">
        <f t="shared" si="4"/>
        <v>150.04746761599608</v>
      </c>
      <c r="T15" s="121">
        <f t="shared" si="5"/>
        <v>177.98348965556971</v>
      </c>
      <c r="U15" s="121">
        <f t="shared" si="6"/>
        <v>65.711726461473503</v>
      </c>
      <c r="V15" s="121">
        <f t="shared" si="7"/>
        <v>205.91951169514331</v>
      </c>
      <c r="W15" s="111">
        <f t="shared" si="8"/>
        <v>2938646.0303868288</v>
      </c>
      <c r="X15" s="111">
        <f t="shared" si="9"/>
        <v>4147408.7579611926</v>
      </c>
      <c r="Y15" s="178">
        <f t="shared" si="11"/>
        <v>4574002.2916035354</v>
      </c>
      <c r="AA15" s="181">
        <v>0</v>
      </c>
      <c r="AB15" s="102">
        <f t="shared" si="12"/>
        <v>0</v>
      </c>
      <c r="AC15" s="181">
        <f t="shared" si="13"/>
        <v>1</v>
      </c>
      <c r="AD15" s="102">
        <f t="shared" si="14"/>
        <v>4574002.2916035354</v>
      </c>
      <c r="AE15" s="102">
        <f t="shared" si="15"/>
        <v>430.91888463096336</v>
      </c>
      <c r="AF15" s="102">
        <f t="shared" si="16"/>
        <v>74.580711993561778</v>
      </c>
      <c r="AG15" s="182"/>
    </row>
    <row r="16" spans="2:34" x14ac:dyDescent="0.15">
      <c r="B16" s="147">
        <f>População!B16</f>
        <v>4</v>
      </c>
      <c r="C16" s="109">
        <f>População!C16</f>
        <v>2030</v>
      </c>
      <c r="D16" s="112">
        <f t="shared" si="10"/>
        <v>0.26617942284925844</v>
      </c>
      <c r="E16" s="112">
        <v>6.0499999999999998E-2</v>
      </c>
      <c r="F16" s="187">
        <f t="shared" si="19"/>
        <v>0.32667942284925844</v>
      </c>
      <c r="G16" s="156"/>
      <c r="H16" s="147">
        <f>População!B16</f>
        <v>4</v>
      </c>
      <c r="I16" s="109">
        <f>População!C16</f>
        <v>2030</v>
      </c>
      <c r="J16" s="121">
        <f>'Cota per capita e por economia '!AI16/30.4375/86.4</f>
        <v>80.379270459412012</v>
      </c>
      <c r="K16" s="121">
        <f>'Cota per capita e por economia '!AJ16/30.4375/86.4</f>
        <v>7.1342822499464065</v>
      </c>
      <c r="L16" s="121">
        <f>'Cota per capita e por economia '!AK16/30.4375/86.4</f>
        <v>3.5766858587700883</v>
      </c>
      <c r="M16" s="121">
        <f>'Cota per capita e por economia '!AL16/30.4375/86.4</f>
        <v>2.3158625486536057</v>
      </c>
      <c r="N16" s="121">
        <f>'Cota per capita e por economia '!AM16/30.4375/86.4</f>
        <v>0.69320716046662623</v>
      </c>
      <c r="O16" s="121">
        <f t="shared" si="0"/>
        <v>94.099308277248753</v>
      </c>
      <c r="P16" s="121">
        <f t="shared" si="1"/>
        <v>34.132729917448614</v>
      </c>
      <c r="Q16" s="121">
        <f t="shared" si="2"/>
        <v>128.23203819469737</v>
      </c>
      <c r="R16" s="121">
        <f t="shared" si="3"/>
        <v>190.71397889079054</v>
      </c>
      <c r="S16" s="121">
        <f t="shared" si="4"/>
        <v>147.05189985014709</v>
      </c>
      <c r="T16" s="121">
        <f t="shared" si="5"/>
        <v>175.28169233332176</v>
      </c>
      <c r="U16" s="121">
        <f t="shared" si="6"/>
        <v>64.116019097348683</v>
      </c>
      <c r="V16" s="121">
        <f t="shared" si="7"/>
        <v>203.51148481649636</v>
      </c>
      <c r="W16" s="111">
        <f t="shared" si="8"/>
        <v>2969548.3308901056</v>
      </c>
      <c r="X16" s="111">
        <f t="shared" si="9"/>
        <v>4046695.3685329822</v>
      </c>
      <c r="Y16" s="178">
        <f t="shared" si="11"/>
        <v>4513856.5951830084</v>
      </c>
      <c r="AA16" s="181">
        <v>0</v>
      </c>
      <c r="AB16" s="111">
        <f t="shared" si="12"/>
        <v>0</v>
      </c>
      <c r="AC16" s="181">
        <f t="shared" si="13"/>
        <v>1</v>
      </c>
      <c r="AD16" s="102">
        <f t="shared" si="14"/>
        <v>4513856.5951830084</v>
      </c>
      <c r="AE16" s="102">
        <f t="shared" si="15"/>
        <v>425.2525305794004</v>
      </c>
      <c r="AF16" s="102">
        <f t="shared" si="16"/>
        <v>73.600015313407965</v>
      </c>
      <c r="AG16" s="182"/>
    </row>
    <row r="17" spans="2:33" s="153" customFormat="1" x14ac:dyDescent="0.15">
      <c r="B17" s="144">
        <f>População!B17</f>
        <v>5</v>
      </c>
      <c r="C17" s="101">
        <f>População!C17</f>
        <v>2031</v>
      </c>
      <c r="D17" s="110">
        <f t="shared" si="10"/>
        <v>0.24360838092513151</v>
      </c>
      <c r="E17" s="110">
        <v>5.5199999999999999E-2</v>
      </c>
      <c r="F17" s="143">
        <f t="shared" si="19"/>
        <v>0.29880838092513151</v>
      </c>
      <c r="G17" s="184"/>
      <c r="H17" s="144">
        <f>População!B17</f>
        <v>5</v>
      </c>
      <c r="I17" s="101">
        <f>População!C17</f>
        <v>2031</v>
      </c>
      <c r="J17" s="120">
        <f>'Cota per capita e por economia '!AI17/30.4375/86.4</f>
        <v>81.193952585033188</v>
      </c>
      <c r="K17" s="120">
        <f>'Cota per capita e por economia '!AJ17/30.4375/86.4</f>
        <v>7.2022277951839913</v>
      </c>
      <c r="L17" s="120">
        <f>'Cota per capita e por economia '!AK17/30.4375/86.4</f>
        <v>3.6289002508689219</v>
      </c>
      <c r="M17" s="120">
        <f>'Cota per capita e por economia '!AL17/30.4375/86.4</f>
        <v>2.3381304577752746</v>
      </c>
      <c r="N17" s="120">
        <f>'Cota per capita e por economia '!AM17/30.4375/86.4</f>
        <v>0.70070129193113029</v>
      </c>
      <c r="O17" s="120">
        <f t="shared" si="0"/>
        <v>95.063912380792502</v>
      </c>
      <c r="P17" s="120">
        <f t="shared" si="1"/>
        <v>30.616898965403763</v>
      </c>
      <c r="Q17" s="120">
        <f t="shared" si="2"/>
        <v>125.68081134619626</v>
      </c>
      <c r="R17" s="120">
        <f t="shared" si="3"/>
        <v>188.80324916704245</v>
      </c>
      <c r="S17" s="120">
        <f t="shared" si="4"/>
        <v>144.69359382235476</v>
      </c>
      <c r="T17" s="120">
        <f t="shared" si="5"/>
        <v>173.21276753659254</v>
      </c>
      <c r="U17" s="120">
        <f t="shared" si="6"/>
        <v>62.840405673098132</v>
      </c>
      <c r="V17" s="120">
        <f t="shared" si="7"/>
        <v>201.73194125083023</v>
      </c>
      <c r="W17" s="102">
        <f t="shared" si="8"/>
        <v>2999988.9213480977</v>
      </c>
      <c r="X17" s="102">
        <f t="shared" si="9"/>
        <v>3966184.7721387232</v>
      </c>
      <c r="Y17" s="177">
        <f t="shared" si="11"/>
        <v>4468633.0619353941</v>
      </c>
      <c r="AA17" s="181">
        <v>0</v>
      </c>
      <c r="AB17" s="102">
        <f t="shared" si="12"/>
        <v>0</v>
      </c>
      <c r="AC17" s="181">
        <f t="shared" si="13"/>
        <v>1</v>
      </c>
      <c r="AD17" s="102">
        <f t="shared" si="14"/>
        <v>4468633.0619353941</v>
      </c>
      <c r="AE17" s="102">
        <f t="shared" si="15"/>
        <v>420.99200046512681</v>
      </c>
      <c r="AF17" s="102">
        <f t="shared" si="16"/>
        <v>72.862629738708307</v>
      </c>
      <c r="AG17" s="183"/>
    </row>
    <row r="18" spans="2:33" x14ac:dyDescent="0.15">
      <c r="B18" s="147">
        <f>População!B18</f>
        <v>6</v>
      </c>
      <c r="C18" s="109">
        <f>População!C18</f>
        <v>2032</v>
      </c>
      <c r="D18" s="112">
        <f t="shared" si="10"/>
        <v>0.22331518995703153</v>
      </c>
      <c r="E18" s="112">
        <v>0.05</v>
      </c>
      <c r="F18" s="187">
        <f t="shared" si="19"/>
        <v>0.27331518995703152</v>
      </c>
      <c r="G18" s="156"/>
      <c r="H18" s="147">
        <f>População!B18</f>
        <v>6</v>
      </c>
      <c r="I18" s="109">
        <f>População!C18</f>
        <v>2032</v>
      </c>
      <c r="J18" s="121">
        <f>'Cota per capita e por economia '!AI18/30.4375/86.4</f>
        <v>81.978808466507019</v>
      </c>
      <c r="K18" s="121">
        <f>'Cota per capita e por economia '!AJ18/30.4375/86.4</f>
        <v>7.2753999208244657</v>
      </c>
      <c r="L18" s="121">
        <f>'Cota per capita e por economia '!AK18/30.4375/86.4</f>
        <v>3.6550074469183382</v>
      </c>
      <c r="M18" s="121">
        <f>'Cota per capita e por economia '!AL18/30.4375/86.4</f>
        <v>2.3603983668969444</v>
      </c>
      <c r="N18" s="121">
        <f>'Cota per capita e por economia '!AM18/30.4375/86.4</f>
        <v>0.70819542339563446</v>
      </c>
      <c r="O18" s="121">
        <f t="shared" si="0"/>
        <v>95.977809624542402</v>
      </c>
      <c r="P18" s="121">
        <f t="shared" si="1"/>
        <v>27.595882539248777</v>
      </c>
      <c r="Q18" s="121">
        <f t="shared" si="2"/>
        <v>123.57369216379118</v>
      </c>
      <c r="R18" s="121">
        <f t="shared" si="3"/>
        <v>187.30295775448732</v>
      </c>
      <c r="S18" s="121">
        <f t="shared" si="4"/>
        <v>142.76925408869965</v>
      </c>
      <c r="T18" s="121">
        <f t="shared" si="5"/>
        <v>171.56259697606239</v>
      </c>
      <c r="U18" s="121">
        <f t="shared" si="6"/>
        <v>61.78684608189559</v>
      </c>
      <c r="V18" s="121">
        <f t="shared" si="7"/>
        <v>200.35593986342511</v>
      </c>
      <c r="W18" s="111">
        <f t="shared" si="8"/>
        <v>3028829.3250074596</v>
      </c>
      <c r="X18" s="111">
        <f t="shared" si="9"/>
        <v>3899689.1478280569</v>
      </c>
      <c r="Y18" s="178">
        <f t="shared" si="11"/>
        <v>4433123.8647247562</v>
      </c>
      <c r="AA18" s="181">
        <v>0</v>
      </c>
      <c r="AB18" s="111">
        <f t="shared" si="12"/>
        <v>0</v>
      </c>
      <c r="AC18" s="181">
        <f t="shared" si="13"/>
        <v>1</v>
      </c>
      <c r="AD18" s="102">
        <f t="shared" si="14"/>
        <v>4433123.8647247562</v>
      </c>
      <c r="AE18" s="102">
        <f t="shared" si="15"/>
        <v>417.64666246994528</v>
      </c>
      <c r="AF18" s="102">
        <f t="shared" si="16"/>
        <v>72.283639821027108</v>
      </c>
      <c r="AG18" s="182"/>
    </row>
    <row r="19" spans="2:33" x14ac:dyDescent="0.15">
      <c r="B19" s="147">
        <f>População!B19</f>
        <v>7</v>
      </c>
      <c r="C19" s="109">
        <f>População!C19</f>
        <v>2033</v>
      </c>
      <c r="D19" s="112">
        <f t="shared" si="10"/>
        <v>0.19999698077399347</v>
      </c>
      <c r="E19" s="112">
        <f t="shared" ref="E19:E45" si="20">E18</f>
        <v>0.05</v>
      </c>
      <c r="F19" s="187">
        <f t="shared" si="19"/>
        <v>0.24999698077399349</v>
      </c>
      <c r="G19" s="156"/>
      <c r="H19" s="147">
        <f>População!B19</f>
        <v>7</v>
      </c>
      <c r="I19" s="109">
        <f>População!C19</f>
        <v>2033</v>
      </c>
      <c r="J19" s="121">
        <f>'Cota per capita e por economia '!AI19/30.4375/86.4</f>
        <v>82.734347084259781</v>
      </c>
      <c r="K19" s="121">
        <f>'Cota per capita e por economia '!AJ19/30.4375/86.4</f>
        <v>7.3433454660620532</v>
      </c>
      <c r="L19" s="121">
        <f>'Cota per capita e por economia '!AK19/30.4375/86.4</f>
        <v>3.6811146429677546</v>
      </c>
      <c r="M19" s="121">
        <f>'Cota per capita e por economia '!AL19/30.4375/86.4</f>
        <v>2.3826662760186141</v>
      </c>
      <c r="N19" s="121">
        <f>'Cota per capita e por economia '!AM19/30.4375/86.4</f>
        <v>0.71568955486013841</v>
      </c>
      <c r="O19" s="121">
        <f t="shared" si="0"/>
        <v>96.857163024168329</v>
      </c>
      <c r="P19" s="121">
        <f t="shared" si="1"/>
        <v>24.213833830164148</v>
      </c>
      <c r="Q19" s="121">
        <f t="shared" si="2"/>
        <v>121.07099685433248</v>
      </c>
      <c r="R19" s="121">
        <f t="shared" si="3"/>
        <v>185.38415310238025</v>
      </c>
      <c r="S19" s="121">
        <f t="shared" si="4"/>
        <v>140.44242945916614</v>
      </c>
      <c r="T19" s="121">
        <f t="shared" si="5"/>
        <v>169.49957836641664</v>
      </c>
      <c r="U19" s="121">
        <f t="shared" si="6"/>
        <v>60.535498427166239</v>
      </c>
      <c r="V19" s="121">
        <f t="shared" si="7"/>
        <v>198.55672727366715</v>
      </c>
      <c r="W19" s="111">
        <f t="shared" si="8"/>
        <v>3056579.6078514946</v>
      </c>
      <c r="X19" s="111">
        <f t="shared" si="9"/>
        <v>3820710.0903302832</v>
      </c>
      <c r="Y19" s="178">
        <f t="shared" si="11"/>
        <v>4387709.2124577565</v>
      </c>
      <c r="AA19" s="181">
        <v>0</v>
      </c>
      <c r="AB19" s="111">
        <f t="shared" si="12"/>
        <v>0</v>
      </c>
      <c r="AC19" s="181">
        <f t="shared" si="13"/>
        <v>1</v>
      </c>
      <c r="AD19" s="102">
        <f t="shared" si="14"/>
        <v>4387709.2124577565</v>
      </c>
      <c r="AE19" s="102">
        <f t="shared" si="15"/>
        <v>413.36812694390863</v>
      </c>
      <c r="AF19" s="102">
        <f t="shared" si="16"/>
        <v>71.543137983668942</v>
      </c>
      <c r="AG19" s="182"/>
    </row>
    <row r="20" spans="2:33" x14ac:dyDescent="0.15">
      <c r="B20" s="147">
        <f>População!B20</f>
        <v>8</v>
      </c>
      <c r="C20" s="109">
        <f>População!C20</f>
        <v>2034</v>
      </c>
      <c r="D20" s="112">
        <f t="shared" si="10"/>
        <v>0.19497752314918021</v>
      </c>
      <c r="E20" s="112">
        <f t="shared" si="20"/>
        <v>0.05</v>
      </c>
      <c r="F20" s="187">
        <f t="shared" ref="F20:F30" si="21">F19*(1-$E$3)</f>
        <v>0.2449775231491802</v>
      </c>
      <c r="G20" s="40"/>
      <c r="H20" s="147">
        <f>População!B20</f>
        <v>8</v>
      </c>
      <c r="I20" s="109">
        <f>População!C20</f>
        <v>2034</v>
      </c>
      <c r="J20" s="121">
        <f>'Cota per capita e por economia '!AI20/30.4375/86.4</f>
        <v>83.461122362262429</v>
      </c>
      <c r="K20" s="121">
        <f>'Cota per capita e por economia '!AJ20/30.4375/86.4</f>
        <v>7.4060644308967465</v>
      </c>
      <c r="L20" s="121">
        <f>'Cota per capita e por economia '!AK20/30.4375/86.4</f>
        <v>3.7072218390171714</v>
      </c>
      <c r="M20" s="121">
        <f>'Cota per capita e por economia '!AL20/30.4375/86.4</f>
        <v>2.4049341851402835</v>
      </c>
      <c r="N20" s="121">
        <f>'Cota per capita e por economia '!AM20/30.4375/86.4</f>
        <v>0.71943662059239044</v>
      </c>
      <c r="O20" s="121">
        <f t="shared" si="0"/>
        <v>97.69877943790901</v>
      </c>
      <c r="P20" s="121">
        <f t="shared" si="1"/>
        <v>23.662775360037017</v>
      </c>
      <c r="Q20" s="121">
        <f t="shared" si="2"/>
        <v>121.36155479794603</v>
      </c>
      <c r="R20" s="121">
        <f t="shared" si="3"/>
        <v>186.23354434471759</v>
      </c>
      <c r="S20" s="121">
        <f t="shared" si="4"/>
        <v>140.90131068552782</v>
      </c>
      <c r="T20" s="121">
        <f t="shared" si="5"/>
        <v>170.21094451690053</v>
      </c>
      <c r="U20" s="121">
        <f t="shared" si="6"/>
        <v>60.680777398973014</v>
      </c>
      <c r="V20" s="121">
        <f t="shared" si="7"/>
        <v>199.5205783482732</v>
      </c>
      <c r="W20" s="111">
        <f t="shared" si="8"/>
        <v>3083139.0019897576</v>
      </c>
      <c r="X20" s="111">
        <f t="shared" si="9"/>
        <v>3829879.4016916621</v>
      </c>
      <c r="Y20" s="178">
        <f t="shared" si="11"/>
        <v>4407812.7742596446</v>
      </c>
      <c r="AA20" s="181">
        <v>0</v>
      </c>
      <c r="AB20" s="102">
        <f t="shared" si="12"/>
        <v>0</v>
      </c>
      <c r="AC20" s="181">
        <f t="shared" si="13"/>
        <v>1</v>
      </c>
      <c r="AD20" s="102">
        <f t="shared" si="14"/>
        <v>4407812.7742596446</v>
      </c>
      <c r="AE20" s="102">
        <f t="shared" si="15"/>
        <v>415.26209285745483</v>
      </c>
      <c r="AF20" s="102">
        <f t="shared" si="16"/>
        <v>71.870933611481306</v>
      </c>
      <c r="AG20" s="182"/>
    </row>
    <row r="21" spans="2:33" x14ac:dyDescent="0.15">
      <c r="B21" s="147">
        <f>População!B21</f>
        <v>9</v>
      </c>
      <c r="C21" s="109">
        <f>População!C21</f>
        <v>2035</v>
      </c>
      <c r="D21" s="112">
        <f t="shared" si="10"/>
        <v>0.19005884656087901</v>
      </c>
      <c r="E21" s="112">
        <f t="shared" si="20"/>
        <v>0.05</v>
      </c>
      <c r="F21" s="187">
        <f t="shared" si="21"/>
        <v>0.240058846560879</v>
      </c>
      <c r="G21" s="40"/>
      <c r="H21" s="147">
        <f>População!B21</f>
        <v>9</v>
      </c>
      <c r="I21" s="109">
        <f>População!C21</f>
        <v>2035</v>
      </c>
      <c r="J21" s="121">
        <f>'Cota per capita e por economia '!AI21/30.4375/86.4</f>
        <v>84.159727760672254</v>
      </c>
      <c r="K21" s="121">
        <f>'Cota per capita e por economia '!AJ21/30.4375/86.4</f>
        <v>7.4687833957314389</v>
      </c>
      <c r="L21" s="121">
        <f>'Cota per capita e por economia '!AK21/30.4375/86.4</f>
        <v>3.7594362311160041</v>
      </c>
      <c r="M21" s="121">
        <f>'Cota per capita e por economia '!AL21/30.4375/86.4</f>
        <v>2.4272020942619523</v>
      </c>
      <c r="N21" s="121">
        <f>'Cota per capita e por economia '!AM21/30.4375/86.4</f>
        <v>0.72693075205689439</v>
      </c>
      <c r="O21" s="121">
        <f t="shared" si="0"/>
        <v>98.542080233838533</v>
      </c>
      <c r="P21" s="121">
        <f t="shared" si="1"/>
        <v>23.123647968038071</v>
      </c>
      <c r="Q21" s="121">
        <f t="shared" si="2"/>
        <v>121.6657282018766</v>
      </c>
      <c r="R21" s="121">
        <f t="shared" si="3"/>
        <v>187.09766947714536</v>
      </c>
      <c r="S21" s="121">
        <f t="shared" si="4"/>
        <v>141.37414424864431</v>
      </c>
      <c r="T21" s="121">
        <f t="shared" si="5"/>
        <v>170.93676831879588</v>
      </c>
      <c r="U21" s="121">
        <f t="shared" si="6"/>
        <v>60.832864100938302</v>
      </c>
      <c r="V21" s="121">
        <f t="shared" si="7"/>
        <v>200.4993923889474</v>
      </c>
      <c r="W21" s="111">
        <f t="shared" si="8"/>
        <v>3109751.5511873835</v>
      </c>
      <c r="X21" s="111">
        <f t="shared" si="9"/>
        <v>3839478.3843035419</v>
      </c>
      <c r="Y21" s="178">
        <f t="shared" si="11"/>
        <v>4428265.0607189722</v>
      </c>
      <c r="AA21" s="181">
        <v>0</v>
      </c>
      <c r="AB21" s="111">
        <f t="shared" si="12"/>
        <v>0</v>
      </c>
      <c r="AC21" s="181">
        <f t="shared" si="13"/>
        <v>1</v>
      </c>
      <c r="AD21" s="102">
        <f t="shared" si="14"/>
        <v>4428265.0607189722</v>
      </c>
      <c r="AE21" s="102">
        <f t="shared" si="15"/>
        <v>417.1889122832747</v>
      </c>
      <c r="AF21" s="102">
        <f t="shared" si="16"/>
        <v>72.204415317171097</v>
      </c>
      <c r="AG21" s="182"/>
    </row>
    <row r="22" spans="2:33" s="153" customFormat="1" x14ac:dyDescent="0.15">
      <c r="B22" s="144">
        <f>População!B22</f>
        <v>10</v>
      </c>
      <c r="C22" s="101">
        <f>População!C22</f>
        <v>2036</v>
      </c>
      <c r="D22" s="110">
        <f t="shared" si="10"/>
        <v>0.18523892752008375</v>
      </c>
      <c r="E22" s="110">
        <f t="shared" si="20"/>
        <v>0.05</v>
      </c>
      <c r="F22" s="143">
        <f t="shared" si="21"/>
        <v>0.23523892752008377</v>
      </c>
      <c r="G22" s="39"/>
      <c r="H22" s="144">
        <f>População!B22</f>
        <v>10</v>
      </c>
      <c r="I22" s="101">
        <f>População!C22</f>
        <v>2036</v>
      </c>
      <c r="J22" s="120">
        <f>'Cota per capita e por economia '!AI22/30.4375/86.4</f>
        <v>84.830791038572116</v>
      </c>
      <c r="K22" s="120">
        <f>'Cota per capita e por economia '!AJ22/30.4375/86.4</f>
        <v>7.5262757801632416</v>
      </c>
      <c r="L22" s="120">
        <f>'Cota per capita e por economia '!AK22/30.4375/86.4</f>
        <v>3.7855434271654218</v>
      </c>
      <c r="M22" s="120">
        <f>'Cota per capita e por economia '!AL22/30.4375/86.4</f>
        <v>2.4494700033836212</v>
      </c>
      <c r="N22" s="120">
        <f>'Cota per capita e por economia '!AM22/30.4375/86.4</f>
        <v>0.73442488352139879</v>
      </c>
      <c r="O22" s="120">
        <f t="shared" si="0"/>
        <v>99.326505132805806</v>
      </c>
      <c r="P22" s="120">
        <f t="shared" si="1"/>
        <v>22.58224638680511</v>
      </c>
      <c r="Q22" s="120">
        <f t="shared" si="2"/>
        <v>121.90875151961092</v>
      </c>
      <c r="R22" s="120">
        <f t="shared" si="3"/>
        <v>187.86155092779396</v>
      </c>
      <c r="S22" s="120">
        <f t="shared" si="4"/>
        <v>141.77405254617207</v>
      </c>
      <c r="T22" s="120">
        <f t="shared" si="5"/>
        <v>171.57200408601383</v>
      </c>
      <c r="U22" s="120">
        <f t="shared" si="6"/>
        <v>60.954375759805458</v>
      </c>
      <c r="V22" s="120">
        <f t="shared" si="7"/>
        <v>201.36995562585557</v>
      </c>
      <c r="W22" s="102">
        <f t="shared" si="8"/>
        <v>3134506.1183790332</v>
      </c>
      <c r="X22" s="102">
        <f t="shared" si="9"/>
        <v>3847147.6169552733</v>
      </c>
      <c r="Y22" s="177">
        <f t="shared" si="11"/>
        <v>4446344.7596692136</v>
      </c>
      <c r="AA22" s="181">
        <v>0</v>
      </c>
      <c r="AB22" s="102">
        <f t="shared" si="12"/>
        <v>0</v>
      </c>
      <c r="AC22" s="181">
        <f t="shared" si="13"/>
        <v>1</v>
      </c>
      <c r="AD22" s="102">
        <f t="shared" si="14"/>
        <v>4446344.7596692136</v>
      </c>
      <c r="AE22" s="102">
        <f t="shared" si="15"/>
        <v>418.89220913566226</v>
      </c>
      <c r="AF22" s="102">
        <f t="shared" si="16"/>
        <v>72.499211151185762</v>
      </c>
      <c r="AG22" s="183"/>
    </row>
    <row r="23" spans="2:33" x14ac:dyDescent="0.15">
      <c r="B23" s="147">
        <f>População!B23</f>
        <v>11</v>
      </c>
      <c r="C23" s="109">
        <f>População!C23</f>
        <v>2037</v>
      </c>
      <c r="D23" s="112">
        <f t="shared" si="10"/>
        <v>0.18051578316554834</v>
      </c>
      <c r="E23" s="112">
        <f t="shared" si="20"/>
        <v>0.05</v>
      </c>
      <c r="F23" s="187">
        <f t="shared" si="21"/>
        <v>0.23051578316554835</v>
      </c>
      <c r="G23" s="40"/>
      <c r="H23" s="147">
        <f>População!B23</f>
        <v>11</v>
      </c>
      <c r="I23" s="109">
        <f>População!C23</f>
        <v>2037</v>
      </c>
      <c r="J23" s="121">
        <f>'Cota per capita e por economia '!AI23/30.4375/86.4</f>
        <v>85.47496922025033</v>
      </c>
      <c r="K23" s="121">
        <f>'Cota per capita e por economia '!AJ23/30.4375/86.4</f>
        <v>7.5837681645950452</v>
      </c>
      <c r="L23" s="121">
        <f>'Cota per capita e por economia '!AK23/30.4375/86.4</f>
        <v>3.8116506232148395</v>
      </c>
      <c r="M23" s="121">
        <f>'Cota per capita e por economia '!AL23/30.4375/86.4</f>
        <v>2.4717379125052918</v>
      </c>
      <c r="N23" s="121">
        <f>'Cota per capita e por economia '!AM23/30.4375/86.4</f>
        <v>0.73817194925365059</v>
      </c>
      <c r="O23" s="121">
        <f t="shared" si="0"/>
        <v>100.08029786981916</v>
      </c>
      <c r="P23" s="121">
        <f t="shared" si="1"/>
        <v>22.045663575069682</v>
      </c>
      <c r="Q23" s="121">
        <f t="shared" si="2"/>
        <v>122.12596144488884</v>
      </c>
      <c r="R23" s="121">
        <f t="shared" si="3"/>
        <v>188.57927923044878</v>
      </c>
      <c r="S23" s="121">
        <f t="shared" si="4"/>
        <v>142.14202101885269</v>
      </c>
      <c r="T23" s="121">
        <f t="shared" si="5"/>
        <v>172.16611037979843</v>
      </c>
      <c r="U23" s="121">
        <f t="shared" si="6"/>
        <v>61.062980722444422</v>
      </c>
      <c r="V23" s="121">
        <f t="shared" si="7"/>
        <v>202.19019974074416</v>
      </c>
      <c r="W23" s="111">
        <f t="shared" si="8"/>
        <v>3158294.0080566057</v>
      </c>
      <c r="X23" s="111">
        <f t="shared" si="9"/>
        <v>3854002.2408932243</v>
      </c>
      <c r="Y23" s="178">
        <f t="shared" si="11"/>
        <v>4463332.096682108</v>
      </c>
      <c r="AA23" s="181">
        <v>0</v>
      </c>
      <c r="AB23" s="111">
        <f t="shared" si="12"/>
        <v>0</v>
      </c>
      <c r="AC23" s="181">
        <f t="shared" si="13"/>
        <v>1</v>
      </c>
      <c r="AD23" s="102">
        <f t="shared" si="14"/>
        <v>4463332.096682108</v>
      </c>
      <c r="AE23" s="102">
        <f t="shared" si="15"/>
        <v>420.49259406154744</v>
      </c>
      <c r="AF23" s="102">
        <f t="shared" si="16"/>
        <v>72.776195640594949</v>
      </c>
      <c r="AG23" s="182"/>
    </row>
    <row r="24" spans="2:33" x14ac:dyDescent="0.15">
      <c r="B24" s="147">
        <f>População!B24</f>
        <v>12</v>
      </c>
      <c r="C24" s="109">
        <f>População!C24</f>
        <v>2038</v>
      </c>
      <c r="D24" s="112">
        <f t="shared" si="10"/>
        <v>0.17588747044805936</v>
      </c>
      <c r="E24" s="112">
        <f t="shared" si="20"/>
        <v>0.05</v>
      </c>
      <c r="F24" s="187">
        <f t="shared" si="21"/>
        <v>0.22588747044805937</v>
      </c>
      <c r="G24" s="40"/>
      <c r="H24" s="147">
        <f>População!B24</f>
        <v>12</v>
      </c>
      <c r="I24" s="109">
        <f>População!C24</f>
        <v>2038</v>
      </c>
      <c r="J24" s="121">
        <f>'Cota per capita e por economia '!AI24/30.4375/86.4</f>
        <v>86.09294379209922</v>
      </c>
      <c r="K24" s="121">
        <f>'Cota per capita e por economia '!AJ24/30.4375/86.4</f>
        <v>7.641260549026847</v>
      </c>
      <c r="L24" s="121">
        <f>'Cota per capita e por economia '!AK24/30.4375/86.4</f>
        <v>3.8377578192642554</v>
      </c>
      <c r="M24" s="121">
        <f>'Cota per capita e por economia '!AL24/30.4375/86.4</f>
        <v>2.4940058216269603</v>
      </c>
      <c r="N24" s="121">
        <f>'Cota per capita e por economia '!AM24/30.4375/86.4</f>
        <v>0.74566608071815454</v>
      </c>
      <c r="O24" s="121">
        <f t="shared" si="0"/>
        <v>100.81163406273544</v>
      </c>
      <c r="P24" s="121">
        <f t="shared" si="1"/>
        <v>21.515876377550455</v>
      </c>
      <c r="Q24" s="121">
        <f t="shared" si="2"/>
        <v>122.32751044028589</v>
      </c>
      <c r="R24" s="121">
        <f t="shared" si="3"/>
        <v>189.26643545794221</v>
      </c>
      <c r="S24" s="121">
        <f t="shared" si="4"/>
        <v>142.48983725283296</v>
      </c>
      <c r="T24" s="121">
        <f t="shared" si="5"/>
        <v>172.73332747165361</v>
      </c>
      <c r="U24" s="121">
        <f t="shared" si="6"/>
        <v>61.163755220142946</v>
      </c>
      <c r="V24" s="121">
        <f t="shared" si="7"/>
        <v>202.97681769047423</v>
      </c>
      <c r="W24" s="111">
        <f t="shared" si="8"/>
        <v>3181373.2230981798</v>
      </c>
      <c r="X24" s="111">
        <f t="shared" si="9"/>
        <v>3860362.643470366</v>
      </c>
      <c r="Y24" s="178">
        <f t="shared" si="11"/>
        <v>4479595.8477056678</v>
      </c>
      <c r="AA24" s="181">
        <v>0</v>
      </c>
      <c r="AB24" s="111">
        <f t="shared" si="12"/>
        <v>0</v>
      </c>
      <c r="AC24" s="181">
        <f t="shared" si="13"/>
        <v>1</v>
      </c>
      <c r="AD24" s="102">
        <f t="shared" si="14"/>
        <v>4479595.8477056678</v>
      </c>
      <c r="AE24" s="102">
        <f t="shared" si="15"/>
        <v>422.02480961462084</v>
      </c>
      <c r="AF24" s="102">
        <f t="shared" si="16"/>
        <v>73.041381806603155</v>
      </c>
      <c r="AG24" s="182"/>
    </row>
    <row r="25" spans="2:33" x14ac:dyDescent="0.15">
      <c r="B25" s="147">
        <f>População!B25</f>
        <v>13</v>
      </c>
      <c r="C25" s="109">
        <f>População!C25</f>
        <v>2039</v>
      </c>
      <c r="D25" s="112">
        <f t="shared" si="10"/>
        <v>0.17135208533108742</v>
      </c>
      <c r="E25" s="112">
        <f t="shared" si="20"/>
        <v>0.05</v>
      </c>
      <c r="F25" s="187">
        <f t="shared" si="21"/>
        <v>0.22135208533108741</v>
      </c>
      <c r="G25" s="40"/>
      <c r="H25" s="147">
        <f>População!B25</f>
        <v>13</v>
      </c>
      <c r="I25" s="109">
        <f>População!C25</f>
        <v>2039</v>
      </c>
      <c r="J25" s="121">
        <f>'Cota per capita e por economia '!AI25/30.4375/86.4</f>
        <v>86.685416151244056</v>
      </c>
      <c r="K25" s="121">
        <f>'Cota per capita e por economia '!AJ25/30.4375/86.4</f>
        <v>7.6935263530557565</v>
      </c>
      <c r="L25" s="121">
        <f>'Cota per capita e por economia '!AK25/30.4375/86.4</f>
        <v>3.8638650153136722</v>
      </c>
      <c r="M25" s="121">
        <f>'Cota per capita e por economia '!AL25/30.4375/86.4</f>
        <v>2.4940058216269603</v>
      </c>
      <c r="N25" s="121">
        <f>'Cota per capita e por economia '!AM25/30.4375/86.4</f>
        <v>0.74941314645040691</v>
      </c>
      <c r="O25" s="121">
        <f t="shared" si="0"/>
        <v>101.48622648769086</v>
      </c>
      <c r="P25" s="121">
        <f t="shared" si="1"/>
        <v>20.985844812023728</v>
      </c>
      <c r="Q25" s="121">
        <f t="shared" si="2"/>
        <v>122.47207129971459</v>
      </c>
      <c r="R25" s="121">
        <f t="shared" si="3"/>
        <v>189.85892568754133</v>
      </c>
      <c r="S25" s="121">
        <f t="shared" si="4"/>
        <v>142.76931659725275</v>
      </c>
      <c r="T25" s="121">
        <f t="shared" si="5"/>
        <v>173.21518454356004</v>
      </c>
      <c r="U25" s="121">
        <f t="shared" si="6"/>
        <v>61.236035649857293</v>
      </c>
      <c r="V25" s="121">
        <f t="shared" si="7"/>
        <v>203.66105248986725</v>
      </c>
      <c r="W25" s="111">
        <f t="shared" si="8"/>
        <v>3202661.7410079534</v>
      </c>
      <c r="X25" s="111">
        <f t="shared" si="9"/>
        <v>3864924.637247873</v>
      </c>
      <c r="Y25" s="178">
        <f t="shared" si="11"/>
        <v>4493619.0249578664</v>
      </c>
      <c r="AA25" s="181">
        <v>0</v>
      </c>
      <c r="AB25" s="102">
        <f t="shared" si="12"/>
        <v>0</v>
      </c>
      <c r="AC25" s="181">
        <f t="shared" si="13"/>
        <v>1</v>
      </c>
      <c r="AD25" s="102">
        <f t="shared" si="14"/>
        <v>4493619.0249578664</v>
      </c>
      <c r="AE25" s="102">
        <f t="shared" si="15"/>
        <v>423.34593966993202</v>
      </c>
      <c r="AF25" s="102">
        <f t="shared" si="16"/>
        <v>73.270034631242268</v>
      </c>
      <c r="AG25" s="182"/>
    </row>
    <row r="26" spans="2:33" x14ac:dyDescent="0.15">
      <c r="B26" s="147">
        <f>População!B26</f>
        <v>14</v>
      </c>
      <c r="C26" s="109">
        <f>População!C26</f>
        <v>2040</v>
      </c>
      <c r="D26" s="112">
        <f t="shared" si="10"/>
        <v>0.16690776200748736</v>
      </c>
      <c r="E26" s="112">
        <f t="shared" si="20"/>
        <v>0.05</v>
      </c>
      <c r="F26" s="187">
        <f t="shared" si="21"/>
        <v>0.21690776200748738</v>
      </c>
      <c r="G26" s="40"/>
      <c r="H26" s="147">
        <f>População!B26</f>
        <v>14</v>
      </c>
      <c r="I26" s="109">
        <f>População!C26</f>
        <v>2040</v>
      </c>
      <c r="J26" s="121">
        <f>'Cota per capita e por economia '!AI26/30.4375/86.4</f>
        <v>87.253103321503303</v>
      </c>
      <c r="K26" s="121">
        <f>'Cota per capita e por economia '!AJ26/30.4375/86.4</f>
        <v>7.740565576681778</v>
      </c>
      <c r="L26" s="121">
        <f>'Cota per capita e por economia '!AK26/30.4375/86.4</f>
        <v>3.8899722113630877</v>
      </c>
      <c r="M26" s="121">
        <f>'Cota per capita e por economia '!AL26/30.4375/86.4</f>
        <v>2.51627373074863</v>
      </c>
      <c r="N26" s="121">
        <f>'Cota per capita e por economia '!AM26/30.4375/86.4</f>
        <v>0.75316021218265894</v>
      </c>
      <c r="O26" s="121">
        <f t="shared" si="0"/>
        <v>102.15307505247947</v>
      </c>
      <c r="P26" s="121">
        <f t="shared" si="1"/>
        <v>20.466090501908468</v>
      </c>
      <c r="Q26" s="121">
        <f t="shared" si="2"/>
        <v>122.61916555438793</v>
      </c>
      <c r="R26" s="121">
        <f t="shared" si="3"/>
        <v>190.4488073892343</v>
      </c>
      <c r="S26" s="121">
        <f t="shared" si="4"/>
        <v>143.0497805648838</v>
      </c>
      <c r="T26" s="121">
        <f t="shared" si="5"/>
        <v>173.69570308062765</v>
      </c>
      <c r="U26" s="121">
        <f t="shared" si="6"/>
        <v>61.309582777193967</v>
      </c>
      <c r="V26" s="121">
        <f t="shared" si="7"/>
        <v>204.3416255963715</v>
      </c>
      <c r="W26" s="111">
        <f t="shared" si="8"/>
        <v>3223705.881276126</v>
      </c>
      <c r="X26" s="111">
        <f t="shared" si="9"/>
        <v>3869566.5788991526</v>
      </c>
      <c r="Y26" s="178">
        <f t="shared" si="11"/>
        <v>4507580.4630498765</v>
      </c>
      <c r="AA26" s="181">
        <v>0</v>
      </c>
      <c r="AB26" s="111">
        <f t="shared" si="12"/>
        <v>0</v>
      </c>
      <c r="AC26" s="181">
        <f t="shared" si="13"/>
        <v>1</v>
      </c>
      <c r="AD26" s="102">
        <f t="shared" si="14"/>
        <v>4507580.4630498765</v>
      </c>
      <c r="AE26" s="102">
        <f t="shared" si="15"/>
        <v>424.66125325022847</v>
      </c>
      <c r="AF26" s="102">
        <f t="shared" si="16"/>
        <v>73.497680777215464</v>
      </c>
      <c r="AG26" s="182"/>
    </row>
    <row r="27" spans="2:33" s="153" customFormat="1" x14ac:dyDescent="0.15">
      <c r="B27" s="144">
        <f>População!B27</f>
        <v>15</v>
      </c>
      <c r="C27" s="101">
        <f>População!C27</f>
        <v>2041</v>
      </c>
      <c r="D27" s="110">
        <f t="shared" si="10"/>
        <v>0.16255267213192626</v>
      </c>
      <c r="E27" s="110">
        <f t="shared" si="20"/>
        <v>0.05</v>
      </c>
      <c r="F27" s="143">
        <f t="shared" si="21"/>
        <v>0.21255267213192625</v>
      </c>
      <c r="G27" s="39"/>
      <c r="H27" s="144">
        <f>População!B27</f>
        <v>15</v>
      </c>
      <c r="I27" s="101">
        <f>População!C27</f>
        <v>2041</v>
      </c>
      <c r="J27" s="120">
        <f>'Cota per capita e por economia '!AI27/30.4375/86.4</f>
        <v>87.796733947261615</v>
      </c>
      <c r="K27" s="120">
        <f>'Cota per capita e por economia '!AJ27/30.4375/86.4</f>
        <v>7.7876048003077978</v>
      </c>
      <c r="L27" s="120">
        <f>'Cota per capita e por economia '!AK27/30.4375/86.4</f>
        <v>3.916079407412504</v>
      </c>
      <c r="M27" s="120">
        <f>'Cota per capita e por economia '!AL27/30.4375/86.4</f>
        <v>2.5385416398702989</v>
      </c>
      <c r="N27" s="120">
        <f>'Cota per capita e por economia '!AM27/30.4375/86.4</f>
        <v>0.75690727791491075</v>
      </c>
      <c r="O27" s="120">
        <f t="shared" si="0"/>
        <v>102.79586707276714</v>
      </c>
      <c r="P27" s="120">
        <f t="shared" si="1"/>
        <v>19.9531866909592</v>
      </c>
      <c r="Q27" s="120">
        <f t="shared" si="2"/>
        <v>122.74905376372634</v>
      </c>
      <c r="R27" s="120">
        <f t="shared" si="3"/>
        <v>191.00550950004373</v>
      </c>
      <c r="S27" s="120">
        <f t="shared" si="4"/>
        <v>143.30822717827976</v>
      </c>
      <c r="T27" s="120">
        <f t="shared" si="5"/>
        <v>174.14698730010991</v>
      </c>
      <c r="U27" s="120">
        <f t="shared" si="6"/>
        <v>61.374526881863169</v>
      </c>
      <c r="V27" s="120">
        <f t="shared" si="7"/>
        <v>204.98574742194003</v>
      </c>
      <c r="W27" s="102">
        <f t="shared" si="8"/>
        <v>3243990.8547355565</v>
      </c>
      <c r="X27" s="102">
        <f t="shared" si="9"/>
        <v>3873665.5390541707</v>
      </c>
      <c r="Y27" s="177">
        <f t="shared" si="11"/>
        <v>4520756.5999489352</v>
      </c>
      <c r="AA27" s="181">
        <v>0</v>
      </c>
      <c r="AB27" s="102">
        <f t="shared" si="12"/>
        <v>0</v>
      </c>
      <c r="AC27" s="181">
        <f t="shared" si="13"/>
        <v>1</v>
      </c>
      <c r="AD27" s="102">
        <f t="shared" si="14"/>
        <v>4520756.5999489352</v>
      </c>
      <c r="AE27" s="102">
        <f t="shared" si="15"/>
        <v>425.9025832396581</v>
      </c>
      <c r="AF27" s="102">
        <f t="shared" si="16"/>
        <v>73.712522311742106</v>
      </c>
      <c r="AG27" s="183"/>
    </row>
    <row r="28" spans="2:33" x14ac:dyDescent="0.15">
      <c r="B28" s="147">
        <f>População!B28</f>
        <v>16</v>
      </c>
      <c r="C28" s="109">
        <f>População!C28</f>
        <v>2042</v>
      </c>
      <c r="D28" s="112">
        <f t="shared" si="10"/>
        <v>0.15828502406872202</v>
      </c>
      <c r="E28" s="112">
        <f t="shared" si="20"/>
        <v>0.05</v>
      </c>
      <c r="F28" s="187">
        <f t="shared" si="21"/>
        <v>0.20828502406872201</v>
      </c>
      <c r="G28" s="40"/>
      <c r="H28" s="147">
        <f>População!B28</f>
        <v>16</v>
      </c>
      <c r="I28" s="109">
        <f>População!C28</f>
        <v>2042</v>
      </c>
      <c r="J28" s="121">
        <f>'Cota per capita e por economia '!AI28/30.4375/86.4</f>
        <v>88.317044571329603</v>
      </c>
      <c r="K28" s="121">
        <f>'Cota per capita e por economia '!AJ28/30.4375/86.4</f>
        <v>7.8346440239338193</v>
      </c>
      <c r="L28" s="121">
        <f>'Cota per capita e por economia '!AK28/30.4375/86.4</f>
        <v>3.9421866034619217</v>
      </c>
      <c r="M28" s="121">
        <f>'Cota per capita e por economia '!AL28/30.4375/86.4</f>
        <v>2.5385416398702989</v>
      </c>
      <c r="N28" s="121">
        <f>'Cota per capita e por economia '!AM28/30.4375/86.4</f>
        <v>0.76440140937941503</v>
      </c>
      <c r="O28" s="121">
        <f t="shared" si="0"/>
        <v>103.39681824797506</v>
      </c>
      <c r="P28" s="121">
        <f t="shared" si="1"/>
        <v>19.443835898134509</v>
      </c>
      <c r="Q28" s="121">
        <f t="shared" si="2"/>
        <v>122.84065414610957</v>
      </c>
      <c r="R28" s="121">
        <f t="shared" si="3"/>
        <v>191.49614146276502</v>
      </c>
      <c r="S28" s="121">
        <f t="shared" si="4"/>
        <v>143.52001779570458</v>
      </c>
      <c r="T28" s="121">
        <f t="shared" si="5"/>
        <v>174.53906327009713</v>
      </c>
      <c r="U28" s="121">
        <f t="shared" si="6"/>
        <v>61.420327073054786</v>
      </c>
      <c r="V28" s="121">
        <f t="shared" si="7"/>
        <v>205.55810874448963</v>
      </c>
      <c r="W28" s="111">
        <f t="shared" si="8"/>
        <v>3262955.4315422978</v>
      </c>
      <c r="X28" s="111">
        <f t="shared" si="9"/>
        <v>3876556.2272812678</v>
      </c>
      <c r="Y28" s="178">
        <f t="shared" si="11"/>
        <v>4532368.9753690157</v>
      </c>
      <c r="AA28" s="181">
        <v>0</v>
      </c>
      <c r="AB28" s="111">
        <f t="shared" si="12"/>
        <v>0</v>
      </c>
      <c r="AC28" s="181">
        <f t="shared" si="13"/>
        <v>1</v>
      </c>
      <c r="AD28" s="102">
        <f t="shared" si="14"/>
        <v>4532368.9753690157</v>
      </c>
      <c r="AE28" s="102">
        <f t="shared" si="15"/>
        <v>426.99659053237912</v>
      </c>
      <c r="AF28" s="102">
        <f t="shared" si="16"/>
        <v>73.901866166762886</v>
      </c>
      <c r="AG28" s="182"/>
    </row>
    <row r="29" spans="2:33" x14ac:dyDescent="0.15">
      <c r="B29" s="147">
        <f>População!B29</f>
        <v>17</v>
      </c>
      <c r="C29" s="109">
        <f>População!C29</f>
        <v>2043</v>
      </c>
      <c r="D29" s="112">
        <f t="shared" si="10"/>
        <v>0.15410306215478464</v>
      </c>
      <c r="E29" s="112">
        <f t="shared" si="20"/>
        <v>0.05</v>
      </c>
      <c r="F29" s="187">
        <f t="shared" si="21"/>
        <v>0.20410306215478466</v>
      </c>
      <c r="G29" s="40"/>
      <c r="H29" s="147">
        <f>População!B29</f>
        <v>17</v>
      </c>
      <c r="I29" s="109">
        <f>População!C29</f>
        <v>2043</v>
      </c>
      <c r="J29" s="121">
        <f>'Cota per capita e por economia '!AI29/30.4375/86.4</f>
        <v>88.814776198876984</v>
      </c>
      <c r="K29" s="121">
        <f>'Cota per capita e por economia '!AJ29/30.4375/86.4</f>
        <v>7.8816832475598417</v>
      </c>
      <c r="L29" s="121">
        <f>'Cota per capita e por economia '!AK29/30.4375/86.4</f>
        <v>3.9421866034619217</v>
      </c>
      <c r="M29" s="121">
        <f>'Cota per capita e por economia '!AL29/30.4375/86.4</f>
        <v>2.5608095489919678</v>
      </c>
      <c r="N29" s="121">
        <f>'Cota per capita e por economia '!AM29/30.4375/86.4</f>
        <v>0.76814847511166706</v>
      </c>
      <c r="O29" s="121">
        <f t="shared" si="0"/>
        <v>103.96760407400238</v>
      </c>
      <c r="P29" s="121">
        <f t="shared" si="1"/>
        <v>18.940517970797686</v>
      </c>
      <c r="Q29" s="121">
        <f t="shared" si="2"/>
        <v>122.90812204480007</v>
      </c>
      <c r="R29" s="121">
        <f t="shared" si="3"/>
        <v>191.94261114993765</v>
      </c>
      <c r="S29" s="121">
        <f t="shared" si="4"/>
        <v>143.70164285960055</v>
      </c>
      <c r="T29" s="121">
        <f t="shared" si="5"/>
        <v>174.89192408180125</v>
      </c>
      <c r="U29" s="121">
        <f t="shared" si="6"/>
        <v>61.454061022400033</v>
      </c>
      <c r="V29" s="121">
        <f t="shared" si="7"/>
        <v>206.08220530400197</v>
      </c>
      <c r="W29" s="111">
        <f t="shared" si="8"/>
        <v>3280968.0623257379</v>
      </c>
      <c r="X29" s="111">
        <f t="shared" si="9"/>
        <v>3878685.3522409829</v>
      </c>
      <c r="Y29" s="178">
        <f t="shared" si="11"/>
        <v>4542936.1092189541</v>
      </c>
      <c r="AA29" s="181">
        <v>0</v>
      </c>
      <c r="AB29" s="111">
        <f t="shared" si="12"/>
        <v>0</v>
      </c>
      <c r="AC29" s="181">
        <f t="shared" si="13"/>
        <v>1</v>
      </c>
      <c r="AD29" s="102">
        <f t="shared" si="14"/>
        <v>4542936.1092189541</v>
      </c>
      <c r="AE29" s="102">
        <f t="shared" si="15"/>
        <v>427.99212513032205</v>
      </c>
      <c r="AF29" s="102">
        <f t="shared" si="16"/>
        <v>74.074166991296011</v>
      </c>
      <c r="AG29" s="182"/>
    </row>
    <row r="30" spans="2:33" x14ac:dyDescent="0.15">
      <c r="B30" s="147">
        <f>População!B30</f>
        <v>18</v>
      </c>
      <c r="C30" s="109">
        <f>População!C30</f>
        <v>2044</v>
      </c>
      <c r="D30" s="112">
        <f t="shared" si="10"/>
        <v>0.1500050659773558</v>
      </c>
      <c r="E30" s="112">
        <f t="shared" si="20"/>
        <v>0.05</v>
      </c>
      <c r="F30" s="187">
        <f t="shared" si="21"/>
        <v>0.20000506597735582</v>
      </c>
      <c r="G30" s="40"/>
      <c r="H30" s="147">
        <f>População!B30</f>
        <v>18</v>
      </c>
      <c r="I30" s="109">
        <f>População!C30</f>
        <v>2044</v>
      </c>
      <c r="J30" s="121">
        <f>'Cota per capita e por economia '!AI30/30.4375/86.4</f>
        <v>89.290671146046591</v>
      </c>
      <c r="K30" s="121">
        <f>'Cota per capita e por economia '!AJ30/30.4375/86.4</f>
        <v>7.9234958907829691</v>
      </c>
      <c r="L30" s="121">
        <f>'Cota per capita e por economia '!AK30/30.4375/86.4</f>
        <v>3.9682937995113381</v>
      </c>
      <c r="M30" s="121">
        <f>'Cota per capita e por economia '!AL30/30.4375/86.4</f>
        <v>2.5830774581136375</v>
      </c>
      <c r="N30" s="121">
        <f>'Cota per capita e por economia '!AM30/30.4375/86.4</f>
        <v>0.77189554084391909</v>
      </c>
      <c r="O30" s="121">
        <f t="shared" si="0"/>
        <v>104.53743383529846</v>
      </c>
      <c r="P30" s="121">
        <f t="shared" si="1"/>
        <v>18.448515434504529</v>
      </c>
      <c r="Q30" s="121">
        <f t="shared" si="2"/>
        <v>122.98594926980299</v>
      </c>
      <c r="R30" s="121">
        <f t="shared" si="3"/>
        <v>192.39880533644117</v>
      </c>
      <c r="S30" s="121">
        <f t="shared" si="4"/>
        <v>143.89343603686268</v>
      </c>
      <c r="T30" s="121">
        <f t="shared" si="5"/>
        <v>175.25466618745224</v>
      </c>
      <c r="U30" s="121">
        <f t="shared" si="6"/>
        <v>61.492974634901493</v>
      </c>
      <c r="V30" s="121">
        <f t="shared" si="7"/>
        <v>206.61589633804175</v>
      </c>
      <c r="W30" s="111">
        <f t="shared" si="8"/>
        <v>3298950.5220008148</v>
      </c>
      <c r="X30" s="111">
        <f t="shared" si="9"/>
        <v>3881141.3926767348</v>
      </c>
      <c r="Y30" s="178">
        <f t="shared" si="11"/>
        <v>4553733.4044639571</v>
      </c>
      <c r="AA30" s="181">
        <v>0</v>
      </c>
      <c r="AB30" s="102">
        <f t="shared" si="12"/>
        <v>0</v>
      </c>
      <c r="AC30" s="181">
        <f t="shared" si="13"/>
        <v>1</v>
      </c>
      <c r="AD30" s="102">
        <f t="shared" si="14"/>
        <v>4553733.4044639571</v>
      </c>
      <c r="AE30" s="102">
        <f t="shared" si="15"/>
        <v>429.00934334041108</v>
      </c>
      <c r="AF30" s="102">
        <f t="shared" si="16"/>
        <v>74.250220678119746</v>
      </c>
      <c r="AG30" s="182"/>
    </row>
    <row r="31" spans="2:33" x14ac:dyDescent="0.15">
      <c r="B31" s="147">
        <f>População!B31</f>
        <v>19</v>
      </c>
      <c r="C31" s="109">
        <f>População!C31</f>
        <v>2045</v>
      </c>
      <c r="D31" s="112">
        <f t="shared" si="10"/>
        <v>0.1500050659773558</v>
      </c>
      <c r="E31" s="112">
        <f t="shared" si="20"/>
        <v>0.05</v>
      </c>
      <c r="F31" s="187">
        <f t="shared" ref="F31:F45" si="22">F30*(1-$F$3)</f>
        <v>0.20000506597735582</v>
      </c>
      <c r="G31" s="40"/>
      <c r="H31" s="147">
        <f>População!B31</f>
        <v>19</v>
      </c>
      <c r="I31" s="109">
        <f>População!C31</f>
        <v>2045</v>
      </c>
      <c r="J31" s="121">
        <f>'Cota per capita e por economia '!AI31/30.4375/86.4</f>
        <v>89.745470168877048</v>
      </c>
      <c r="K31" s="121">
        <f>'Cota per capita e por economia '!AJ31/30.4375/86.4</f>
        <v>7.9600819536032059</v>
      </c>
      <c r="L31" s="121">
        <f>'Cota per capita e por economia '!AK31/30.4375/86.4</f>
        <v>3.9944009955607553</v>
      </c>
      <c r="M31" s="121">
        <f>'Cota per capita e por economia '!AL31/30.4375/86.4</f>
        <v>2.5830774581136375</v>
      </c>
      <c r="N31" s="121">
        <f>'Cota per capita e por economia '!AM31/30.4375/86.4</f>
        <v>0.77564260657617101</v>
      </c>
      <c r="O31" s="121">
        <f t="shared" si="0"/>
        <v>105.05867318273081</v>
      </c>
      <c r="P31" s="121">
        <f t="shared" si="1"/>
        <v>18.540502503570394</v>
      </c>
      <c r="Q31" s="121">
        <f t="shared" si="2"/>
        <v>123.59917568630121</v>
      </c>
      <c r="R31" s="121">
        <f t="shared" si="3"/>
        <v>193.35813467963445</v>
      </c>
      <c r="S31" s="121">
        <f t="shared" si="4"/>
        <v>144.61091032284736</v>
      </c>
      <c r="T31" s="121">
        <f t="shared" si="5"/>
        <v>176.12851227766663</v>
      </c>
      <c r="U31" s="121">
        <f t="shared" si="6"/>
        <v>61.799587843150604</v>
      </c>
      <c r="V31" s="121">
        <f t="shared" si="7"/>
        <v>207.64611423248584</v>
      </c>
      <c r="W31" s="111">
        <f t="shared" si="8"/>
        <v>3315399.5848313458</v>
      </c>
      <c r="X31" s="111">
        <f t="shared" si="9"/>
        <v>3900493.3466380192</v>
      </c>
      <c r="Y31" s="178">
        <f t="shared" si="11"/>
        <v>4576439.0032245247</v>
      </c>
      <c r="AA31" s="181">
        <v>0</v>
      </c>
      <c r="AB31" s="111">
        <f t="shared" si="12"/>
        <v>0</v>
      </c>
      <c r="AC31" s="181">
        <f t="shared" si="13"/>
        <v>1</v>
      </c>
      <c r="AD31" s="102">
        <f t="shared" si="14"/>
        <v>4576439.0032245247</v>
      </c>
      <c r="AE31" s="102">
        <f t="shared" si="15"/>
        <v>431.14844836682153</v>
      </c>
      <c r="AF31" s="102">
        <f t="shared" si="16"/>
        <v>74.620443431377183</v>
      </c>
      <c r="AG31" s="182"/>
    </row>
    <row r="32" spans="2:33" s="153" customFormat="1" x14ac:dyDescent="0.15">
      <c r="B32" s="144">
        <f>População!B32</f>
        <v>20</v>
      </c>
      <c r="C32" s="101">
        <f>População!C32</f>
        <v>2046</v>
      </c>
      <c r="D32" s="110">
        <f t="shared" si="10"/>
        <v>0.1500050659773558</v>
      </c>
      <c r="E32" s="110">
        <f t="shared" si="20"/>
        <v>0.05</v>
      </c>
      <c r="F32" s="143">
        <f t="shared" si="22"/>
        <v>0.20000506597735582</v>
      </c>
      <c r="G32" s="39"/>
      <c r="H32" s="144">
        <f>População!B32</f>
        <v>20</v>
      </c>
      <c r="I32" s="101">
        <f>População!C32</f>
        <v>2046</v>
      </c>
      <c r="J32" s="120">
        <f>'Cota per capita e por economia '!AI32/30.4375/86.4</f>
        <v>90.179909865652419</v>
      </c>
      <c r="K32" s="120">
        <f>'Cota per capita e por economia '!AJ32/30.4375/86.4</f>
        <v>8.001894596826336</v>
      </c>
      <c r="L32" s="120">
        <f>'Cota per capita e por economia '!AK32/30.4375/86.4</f>
        <v>4.0205081916101717</v>
      </c>
      <c r="M32" s="120">
        <f>'Cota per capita e por economia '!AL32/30.4375/86.4</f>
        <v>2.6053453672353073</v>
      </c>
      <c r="N32" s="120">
        <f>'Cota per capita e por economia '!AM32/30.4375/86.4</f>
        <v>0.77938967230842304</v>
      </c>
      <c r="O32" s="120">
        <f t="shared" si="0"/>
        <v>105.58704769363266</v>
      </c>
      <c r="P32" s="120">
        <f t="shared" si="1"/>
        <v>18.633748769161045</v>
      </c>
      <c r="Q32" s="120">
        <f t="shared" si="2"/>
        <v>124.2207964627937</v>
      </c>
      <c r="R32" s="120">
        <f t="shared" si="3"/>
        <v>194.33059613136578</v>
      </c>
      <c r="S32" s="120">
        <f t="shared" si="4"/>
        <v>145.33820600152023</v>
      </c>
      <c r="T32" s="120">
        <f t="shared" si="5"/>
        <v>177.01432030961001</v>
      </c>
      <c r="U32" s="120">
        <f t="shared" si="6"/>
        <v>62.11039823139685</v>
      </c>
      <c r="V32" s="120">
        <f t="shared" si="7"/>
        <v>208.69043461769979</v>
      </c>
      <c r="W32" s="102">
        <f t="shared" si="8"/>
        <v>3332073.8162965821</v>
      </c>
      <c r="X32" s="102">
        <f t="shared" si="9"/>
        <v>3920110.2064542589</v>
      </c>
      <c r="Y32" s="177">
        <f t="shared" si="11"/>
        <v>4599455.415356393</v>
      </c>
      <c r="AA32" s="181">
        <v>0</v>
      </c>
      <c r="AB32" s="102">
        <f t="shared" si="12"/>
        <v>0</v>
      </c>
      <c r="AC32" s="181">
        <f t="shared" si="13"/>
        <v>1</v>
      </c>
      <c r="AD32" s="102">
        <f t="shared" si="14"/>
        <v>4599455.415356393</v>
      </c>
      <c r="AE32" s="102">
        <f t="shared" si="15"/>
        <v>433.31683526559459</v>
      </c>
      <c r="AF32" s="102">
        <f t="shared" si="16"/>
        <v>74.995734105691682</v>
      </c>
      <c r="AG32" s="183"/>
    </row>
    <row r="33" spans="2:33" x14ac:dyDescent="0.15">
      <c r="B33" s="147">
        <f>População!B33</f>
        <v>21</v>
      </c>
      <c r="C33" s="109">
        <f>População!C33</f>
        <v>2047</v>
      </c>
      <c r="D33" s="112">
        <f t="shared" si="10"/>
        <v>0.1500050659773558</v>
      </c>
      <c r="E33" s="112">
        <f t="shared" si="20"/>
        <v>0.05</v>
      </c>
      <c r="F33" s="187">
        <f t="shared" si="22"/>
        <v>0.20000506597735582</v>
      </c>
      <c r="G33" s="40"/>
      <c r="H33" s="147">
        <f>População!B33</f>
        <v>21</v>
      </c>
      <c r="I33" s="109">
        <f>População!C33</f>
        <v>2047</v>
      </c>
      <c r="J33" s="121">
        <f>'Cota per capita e por economia '!AI33/30.4375/86.4</f>
        <v>90.594720343730302</v>
      </c>
      <c r="K33" s="121">
        <f>'Cota per capita e por economia '!AJ33/30.4375/86.4</f>
        <v>8.0384806596465737</v>
      </c>
      <c r="L33" s="121">
        <f>'Cota per capita e por economia '!AK33/30.4375/86.4</f>
        <v>4.0466153876595889</v>
      </c>
      <c r="M33" s="121">
        <f>'Cota per capita e por economia '!AL33/30.4375/86.4</f>
        <v>2.6053453672353073</v>
      </c>
      <c r="N33" s="121">
        <f>'Cota per capita e por economia '!AM33/30.4375/86.4</f>
        <v>0.78313673804067507</v>
      </c>
      <c r="O33" s="121">
        <f t="shared" si="0"/>
        <v>106.06829849631245</v>
      </c>
      <c r="P33" s="121">
        <f t="shared" si="1"/>
        <v>18.718678755821074</v>
      </c>
      <c r="Q33" s="121">
        <f t="shared" si="2"/>
        <v>124.78697725213352</v>
      </c>
      <c r="R33" s="121">
        <f t="shared" si="3"/>
        <v>195.21632745368498</v>
      </c>
      <c r="S33" s="121">
        <f t="shared" si="4"/>
        <v>146.00063695139602</v>
      </c>
      <c r="T33" s="121">
        <f t="shared" si="5"/>
        <v>177.82112650028978</v>
      </c>
      <c r="U33" s="121">
        <f t="shared" si="6"/>
        <v>62.393488626066762</v>
      </c>
      <c r="V33" s="121">
        <f t="shared" si="7"/>
        <v>209.64161604918348</v>
      </c>
      <c r="W33" s="111">
        <f t="shared" si="8"/>
        <v>3347260.9366272297</v>
      </c>
      <c r="X33" s="111">
        <f t="shared" si="9"/>
        <v>3937977.5133319292</v>
      </c>
      <c r="Y33" s="178">
        <f t="shared" si="11"/>
        <v>4620419.081439307</v>
      </c>
      <c r="AA33" s="181">
        <v>0</v>
      </c>
      <c r="AB33" s="111">
        <f t="shared" si="12"/>
        <v>0</v>
      </c>
      <c r="AC33" s="181">
        <f t="shared" si="13"/>
        <v>1</v>
      </c>
      <c r="AD33" s="102">
        <f t="shared" si="14"/>
        <v>4620419.081439307</v>
      </c>
      <c r="AE33" s="102">
        <f t="shared" si="15"/>
        <v>435.29183200374842</v>
      </c>
      <c r="AF33" s="102">
        <f t="shared" si="16"/>
        <v>75.337554035543732</v>
      </c>
      <c r="AG33" s="182"/>
    </row>
    <row r="34" spans="2:33" x14ac:dyDescent="0.15">
      <c r="B34" s="147">
        <f>População!B34</f>
        <v>22</v>
      </c>
      <c r="C34" s="109">
        <f>População!C34</f>
        <v>2048</v>
      </c>
      <c r="D34" s="112">
        <f t="shared" si="10"/>
        <v>0.1500050659773558</v>
      </c>
      <c r="E34" s="112">
        <f t="shared" si="20"/>
        <v>0.05</v>
      </c>
      <c r="F34" s="187">
        <f t="shared" si="22"/>
        <v>0.20000506597735582</v>
      </c>
      <c r="G34" s="40"/>
      <c r="H34" s="147">
        <f>População!B34</f>
        <v>22</v>
      </c>
      <c r="I34" s="109">
        <f>População!C34</f>
        <v>2048</v>
      </c>
      <c r="J34" s="121">
        <f>'Cota per capita e por economia '!AI34/30.4375/86.4</f>
        <v>90.99062314024232</v>
      </c>
      <c r="K34" s="121">
        <f>'Cota per capita e por economia '!AJ34/30.4375/86.4</f>
        <v>8.0750667224668096</v>
      </c>
      <c r="L34" s="121">
        <f>'Cota per capita e por economia '!AK34/30.4375/86.4</f>
        <v>4.0466153876595889</v>
      </c>
      <c r="M34" s="121">
        <f>'Cota per capita e por economia '!AL34/30.4375/86.4</f>
        <v>2.6276132763569762</v>
      </c>
      <c r="N34" s="121">
        <f>'Cota per capita e por economia '!AM34/30.4375/86.4</f>
        <v>0.7868838037729271</v>
      </c>
      <c r="O34" s="121">
        <f t="shared" si="0"/>
        <v>106.52680233049863</v>
      </c>
      <c r="P34" s="121">
        <f t="shared" si="1"/>
        <v>18.799594412073844</v>
      </c>
      <c r="Q34" s="121">
        <f t="shared" si="2"/>
        <v>125.32639674257247</v>
      </c>
      <c r="R34" s="121">
        <f t="shared" si="3"/>
        <v>196.06019349002355</v>
      </c>
      <c r="S34" s="121">
        <f t="shared" si="4"/>
        <v>146.63175720867218</v>
      </c>
      <c r="T34" s="121">
        <f t="shared" si="5"/>
        <v>178.58979790782178</v>
      </c>
      <c r="U34" s="121">
        <f t="shared" si="6"/>
        <v>62.663198371286235</v>
      </c>
      <c r="V34" s="121">
        <f t="shared" si="7"/>
        <v>210.54783860697134</v>
      </c>
      <c r="W34" s="111">
        <f t="shared" si="8"/>
        <v>3361730.2172249439</v>
      </c>
      <c r="X34" s="111">
        <f t="shared" si="9"/>
        <v>3955000.297843405</v>
      </c>
      <c r="Y34" s="178">
        <f t="shared" si="11"/>
        <v>4640391.8715605754</v>
      </c>
      <c r="AA34" s="181">
        <v>0</v>
      </c>
      <c r="AB34" s="111">
        <f t="shared" si="12"/>
        <v>0</v>
      </c>
      <c r="AC34" s="181">
        <f t="shared" si="13"/>
        <v>1</v>
      </c>
      <c r="AD34" s="102">
        <f t="shared" si="14"/>
        <v>4640391.8715605754</v>
      </c>
      <c r="AE34" s="102">
        <f t="shared" si="15"/>
        <v>437.17347785640243</v>
      </c>
      <c r="AF34" s="102">
        <f t="shared" si="16"/>
        <v>75.663217385226915</v>
      </c>
      <c r="AG34" s="182"/>
    </row>
    <row r="35" spans="2:33" x14ac:dyDescent="0.15">
      <c r="B35" s="147">
        <f>População!B35</f>
        <v>23</v>
      </c>
      <c r="C35" s="109">
        <f>População!C35</f>
        <v>2049</v>
      </c>
      <c r="D35" s="112">
        <f t="shared" si="10"/>
        <v>0.1500050659773558</v>
      </c>
      <c r="E35" s="112">
        <f t="shared" si="20"/>
        <v>0.05</v>
      </c>
      <c r="F35" s="187">
        <f t="shared" si="22"/>
        <v>0.20000506597735582</v>
      </c>
      <c r="G35" s="40"/>
      <c r="H35" s="147">
        <f>População!B35</f>
        <v>23</v>
      </c>
      <c r="I35" s="109">
        <f>População!C35</f>
        <v>2049</v>
      </c>
      <c r="J35" s="121">
        <f>'Cota per capita e por economia '!AI35/30.4375/86.4</f>
        <v>91.368329384777141</v>
      </c>
      <c r="K35" s="121">
        <f>'Cota per capita e por economia '!AJ35/30.4375/86.4</f>
        <v>8.1064262048841584</v>
      </c>
      <c r="L35" s="121">
        <f>'Cota per capita e por economia '!AK35/30.4375/86.4</f>
        <v>4.0727225837090053</v>
      </c>
      <c r="M35" s="121">
        <f>'Cota per capita e por economia '!AL35/30.4375/86.4</f>
        <v>2.6276132763569762</v>
      </c>
      <c r="N35" s="121">
        <f>'Cota per capita e por economia '!AM35/30.4375/86.4</f>
        <v>0.79063086950517913</v>
      </c>
      <c r="O35" s="121">
        <f t="shared" si="0"/>
        <v>106.96572231923247</v>
      </c>
      <c r="P35" s="121">
        <f t="shared" si="1"/>
        <v>18.877053958282204</v>
      </c>
      <c r="Q35" s="121">
        <f t="shared" si="2"/>
        <v>125.84277627751467</v>
      </c>
      <c r="R35" s="121">
        <f t="shared" si="3"/>
        <v>196.86801589748504</v>
      </c>
      <c r="S35" s="121">
        <f t="shared" si="4"/>
        <v>147.23592074136116</v>
      </c>
      <c r="T35" s="121">
        <f t="shared" si="5"/>
        <v>179.32563743713092</v>
      </c>
      <c r="U35" s="121">
        <f t="shared" si="6"/>
        <v>62.921388138757337</v>
      </c>
      <c r="V35" s="121">
        <f t="shared" si="7"/>
        <v>211.41535413290063</v>
      </c>
      <c r="W35" s="111">
        <f t="shared" si="8"/>
        <v>3375581.4786614105</v>
      </c>
      <c r="X35" s="111">
        <f t="shared" si="9"/>
        <v>3971295.996655297</v>
      </c>
      <c r="Y35" s="178">
        <f t="shared" si="11"/>
        <v>4659511.5738648549</v>
      </c>
      <c r="AA35" s="181">
        <v>0</v>
      </c>
      <c r="AB35" s="102">
        <f t="shared" si="12"/>
        <v>0</v>
      </c>
      <c r="AC35" s="181">
        <f t="shared" si="13"/>
        <v>1</v>
      </c>
      <c r="AD35" s="102">
        <f t="shared" si="14"/>
        <v>4659511.5738648549</v>
      </c>
      <c r="AE35" s="102">
        <f t="shared" si="15"/>
        <v>438.974753908791</v>
      </c>
      <c r="AF35" s="102">
        <f t="shared" si="16"/>
        <v>75.974970838778034</v>
      </c>
      <c r="AG35" s="182"/>
    </row>
    <row r="36" spans="2:33" x14ac:dyDescent="0.15">
      <c r="B36" s="147">
        <f>População!B36</f>
        <v>24</v>
      </c>
      <c r="C36" s="109">
        <f>População!C36</f>
        <v>2050</v>
      </c>
      <c r="D36" s="112">
        <f t="shared" si="10"/>
        <v>0.1500050659773558</v>
      </c>
      <c r="E36" s="112">
        <f t="shared" si="20"/>
        <v>0.05</v>
      </c>
      <c r="F36" s="187">
        <f t="shared" si="22"/>
        <v>0.20000506597735582</v>
      </c>
      <c r="G36" s="40"/>
      <c r="H36" s="147">
        <f>População!B36</f>
        <v>24</v>
      </c>
      <c r="I36" s="109">
        <f>População!C36</f>
        <v>2050</v>
      </c>
      <c r="J36" s="121">
        <f>'Cota per capita e por economia '!AI36/30.4375/86.4</f>
        <v>91.728538191206098</v>
      </c>
      <c r="K36" s="121">
        <f>'Cota per capita e por economia '!AJ36/30.4375/86.4</f>
        <v>8.1377856873015055</v>
      </c>
      <c r="L36" s="121">
        <f>'Cota per capita e por economia '!AK36/30.4375/86.4</f>
        <v>4.0727225837090053</v>
      </c>
      <c r="M36" s="121">
        <f>'Cota per capita e por economia '!AL36/30.4375/86.4</f>
        <v>2.6498811854786455</v>
      </c>
      <c r="N36" s="121">
        <f>'Cota per capita e por economia '!AM36/30.4375/86.4</f>
        <v>0.79437793523743117</v>
      </c>
      <c r="O36" s="121">
        <f t="shared" si="0"/>
        <v>107.38330558293269</v>
      </c>
      <c r="P36" s="121">
        <f t="shared" si="1"/>
        <v>18.950748050464554</v>
      </c>
      <c r="Q36" s="121">
        <f t="shared" si="2"/>
        <v>126.33405363339725</v>
      </c>
      <c r="R36" s="121">
        <f t="shared" si="3"/>
        <v>197.63656854046457</v>
      </c>
      <c r="S36" s="121">
        <f t="shared" si="4"/>
        <v>147.81071474998379</v>
      </c>
      <c r="T36" s="121">
        <f t="shared" si="5"/>
        <v>180.02570642486359</v>
      </c>
      <c r="U36" s="121">
        <f t="shared" si="6"/>
        <v>63.167026816698623</v>
      </c>
      <c r="V36" s="121">
        <f t="shared" si="7"/>
        <v>212.24069809974338</v>
      </c>
      <c r="W36" s="111">
        <f t="shared" si="8"/>
        <v>3388759.4042639569</v>
      </c>
      <c r="X36" s="111">
        <f t="shared" si="9"/>
        <v>3986799.5309412973</v>
      </c>
      <c r="Y36" s="178">
        <f t="shared" si="11"/>
        <v>4677701.8315294245</v>
      </c>
      <c r="AA36" s="181">
        <v>0</v>
      </c>
      <c r="AB36" s="111">
        <f t="shared" si="12"/>
        <v>0</v>
      </c>
      <c r="AC36" s="181">
        <f t="shared" si="13"/>
        <v>1</v>
      </c>
      <c r="AD36" s="102">
        <f t="shared" si="14"/>
        <v>4677701.8315294245</v>
      </c>
      <c r="AE36" s="102">
        <f t="shared" si="15"/>
        <v>440.68846654910942</v>
      </c>
      <c r="AF36" s="102">
        <f t="shared" si="16"/>
        <v>76.271569371415481</v>
      </c>
      <c r="AG36" s="182"/>
    </row>
    <row r="37" spans="2:33" s="153" customFormat="1" x14ac:dyDescent="0.15">
      <c r="B37" s="144">
        <f>População!B37</f>
        <v>25</v>
      </c>
      <c r="C37" s="101">
        <f>População!C37</f>
        <v>2051</v>
      </c>
      <c r="D37" s="110">
        <f t="shared" si="10"/>
        <v>0.1500050659773558</v>
      </c>
      <c r="E37" s="110">
        <f t="shared" si="20"/>
        <v>0.05</v>
      </c>
      <c r="F37" s="143">
        <f t="shared" si="22"/>
        <v>0.20000506597735582</v>
      </c>
      <c r="G37" s="39"/>
      <c r="H37" s="144">
        <f>População!B37</f>
        <v>25</v>
      </c>
      <c r="I37" s="101">
        <f>População!C37</f>
        <v>2051</v>
      </c>
      <c r="J37" s="120">
        <f>'Cota per capita e por economia '!AI37/30.4375/86.4</f>
        <v>92.071935265161471</v>
      </c>
      <c r="K37" s="120">
        <f>'Cota per capita e por economia '!AJ37/30.4375/86.4</f>
        <v>8.1691451697188509</v>
      </c>
      <c r="L37" s="120">
        <f>'Cota per capita e por economia '!AK37/30.4375/86.4</f>
        <v>4.0988297797584217</v>
      </c>
      <c r="M37" s="120">
        <f>'Cota per capita e por economia '!AL37/30.4375/86.4</f>
        <v>2.6498811854786455</v>
      </c>
      <c r="N37" s="120">
        <f>'Cota per capita e por economia '!AM37/30.4375/86.4</f>
        <v>0.79437793523743117</v>
      </c>
      <c r="O37" s="120">
        <f t="shared" si="0"/>
        <v>107.78416933535482</v>
      </c>
      <c r="P37" s="120">
        <f t="shared" si="1"/>
        <v>19.021491523423194</v>
      </c>
      <c r="Q37" s="120">
        <f t="shared" si="2"/>
        <v>126.80566085877801</v>
      </c>
      <c r="R37" s="120">
        <f t="shared" si="3"/>
        <v>198.37434929745359</v>
      </c>
      <c r="S37" s="120">
        <f t="shared" si="4"/>
        <v>148.36249472584899</v>
      </c>
      <c r="T37" s="120">
        <f t="shared" si="5"/>
        <v>180.69774552645544</v>
      </c>
      <c r="U37" s="120">
        <f t="shared" si="6"/>
        <v>63.402830429389006</v>
      </c>
      <c r="V37" s="120">
        <f t="shared" si="7"/>
        <v>213.03299632706188</v>
      </c>
      <c r="W37" s="102">
        <f t="shared" si="8"/>
        <v>3401409.7022173931</v>
      </c>
      <c r="X37" s="102">
        <f t="shared" si="9"/>
        <v>4001682.3231169735</v>
      </c>
      <c r="Y37" s="177">
        <f t="shared" si="11"/>
        <v>4695163.7740419917</v>
      </c>
      <c r="AA37" s="181">
        <v>0</v>
      </c>
      <c r="AB37" s="102">
        <f t="shared" si="12"/>
        <v>0</v>
      </c>
      <c r="AC37" s="181">
        <f t="shared" si="13"/>
        <v>1</v>
      </c>
      <c r="AD37" s="102">
        <f t="shared" si="14"/>
        <v>4695163.7740419917</v>
      </c>
      <c r="AE37" s="102">
        <f t="shared" si="15"/>
        <v>442.33356427999996</v>
      </c>
      <c r="AF37" s="102">
        <f t="shared" si="16"/>
        <v>76.556292469995597</v>
      </c>
      <c r="AG37" s="183"/>
    </row>
    <row r="38" spans="2:33" x14ac:dyDescent="0.15">
      <c r="B38" s="147">
        <f>População!B38</f>
        <v>26</v>
      </c>
      <c r="C38" s="109">
        <f>População!C38</f>
        <v>2052</v>
      </c>
      <c r="D38" s="112">
        <f t="shared" si="10"/>
        <v>0.1500050659773558</v>
      </c>
      <c r="E38" s="112">
        <f t="shared" si="20"/>
        <v>0.05</v>
      </c>
      <c r="F38" s="187">
        <f t="shared" si="22"/>
        <v>0.20000506597735582</v>
      </c>
      <c r="G38" s="40"/>
      <c r="H38" s="147">
        <f>População!B38</f>
        <v>26</v>
      </c>
      <c r="I38" s="109">
        <f>População!C38</f>
        <v>2052</v>
      </c>
      <c r="J38" s="121">
        <f>'Cota per capita e por economia '!AI38/30.4375/86.4</f>
        <v>92.399191713289014</v>
      </c>
      <c r="K38" s="121">
        <f>'Cota per capita e por economia '!AJ38/30.4375/86.4</f>
        <v>8.2005046521361997</v>
      </c>
      <c r="L38" s="121">
        <f>'Cota per capita e por economia '!AK38/30.4375/86.4</f>
        <v>4.124936975807838</v>
      </c>
      <c r="M38" s="121">
        <f>'Cota per capita e por economia '!AL38/30.4375/86.4</f>
        <v>2.6721490946003148</v>
      </c>
      <c r="N38" s="121">
        <f>'Cota per capita e por economia '!AM38/30.4375/86.4</f>
        <v>0.7981250009696832</v>
      </c>
      <c r="O38" s="121">
        <f t="shared" si="0"/>
        <v>108.19490743680305</v>
      </c>
      <c r="P38" s="121">
        <f t="shared" si="1"/>
        <v>19.093977597799622</v>
      </c>
      <c r="Q38" s="121">
        <f t="shared" si="2"/>
        <v>127.28888503460267</v>
      </c>
      <c r="R38" s="121">
        <f t="shared" si="3"/>
        <v>199.13030357263989</v>
      </c>
      <c r="S38" s="121">
        <f t="shared" si="4"/>
        <v>148.92786652196327</v>
      </c>
      <c r="T38" s="121">
        <f t="shared" si="5"/>
        <v>181.38633875300417</v>
      </c>
      <c r="U38" s="121">
        <f t="shared" si="6"/>
        <v>63.644442517301336</v>
      </c>
      <c r="V38" s="121">
        <f t="shared" si="7"/>
        <v>213.84481098404513</v>
      </c>
      <c r="W38" s="111">
        <f t="shared" si="8"/>
        <v>3414371.6109276563</v>
      </c>
      <c r="X38" s="111">
        <f t="shared" si="9"/>
        <v>4016931.7183679775</v>
      </c>
      <c r="Y38" s="178">
        <f t="shared" si="11"/>
        <v>4713055.8510179557</v>
      </c>
      <c r="AA38" s="181">
        <v>0</v>
      </c>
      <c r="AB38" s="111">
        <f t="shared" si="12"/>
        <v>0</v>
      </c>
      <c r="AC38" s="181">
        <f t="shared" si="13"/>
        <v>1</v>
      </c>
      <c r="AD38" s="102">
        <f t="shared" si="14"/>
        <v>4713055.8510179557</v>
      </c>
      <c r="AE38" s="102">
        <f t="shared" si="15"/>
        <v>444.01918517887168</v>
      </c>
      <c r="AF38" s="102">
        <f t="shared" si="16"/>
        <v>76.848029061899055</v>
      </c>
      <c r="AG38" s="182"/>
    </row>
    <row r="39" spans="2:33" x14ac:dyDescent="0.15">
      <c r="B39" s="147">
        <f>População!B39</f>
        <v>27</v>
      </c>
      <c r="C39" s="109">
        <f>População!C39</f>
        <v>2053</v>
      </c>
      <c r="D39" s="112">
        <f t="shared" si="10"/>
        <v>0.1500050659773558</v>
      </c>
      <c r="E39" s="112">
        <f t="shared" si="20"/>
        <v>0.05</v>
      </c>
      <c r="F39" s="187">
        <f t="shared" si="22"/>
        <v>0.20000506597735582</v>
      </c>
      <c r="G39" s="40"/>
      <c r="H39" s="147">
        <f>População!B39</f>
        <v>27</v>
      </c>
      <c r="I39" s="109">
        <f>População!C39</f>
        <v>2053</v>
      </c>
      <c r="J39" s="121">
        <f>'Cota per capita e por economia '!AI39/30.4375/86.4</f>
        <v>92.710963040232642</v>
      </c>
      <c r="K39" s="121">
        <f>'Cota per capita e por economia '!AJ39/30.4375/86.4</f>
        <v>8.2266375541506527</v>
      </c>
      <c r="L39" s="121">
        <f>'Cota per capita e por economia '!AK39/30.4375/86.4</f>
        <v>4.124936975807838</v>
      </c>
      <c r="M39" s="121">
        <f>'Cota per capita e por economia '!AL39/30.4375/86.4</f>
        <v>2.6721490946003148</v>
      </c>
      <c r="N39" s="121">
        <f>'Cota per capita e por economia '!AM39/30.4375/86.4</f>
        <v>0.80187206670193534</v>
      </c>
      <c r="O39" s="121">
        <f t="shared" si="0"/>
        <v>108.53655873149339</v>
      </c>
      <c r="P39" s="121">
        <f t="shared" si="1"/>
        <v>19.15427139832704</v>
      </c>
      <c r="Q39" s="121">
        <f t="shared" si="2"/>
        <v>127.69083012982043</v>
      </c>
      <c r="R39" s="121">
        <f t="shared" si="3"/>
        <v>199.75910512753202</v>
      </c>
      <c r="S39" s="121">
        <f t="shared" si="4"/>
        <v>149.3981418761191</v>
      </c>
      <c r="T39" s="121">
        <f t="shared" si="5"/>
        <v>181.95910949556711</v>
      </c>
      <c r="U39" s="121">
        <f t="shared" si="6"/>
        <v>63.845415064910213</v>
      </c>
      <c r="V39" s="121">
        <f t="shared" si="7"/>
        <v>214.52007711501514</v>
      </c>
      <c r="W39" s="111">
        <f t="shared" si="8"/>
        <v>3425153.3058249759</v>
      </c>
      <c r="X39" s="111">
        <f t="shared" si="9"/>
        <v>4029616.1409048215</v>
      </c>
      <c r="Y39" s="178">
        <f t="shared" si="11"/>
        <v>4727938.4519794537</v>
      </c>
      <c r="AA39" s="181">
        <v>0</v>
      </c>
      <c r="AB39" s="111">
        <f t="shared" si="12"/>
        <v>0</v>
      </c>
      <c r="AC39" s="181">
        <f t="shared" si="13"/>
        <v>1</v>
      </c>
      <c r="AD39" s="102">
        <f t="shared" si="14"/>
        <v>4727938.4519794537</v>
      </c>
      <c r="AE39" s="102">
        <f t="shared" si="15"/>
        <v>445.42128194181146</v>
      </c>
      <c r="AF39" s="102">
        <f t="shared" si="16"/>
        <v>77.090695091617079</v>
      </c>
      <c r="AG39" s="182"/>
    </row>
    <row r="40" spans="2:33" x14ac:dyDescent="0.15">
      <c r="B40" s="147">
        <f>População!B40</f>
        <v>28</v>
      </c>
      <c r="C40" s="109">
        <f>População!C40</f>
        <v>2054</v>
      </c>
      <c r="D40" s="112">
        <f t="shared" si="10"/>
        <v>0.1500050659773558</v>
      </c>
      <c r="E40" s="112">
        <f t="shared" si="20"/>
        <v>0.05</v>
      </c>
      <c r="F40" s="187">
        <f t="shared" si="22"/>
        <v>0.20000506597735582</v>
      </c>
      <c r="G40" s="40"/>
      <c r="H40" s="147">
        <f>População!B40</f>
        <v>28</v>
      </c>
      <c r="I40" s="109">
        <f>População!C40</f>
        <v>2054</v>
      </c>
      <c r="J40" s="121">
        <f>'Cota per capita e por economia '!AI40/30.4375/86.4</f>
        <v>93.007888319340452</v>
      </c>
      <c r="K40" s="121">
        <f>'Cota per capita e por economia '!AJ40/30.4375/86.4</f>
        <v>8.252770456165111</v>
      </c>
      <c r="L40" s="121">
        <f>'Cota per capita e por economia '!AK40/30.4375/86.4</f>
        <v>4.1510441718572553</v>
      </c>
      <c r="M40" s="121">
        <f>'Cota per capita e por economia '!AL40/30.4375/86.4</f>
        <v>2.6944170037219841</v>
      </c>
      <c r="N40" s="121">
        <f>'Cota per capita e por economia '!AM40/30.4375/86.4</f>
        <v>0.80187206670193534</v>
      </c>
      <c r="O40" s="121">
        <f t="shared" si="0"/>
        <v>108.90799201778673</v>
      </c>
      <c r="P40" s="121">
        <f t="shared" si="1"/>
        <v>19.219821053256069</v>
      </c>
      <c r="Q40" s="121">
        <f t="shared" si="2"/>
        <v>128.12781307104279</v>
      </c>
      <c r="R40" s="121">
        <f t="shared" si="3"/>
        <v>200.44271977085316</v>
      </c>
      <c r="S40" s="121">
        <f t="shared" si="4"/>
        <v>149.90941147460012</v>
      </c>
      <c r="T40" s="121">
        <f t="shared" si="5"/>
        <v>182.58180907993614</v>
      </c>
      <c r="U40" s="121">
        <f t="shared" si="6"/>
        <v>64.063906535521397</v>
      </c>
      <c r="V40" s="121">
        <f t="shared" si="7"/>
        <v>215.25420668527215</v>
      </c>
      <c r="W40" s="111">
        <f t="shared" si="8"/>
        <v>3436874.8489005067</v>
      </c>
      <c r="X40" s="111">
        <f t="shared" si="9"/>
        <v>4043406.2737707403</v>
      </c>
      <c r="Y40" s="178">
        <f t="shared" si="11"/>
        <v>4744118.3800805071</v>
      </c>
      <c r="AA40" s="181">
        <v>0</v>
      </c>
      <c r="AB40" s="102">
        <f t="shared" si="12"/>
        <v>0</v>
      </c>
      <c r="AC40" s="181">
        <f t="shared" si="13"/>
        <v>1</v>
      </c>
      <c r="AD40" s="102">
        <f t="shared" si="14"/>
        <v>4744118.3800805071</v>
      </c>
      <c r="AE40" s="102">
        <f t="shared" si="15"/>
        <v>446.94560049834428</v>
      </c>
      <c r="AF40" s="102">
        <f t="shared" si="16"/>
        <v>77.354514495467484</v>
      </c>
      <c r="AG40" s="182"/>
    </row>
    <row r="41" spans="2:33" x14ac:dyDescent="0.15">
      <c r="B41" s="147">
        <f>População!B41</f>
        <v>29</v>
      </c>
      <c r="C41" s="109">
        <f>População!C41</f>
        <v>2055</v>
      </c>
      <c r="D41" s="112">
        <f t="shared" si="10"/>
        <v>0.1500050659773558</v>
      </c>
      <c r="E41" s="112">
        <f t="shared" si="20"/>
        <v>0.05</v>
      </c>
      <c r="F41" s="187">
        <f t="shared" si="22"/>
        <v>0.20000506597735582</v>
      </c>
      <c r="G41" s="40"/>
      <c r="H41" s="147">
        <f>População!B41</f>
        <v>29</v>
      </c>
      <c r="I41" s="109">
        <f>População!C41</f>
        <v>2055</v>
      </c>
      <c r="J41" s="121">
        <f>'Cota per capita e por economia '!AI41/30.4375/86.4</f>
        <v>93.290589523273667</v>
      </c>
      <c r="K41" s="121">
        <f>'Cota per capita e por economia '!AJ41/30.4375/86.4</f>
        <v>8.2789033581795657</v>
      </c>
      <c r="L41" s="121">
        <f>'Cota per capita e por economia '!AK41/30.4375/86.4</f>
        <v>4.1510441718572553</v>
      </c>
      <c r="M41" s="121">
        <f>'Cota per capita e por economia '!AL41/30.4375/86.4</f>
        <v>2.6944170037219841</v>
      </c>
      <c r="N41" s="121">
        <f>'Cota per capita e por economia '!AM41/30.4375/86.4</f>
        <v>0.80561913243418737</v>
      </c>
      <c r="O41" s="121">
        <f t="shared" si="0"/>
        <v>109.22057318946665</v>
      </c>
      <c r="P41" s="121">
        <f t="shared" si="1"/>
        <v>19.274984628242606</v>
      </c>
      <c r="Q41" s="121">
        <f t="shared" si="2"/>
        <v>128.49555781770925</v>
      </c>
      <c r="R41" s="121">
        <f t="shared" si="3"/>
        <v>201.01801841551509</v>
      </c>
      <c r="S41" s="121">
        <f t="shared" si="4"/>
        <v>150.33967245560257</v>
      </c>
      <c r="T41" s="121">
        <f t="shared" si="5"/>
        <v>183.10584441244256</v>
      </c>
      <c r="U41" s="121">
        <f t="shared" si="6"/>
        <v>64.247778908854627</v>
      </c>
      <c r="V41" s="121">
        <f t="shared" si="7"/>
        <v>215.87201636928253</v>
      </c>
      <c r="W41" s="111">
        <f t="shared" si="8"/>
        <v>3446739.1604839126</v>
      </c>
      <c r="X41" s="111">
        <f t="shared" si="9"/>
        <v>4055011.4153881418</v>
      </c>
      <c r="Y41" s="178">
        <f t="shared" si="11"/>
        <v>4757734.663462095</v>
      </c>
      <c r="AA41" s="181">
        <v>0</v>
      </c>
      <c r="AB41" s="111">
        <f t="shared" si="12"/>
        <v>0</v>
      </c>
      <c r="AC41" s="181">
        <f t="shared" si="13"/>
        <v>1</v>
      </c>
      <c r="AD41" s="102">
        <f t="shared" si="14"/>
        <v>4757734.663462095</v>
      </c>
      <c r="AE41" s="102">
        <f t="shared" si="15"/>
        <v>448.22839689273695</v>
      </c>
      <c r="AF41" s="102">
        <f t="shared" si="16"/>
        <v>77.57653277280177</v>
      </c>
      <c r="AG41" s="182"/>
    </row>
    <row r="42" spans="2:33" s="153" customFormat="1" x14ac:dyDescent="0.15">
      <c r="B42" s="144">
        <f>População!B42</f>
        <v>30</v>
      </c>
      <c r="C42" s="101">
        <f>População!C42</f>
        <v>2056</v>
      </c>
      <c r="D42" s="110">
        <f t="shared" si="10"/>
        <v>0.1500050659773558</v>
      </c>
      <c r="E42" s="110">
        <f t="shared" si="20"/>
        <v>0.05</v>
      </c>
      <c r="F42" s="143">
        <f t="shared" si="22"/>
        <v>0.20000506597735582</v>
      </c>
      <c r="G42" s="39"/>
      <c r="H42" s="144">
        <f>População!B42</f>
        <v>30</v>
      </c>
      <c r="I42" s="101">
        <f>População!C42</f>
        <v>2056</v>
      </c>
      <c r="J42" s="120">
        <f>'Cota per capita e por economia '!AI42/30.4375/86.4</f>
        <v>93.559671001025677</v>
      </c>
      <c r="K42" s="120">
        <f>'Cota per capita e por economia '!AJ42/30.4375/86.4</f>
        <v>8.2998096797911298</v>
      </c>
      <c r="L42" s="120">
        <f>'Cota per capita e por economia '!AK42/30.4375/86.4</f>
        <v>4.1771513679066716</v>
      </c>
      <c r="M42" s="120">
        <f>'Cota per capita e por economia '!AL42/30.4375/86.4</f>
        <v>2.6944170037219841</v>
      </c>
      <c r="N42" s="120">
        <f>'Cota per capita e por economia '!AM42/30.4375/86.4</f>
        <v>0.8093661981664394</v>
      </c>
      <c r="O42" s="120">
        <f t="shared" si="0"/>
        <v>109.5404152506119</v>
      </c>
      <c r="P42" s="120">
        <f t="shared" si="1"/>
        <v>19.331429587575926</v>
      </c>
      <c r="Q42" s="120">
        <f t="shared" si="2"/>
        <v>128.87184483818783</v>
      </c>
      <c r="R42" s="120">
        <f t="shared" si="3"/>
        <v>201.60668056459411</v>
      </c>
      <c r="S42" s="120">
        <f t="shared" si="4"/>
        <v>150.77992788831023</v>
      </c>
      <c r="T42" s="120">
        <f t="shared" si="5"/>
        <v>183.64205246349377</v>
      </c>
      <c r="U42" s="120">
        <f t="shared" si="6"/>
        <v>64.435922419093913</v>
      </c>
      <c r="V42" s="120">
        <f t="shared" si="7"/>
        <v>216.50417703867737</v>
      </c>
      <c r="W42" s="102">
        <f t="shared" si="8"/>
        <v>3456832.6083127107</v>
      </c>
      <c r="X42" s="102">
        <f t="shared" si="9"/>
        <v>4066886.1306655966</v>
      </c>
      <c r="Y42" s="177">
        <f t="shared" si="11"/>
        <v>4771667.2369389273</v>
      </c>
      <c r="AA42" s="181">
        <v>0</v>
      </c>
      <c r="AB42" s="102">
        <f t="shared" si="12"/>
        <v>0</v>
      </c>
      <c r="AC42" s="181">
        <f t="shared" si="13"/>
        <v>1</v>
      </c>
      <c r="AD42" s="102">
        <f t="shared" si="14"/>
        <v>4771667.2369389273</v>
      </c>
      <c r="AE42" s="102">
        <f t="shared" si="15"/>
        <v>449.54099112420397</v>
      </c>
      <c r="AF42" s="102">
        <f t="shared" si="16"/>
        <v>77.803708271098358</v>
      </c>
      <c r="AG42" s="183"/>
    </row>
    <row r="43" spans="2:33" x14ac:dyDescent="0.15">
      <c r="B43" s="147">
        <f>População!B43</f>
        <v>31</v>
      </c>
      <c r="C43" s="109">
        <f>População!C43</f>
        <v>2057</v>
      </c>
      <c r="D43" s="112">
        <f t="shared" si="10"/>
        <v>0.1500050659773558</v>
      </c>
      <c r="E43" s="112">
        <f t="shared" si="20"/>
        <v>0.05</v>
      </c>
      <c r="F43" s="187">
        <f t="shared" si="22"/>
        <v>0.20000506597735582</v>
      </c>
      <c r="G43" s="40"/>
      <c r="H43" s="147">
        <f>População!B43</f>
        <v>31</v>
      </c>
      <c r="I43" s="109">
        <f>População!C43</f>
        <v>2057</v>
      </c>
      <c r="J43" s="121">
        <f>'Cota per capita e por economia '!AI43/30.4375/86.4</f>
        <v>93.8157190882918</v>
      </c>
      <c r="K43" s="121">
        <f>'Cota per capita e por economia '!AJ43/30.4375/86.4</f>
        <v>8.3259425818055863</v>
      </c>
      <c r="L43" s="121">
        <f>'Cota per capita e por economia '!AK43/30.4375/86.4</f>
        <v>4.1771513679066716</v>
      </c>
      <c r="M43" s="121">
        <f>'Cota per capita e por economia '!AL43/30.4375/86.4</f>
        <v>2.7166849128436534</v>
      </c>
      <c r="N43" s="121">
        <f>'Cota per capita e por economia '!AM43/30.4375/86.4</f>
        <v>0.8093661981664394</v>
      </c>
      <c r="O43" s="121">
        <f t="shared" si="0"/>
        <v>109.84486414901416</v>
      </c>
      <c r="P43" s="121">
        <f t="shared" si="1"/>
        <v>19.385157998491778</v>
      </c>
      <c r="Q43" s="121">
        <f t="shared" si="2"/>
        <v>129.23002214750593</v>
      </c>
      <c r="R43" s="121">
        <f t="shared" si="3"/>
        <v>202.16701194245132</v>
      </c>
      <c r="S43" s="121">
        <f t="shared" si="4"/>
        <v>151.19899497730876</v>
      </c>
      <c r="T43" s="121">
        <f t="shared" si="5"/>
        <v>184.15245422201303</v>
      </c>
      <c r="U43" s="121">
        <f t="shared" si="6"/>
        <v>64.615011073752967</v>
      </c>
      <c r="V43" s="121">
        <f t="shared" si="7"/>
        <v>217.10591346671725</v>
      </c>
      <c r="W43" s="111">
        <f t="shared" si="8"/>
        <v>3466440.2848689295</v>
      </c>
      <c r="X43" s="111">
        <f t="shared" si="9"/>
        <v>4078189.346922134</v>
      </c>
      <c r="Y43" s="178">
        <f t="shared" si="11"/>
        <v>4784929.2720563272</v>
      </c>
      <c r="AA43" s="181">
        <v>0</v>
      </c>
      <c r="AB43" s="111">
        <f t="shared" si="12"/>
        <v>0</v>
      </c>
      <c r="AC43" s="181">
        <f t="shared" si="13"/>
        <v>1</v>
      </c>
      <c r="AD43" s="102">
        <f t="shared" si="14"/>
        <v>4784929.2720563272</v>
      </c>
      <c r="AE43" s="102">
        <f t="shared" si="15"/>
        <v>450.7904136247605</v>
      </c>
      <c r="AF43" s="102">
        <f t="shared" si="16"/>
        <v>78.019950406209432</v>
      </c>
      <c r="AG43" s="182"/>
    </row>
    <row r="44" spans="2:33" x14ac:dyDescent="0.15">
      <c r="B44" s="147">
        <f>População!B44</f>
        <v>32</v>
      </c>
      <c r="C44" s="109">
        <f>População!C44</f>
        <v>2058</v>
      </c>
      <c r="D44" s="112">
        <f t="shared" si="10"/>
        <v>0.1500050659773558</v>
      </c>
      <c r="E44" s="112">
        <f t="shared" si="20"/>
        <v>0.05</v>
      </c>
      <c r="F44" s="187">
        <f t="shared" si="22"/>
        <v>0.20000506597735582</v>
      </c>
      <c r="G44" s="40"/>
      <c r="H44" s="147">
        <f>População!B44</f>
        <v>32</v>
      </c>
      <c r="I44" s="109">
        <f>População!C44</f>
        <v>2058</v>
      </c>
      <c r="J44" s="121">
        <f>'Cota per capita e por economia '!AI44/30.4375/86.4</f>
        <v>94.059301838648977</v>
      </c>
      <c r="K44" s="121">
        <f>'Cota per capita e por economia '!AJ44/30.4375/86.4</f>
        <v>8.3468489034171505</v>
      </c>
      <c r="L44" s="121">
        <f>'Cota per capita e por economia '!AK44/30.4375/86.4</f>
        <v>4.1771513679066716</v>
      </c>
      <c r="M44" s="121">
        <f>'Cota per capita e por economia '!AL44/30.4375/86.4</f>
        <v>2.7166849128436534</v>
      </c>
      <c r="N44" s="121">
        <f>'Cota per capita e por economia '!AM44/30.4375/86.4</f>
        <v>0.81311326389869143</v>
      </c>
      <c r="O44" s="121">
        <f t="shared" si="0"/>
        <v>110.11310028671514</v>
      </c>
      <c r="P44" s="121">
        <f t="shared" si="1"/>
        <v>19.432495668309315</v>
      </c>
      <c r="Q44" s="121">
        <f t="shared" si="2"/>
        <v>129.54559595502445</v>
      </c>
      <c r="R44" s="121">
        <f t="shared" si="3"/>
        <v>202.66069454540332</v>
      </c>
      <c r="S44" s="121">
        <f t="shared" si="4"/>
        <v>151.56821601236749</v>
      </c>
      <c r="T44" s="121">
        <f t="shared" si="5"/>
        <v>184.60214609838201</v>
      </c>
      <c r="U44" s="121">
        <f t="shared" si="6"/>
        <v>64.772797977512226</v>
      </c>
      <c r="V44" s="121">
        <f t="shared" si="7"/>
        <v>217.63607618439656</v>
      </c>
      <c r="W44" s="111">
        <f t="shared" si="8"/>
        <v>3474905.1736080418</v>
      </c>
      <c r="X44" s="111">
        <f t="shared" si="9"/>
        <v>4088148.09891028</v>
      </c>
      <c r="Y44" s="178">
        <f t="shared" si="11"/>
        <v>4796613.8506395156</v>
      </c>
      <c r="AA44" s="181">
        <v>0</v>
      </c>
      <c r="AB44" s="111">
        <f t="shared" si="12"/>
        <v>0</v>
      </c>
      <c r="AC44" s="181">
        <f t="shared" si="13"/>
        <v>1</v>
      </c>
      <c r="AD44" s="102">
        <f t="shared" si="14"/>
        <v>4796613.8506395156</v>
      </c>
      <c r="AE44" s="102">
        <f t="shared" si="15"/>
        <v>451.8912232110813</v>
      </c>
      <c r="AF44" s="102">
        <f t="shared" si="16"/>
        <v>78.21047155913466</v>
      </c>
      <c r="AG44" s="182"/>
    </row>
    <row r="45" spans="2:33" x14ac:dyDescent="0.15">
      <c r="B45" s="147">
        <f>População!B45</f>
        <v>33</v>
      </c>
      <c r="C45" s="109">
        <f>População!C45</f>
        <v>2059</v>
      </c>
      <c r="D45" s="112">
        <f t="shared" si="10"/>
        <v>0.1500050659773558</v>
      </c>
      <c r="E45" s="112">
        <f t="shared" si="20"/>
        <v>0.05</v>
      </c>
      <c r="F45" s="187">
        <f t="shared" si="22"/>
        <v>0.20000506597735582</v>
      </c>
      <c r="G45" s="40"/>
      <c r="H45" s="147">
        <f>População!B45</f>
        <v>33</v>
      </c>
      <c r="I45" s="109">
        <f>População!C45</f>
        <v>2059</v>
      </c>
      <c r="J45" s="121">
        <f>'Cota per capita e por economia '!AI45/30.4375/86.4</f>
        <v>94.290968863584794</v>
      </c>
      <c r="K45" s="121">
        <f>'Cota per capita e por economia '!AJ45/30.4375/86.4</f>
        <v>8.3677552250287146</v>
      </c>
      <c r="L45" s="121">
        <f>'Cota per capita e por economia '!AK45/30.4375/86.4</f>
        <v>4.2032585639560889</v>
      </c>
      <c r="M45" s="121">
        <f>'Cota per capita e por economia '!AL45/30.4375/86.4</f>
        <v>2.7166849128436534</v>
      </c>
      <c r="N45" s="121">
        <f>'Cota per capita e por economia '!AM45/30.4375/86.4</f>
        <v>0.81311326389869143</v>
      </c>
      <c r="O45" s="121">
        <f t="shared" si="0"/>
        <v>110.39178082931193</v>
      </c>
      <c r="P45" s="121">
        <f t="shared" si="1"/>
        <v>19.481676541636403</v>
      </c>
      <c r="Q45" s="121">
        <f t="shared" si="2"/>
        <v>129.87345737094833</v>
      </c>
      <c r="R45" s="121">
        <f t="shared" si="3"/>
        <v>203.17359984161143</v>
      </c>
      <c r="S45" s="121">
        <f t="shared" si="4"/>
        <v>151.9518135368107</v>
      </c>
      <c r="T45" s="121">
        <f t="shared" si="5"/>
        <v>185.06934778560429</v>
      </c>
      <c r="U45" s="121">
        <f t="shared" si="6"/>
        <v>64.936728685474165</v>
      </c>
      <c r="V45" s="121">
        <f t="shared" si="7"/>
        <v>218.18688203439785</v>
      </c>
      <c r="W45" s="111">
        <f t="shared" si="8"/>
        <v>3483699.662699094</v>
      </c>
      <c r="X45" s="111">
        <f t="shared" si="9"/>
        <v>4098494.6183294393</v>
      </c>
      <c r="Y45" s="178">
        <f t="shared" si="11"/>
        <v>4808753.3957712278</v>
      </c>
      <c r="AA45" s="181">
        <v>0</v>
      </c>
      <c r="AB45" s="102">
        <f t="shared" si="12"/>
        <v>0</v>
      </c>
      <c r="AC45" s="181">
        <f t="shared" si="13"/>
        <v>1</v>
      </c>
      <c r="AD45" s="102">
        <f t="shared" si="14"/>
        <v>4808753.3957712278</v>
      </c>
      <c r="AE45" s="102">
        <f t="shared" si="15"/>
        <v>453.03489540767976</v>
      </c>
      <c r="AF45" s="102">
        <f t="shared" si="16"/>
        <v>78.408411101242692</v>
      </c>
      <c r="AG45" s="182"/>
    </row>
    <row r="46" spans="2:33" x14ac:dyDescent="0.15">
      <c r="B46" s="147">
        <f>População!B46</f>
        <v>34</v>
      </c>
      <c r="C46" s="109">
        <f>População!C46</f>
        <v>2060</v>
      </c>
      <c r="D46" s="112">
        <f t="shared" ref="D46:D47" si="23">F46-E46</f>
        <v>0.1500050659773558</v>
      </c>
      <c r="E46" s="112">
        <f t="shared" ref="E46:E47" si="24">E45</f>
        <v>0.05</v>
      </c>
      <c r="F46" s="187">
        <f t="shared" ref="F46:F47" si="25">F45*(1-$F$3)</f>
        <v>0.20000506597735582</v>
      </c>
      <c r="G46" s="40"/>
      <c r="H46" s="147">
        <f>População!B46</f>
        <v>34</v>
      </c>
      <c r="I46" s="109">
        <f>População!C46</f>
        <v>2060</v>
      </c>
      <c r="J46" s="121">
        <f>'Cota per capita e por economia '!AI46/30.4375/86.4</f>
        <v>94.515852792014783</v>
      </c>
      <c r="K46" s="121">
        <f>'Cota per capita e por economia '!AJ46/30.4375/86.4</f>
        <v>8.3834349662373882</v>
      </c>
      <c r="L46" s="121">
        <f>'Cota per capita e por economia '!AK46/30.4375/86.4</f>
        <v>4.2032585639560889</v>
      </c>
      <c r="M46" s="121">
        <f>'Cota per capita e por economia '!AL46/30.4375/86.4</f>
        <v>2.7389528219653227</v>
      </c>
      <c r="N46" s="121">
        <f>'Cota per capita e por economia '!AM46/30.4375/86.4</f>
        <v>0.81686032963094346</v>
      </c>
      <c r="O46" s="121">
        <f t="shared" ref="O46:O47" si="26">J46+K46+L46+M46+N46</f>
        <v>110.65835947380452</v>
      </c>
      <c r="P46" s="121">
        <f t="shared" si="1"/>
        <v>19.528721701030491</v>
      </c>
      <c r="Q46" s="121">
        <f t="shared" ref="Q46:Q47" si="27">O46/(1-D46)</f>
        <v>130.18708117483501</v>
      </c>
      <c r="R46" s="121">
        <f t="shared" si="3"/>
        <v>203.66423186544122</v>
      </c>
      <c r="S46" s="121">
        <f t="shared" si="4"/>
        <v>152.31875306959591</v>
      </c>
      <c r="T46" s="121">
        <f t="shared" si="5"/>
        <v>185.51626091173728</v>
      </c>
      <c r="U46" s="121">
        <f t="shared" si="6"/>
        <v>65.093540587417507</v>
      </c>
      <c r="V46" s="121">
        <f t="shared" si="7"/>
        <v>218.71376875387861</v>
      </c>
      <c r="W46" s="111">
        <f t="shared" si="8"/>
        <v>3492112.2449305337</v>
      </c>
      <c r="X46" s="111">
        <f t="shared" ref="X46:X47" si="28">(Q46)*86.4*365.25</f>
        <v>4108391.8328829734</v>
      </c>
      <c r="Y46" s="178">
        <f t="shared" si="11"/>
        <v>4820365.7726376364</v>
      </c>
      <c r="AA46" s="181">
        <v>0</v>
      </c>
      <c r="AB46" s="102">
        <f t="shared" si="12"/>
        <v>0</v>
      </c>
      <c r="AC46" s="181">
        <f t="shared" ref="AC46:AC47" si="29">1-AA46</f>
        <v>1</v>
      </c>
      <c r="AD46" s="102">
        <f t="shared" si="14"/>
        <v>4820365.7726376364</v>
      </c>
      <c r="AE46" s="102">
        <f t="shared" si="15"/>
        <v>454.12890283666007</v>
      </c>
      <c r="AF46" s="102">
        <f t="shared" si="16"/>
        <v>78.597754979846357</v>
      </c>
      <c r="AG46" s="182"/>
    </row>
    <row r="47" spans="2:33" s="153" customFormat="1" ht="12.75" thickBot="1" x14ac:dyDescent="0.2">
      <c r="B47" s="148">
        <f>População!B47</f>
        <v>35</v>
      </c>
      <c r="C47" s="149">
        <f>População!C47</f>
        <v>2061</v>
      </c>
      <c r="D47" s="188">
        <f t="shared" si="23"/>
        <v>0.1500050659773558</v>
      </c>
      <c r="E47" s="188">
        <f t="shared" si="24"/>
        <v>0.05</v>
      </c>
      <c r="F47" s="189">
        <f t="shared" si="25"/>
        <v>0.20000506597735582</v>
      </c>
      <c r="G47" s="39"/>
      <c r="H47" s="148">
        <f>População!B47</f>
        <v>35</v>
      </c>
      <c r="I47" s="149">
        <f>População!C47</f>
        <v>2061</v>
      </c>
      <c r="J47" s="150">
        <f>'Cota per capita e por economia '!AI47/30.4375/86.4</f>
        <v>94.294307761501997</v>
      </c>
      <c r="K47" s="150">
        <f>'Cota per capita e por economia '!AJ47/30.4375/86.4</f>
        <v>8.3677552250287146</v>
      </c>
      <c r="L47" s="150">
        <f>'Cota per capita e por economia '!AK47/30.4375/86.4</f>
        <v>4.2032585639560889</v>
      </c>
      <c r="M47" s="150">
        <f>'Cota per capita e por economia '!AL47/30.4375/86.4</f>
        <v>2.7166849128436534</v>
      </c>
      <c r="N47" s="150">
        <f>'Cota per capita e por economia '!AM47/30.4375/86.4</f>
        <v>0.81311326389869143</v>
      </c>
      <c r="O47" s="150">
        <f t="shared" si="26"/>
        <v>110.39511972722913</v>
      </c>
      <c r="P47" s="150">
        <f t="shared" si="1"/>
        <v>19.482265782327502</v>
      </c>
      <c r="Q47" s="150">
        <f t="shared" si="27"/>
        <v>129.87738550955663</v>
      </c>
      <c r="R47" s="150">
        <f t="shared" si="3"/>
        <v>203.17974500843678</v>
      </c>
      <c r="S47" s="150">
        <f t="shared" si="4"/>
        <v>151.95640945500247</v>
      </c>
      <c r="T47" s="150">
        <f t="shared" si="5"/>
        <v>185.0749453731712</v>
      </c>
      <c r="U47" s="150">
        <f t="shared" si="6"/>
        <v>64.938692754778316</v>
      </c>
      <c r="V47" s="150">
        <f t="shared" si="7"/>
        <v>218.19348129133994</v>
      </c>
      <c r="W47" s="179">
        <f t="shared" si="8"/>
        <v>3483805.0303040058</v>
      </c>
      <c r="X47" s="179">
        <f t="shared" si="28"/>
        <v>4098618.580956385</v>
      </c>
      <c r="Y47" s="180">
        <f t="shared" si="11"/>
        <v>4808898.840808684</v>
      </c>
      <c r="AA47" s="181">
        <v>0</v>
      </c>
      <c r="AB47" s="102">
        <f t="shared" si="12"/>
        <v>0</v>
      </c>
      <c r="AC47" s="181">
        <f t="shared" si="29"/>
        <v>1</v>
      </c>
      <c r="AD47" s="102">
        <f t="shared" si="14"/>
        <v>4808898.840808684</v>
      </c>
      <c r="AE47" s="102">
        <f t="shared" si="15"/>
        <v>453.04859785234856</v>
      </c>
      <c r="AF47" s="102">
        <f t="shared" si="16"/>
        <v>78.410782633602722</v>
      </c>
      <c r="AG47" s="183"/>
    </row>
  </sheetData>
  <mergeCells count="9">
    <mergeCell ref="AA5:AF5"/>
    <mergeCell ref="G9:G10"/>
    <mergeCell ref="R1:W1"/>
    <mergeCell ref="B6:C7"/>
    <mergeCell ref="H6:I7"/>
    <mergeCell ref="B5:F5"/>
    <mergeCell ref="D1:F1"/>
    <mergeCell ref="J1:M1"/>
    <mergeCell ref="H5:Y5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4371-EFAC-4117-B5A8-A9B3BE7EDF5E}">
  <dimension ref="B1:S47"/>
  <sheetViews>
    <sheetView showGridLines="0" topLeftCell="A43" workbookViewId="0">
      <selection activeCell="Q84" sqref="Q84"/>
    </sheetView>
  </sheetViews>
  <sheetFormatPr defaultRowHeight="12" x14ac:dyDescent="0.15"/>
  <cols>
    <col min="4" max="4" width="11.75" bestFit="1" customWidth="1"/>
    <col min="17" max="17" width="30.375" customWidth="1"/>
  </cols>
  <sheetData>
    <row r="1" spans="2:19" x14ac:dyDescent="0.15">
      <c r="B1" s="40"/>
      <c r="C1" s="40"/>
      <c r="D1" s="40"/>
      <c r="E1" s="40"/>
      <c r="F1" s="40"/>
      <c r="G1" s="40"/>
      <c r="H1" s="40"/>
      <c r="I1" s="40"/>
    </row>
    <row r="2" spans="2:19" ht="36" x14ac:dyDescent="0.15">
      <c r="B2" s="40"/>
      <c r="C2" s="40"/>
      <c r="D2" s="126" t="s">
        <v>223</v>
      </c>
      <c r="E2" s="40"/>
      <c r="F2" s="40"/>
      <c r="G2" s="40"/>
      <c r="H2" s="40"/>
      <c r="I2" s="40"/>
      <c r="M2" s="130" t="s">
        <v>280</v>
      </c>
      <c r="N2" s="130" t="s">
        <v>281</v>
      </c>
      <c r="O2" s="130" t="s">
        <v>282</v>
      </c>
      <c r="Q2" t="s">
        <v>283</v>
      </c>
      <c r="R2">
        <v>4.3000000000000002E-5</v>
      </c>
      <c r="S2" t="s">
        <v>284</v>
      </c>
    </row>
    <row r="3" spans="2:19" x14ac:dyDescent="0.15">
      <c r="B3" s="40"/>
      <c r="C3" s="40"/>
      <c r="D3" s="154">
        <v>7.0000000000000007E-2</v>
      </c>
      <c r="E3" s="40"/>
      <c r="F3" s="40"/>
      <c r="G3" s="40"/>
      <c r="H3" s="40"/>
      <c r="I3" s="40"/>
      <c r="M3" s="155">
        <v>0.2</v>
      </c>
      <c r="N3" s="154">
        <v>4.3000000000000002E-5</v>
      </c>
      <c r="O3" s="154">
        <v>6.6305350815076976E-5</v>
      </c>
      <c r="Q3" t="s">
        <v>286</v>
      </c>
      <c r="R3">
        <v>2.6999999999999999E-5</v>
      </c>
      <c r="S3" t="s">
        <v>284</v>
      </c>
    </row>
    <row r="4" spans="2:19" ht="12.75" thickBot="1" x14ac:dyDescent="0.2">
      <c r="B4" s="40"/>
      <c r="C4" s="40"/>
      <c r="D4" s="40"/>
      <c r="E4" s="40"/>
      <c r="F4" s="40"/>
      <c r="G4" s="40"/>
      <c r="H4" s="40"/>
      <c r="I4" s="40"/>
      <c r="Q4" t="s">
        <v>285</v>
      </c>
    </row>
    <row r="5" spans="2:19" ht="19.5" thickBot="1" x14ac:dyDescent="0.2">
      <c r="B5" s="223" t="s">
        <v>219</v>
      </c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5"/>
    </row>
    <row r="6" spans="2:19" ht="48" x14ac:dyDescent="0.15">
      <c r="B6" s="242" t="str">
        <f>População!B6</f>
        <v>ANO</v>
      </c>
      <c r="C6" s="231"/>
      <c r="D6" s="127" t="s">
        <v>45</v>
      </c>
      <c r="E6" s="127" t="s">
        <v>46</v>
      </c>
      <c r="F6" s="127" t="s">
        <v>93</v>
      </c>
      <c r="G6" s="127" t="s">
        <v>30</v>
      </c>
      <c r="H6" s="127" t="s">
        <v>31</v>
      </c>
      <c r="I6" s="127" t="s">
        <v>32</v>
      </c>
      <c r="J6" s="138" t="s">
        <v>273</v>
      </c>
      <c r="K6" s="138" t="s">
        <v>274</v>
      </c>
      <c r="L6" s="138" t="s">
        <v>275</v>
      </c>
      <c r="M6" s="138" t="s">
        <v>276</v>
      </c>
      <c r="N6" s="138" t="s">
        <v>277</v>
      </c>
      <c r="O6" s="176" t="s">
        <v>278</v>
      </c>
    </row>
    <row r="7" spans="2:19" x14ac:dyDescent="0.15">
      <c r="B7" s="243"/>
      <c r="C7" s="220"/>
      <c r="D7" s="110" t="s">
        <v>19</v>
      </c>
      <c r="E7" s="110" t="s">
        <v>19</v>
      </c>
      <c r="F7" s="110" t="s">
        <v>19</v>
      </c>
      <c r="G7" s="110" t="s">
        <v>19</v>
      </c>
      <c r="H7" s="110" t="s">
        <v>19</v>
      </c>
      <c r="I7" s="110" t="s">
        <v>19</v>
      </c>
      <c r="J7" s="110" t="s">
        <v>222</v>
      </c>
      <c r="K7" s="110" t="s">
        <v>222</v>
      </c>
      <c r="L7" s="110" t="s">
        <v>222</v>
      </c>
      <c r="M7" s="110" t="s">
        <v>222</v>
      </c>
      <c r="N7" s="110" t="s">
        <v>279</v>
      </c>
      <c r="O7" s="143" t="s">
        <v>279</v>
      </c>
    </row>
    <row r="8" spans="2:19" x14ac:dyDescent="0.15">
      <c r="B8" s="144" t="str">
        <f>População!B8</f>
        <v>CENSO</v>
      </c>
      <c r="C8" s="101">
        <f>População!C8</f>
        <v>2022</v>
      </c>
      <c r="D8" s="120">
        <f>$D$3*'Redes e Reservasão'!U8/1000</f>
        <v>0</v>
      </c>
      <c r="E8" s="120">
        <f>'Atendimento '!F8*'Perdas e Vazões de Água'!V8/'Atendimento '!D8*'Perdas e Vazões de Água'!$U$3</f>
        <v>0</v>
      </c>
      <c r="F8" s="120">
        <f t="shared" ref="F8:F45" si="0">D8+E8</f>
        <v>0</v>
      </c>
      <c r="G8" s="120">
        <f>'Atendimento '!F8*'Perdas e Vazões de Água'!S8/'Atendimento '!D8*'Perdas e Vazões de Água'!$U$3+D8</f>
        <v>0</v>
      </c>
      <c r="H8" s="120">
        <f>'Atendimento '!F8*'Perdas e Vazões de Água'!T8/'Atendimento '!D8*'Perdas e Vazões de Água'!$U$3+D8</f>
        <v>0</v>
      </c>
      <c r="I8" s="120">
        <f>'Atendimento '!F8*'Perdas e Vazões de Água'!U8/'Atendimento '!D8*'Perdas e Vazões de Água'!$U$3+D8</f>
        <v>0</v>
      </c>
      <c r="J8" s="102">
        <f>'Cota per capita e por economia '!I8*'Economais e Ligações Esgoto'!R8</f>
        <v>0</v>
      </c>
      <c r="K8" s="102">
        <f>J8*'Perdas e Vazões de Água'!$U$3</f>
        <v>0</v>
      </c>
      <c r="L8" s="102">
        <f>ROUND(D8*86.4*365.25,0)</f>
        <v>0</v>
      </c>
      <c r="M8" s="102">
        <f t="shared" ref="M8:M9" si="1">K8+L8</f>
        <v>0</v>
      </c>
      <c r="N8" s="102">
        <f>($N$3*365.25*'Atendimento '!I8/(1-$M$3))</f>
        <v>0</v>
      </c>
      <c r="O8" s="177">
        <f t="shared" ref="O8:O9" si="2">$O$3*M8</f>
        <v>0</v>
      </c>
    </row>
    <row r="9" spans="2:19" x14ac:dyDescent="0.15">
      <c r="B9" s="147">
        <f>População!B9</f>
        <v>-2</v>
      </c>
      <c r="C9" s="109">
        <f>População!C9</f>
        <v>2023</v>
      </c>
      <c r="D9" s="121">
        <f>$D$3*'Redes e Reservasão'!U9/1000</f>
        <v>0</v>
      </c>
      <c r="E9" s="121">
        <f>'Atendimento '!F9*'Perdas e Vazões de Água'!V9/'Atendimento '!D9*'Perdas e Vazões de Água'!$U$3</f>
        <v>0</v>
      </c>
      <c r="F9" s="121">
        <f t="shared" si="0"/>
        <v>0</v>
      </c>
      <c r="G9" s="121">
        <f>'Atendimento '!F9*'Perdas e Vazões de Água'!S9/'Atendimento '!D9*'Perdas e Vazões de Água'!$U$3+D9</f>
        <v>0</v>
      </c>
      <c r="H9" s="121">
        <f>'Atendimento '!F9*'Perdas e Vazões de Água'!T9/'Atendimento '!D9*'Perdas e Vazões de Água'!$U$3+D9</f>
        <v>0</v>
      </c>
      <c r="I9" s="121">
        <f>'Atendimento '!F9*'Perdas e Vazões de Água'!U9/'Atendimento '!D9*'Perdas e Vazões de Água'!$U$3+D9</f>
        <v>0</v>
      </c>
      <c r="J9" s="111">
        <f>'Cota per capita e por economia '!I9*'Economais e Ligações Esgoto'!R9</f>
        <v>0</v>
      </c>
      <c r="K9" s="111">
        <f>J9*'Perdas e Vazões de Água'!$U$3</f>
        <v>0</v>
      </c>
      <c r="L9" s="111">
        <f t="shared" ref="L9:L47" si="3">ROUND(D9*86.4*365.25,0)</f>
        <v>0</v>
      </c>
      <c r="M9" s="111">
        <f t="shared" si="1"/>
        <v>0</v>
      </c>
      <c r="N9" s="111">
        <f>($N$3*365.25*'Atendimento '!I9/(1-$M$3))</f>
        <v>0</v>
      </c>
      <c r="O9" s="178">
        <f t="shared" si="2"/>
        <v>0</v>
      </c>
    </row>
    <row r="10" spans="2:19" x14ac:dyDescent="0.15">
      <c r="B10" s="147">
        <f>População!B10</f>
        <v>-1</v>
      </c>
      <c r="C10" s="109">
        <f>População!C10</f>
        <v>2024</v>
      </c>
      <c r="D10" s="121">
        <f>$D$3*'Redes e Reservasão'!U10/1000</f>
        <v>0</v>
      </c>
      <c r="E10" s="121">
        <f>'Atendimento '!F10*'Perdas e Vazões de Água'!V10/'Atendimento '!D10*'Perdas e Vazões de Água'!$U$3</f>
        <v>0</v>
      </c>
      <c r="F10" s="121">
        <f t="shared" si="0"/>
        <v>0</v>
      </c>
      <c r="G10" s="121">
        <f>'Atendimento '!F10*'Perdas e Vazões de Água'!S10/'Atendimento '!D10*'Perdas e Vazões de Água'!$U$3+D10</f>
        <v>0</v>
      </c>
      <c r="H10" s="121">
        <f>'Atendimento '!F10*'Perdas e Vazões de Água'!T10/'Atendimento '!D10*'Perdas e Vazões de Água'!$U$3+D10</f>
        <v>0</v>
      </c>
      <c r="I10" s="121">
        <f>'Atendimento '!F10*'Perdas e Vazões de Água'!U10/'Atendimento '!D10*'Perdas e Vazões de Água'!$U$3+D10</f>
        <v>0</v>
      </c>
      <c r="J10" s="111">
        <f>'Cota per capita e por economia '!I10*'Economais e Ligações Esgoto'!R10</f>
        <v>0</v>
      </c>
      <c r="K10" s="111">
        <f>J10*'Perdas e Vazões de Água'!$U$3</f>
        <v>0</v>
      </c>
      <c r="L10" s="111">
        <f t="shared" si="3"/>
        <v>0</v>
      </c>
      <c r="M10" s="111">
        <f>K10+L10</f>
        <v>0</v>
      </c>
      <c r="N10" s="111">
        <f>($N$3*365.25*'Atendimento '!I10/(1-$M$3))</f>
        <v>0</v>
      </c>
      <c r="O10" s="178">
        <f>$O$3*M10</f>
        <v>0</v>
      </c>
    </row>
    <row r="11" spans="2:19" x14ac:dyDescent="0.15">
      <c r="B11" s="144" t="str">
        <f>População!B11</f>
        <v>Base</v>
      </c>
      <c r="C11" s="101">
        <f>População!C11</f>
        <v>2025</v>
      </c>
      <c r="D11" s="120">
        <f>$D$3*'Redes e Reservasão'!U11/1000</f>
        <v>0</v>
      </c>
      <c r="E11" s="120">
        <f>'Atendimento '!F11*'Perdas e Vazões de Água'!V11/'Atendimento '!D11*'Perdas e Vazões de Água'!$U$3</f>
        <v>0</v>
      </c>
      <c r="F11" s="120">
        <f t="shared" si="0"/>
        <v>0</v>
      </c>
      <c r="G11" s="120">
        <f>'Atendimento '!F11*'Perdas e Vazões de Água'!S11/'Atendimento '!D11*'Perdas e Vazões de Água'!$U$3+D11</f>
        <v>0</v>
      </c>
      <c r="H11" s="120">
        <f>'Atendimento '!F11*'Perdas e Vazões de Água'!T11/'Atendimento '!D11*'Perdas e Vazões de Água'!$U$3+D11</f>
        <v>0</v>
      </c>
      <c r="I11" s="120">
        <f>'Atendimento '!F11*'Perdas e Vazões de Água'!U11/'Atendimento '!D11*'Perdas e Vazões de Água'!$U$3+D11</f>
        <v>0</v>
      </c>
      <c r="J11" s="102">
        <f>'Cota per capita e por economia '!I11*'Economais e Ligações Esgoto'!R11</f>
        <v>0</v>
      </c>
      <c r="K11" s="102">
        <f>J11*'Perdas e Vazões de Água'!$U$3</f>
        <v>0</v>
      </c>
      <c r="L11" s="102">
        <f t="shared" si="3"/>
        <v>0</v>
      </c>
      <c r="M11" s="102">
        <f t="shared" ref="M11:M47" si="4">K11+L11</f>
        <v>0</v>
      </c>
      <c r="N11" s="102">
        <f>($N$3*365.25*'Atendimento '!I11/(1-$M$3))</f>
        <v>0</v>
      </c>
      <c r="O11" s="177">
        <f t="shared" ref="O11:O47" si="5">$O$3*M11</f>
        <v>0</v>
      </c>
    </row>
    <row r="12" spans="2:19" x14ac:dyDescent="0.15">
      <c r="B12" s="147">
        <f>População!B12</f>
        <v>0</v>
      </c>
      <c r="C12" s="109">
        <f>População!C12</f>
        <v>2026</v>
      </c>
      <c r="D12" s="121">
        <f>$D$3*'Redes e Reservasão'!U12/1000</f>
        <v>0</v>
      </c>
      <c r="E12" s="121">
        <f>'Atendimento '!F12*'Perdas e Vazões de Água'!V12/'Atendimento '!D12*'Perdas e Vazões de Água'!$U$3</f>
        <v>0</v>
      </c>
      <c r="F12" s="121">
        <f t="shared" si="0"/>
        <v>0</v>
      </c>
      <c r="G12" s="121">
        <f>'Atendimento '!F12*'Perdas e Vazões de Água'!S12/'Atendimento '!D12*'Perdas e Vazões de Água'!$U$3+D12</f>
        <v>0</v>
      </c>
      <c r="H12" s="121">
        <f>'Atendimento '!F12*'Perdas e Vazões de Água'!T12/'Atendimento '!D12*'Perdas e Vazões de Água'!$U$3+D12</f>
        <v>0</v>
      </c>
      <c r="I12" s="121">
        <f>'Atendimento '!F12*'Perdas e Vazões de Água'!U12/'Atendimento '!D12*'Perdas e Vazões de Água'!$U$3+D12</f>
        <v>0</v>
      </c>
      <c r="J12" s="111">
        <f>'Cota per capita e por economia '!I12*'Economais e Ligações Esgoto'!R12</f>
        <v>0</v>
      </c>
      <c r="K12" s="111">
        <f>J12*'Perdas e Vazões de Água'!$U$3</f>
        <v>0</v>
      </c>
      <c r="L12" s="111">
        <f t="shared" si="3"/>
        <v>0</v>
      </c>
      <c r="M12" s="111">
        <f t="shared" si="4"/>
        <v>0</v>
      </c>
      <c r="N12" s="111">
        <f>($N$3*365.25*'Atendimento '!I12/(1-$M$3))</f>
        <v>0</v>
      </c>
      <c r="O12" s="178">
        <f t="shared" si="5"/>
        <v>0</v>
      </c>
    </row>
    <row r="13" spans="2:19" x14ac:dyDescent="0.15">
      <c r="B13" s="144">
        <f>População!B13</f>
        <v>1</v>
      </c>
      <c r="C13" s="101">
        <f>População!C13</f>
        <v>2027</v>
      </c>
      <c r="D13" s="120">
        <f>$D$3*'Redes e Reservasão'!U13/1000</f>
        <v>0</v>
      </c>
      <c r="E13" s="120">
        <f>'Atendimento '!F13*'Perdas e Vazões de Água'!V13/'Atendimento '!D13*'Perdas e Vazões de Água'!$U$3</f>
        <v>0</v>
      </c>
      <c r="F13" s="120">
        <f t="shared" si="0"/>
        <v>0</v>
      </c>
      <c r="G13" s="120">
        <f>'Atendimento '!F13*'Perdas e Vazões de Água'!S13/'Atendimento '!D13*'Perdas e Vazões de Água'!$U$3+D13</f>
        <v>0</v>
      </c>
      <c r="H13" s="120">
        <f>'Atendimento '!F13*'Perdas e Vazões de Água'!T13/'Atendimento '!D13*'Perdas e Vazões de Água'!$U$3+D13</f>
        <v>0</v>
      </c>
      <c r="I13" s="120">
        <f>'Atendimento '!F13*'Perdas e Vazões de Água'!U13/'Atendimento '!D13*'Perdas e Vazões de Água'!$U$3+D13</f>
        <v>0</v>
      </c>
      <c r="J13" s="102">
        <f>'Cota per capita e por economia '!I13*'Economais e Ligações Esgoto'!R13</f>
        <v>0</v>
      </c>
      <c r="K13" s="102">
        <f>J13*'Perdas e Vazões de Água'!$U$3</f>
        <v>0</v>
      </c>
      <c r="L13" s="102">
        <f t="shared" si="3"/>
        <v>0</v>
      </c>
      <c r="M13" s="102">
        <f t="shared" si="4"/>
        <v>0</v>
      </c>
      <c r="N13" s="102">
        <f>($N$3*365.25*'Atendimento '!I13/(1-$M$3))</f>
        <v>0</v>
      </c>
      <c r="O13" s="177">
        <f t="shared" si="5"/>
        <v>0</v>
      </c>
    </row>
    <row r="14" spans="2:19" x14ac:dyDescent="0.15">
      <c r="B14" s="147">
        <f>População!B14</f>
        <v>2</v>
      </c>
      <c r="C14" s="109">
        <f>População!C14</f>
        <v>2028</v>
      </c>
      <c r="D14" s="121">
        <f>$D$3*'Redes e Reservasão'!U14/1000</f>
        <v>4.4866362471495247</v>
      </c>
      <c r="E14" s="121">
        <f>'Atendimento '!F14*'Perdas e Vazões de Água'!V14/'Atendimento '!D14*'Perdas e Vazões de Água'!$U$3</f>
        <v>33.225424727732729</v>
      </c>
      <c r="F14" s="121">
        <f t="shared" si="0"/>
        <v>37.712060974882256</v>
      </c>
      <c r="G14" s="121">
        <f>'Atendimento '!F14*'Perdas e Vazões de Água'!S14/'Atendimento '!D14*'Perdas e Vazões de Água'!$U$3+D14</f>
        <v>28.871992720636833</v>
      </c>
      <c r="H14" s="121">
        <f>'Atendimento '!F14*'Perdas e Vazões de Água'!T14/'Atendimento '!D14*'Perdas e Vazões de Água'!$U$3+D14</f>
        <v>33.292026847759544</v>
      </c>
      <c r="I14" s="121">
        <f>'Atendimento '!F14*'Perdas e Vazões de Água'!U14/'Atendimento '!D14*'Perdas e Vazões de Água'!$U$3+D14</f>
        <v>15.205969774852273</v>
      </c>
      <c r="J14" s="111">
        <f>'Cota per capita e por economia '!I14*'Economais e Ligações Esgoto'!R14</f>
        <v>598901.12361678877</v>
      </c>
      <c r="K14" s="111">
        <f>J14*'Perdas e Vazões de Água'!$U$3</f>
        <v>479120.89889343106</v>
      </c>
      <c r="L14" s="111">
        <f t="shared" si="3"/>
        <v>141587</v>
      </c>
      <c r="M14" s="111">
        <f t="shared" si="4"/>
        <v>620707.89889343106</v>
      </c>
      <c r="N14" s="111">
        <f>($N$3*365.25*'Atendimento '!I14/(1-$M$3))</f>
        <v>184.99410281249999</v>
      </c>
      <c r="O14" s="178">
        <f t="shared" si="5"/>
        <v>41.156254989818279</v>
      </c>
    </row>
    <row r="15" spans="2:19" x14ac:dyDescent="0.15">
      <c r="B15" s="147">
        <f>População!B15</f>
        <v>3</v>
      </c>
      <c r="C15" s="109">
        <f>População!C15</f>
        <v>2029</v>
      </c>
      <c r="D15" s="121">
        <f>$D$3*'Redes e Reservasão'!U15/1000</f>
        <v>9.15874037769923</v>
      </c>
      <c r="E15" s="121">
        <f>'Atendimento '!F15*'Perdas e Vazões de Água'!V15/'Atendimento '!D15*'Perdas e Vazões de Água'!$U$3</f>
        <v>65.894243742445866</v>
      </c>
      <c r="F15" s="121">
        <f t="shared" si="0"/>
        <v>75.052984120145098</v>
      </c>
      <c r="G15" s="121">
        <f>'Atendimento '!F15*'Perdas e Vazões de Água'!S15/'Atendimento '!D15*'Perdas e Vazões de Água'!$U$3+D15</f>
        <v>57.173930014817984</v>
      </c>
      <c r="H15" s="121">
        <f>'Atendimento '!F15*'Perdas e Vazões de Água'!T15/'Atendimento '!D15*'Perdas e Vazões de Água'!$U$3+D15</f>
        <v>66.113457067481548</v>
      </c>
      <c r="I15" s="121">
        <f>'Atendimento '!F15*'Perdas e Vazões de Água'!U15/'Atendimento '!D15*'Perdas e Vazões de Água'!$U$3+D15</f>
        <v>30.186492845370751</v>
      </c>
      <c r="J15" s="111">
        <f>'Cota per capita e por economia '!I15*'Economais e Ligações Esgoto'!R15</f>
        <v>1250819.3126676185</v>
      </c>
      <c r="K15" s="111">
        <f>J15*'Perdas e Vazões de Água'!$U$3</f>
        <v>1000655.4501340948</v>
      </c>
      <c r="L15" s="111">
        <f t="shared" si="3"/>
        <v>289028</v>
      </c>
      <c r="M15" s="111">
        <f t="shared" si="4"/>
        <v>1289683.4501340948</v>
      </c>
      <c r="N15" s="111">
        <f>($N$3*365.25*'Atendimento '!I15/(1-$M$3))</f>
        <v>374.11096499999996</v>
      </c>
      <c r="O15" s="178">
        <f t="shared" si="5"/>
        <v>85.512913601539992</v>
      </c>
    </row>
    <row r="16" spans="2:19" x14ac:dyDescent="0.15">
      <c r="B16" s="147">
        <f>População!B16</f>
        <v>4</v>
      </c>
      <c r="C16" s="109">
        <f>População!C16</f>
        <v>2030</v>
      </c>
      <c r="D16" s="121">
        <f>$D$3*'Redes e Reservasão'!U16/1000</f>
        <v>14.012843151877179</v>
      </c>
      <c r="E16" s="121">
        <f>'Atendimento '!F16*'Perdas e Vazões de Água'!V16/'Atendimento '!D16*'Perdas e Vazões de Água'!$U$3</f>
        <v>97.68551271191825</v>
      </c>
      <c r="F16" s="121">
        <f t="shared" si="0"/>
        <v>111.69835586379543</v>
      </c>
      <c r="G16" s="121">
        <f>'Atendimento '!F16*'Perdas e Vazões de Água'!S16/'Atendimento '!D16*'Perdas e Vazões de Água'!$U$3+D16</f>
        <v>84.597755079947788</v>
      </c>
      <c r="H16" s="121">
        <f>'Atendimento '!F16*'Perdas e Vazões de Água'!T16/'Atendimento '!D16*'Perdas e Vazões de Água'!$U$3+D16</f>
        <v>98.148055471871629</v>
      </c>
      <c r="I16" s="121">
        <f>'Atendimento '!F16*'Perdas e Vazões de Água'!U16/'Atendimento '!D16*'Perdas e Vazões de Água'!$U$3+D16</f>
        <v>44.788532318604553</v>
      </c>
      <c r="J16" s="111">
        <f>'Cota per capita e por economia '!I16*'Economais e Ligações Esgoto'!R16</f>
        <v>1935401.8252745853</v>
      </c>
      <c r="K16" s="111">
        <f>J16*'Perdas e Vazões de Água'!$U$3</f>
        <v>1548321.4602196682</v>
      </c>
      <c r="L16" s="111">
        <f t="shared" si="3"/>
        <v>442212</v>
      </c>
      <c r="M16" s="111">
        <f t="shared" si="4"/>
        <v>1990533.4602196682</v>
      </c>
      <c r="N16" s="111">
        <f>($N$3*365.25*'Atendimento '!I16/(1-$M$3))</f>
        <v>567.13463249999995</v>
      </c>
      <c r="O16" s="178">
        <f t="shared" si="5"/>
        <v>131.98301938901417</v>
      </c>
    </row>
    <row r="17" spans="2:15" x14ac:dyDescent="0.15">
      <c r="B17" s="144">
        <f>População!B17</f>
        <v>5</v>
      </c>
      <c r="C17" s="101">
        <f>População!C17</f>
        <v>2031</v>
      </c>
      <c r="D17" s="120">
        <f>$D$3*'Redes e Reservasão'!U17/1000</f>
        <v>19.045563411957183</v>
      </c>
      <c r="E17" s="120">
        <f>'Atendimento '!F17*'Perdas e Vazões de Água'!V17/'Atendimento '!D17*'Perdas e Vazões de Água'!$U$3</f>
        <v>129.10844240053137</v>
      </c>
      <c r="F17" s="120">
        <f t="shared" si="0"/>
        <v>148.15400581248855</v>
      </c>
      <c r="G17" s="120">
        <f>'Atendimento '!F17*'Perdas e Vazões de Água'!S17/'Atendimento '!D17*'Perdas e Vazões de Água'!$U$3+D17</f>
        <v>111.64946345826422</v>
      </c>
      <c r="H17" s="120">
        <f>'Atendimento '!F17*'Perdas e Vazões de Água'!T17/'Atendimento '!D17*'Perdas e Vazões de Água'!$U$3+D17</f>
        <v>129.90173463537641</v>
      </c>
      <c r="I17" s="120">
        <f>'Atendimento '!F17*'Perdas e Vazões de Água'!U17/'Atendimento '!D17*'Perdas e Vazões de Água'!$U$3+D17</f>
        <v>59.263423042739994</v>
      </c>
      <c r="J17" s="102">
        <f>'Cota per capita e por economia '!I17*'Economais e Ligações Esgoto'!R17</f>
        <v>2658194.4167218539</v>
      </c>
      <c r="K17" s="102">
        <f>J17*'Perdas e Vazões de Água'!$U$3</f>
        <v>2126555.533377483</v>
      </c>
      <c r="L17" s="102">
        <f t="shared" si="3"/>
        <v>601032</v>
      </c>
      <c r="M17" s="102">
        <f t="shared" si="4"/>
        <v>2727587.533377483</v>
      </c>
      <c r="N17" s="102">
        <f>($N$3*365.25*'Atendimento '!I17/(1-$M$3))</f>
        <v>763.84915124999998</v>
      </c>
      <c r="O17" s="177">
        <f t="shared" si="5"/>
        <v>180.8536482794245</v>
      </c>
    </row>
    <row r="18" spans="2:15" x14ac:dyDescent="0.15">
      <c r="B18" s="147">
        <f>População!B18</f>
        <v>6</v>
      </c>
      <c r="C18" s="109">
        <f>População!C18</f>
        <v>2032</v>
      </c>
      <c r="D18" s="121">
        <f>$D$3*'Redes e Reservasão'!U18/1000</f>
        <v>20.615544022164716</v>
      </c>
      <c r="E18" s="121">
        <f>'Atendimento '!F18*'Perdas e Vazões de Água'!V18/'Atendimento '!D18*'Perdas e Vazões de Água'!$U$3</f>
        <v>136.24203910712907</v>
      </c>
      <c r="F18" s="121">
        <f t="shared" si="0"/>
        <v>156.8575831292938</v>
      </c>
      <c r="G18" s="121">
        <f>'Atendimento '!F18*'Perdas e Vazões de Água'!S18/'Atendimento '!D18*'Perdas e Vazões de Água'!$U$3+D18</f>
        <v>117.69863680248048</v>
      </c>
      <c r="H18" s="121">
        <f>'Atendimento '!F18*'Perdas e Vazões de Água'!T18/'Atendimento '!D18*'Perdas e Vazões de Água'!$U$3+D18</f>
        <v>137.27810996588715</v>
      </c>
      <c r="I18" s="121">
        <f>'Atendimento '!F18*'Perdas e Vazões de Água'!U18/'Atendimento '!D18*'Perdas e Vazões de Água'!$U$3+D18</f>
        <v>62.630599357853711</v>
      </c>
      <c r="J18" s="111">
        <f>'Cota per capita e por economia '!I18*'Economais e Ligações Esgoto'!R18</f>
        <v>2904010.3612830513</v>
      </c>
      <c r="K18" s="111">
        <f>J18*'Perdas e Vazões de Água'!$U$3</f>
        <v>2323208.2890264411</v>
      </c>
      <c r="L18" s="111">
        <f t="shared" si="3"/>
        <v>650577</v>
      </c>
      <c r="M18" s="111">
        <f t="shared" si="4"/>
        <v>2973785.2890264411</v>
      </c>
      <c r="N18" s="111">
        <f>($N$3*365.25*'Atendimento '!I18/(1-$M$3))</f>
        <v>819.44750625000006</v>
      </c>
      <c r="O18" s="178">
        <f t="shared" si="5"/>
        <v>197.17787683761327</v>
      </c>
    </row>
    <row r="19" spans="2:15" x14ac:dyDescent="0.15">
      <c r="B19" s="147">
        <f>População!B19</f>
        <v>7</v>
      </c>
      <c r="C19" s="109">
        <f>População!C19</f>
        <v>2033</v>
      </c>
      <c r="D19" s="121">
        <f>$D$3*'Redes e Reservasão'!U19/1000</f>
        <v>22.223994855425861</v>
      </c>
      <c r="E19" s="121">
        <f>'Atendimento '!F19*'Perdas e Vazões de Água'!V19/'Atendimento '!D19*'Perdas e Vazões de Água'!$U$3</f>
        <v>142.96084363704037</v>
      </c>
      <c r="F19" s="121">
        <f t="shared" si="0"/>
        <v>165.18483849246624</v>
      </c>
      <c r="G19" s="121">
        <f>'Atendimento '!F19*'Perdas e Vazões de Água'!S19/'Atendimento '!D19*'Perdas e Vazões de Água'!$U$3+D19</f>
        <v>123.34254406602548</v>
      </c>
      <c r="H19" s="121">
        <f>'Atendimento '!F19*'Perdas e Vazões de Água'!T19/'Atendimento '!D19*'Perdas e Vazões de Água'!$U$3+D19</f>
        <v>144.26369127924585</v>
      </c>
      <c r="I19" s="121">
        <f>'Atendimento '!F19*'Perdas e Vazões de Água'!U19/'Atendimento '!D19*'Perdas e Vazões de Água'!$U$3+D19</f>
        <v>65.809553722985555</v>
      </c>
      <c r="J19" s="111">
        <f>'Cota per capita e por economia '!I19*'Economais e Ligações Esgoto'!R19</f>
        <v>3136962.3820610032</v>
      </c>
      <c r="K19" s="111">
        <f>J19*'Perdas e Vazões de Água'!$U$3</f>
        <v>2509569.9056488029</v>
      </c>
      <c r="L19" s="111">
        <f t="shared" si="3"/>
        <v>701336</v>
      </c>
      <c r="M19" s="111">
        <f t="shared" si="4"/>
        <v>3210905.9056488029</v>
      </c>
      <c r="N19" s="111">
        <f>($N$3*365.25*'Atendimento '!I19/(1-$M$3))</f>
        <v>875.63482687499993</v>
      </c>
      <c r="O19" s="178">
        <f t="shared" si="5"/>
        <v>212.90024250824632</v>
      </c>
    </row>
    <row r="20" spans="2:15" x14ac:dyDescent="0.15">
      <c r="B20" s="147">
        <f>População!B20</f>
        <v>8</v>
      </c>
      <c r="C20" s="109">
        <f>População!C20</f>
        <v>2034</v>
      </c>
      <c r="D20" s="121">
        <f>$D$3*'Redes e Reservasão'!U20/1000</f>
        <v>23.11434921796323</v>
      </c>
      <c r="E20" s="121">
        <f>'Atendimento '!F20*'Perdas e Vazões de Água'!V20/'Atendimento '!D20*'Perdas e Vazões de Água'!$U$3</f>
        <v>146.84714566432908</v>
      </c>
      <c r="F20" s="121">
        <f t="shared" si="0"/>
        <v>169.9614948822923</v>
      </c>
      <c r="G20" s="121">
        <f>'Atendimento '!F20*'Perdas e Vazões de Água'!S20/'Atendimento '!D20*'Perdas e Vazões de Água'!$U$3+D20</f>
        <v>126.81771388251173</v>
      </c>
      <c r="H20" s="121">
        <f>'Atendimento '!F20*'Perdas e Vazões de Água'!T20/'Atendimento '!D20*'Perdas e Vazões de Água'!$U$3+D20</f>
        <v>148.38960438240204</v>
      </c>
      <c r="I20" s="121">
        <f>'Atendimento '!F20*'Perdas e Vazões de Água'!U20/'Atendimento '!D20*'Perdas e Vazões de Água'!$U$3+D20</f>
        <v>67.775401383607374</v>
      </c>
      <c r="J20" s="111">
        <f>'Cota per capita e por economia '!I20*'Economais e Ligações Esgoto'!R20</f>
        <v>3263948.3266861304</v>
      </c>
      <c r="K20" s="111">
        <f>J20*'Perdas e Vazões de Água'!$U$3</f>
        <v>2611158.6613489045</v>
      </c>
      <c r="L20" s="111">
        <f t="shared" si="3"/>
        <v>729433</v>
      </c>
      <c r="M20" s="111">
        <f t="shared" si="4"/>
        <v>3340591.6613489045</v>
      </c>
      <c r="N20" s="111">
        <f>($N$3*365.25*'Atendimento '!I20/(1-$M$3))</f>
        <v>902.96283187500001</v>
      </c>
      <c r="O20" s="178">
        <f t="shared" si="5"/>
        <v>221.49910203565994</v>
      </c>
    </row>
    <row r="21" spans="2:15" x14ac:dyDescent="0.15">
      <c r="B21" s="147">
        <f>População!B21</f>
        <v>9</v>
      </c>
      <c r="C21" s="109">
        <f>População!C21</f>
        <v>2035</v>
      </c>
      <c r="D21" s="121">
        <f>$D$3*'Redes e Reservasão'!U21/1000</f>
        <v>24.018555822777088</v>
      </c>
      <c r="E21" s="121">
        <f>'Atendimento '!F21*'Perdas e Vazões de Água'!V21/'Atendimento '!D21*'Perdas e Vazões de Água'!$U$3</f>
        <v>150.77554307648845</v>
      </c>
      <c r="F21" s="121">
        <f t="shared" si="0"/>
        <v>174.79409889926552</v>
      </c>
      <c r="G21" s="121">
        <f>'Atendimento '!F21*'Perdas e Vazões de Água'!S21/'Atendimento '!D21*'Perdas e Vazões de Água'!$U$3+D21</f>
        <v>130.33191229775761</v>
      </c>
      <c r="H21" s="121">
        <f>'Atendimento '!F21*'Perdas e Vazões de Água'!T21/'Atendimento '!D21*'Perdas e Vazões de Água'!$U$3+D21</f>
        <v>152.56300559851161</v>
      </c>
      <c r="I21" s="121">
        <f>'Atendimento '!F21*'Perdas e Vazões de Água'!U21/'Atendimento '!D21*'Perdas e Vazões de Água'!$U$3+D21</f>
        <v>69.764869626682696</v>
      </c>
      <c r="J21" s="111">
        <f>'Cota per capita e por economia '!I21*'Economais e Ligações Esgoto'!R21</f>
        <v>3393954.3322864454</v>
      </c>
      <c r="K21" s="111">
        <f>J21*'Perdas e Vazões de Água'!$U$3</f>
        <v>2715163.4658291563</v>
      </c>
      <c r="L21" s="111">
        <f t="shared" si="3"/>
        <v>757968</v>
      </c>
      <c r="M21" s="111">
        <f t="shared" si="4"/>
        <v>3473131.4658291563</v>
      </c>
      <c r="N21" s="111">
        <f>($N$3*365.25*'Atendimento '!I21/(1-$M$3))</f>
        <v>930.31046906250003</v>
      </c>
      <c r="O21" s="178">
        <f t="shared" si="5"/>
        <v>230.28720026868476</v>
      </c>
    </row>
    <row r="22" spans="2:15" x14ac:dyDescent="0.15">
      <c r="B22" s="144">
        <f>População!B22</f>
        <v>10</v>
      </c>
      <c r="C22" s="101">
        <f>População!C22</f>
        <v>2036</v>
      </c>
      <c r="D22" s="120">
        <f>$D$3*'Redes e Reservasão'!U22/1000</f>
        <v>24.930741552936539</v>
      </c>
      <c r="E22" s="120">
        <f>'Atendimento '!F22*'Perdas e Vazões de Água'!V22/'Atendimento '!D22*'Perdas e Vazões de Água'!$U$3</f>
        <v>154.65212592065708</v>
      </c>
      <c r="F22" s="120">
        <f t="shared" si="0"/>
        <v>179.58286747359364</v>
      </c>
      <c r="G22" s="120">
        <f>'Atendimento '!F22*'Perdas e Vazões de Água'!S22/'Atendimento '!D22*'Perdas e Vazões de Água'!$U$3+D22</f>
        <v>133.81321390839668</v>
      </c>
      <c r="H22" s="120">
        <f>'Atendimento '!F22*'Perdas e Vazões de Água'!T22/'Atendimento '!D22*'Perdas e Vazões de Água'!$U$3+D22</f>
        <v>156.69804069099519</v>
      </c>
      <c r="I22" s="120">
        <f>'Atendimento '!F22*'Perdas e Vazões de Água'!U22/'Atendimento '!D22*'Perdas e Vazões de Água'!$U$3+D22</f>
        <v>71.743702136467135</v>
      </c>
      <c r="J22" s="102">
        <f>'Cota per capita e por economia '!I22*'Economais e Ligações Esgoto'!R22</f>
        <v>3524408.7336705974</v>
      </c>
      <c r="K22" s="102">
        <f>J22*'Perdas e Vazões de Água'!$U$3</f>
        <v>2819526.9869364779</v>
      </c>
      <c r="L22" s="102">
        <f t="shared" si="3"/>
        <v>786754</v>
      </c>
      <c r="M22" s="102">
        <f t="shared" si="4"/>
        <v>3606280.9869364779</v>
      </c>
      <c r="N22" s="102">
        <f>($N$3*365.25*'Atendimento '!I22/(1-$M$3))</f>
        <v>957.67773843750001</v>
      </c>
      <c r="O22" s="177">
        <f t="shared" si="5"/>
        <v>239.11572597656519</v>
      </c>
    </row>
    <row r="23" spans="2:15" x14ac:dyDescent="0.15">
      <c r="B23" s="147">
        <f>População!B23</f>
        <v>11</v>
      </c>
      <c r="C23" s="109">
        <f>População!C23</f>
        <v>2037</v>
      </c>
      <c r="D23" s="121">
        <f>$D$3*'Redes e Reservasão'!U23/1000</f>
        <v>25.851103340361743</v>
      </c>
      <c r="E23" s="121">
        <f>'Atendimento '!F23*'Perdas e Vazões de Água'!V23/'Atendimento '!D23*'Perdas e Vazões de Água'!$U$3</f>
        <v>158.51711659674345</v>
      </c>
      <c r="F23" s="121">
        <f t="shared" si="0"/>
        <v>184.36821993710518</v>
      </c>
      <c r="G23" s="121">
        <f>'Atendimento '!F23*'Perdas e Vazões de Água'!S23/'Atendimento '!D23*'Perdas e Vazões de Água'!$U$3+D23</f>
        <v>137.29044781914226</v>
      </c>
      <c r="H23" s="121">
        <f>'Atendimento '!F23*'Perdas e Vazões de Água'!T23/'Atendimento '!D23*'Perdas e Vazões de Água'!$U$3+D23</f>
        <v>160.82933387812369</v>
      </c>
      <c r="I23" s="121">
        <f>'Atendimento '!F23*'Perdas e Vazões de Água'!U23/'Atendimento '!D23*'Perdas e Vazões de Água'!$U$3+D23</f>
        <v>73.724480226758175</v>
      </c>
      <c r="J23" s="111">
        <f>'Cota per capita e por economia '!I23*'Economais e Ligações Esgoto'!R23</f>
        <v>3656168.3612308525</v>
      </c>
      <c r="K23" s="111">
        <f>J23*'Perdas e Vazões de Água'!$U$3</f>
        <v>2924934.6889846823</v>
      </c>
      <c r="L23" s="111">
        <f t="shared" si="3"/>
        <v>815799</v>
      </c>
      <c r="M23" s="111">
        <f t="shared" si="4"/>
        <v>3740733.6889846823</v>
      </c>
      <c r="N23" s="111">
        <f>($N$3*365.25*'Atendimento '!I23/(1-$M$3))</f>
        <v>985.06464000000005</v>
      </c>
      <c r="O23" s="178">
        <f t="shared" si="5"/>
        <v>248.03065955390642</v>
      </c>
    </row>
    <row r="24" spans="2:15" x14ac:dyDescent="0.15">
      <c r="B24" s="147">
        <f>População!B24</f>
        <v>12</v>
      </c>
      <c r="C24" s="109">
        <f>População!C24</f>
        <v>2038</v>
      </c>
      <c r="D24" s="121">
        <f>$D$3*'Redes e Reservasão'!U24/1000</f>
        <v>26.78178613152846</v>
      </c>
      <c r="E24" s="121">
        <f>'Atendimento '!F24*'Perdas e Vazões de Água'!V24/'Atendimento '!D24*'Perdas e Vazões de Água'!$U$3</f>
        <v>162.3814541523794</v>
      </c>
      <c r="F24" s="121">
        <f t="shared" si="0"/>
        <v>189.16324028390787</v>
      </c>
      <c r="G24" s="121">
        <f>'Atendimento '!F24*'Perdas e Vazões de Água'!S24/'Atendimento '!D24*'Perdas e Vazões de Água'!$U$3+D24</f>
        <v>140.77365593379483</v>
      </c>
      <c r="H24" s="121">
        <f>'Atendimento '!F24*'Perdas e Vazões de Água'!T24/'Atendimento '!D24*'Perdas e Vazões de Água'!$U$3+D24</f>
        <v>164.96844810885136</v>
      </c>
      <c r="I24" s="121">
        <f>'Atendimento '!F24*'Perdas e Vazões de Água'!U24/'Atendimento '!D24*'Perdas e Vazões de Água'!$U$3+D24</f>
        <v>75.71279030764282</v>
      </c>
      <c r="J24" s="111">
        <f>'Cota per capita e por economia '!I24*'Economais e Ligações Esgoto'!R24</f>
        <v>3789676.3127274974</v>
      </c>
      <c r="K24" s="111">
        <f>J24*'Perdas e Vazões de Água'!$U$3</f>
        <v>3031741.0501819979</v>
      </c>
      <c r="L24" s="111">
        <f t="shared" si="3"/>
        <v>845169</v>
      </c>
      <c r="M24" s="111">
        <f t="shared" si="4"/>
        <v>3876910.0501819979</v>
      </c>
      <c r="N24" s="111">
        <f>($N$3*365.25*'Atendimento '!I24/(1-$M$3))</f>
        <v>1012.431909375</v>
      </c>
      <c r="O24" s="178">
        <f t="shared" si="5"/>
        <v>257.05988095581506</v>
      </c>
    </row>
    <row r="25" spans="2:15" x14ac:dyDescent="0.15">
      <c r="B25" s="147">
        <f>População!B25</f>
        <v>13</v>
      </c>
      <c r="C25" s="109">
        <f>População!C25</f>
        <v>2039</v>
      </c>
      <c r="D25" s="121">
        <f>$D$3*'Redes e Reservasão'!U25/1000</f>
        <v>27.172990715463921</v>
      </c>
      <c r="E25" s="121">
        <f>'Atendimento '!F25*'Perdas e Vazões de Água'!V25/'Atendimento '!D25*'Perdas e Vazões de Água'!$U$3</f>
        <v>162.92884199189382</v>
      </c>
      <c r="F25" s="121">
        <f t="shared" si="0"/>
        <v>190.10183270735774</v>
      </c>
      <c r="G25" s="121">
        <f>'Atendimento '!F25*'Perdas e Vazões de Água'!S25/'Atendimento '!D25*'Perdas e Vazões de Água'!$U$3+D25</f>
        <v>141.38844399326612</v>
      </c>
      <c r="H25" s="121">
        <f>'Atendimento '!F25*'Perdas e Vazões de Água'!T25/'Atendimento '!D25*'Perdas e Vazões de Água'!$U$3+D25</f>
        <v>165.74513835031198</v>
      </c>
      <c r="I25" s="121">
        <f>'Atendimento '!F25*'Perdas e Vazões de Água'!U25/'Atendimento '!D25*'Perdas e Vazões de Água'!$U$3+D25</f>
        <v>76.161819235349753</v>
      </c>
      <c r="J25" s="111">
        <f>'Cota per capita e por economia '!I25*'Economais e Ligações Esgoto'!R25</f>
        <v>3846059.9373876369</v>
      </c>
      <c r="K25" s="111">
        <f>J25*'Perdas e Vazões de Água'!$U$3</f>
        <v>3076847.9499101099</v>
      </c>
      <c r="L25" s="111">
        <f t="shared" si="3"/>
        <v>857514</v>
      </c>
      <c r="M25" s="111">
        <f t="shared" si="4"/>
        <v>3934361.9499101099</v>
      </c>
      <c r="N25" s="111">
        <f>($N$3*365.25*'Atendimento '!I25/(1-$M$3))</f>
        <v>1019.4013359375</v>
      </c>
      <c r="O25" s="178">
        <f t="shared" si="5"/>
        <v>260.86924932228015</v>
      </c>
    </row>
    <row r="26" spans="2:15" x14ac:dyDescent="0.15">
      <c r="B26" s="147">
        <f>População!B26</f>
        <v>14</v>
      </c>
      <c r="C26" s="109">
        <f>População!C26</f>
        <v>2040</v>
      </c>
      <c r="D26" s="121">
        <f>$D$3*'Redes e Reservasão'!U26/1000</f>
        <v>27.556472077674222</v>
      </c>
      <c r="E26" s="121">
        <f>'Atendimento '!F26*'Perdas e Vazões de Água'!V26/'Atendimento '!D26*'Perdas e Vazões de Água'!$U$3</f>
        <v>163.47330047709721</v>
      </c>
      <c r="F26" s="121">
        <f t="shared" si="0"/>
        <v>191.02977255477143</v>
      </c>
      <c r="G26" s="121">
        <f>'Atendimento '!F26*'Perdas e Vazões de Água'!S26/'Atendimento '!D26*'Perdas e Vazões de Água'!$U$3+D26</f>
        <v>141.99629652958126</v>
      </c>
      <c r="H26" s="121">
        <f>'Atendimento '!F26*'Perdas e Vazões de Água'!T26/'Atendimento '!D26*'Perdas e Vazões de Água'!$U$3+D26</f>
        <v>166.51303454217634</v>
      </c>
      <c r="I26" s="121">
        <f>'Atendimento '!F26*'Perdas e Vazões de Água'!U26/'Atendimento '!D26*'Perdas e Vazões de Água'!$U$3+D26</f>
        <v>76.604138299429394</v>
      </c>
      <c r="J26" s="111">
        <f>'Cota per capita e por economia '!I26*'Economais e Ligações Esgoto'!R26</f>
        <v>3902054.1676080972</v>
      </c>
      <c r="K26" s="111">
        <f>J26*'Perdas e Vazões de Água'!$U$3</f>
        <v>3121643.3340864778</v>
      </c>
      <c r="L26" s="111">
        <f t="shared" si="3"/>
        <v>869616</v>
      </c>
      <c r="M26" s="111">
        <f t="shared" si="4"/>
        <v>3991259.3340864778</v>
      </c>
      <c r="N26" s="111">
        <f>($N$3*365.25*'Atendimento '!I26/(1-$M$3))</f>
        <v>1026.0762796875001</v>
      </c>
      <c r="O26" s="178">
        <f t="shared" si="5"/>
        <v>264.64185034055441</v>
      </c>
    </row>
    <row r="27" spans="2:15" x14ac:dyDescent="0.15">
      <c r="B27" s="144">
        <f>População!B27</f>
        <v>15</v>
      </c>
      <c r="C27" s="101">
        <f>População!C27</f>
        <v>2041</v>
      </c>
      <c r="D27" s="120">
        <f>$D$3*'Redes e Reservasão'!U27/1000</f>
        <v>27.931698929313946</v>
      </c>
      <c r="E27" s="120">
        <f>'Atendimento '!F27*'Perdas e Vazões de Água'!V27/'Atendimento '!D27*'Perdas e Vazões de Água'!$U$3</f>
        <v>163.98859793755204</v>
      </c>
      <c r="F27" s="120">
        <f t="shared" si="0"/>
        <v>191.92029686686598</v>
      </c>
      <c r="G27" s="120">
        <f>'Atendimento '!F27*'Perdas e Vazões de Água'!S27/'Atendimento '!D27*'Perdas e Vazões de Água'!$U$3+D27</f>
        <v>142.57828067193776</v>
      </c>
      <c r="H27" s="120">
        <f>'Atendimento '!F27*'Perdas e Vazões de Água'!T27/'Atendimento '!D27*'Perdas e Vazões de Água'!$U$3+D27</f>
        <v>167.24928876940189</v>
      </c>
      <c r="I27" s="120">
        <f>'Atendimento '!F27*'Perdas e Vazões de Água'!U27/'Atendimento '!D27*'Perdas e Vazões de Água'!$U$3+D27</f>
        <v>77.031320434804485</v>
      </c>
      <c r="J27" s="102">
        <f>'Cota per capita e por economia '!I27*'Economais e Ligações Esgoto'!R27</f>
        <v>3956910.8904890502</v>
      </c>
      <c r="K27" s="102">
        <f>J27*'Perdas e Vazões de Água'!$U$3</f>
        <v>3165528.7123912405</v>
      </c>
      <c r="L27" s="102">
        <f t="shared" si="3"/>
        <v>881457</v>
      </c>
      <c r="M27" s="102">
        <f t="shared" si="4"/>
        <v>4046985.7123912405</v>
      </c>
      <c r="N27" s="102">
        <f>($N$3*365.25*'Atendimento '!I27/(1-$M$3))</f>
        <v>1032.4567406249998</v>
      </c>
      <c r="O27" s="177">
        <f t="shared" si="5"/>
        <v>268.33680740370539</v>
      </c>
    </row>
    <row r="28" spans="2:15" x14ac:dyDescent="0.15">
      <c r="B28" s="147">
        <f>População!B28</f>
        <v>16</v>
      </c>
      <c r="C28" s="109">
        <f>População!C28</f>
        <v>2042</v>
      </c>
      <c r="D28" s="121">
        <f>$D$3*'Redes e Reservasão'!U28/1000</f>
        <v>28.29850505297356</v>
      </c>
      <c r="E28" s="121">
        <f>'Atendimento '!F28*'Perdas e Vazões de Água'!V28/'Atendimento '!D28*'Perdas e Vazões de Água'!$U$3</f>
        <v>164.44648699559173</v>
      </c>
      <c r="F28" s="121">
        <f t="shared" si="0"/>
        <v>192.74499204856528</v>
      </c>
      <c r="G28" s="121">
        <f>'Atendimento '!F28*'Perdas e Vazões de Água'!S28/'Atendimento '!D28*'Perdas e Vazões de Água'!$U$3+D28</f>
        <v>143.11451928953721</v>
      </c>
      <c r="H28" s="121">
        <f>'Atendimento '!F28*'Perdas e Vazões de Água'!T28/'Atendimento '!D28*'Perdas e Vazões de Água'!$U$3+D28</f>
        <v>167.92975566905127</v>
      </c>
      <c r="I28" s="121">
        <f>'Atendimento '!F28*'Perdas e Vazões de Água'!U28/'Atendimento '!D28*'Perdas e Vazões de Água'!$U$3+D28</f>
        <v>77.434766711417382</v>
      </c>
      <c r="J28" s="111">
        <f>'Cota per capita e por economia '!I28*'Economais e Ligações Esgoto'!R28</f>
        <v>4010097.8777184393</v>
      </c>
      <c r="K28" s="111">
        <f>J28*'Perdas e Vazões de Água'!$U$3</f>
        <v>3208078.3021747516</v>
      </c>
      <c r="L28" s="111">
        <f t="shared" si="3"/>
        <v>893033</v>
      </c>
      <c r="M28" s="111">
        <f t="shared" si="4"/>
        <v>4101111.3021747516</v>
      </c>
      <c r="N28" s="111">
        <f>($N$3*365.25*'Atendimento '!I28/(1-$M$3))</f>
        <v>1038.5819831250001</v>
      </c>
      <c r="O28" s="178">
        <f t="shared" si="5"/>
        <v>271.92562362237408</v>
      </c>
    </row>
    <row r="29" spans="2:15" x14ac:dyDescent="0.15">
      <c r="B29" s="147">
        <f>População!B29</f>
        <v>17</v>
      </c>
      <c r="C29" s="109">
        <f>População!C29</f>
        <v>2043</v>
      </c>
      <c r="D29" s="121">
        <f>$D$3*'Redes e Reservasão'!U29/1000</f>
        <v>28.655257649329087</v>
      </c>
      <c r="E29" s="121">
        <f>'Atendimento '!F29*'Perdas e Vazões de Água'!V29/'Atendimento '!D29*'Perdas e Vazões de Água'!$U$3</f>
        <v>164.8657642432016</v>
      </c>
      <c r="F29" s="121">
        <f t="shared" si="0"/>
        <v>193.52102189253068</v>
      </c>
      <c r="G29" s="121">
        <f>'Atendimento '!F29*'Perdas e Vazões de Água'!S29/'Atendimento '!D29*'Perdas e Vazões de Água'!$U$3+D29</f>
        <v>143.61657193700955</v>
      </c>
      <c r="H29" s="121">
        <f>'Atendimento '!F29*'Perdas e Vazões de Água'!T29/'Atendimento '!D29*'Perdas e Vazões de Água'!$U$3+D29</f>
        <v>168.5687969147701</v>
      </c>
      <c r="I29" s="121">
        <f>'Atendimento '!F29*'Perdas e Vazões de Água'!U29/'Atendimento '!D29*'Perdas e Vazões de Água'!$U$3+D29</f>
        <v>77.818506467249108</v>
      </c>
      <c r="J29" s="111">
        <f>'Cota per capita e por economia '!I29*'Economais e Ligações Esgoto'!R29</f>
        <v>4061669.5051449412</v>
      </c>
      <c r="K29" s="111">
        <f>J29*'Perdas e Vazões de Água'!$U$3</f>
        <v>3249335.6041159532</v>
      </c>
      <c r="L29" s="111">
        <f t="shared" si="3"/>
        <v>904291</v>
      </c>
      <c r="M29" s="111">
        <f t="shared" si="4"/>
        <v>4153626.6041159532</v>
      </c>
      <c r="N29" s="111">
        <f>($N$3*365.25*'Atendimento '!I29/(1-$M$3))</f>
        <v>1044.4323750000001</v>
      </c>
      <c r="O29" s="178">
        <f t="shared" si="5"/>
        <v>275.40766914074516</v>
      </c>
    </row>
    <row r="30" spans="2:15" x14ac:dyDescent="0.15">
      <c r="B30" s="147">
        <f>População!B30</f>
        <v>18</v>
      </c>
      <c r="C30" s="109">
        <f>População!C30</f>
        <v>2044</v>
      </c>
      <c r="D30" s="121">
        <f>$D$3*'Redes e Reservasão'!U30/1000</f>
        <v>29.003596980505204</v>
      </c>
      <c r="E30" s="121">
        <f>'Atendimento '!F30*'Perdas e Vazões de Água'!V30/'Atendimento '!D30*'Perdas e Vazões de Água'!$U$3</f>
        <v>165.29271707043341</v>
      </c>
      <c r="F30" s="121">
        <f t="shared" si="0"/>
        <v>194.29631405093861</v>
      </c>
      <c r="G30" s="121">
        <f>'Atendimento '!F30*'Perdas e Vazões de Água'!S30/'Atendimento '!D30*'Perdas e Vazões de Água'!$U$3+D30</f>
        <v>144.11834580999536</v>
      </c>
      <c r="H30" s="121">
        <f>'Atendimento '!F30*'Perdas e Vazões de Água'!T30/'Atendimento '!D30*'Perdas e Vazões de Água'!$U$3+D30</f>
        <v>169.20732993046698</v>
      </c>
      <c r="I30" s="121">
        <f>'Atendimento '!F30*'Perdas e Vazões de Água'!U30/'Atendimento '!D30*'Perdas e Vazões de Água'!$U$3+D30</f>
        <v>78.197976688426408</v>
      </c>
      <c r="J30" s="111">
        <f>'Cota per capita e por economia '!I30*'Economais e Ligações Esgoto'!R30</f>
        <v>4113050.4524886492</v>
      </c>
      <c r="K30" s="111">
        <f>J30*'Perdas e Vazões de Água'!$U$3</f>
        <v>3290440.3619909193</v>
      </c>
      <c r="L30" s="111">
        <f t="shared" si="3"/>
        <v>915284</v>
      </c>
      <c r="M30" s="111">
        <f t="shared" si="4"/>
        <v>4205724.3619909193</v>
      </c>
      <c r="N30" s="111">
        <f>($N$3*365.25*'Atendimento '!I30/(1-$M$3))</f>
        <v>1050.0275484374999</v>
      </c>
      <c r="O30" s="178">
        <f t="shared" si="5"/>
        <v>278.86202925332373</v>
      </c>
    </row>
    <row r="31" spans="2:15" x14ac:dyDescent="0.15">
      <c r="B31" s="147">
        <f>População!B31</f>
        <v>19</v>
      </c>
      <c r="C31" s="109">
        <f>População!C31</f>
        <v>2045</v>
      </c>
      <c r="D31" s="121">
        <f>$D$3*'Redes e Reservasão'!U31/1000</f>
        <v>29.340508451358861</v>
      </c>
      <c r="E31" s="121">
        <f>'Atendimento '!F31*'Perdas e Vazões de Água'!V31/'Atendimento '!D31*'Perdas e Vazões de Água'!$U$3</f>
        <v>166.11689138598868</v>
      </c>
      <c r="F31" s="121">
        <f t="shared" si="0"/>
        <v>195.45739983734754</v>
      </c>
      <c r="G31" s="121">
        <f>'Atendimento '!F31*'Perdas e Vazões de Água'!S31/'Atendimento '!D31*'Perdas e Vazões de Água'!$U$3+D31</f>
        <v>145.02923670963676</v>
      </c>
      <c r="H31" s="121">
        <f>'Atendimento '!F31*'Perdas e Vazões de Água'!T31/'Atendimento '!D31*'Perdas e Vazões de Água'!$U$3+D31</f>
        <v>170.24331827349218</v>
      </c>
      <c r="I31" s="121">
        <f>'Atendimento '!F31*'Perdas e Vazões de Água'!U31/'Atendimento '!D31*'Perdas e Vazões de Água'!$U$3+D31</f>
        <v>78.780178725879352</v>
      </c>
      <c r="J31" s="111">
        <f>'Cota per capita e por economia '!I31*'Economais e Ligações Esgoto'!R31</f>
        <v>4160541.2135634036</v>
      </c>
      <c r="K31" s="111">
        <f>J31*'Perdas e Vazões de Água'!$U$3</f>
        <v>3328432.9708507229</v>
      </c>
      <c r="L31" s="111">
        <f t="shared" si="3"/>
        <v>925916</v>
      </c>
      <c r="M31" s="111">
        <f t="shared" si="4"/>
        <v>4254348.9708507229</v>
      </c>
      <c r="N31" s="111">
        <f>($N$3*365.25*'Atendimento '!I31/(1-$M$3))</f>
        <v>1055.3871356249999</v>
      </c>
      <c r="O31" s="178">
        <f t="shared" si="5"/>
        <v>282.08610100201889</v>
      </c>
    </row>
    <row r="32" spans="2:15" x14ac:dyDescent="0.15">
      <c r="B32" s="144">
        <f>População!B32</f>
        <v>20</v>
      </c>
      <c r="C32" s="101">
        <f>População!C32</f>
        <v>2046</v>
      </c>
      <c r="D32" s="120">
        <f>$D$3*'Redes e Reservasão'!U32/1000</f>
        <v>29.671159261170143</v>
      </c>
      <c r="E32" s="120">
        <f>'Atendimento '!F32*'Perdas e Vazões de Água'!V32/'Atendimento '!D32*'Perdas e Vazões de Água'!$U$3</f>
        <v>166.95234769415984</v>
      </c>
      <c r="F32" s="120">
        <f t="shared" si="0"/>
        <v>196.62350695532999</v>
      </c>
      <c r="G32" s="120">
        <f>'Atendimento '!F32*'Perdas e Vazões de Água'!S32/'Atendimento '!D32*'Perdas e Vazões de Água'!$U$3+D32</f>
        <v>145.94172406238633</v>
      </c>
      <c r="H32" s="120">
        <f>'Atendimento '!F32*'Perdas e Vazões de Água'!T32/'Atendimento '!D32*'Perdas e Vazões de Água'!$U$3+D32</f>
        <v>171.28261550885816</v>
      </c>
      <c r="I32" s="120">
        <f>'Atendimento '!F32*'Perdas e Vazões de Água'!U32/'Atendimento '!D32*'Perdas e Vazões de Água'!$U$3+D32</f>
        <v>79.359477846287632</v>
      </c>
      <c r="J32" s="102">
        <f>'Cota per capita e por economia '!I32*'Economais e Ligações Esgoto'!R32</f>
        <v>4208392.7728543533</v>
      </c>
      <c r="K32" s="102">
        <f>J32*'Perdas e Vazões de Água'!$U$3</f>
        <v>3366714.2182834828</v>
      </c>
      <c r="L32" s="102">
        <f t="shared" si="3"/>
        <v>936351</v>
      </c>
      <c r="M32" s="102">
        <f t="shared" si="4"/>
        <v>4303065.2182834828</v>
      </c>
      <c r="N32" s="102">
        <f>($N$3*365.25*'Atendimento '!I32/(1-$M$3))</f>
        <v>1060.491504375</v>
      </c>
      <c r="O32" s="177">
        <f t="shared" si="5"/>
        <v>285.31624887844214</v>
      </c>
    </row>
    <row r="33" spans="2:15" x14ac:dyDescent="0.15">
      <c r="B33" s="147">
        <f>População!B33</f>
        <v>21</v>
      </c>
      <c r="C33" s="109">
        <f>População!C33</f>
        <v>2047</v>
      </c>
      <c r="D33" s="121">
        <f>$D$3*'Redes e Reservasão'!U33/1000</f>
        <v>29.990268413108076</v>
      </c>
      <c r="E33" s="121">
        <f>'Atendimento '!F33*'Perdas e Vazões de Água'!V33/'Atendimento '!D33*'Perdas e Vazões de Água'!$U$3</f>
        <v>167.71329283934679</v>
      </c>
      <c r="F33" s="121">
        <f t="shared" si="0"/>
        <v>197.70356125245488</v>
      </c>
      <c r="G33" s="121">
        <f>'Atendimento '!F33*'Perdas e Vazões de Água'!S33/'Atendimento '!D33*'Perdas e Vazões de Água'!$U$3+D33</f>
        <v>146.79077797422491</v>
      </c>
      <c r="H33" s="121">
        <f>'Atendimento '!F33*'Perdas e Vazões de Água'!T33/'Atendimento '!D33*'Perdas e Vazões de Água'!$U$3+D33</f>
        <v>172.24716961333991</v>
      </c>
      <c r="I33" s="121">
        <f>'Atendimento '!F33*'Perdas e Vazões de Água'!U33/'Atendimento '!D33*'Perdas e Vazões de Água'!$U$3+D33</f>
        <v>79.905059313961488</v>
      </c>
      <c r="J33" s="111">
        <f>'Cota per capita e por economia '!I33*'Economais e Ligações Esgoto'!R33</f>
        <v>4253597.9768562261</v>
      </c>
      <c r="K33" s="111">
        <f>J33*'Perdas e Vazões de Água'!$U$3</f>
        <v>3402878.3814849812</v>
      </c>
      <c r="L33" s="111">
        <f t="shared" si="3"/>
        <v>946421</v>
      </c>
      <c r="M33" s="111">
        <f t="shared" si="4"/>
        <v>4349299.3814849816</v>
      </c>
      <c r="N33" s="111">
        <f>($N$3*365.25*'Atendimento '!I33/(1-$M$3))</f>
        <v>1065.3602868749999</v>
      </c>
      <c r="O33" s="178">
        <f t="shared" si="5"/>
        <v>288.38182128915901</v>
      </c>
    </row>
    <row r="34" spans="2:15" x14ac:dyDescent="0.15">
      <c r="B34" s="147">
        <f>População!B34</f>
        <v>22</v>
      </c>
      <c r="C34" s="109">
        <f>População!C34</f>
        <v>2048</v>
      </c>
      <c r="D34" s="121">
        <f>$D$3*'Redes e Reservasão'!U34/1000</f>
        <v>30.300454777939738</v>
      </c>
      <c r="E34" s="121">
        <f>'Atendimento '!F34*'Perdas e Vazões de Água'!V34/'Atendimento '!D34*'Perdas e Vazões de Água'!$U$3</f>
        <v>168.43827088557708</v>
      </c>
      <c r="F34" s="121">
        <f t="shared" si="0"/>
        <v>198.73872566351682</v>
      </c>
      <c r="G34" s="121">
        <f>'Atendimento '!F34*'Perdas e Vazões de Água'!S34/'Atendimento '!D34*'Perdas e Vazões de Água'!$U$3+D34</f>
        <v>147.60586054487749</v>
      </c>
      <c r="H34" s="121">
        <f>'Atendimento '!F34*'Perdas e Vazões de Água'!T34/'Atendimento '!D34*'Perdas e Vazões de Água'!$U$3+D34</f>
        <v>173.17229310419717</v>
      </c>
      <c r="I34" s="121">
        <f>'Atendimento '!F34*'Perdas e Vazões de Água'!U34/'Atendimento '!D34*'Perdas e Vazões de Água'!$U$3+D34</f>
        <v>80.431013474968722</v>
      </c>
      <c r="J34" s="111">
        <f>'Cota per capita e por economia '!I34*'Economais e Ligações Esgoto'!R34</f>
        <v>4297789.7842090726</v>
      </c>
      <c r="K34" s="111">
        <f>J34*'Perdas e Vazões de Água'!$U$3</f>
        <v>3438231.8273672583</v>
      </c>
      <c r="L34" s="111">
        <f t="shared" si="3"/>
        <v>956210</v>
      </c>
      <c r="M34" s="111">
        <f t="shared" si="4"/>
        <v>4394441.8273672583</v>
      </c>
      <c r="N34" s="111">
        <f>($N$3*365.25*'Atendimento '!I34/(1-$M$3))</f>
        <v>1070.0131153125001</v>
      </c>
      <c r="O34" s="178">
        <f t="shared" si="5"/>
        <v>291.37500700003397</v>
      </c>
    </row>
    <row r="35" spans="2:15" x14ac:dyDescent="0.15">
      <c r="B35" s="147">
        <f>População!B35</f>
        <v>23</v>
      </c>
      <c r="C35" s="109">
        <f>População!C35</f>
        <v>2049</v>
      </c>
      <c r="D35" s="121">
        <f>$D$3*'Redes e Reservasão'!U35/1000</f>
        <v>30.600532388632171</v>
      </c>
      <c r="E35" s="121">
        <f>'Atendimento '!F35*'Perdas e Vazões de Água'!V35/'Atendimento '!D35*'Perdas e Vazões de Água'!$U$3</f>
        <v>169.13228330632052</v>
      </c>
      <c r="F35" s="121">
        <f t="shared" si="0"/>
        <v>199.73281569495268</v>
      </c>
      <c r="G35" s="121">
        <f>'Atendimento '!F35*'Perdas e Vazões de Água'!S35/'Atendimento '!D35*'Perdas e Vazões de Água'!$U$3+D35</f>
        <v>148.3892689817211</v>
      </c>
      <c r="H35" s="121">
        <f>'Atendimento '!F35*'Perdas e Vazões de Água'!T35/'Atendimento '!D35*'Perdas e Vazões de Água'!$U$3+D35</f>
        <v>174.0610423383369</v>
      </c>
      <c r="I35" s="121">
        <f>'Atendimento '!F35*'Perdas e Vazões de Água'!U35/'Atendimento '!D35*'Perdas e Vazões de Água'!$U$3+D35</f>
        <v>80.93764289963805</v>
      </c>
      <c r="J35" s="111">
        <f>'Cota per capita e por economia '!I35*'Economais e Ligações Esgoto'!R35</f>
        <v>4340271.9008553736</v>
      </c>
      <c r="K35" s="111">
        <f>J35*'Perdas e Vazões de Água'!$U$3</f>
        <v>3472217.5206842991</v>
      </c>
      <c r="L35" s="111">
        <f t="shared" si="3"/>
        <v>965679</v>
      </c>
      <c r="M35" s="111">
        <f t="shared" si="4"/>
        <v>4437896.5206842991</v>
      </c>
      <c r="N35" s="111">
        <f>($N$3*365.25*'Atendimento '!I35/(1-$M$3))</f>
        <v>1074.469621875</v>
      </c>
      <c r="O35" s="178">
        <f t="shared" si="5"/>
        <v>294.25628568498195</v>
      </c>
    </row>
    <row r="36" spans="2:15" x14ac:dyDescent="0.15">
      <c r="B36" s="147">
        <f>População!B36</f>
        <v>24</v>
      </c>
      <c r="C36" s="109">
        <f>População!C36</f>
        <v>2050</v>
      </c>
      <c r="D36" s="121">
        <f>$D$3*'Redes e Reservasão'!U36/1000</f>
        <v>30.891716059669506</v>
      </c>
      <c r="E36" s="121">
        <f>'Atendimento '!F36*'Perdas e Vazões de Água'!V36/'Atendimento '!D36*'Perdas e Vazões de Água'!$U$3</f>
        <v>169.79255847979471</v>
      </c>
      <c r="F36" s="121">
        <f t="shared" si="0"/>
        <v>200.68427453946421</v>
      </c>
      <c r="G36" s="121">
        <f>'Atendimento '!F36*'Perdas e Vazões de Água'!S36/'Atendimento '!D36*'Perdas e Vazões de Água'!$U$3+D36</f>
        <v>149.14028785965655</v>
      </c>
      <c r="H36" s="121">
        <f>'Atendimento '!F36*'Perdas e Vazões de Água'!T36/'Atendimento '!D36*'Perdas e Vazões de Água'!$U$3+D36</f>
        <v>174.91228119956037</v>
      </c>
      <c r="I36" s="121">
        <f>'Atendimento '!F36*'Perdas e Vazões de Água'!U36/'Atendimento '!D36*'Perdas e Vazões de Água'!$U$3+D36</f>
        <v>81.42533751302841</v>
      </c>
      <c r="J36" s="111">
        <f>'Cota per capita e por economia '!I36*'Economais e Ligações Esgoto'!R36</f>
        <v>4381750.4652678035</v>
      </c>
      <c r="K36" s="111">
        <f>J36*'Perdas e Vazões de Água'!$U$3</f>
        <v>3505400.3722142428</v>
      </c>
      <c r="L36" s="111">
        <f t="shared" si="3"/>
        <v>974868</v>
      </c>
      <c r="M36" s="111">
        <f t="shared" si="4"/>
        <v>4480268.3722142428</v>
      </c>
      <c r="N36" s="111">
        <f>($N$3*365.25*'Atendimento '!I36/(1-$M$3))</f>
        <v>1078.6905421875001</v>
      </c>
      <c r="O36" s="178">
        <f t="shared" si="5"/>
        <v>297.06576616535926</v>
      </c>
    </row>
    <row r="37" spans="2:15" x14ac:dyDescent="0.15">
      <c r="B37" s="144">
        <f>População!B37</f>
        <v>25</v>
      </c>
      <c r="C37" s="101">
        <f>População!C37</f>
        <v>2051</v>
      </c>
      <c r="D37" s="120">
        <f>$D$3*'Redes e Reservasão'!U37/1000</f>
        <v>31.172526736930614</v>
      </c>
      <c r="E37" s="120">
        <f>'Atendimento '!F37*'Perdas e Vazões de Água'!V37/'Atendimento '!D37*'Perdas e Vazões de Água'!$U$3</f>
        <v>170.42639706164951</v>
      </c>
      <c r="F37" s="120">
        <f t="shared" si="0"/>
        <v>201.59892379858013</v>
      </c>
      <c r="G37" s="120">
        <f>'Atendimento '!F37*'Perdas e Vazões de Água'!S37/'Atendimento '!D37*'Perdas e Vazões de Água'!$U$3+D37</f>
        <v>149.86252251760982</v>
      </c>
      <c r="H37" s="120">
        <f>'Atendimento '!F37*'Perdas e Vazões de Água'!T37/'Atendimento '!D37*'Perdas e Vazões de Água'!$U$3+D37</f>
        <v>175.73072315809497</v>
      </c>
      <c r="I37" s="120">
        <f>'Atendimento '!F37*'Perdas e Vazões de Água'!U37/'Atendimento '!D37*'Perdas e Vazões de Água'!$U$3+D37</f>
        <v>81.89479108044182</v>
      </c>
      <c r="J37" s="102">
        <f>'Cota per capita e por economia '!I37*'Economais e Ligações Esgoto'!R37</f>
        <v>4421524.4655457465</v>
      </c>
      <c r="K37" s="102">
        <f>J37*'Perdas e Vazões de Água'!$U$3</f>
        <v>3537219.5724365972</v>
      </c>
      <c r="L37" s="102">
        <f t="shared" si="3"/>
        <v>983730</v>
      </c>
      <c r="M37" s="102">
        <f t="shared" si="4"/>
        <v>4520949.5724365972</v>
      </c>
      <c r="N37" s="102">
        <f>($N$3*365.25*'Atendimento '!I37/(1-$M$3))</f>
        <v>1082.7347728125001</v>
      </c>
      <c r="O37" s="177">
        <f t="shared" si="5"/>
        <v>299.76314741768084</v>
      </c>
    </row>
    <row r="38" spans="2:15" x14ac:dyDescent="0.15">
      <c r="B38" s="147">
        <f>População!B38</f>
        <v>26</v>
      </c>
      <c r="C38" s="109">
        <f>População!C38</f>
        <v>2052</v>
      </c>
      <c r="D38" s="121">
        <f>$D$3*'Redes e Reservasão'!U38/1000</f>
        <v>31.447487858990105</v>
      </c>
      <c r="E38" s="121">
        <f>'Atendimento '!F38*'Perdas e Vazões de Água'!V38/'Atendimento '!D38*'Perdas e Vazões de Água'!$U$3</f>
        <v>171.07584878723611</v>
      </c>
      <c r="F38" s="121">
        <f t="shared" si="0"/>
        <v>202.52333664622623</v>
      </c>
      <c r="G38" s="121">
        <f>'Atendimento '!F38*'Perdas e Vazões de Água'!S38/'Atendimento '!D38*'Perdas e Vazões de Água'!$U$3+D38</f>
        <v>150.58978107656074</v>
      </c>
      <c r="H38" s="121">
        <f>'Atendimento '!F38*'Perdas e Vazões de Água'!T38/'Atendimento '!D38*'Perdas e Vazões de Água'!$U$3+D38</f>
        <v>176.55655886139346</v>
      </c>
      <c r="I38" s="121">
        <f>'Atendimento '!F38*'Perdas e Vazões de Água'!U38/'Atendimento '!D38*'Perdas e Vazões de Água'!$U$3+D38</f>
        <v>82.363041872831175</v>
      </c>
      <c r="J38" s="111">
        <f>'Cota per capita e por economia '!I38*'Economais e Ligações Esgoto'!R38</f>
        <v>4461756.6805672012</v>
      </c>
      <c r="K38" s="111">
        <f>J38*'Perdas e Vazões de Água'!$U$3</f>
        <v>3569405.3444537614</v>
      </c>
      <c r="L38" s="111">
        <f t="shared" si="3"/>
        <v>992407</v>
      </c>
      <c r="M38" s="111">
        <f t="shared" si="4"/>
        <v>4561812.3444537614</v>
      </c>
      <c r="N38" s="111">
        <f>($N$3*365.25*'Atendimento '!I38/(1-$M$3))</f>
        <v>1086.5826815625001</v>
      </c>
      <c r="O38" s="178">
        <f t="shared" si="5"/>
        <v>302.47256785155543</v>
      </c>
    </row>
    <row r="39" spans="2:15" x14ac:dyDescent="0.15">
      <c r="B39" s="147">
        <f>População!B39</f>
        <v>27</v>
      </c>
      <c r="C39" s="109">
        <f>População!C39</f>
        <v>2053</v>
      </c>
      <c r="D39" s="121">
        <f>$D$3*'Redes e Reservasão'!U39/1000</f>
        <v>31.709660545596648</v>
      </c>
      <c r="E39" s="121">
        <f>'Atendimento '!F39*'Perdas e Vazões de Água'!V39/'Atendimento '!D39*'Perdas e Vazões de Água'!$U$3</f>
        <v>171.61606169201212</v>
      </c>
      <c r="F39" s="121">
        <f t="shared" si="0"/>
        <v>203.32572223760877</v>
      </c>
      <c r="G39" s="121">
        <f>'Atendimento '!F39*'Perdas e Vazões de Água'!S39/'Atendimento '!D39*'Perdas e Vazões de Água'!$U$3+D39</f>
        <v>151.22817404649192</v>
      </c>
      <c r="H39" s="121">
        <f>'Atendimento '!F39*'Perdas e Vazões de Água'!T39/'Atendimento '!D39*'Perdas e Vazões de Água'!$U$3+D39</f>
        <v>177.27694814205034</v>
      </c>
      <c r="I39" s="121">
        <f>'Atendimento '!F39*'Perdas e Vazões de Água'!U39/'Atendimento '!D39*'Perdas e Vazões de Água'!$U$3+D39</f>
        <v>82.785992597524825</v>
      </c>
      <c r="J39" s="111">
        <f>'Cota per capita e por economia '!I39*'Economais e Ligações Esgoto'!R39</f>
        <v>4498303.4163202774</v>
      </c>
      <c r="K39" s="111">
        <f>J39*'Perdas e Vazões de Água'!$U$3</f>
        <v>3598642.7330562221</v>
      </c>
      <c r="L39" s="111">
        <f t="shared" si="3"/>
        <v>1000681</v>
      </c>
      <c r="M39" s="111">
        <f t="shared" si="4"/>
        <v>4599323.7330562221</v>
      </c>
      <c r="N39" s="111">
        <f>($N$3*365.25*'Atendimento '!I39/(1-$M$3))</f>
        <v>1090.2539006249999</v>
      </c>
      <c r="O39" s="178">
        <f t="shared" si="5"/>
        <v>304.95977363240223</v>
      </c>
    </row>
    <row r="40" spans="2:15" x14ac:dyDescent="0.15">
      <c r="B40" s="147">
        <f>População!B40</f>
        <v>28</v>
      </c>
      <c r="C40" s="109">
        <f>População!C40</f>
        <v>2054</v>
      </c>
      <c r="D40" s="121">
        <f>$D$3*'Redes e Reservasão'!U40/1000</f>
        <v>31.964644425111654</v>
      </c>
      <c r="E40" s="121">
        <f>'Atendimento '!F40*'Perdas e Vazões de Água'!V40/'Atendimento '!D40*'Perdas e Vazões de Água'!$U$3</f>
        <v>172.20336534821774</v>
      </c>
      <c r="F40" s="121">
        <f t="shared" si="0"/>
        <v>204.1680097733294</v>
      </c>
      <c r="G40" s="121">
        <f>'Atendimento '!F40*'Perdas e Vazões de Água'!S40/'Atendimento '!D40*'Perdas e Vazões de Água'!$U$3+D40</f>
        <v>151.89217360479176</v>
      </c>
      <c r="H40" s="121">
        <f>'Atendimento '!F40*'Perdas e Vazões de Água'!T40/'Atendimento '!D40*'Perdas e Vazões de Água'!$U$3+D40</f>
        <v>178.03009168906058</v>
      </c>
      <c r="I40" s="121">
        <f>'Atendimento '!F40*'Perdas e Vazões de Água'!U40/'Atendimento '!D40*'Perdas e Vazões de Água'!$U$3+D40</f>
        <v>83.215769653528781</v>
      </c>
      <c r="J40" s="111">
        <f>'Cota per capita e por economia '!I40*'Economais e Ligações Esgoto'!R40</f>
        <v>4535474.8369052019</v>
      </c>
      <c r="K40" s="111">
        <f>J40*'Perdas e Vazões de Água'!$U$3</f>
        <v>3628379.8695241618</v>
      </c>
      <c r="L40" s="111">
        <f t="shared" si="3"/>
        <v>1008727</v>
      </c>
      <c r="M40" s="111">
        <f t="shared" si="4"/>
        <v>4637106.8695241623</v>
      </c>
      <c r="N40" s="111">
        <f>($N$3*365.25*'Atendimento '!I40/(1-$M$3))</f>
        <v>1093.7484300000001</v>
      </c>
      <c r="O40" s="178">
        <f t="shared" si="5"/>
        <v>307.46499775080298</v>
      </c>
    </row>
    <row r="41" spans="2:15" x14ac:dyDescent="0.15">
      <c r="B41" s="147">
        <f>População!B41</f>
        <v>29</v>
      </c>
      <c r="C41" s="109">
        <f>População!C41</f>
        <v>2055</v>
      </c>
      <c r="D41" s="121">
        <f>$D$3*'Redes e Reservasão'!U41/1000</f>
        <v>32.209685943030891</v>
      </c>
      <c r="E41" s="121">
        <f>'Atendimento '!F41*'Perdas e Vazões de Água'!V41/'Atendimento '!D41*'Perdas e Vazões de Água'!$U$3</f>
        <v>172.69761309542605</v>
      </c>
      <c r="F41" s="121">
        <f t="shared" si="0"/>
        <v>204.90729903845693</v>
      </c>
      <c r="G41" s="121">
        <f>'Atendimento '!F41*'Perdas e Vazões de Água'!S41/'Atendimento '!D41*'Perdas e Vazões de Água'!$U$3+D41</f>
        <v>152.48142390751295</v>
      </c>
      <c r="H41" s="121">
        <f>'Atendimento '!F41*'Perdas e Vazões de Água'!T41/'Atendimento '!D41*'Perdas e Vazões de Água'!$U$3+D41</f>
        <v>178.69436147298495</v>
      </c>
      <c r="I41" s="121">
        <f>'Atendimento '!F41*'Perdas e Vazões de Água'!U41/'Atendimento '!D41*'Perdas e Vazões de Água'!$U$3+D41</f>
        <v>83.607909070114601</v>
      </c>
      <c r="J41" s="111">
        <f>'Cota per capita e por economia '!I41*'Economais e Ligações Esgoto'!R41</f>
        <v>4569846.8615516229</v>
      </c>
      <c r="K41" s="111">
        <f>J41*'Perdas e Vazões de Água'!$U$3</f>
        <v>3655877.4892412983</v>
      </c>
      <c r="L41" s="111">
        <f t="shared" si="3"/>
        <v>1016460</v>
      </c>
      <c r="M41" s="111">
        <f t="shared" si="4"/>
        <v>4672337.4892412983</v>
      </c>
      <c r="N41" s="111">
        <f>($N$3*365.25*'Atendimento '!I41/(1-$M$3))</f>
        <v>1097.0662696874999</v>
      </c>
      <c r="O41" s="178">
        <f t="shared" si="5"/>
        <v>309.80097635058024</v>
      </c>
    </row>
    <row r="42" spans="2:15" x14ac:dyDescent="0.15">
      <c r="B42" s="144">
        <f>População!B42</f>
        <v>30</v>
      </c>
      <c r="C42" s="101">
        <f>População!C42</f>
        <v>2056</v>
      </c>
      <c r="D42" s="120">
        <f>$D$3*'Redes e Reservasão'!U42/1000</f>
        <v>32.446645078263273</v>
      </c>
      <c r="E42" s="120">
        <f>'Atendimento '!F42*'Perdas e Vazões de Água'!V42/'Atendimento '!D42*'Perdas e Vazões de Água'!$U$3</f>
        <v>173.20334163094191</v>
      </c>
      <c r="F42" s="120">
        <f t="shared" si="0"/>
        <v>205.64998670920517</v>
      </c>
      <c r="G42" s="120">
        <f>'Atendimento '!F42*'Perdas e Vazões de Água'!S42/'Atendimento '!D42*'Perdas e Vazões de Água'!$U$3+D42</f>
        <v>153.07058738891146</v>
      </c>
      <c r="H42" s="120">
        <f>'Atendimento '!F42*'Perdas e Vazões de Água'!T42/'Atendimento '!D42*'Perdas e Vazões de Água'!$U$3+D42</f>
        <v>179.36028704905829</v>
      </c>
      <c r="I42" s="120">
        <f>'Atendimento '!F42*'Perdas e Vazões de Água'!U42/'Atendimento '!D42*'Perdas e Vazões de Água'!$U$3+D42</f>
        <v>83.995383013538401</v>
      </c>
      <c r="J42" s="102">
        <f>'Cota per capita e por economia '!I42*'Economais e Ligações Esgoto'!R42</f>
        <v>4603591.5164792994</v>
      </c>
      <c r="K42" s="102">
        <f>J42*'Perdas e Vazões de Água'!$U$3</f>
        <v>3682873.2131834398</v>
      </c>
      <c r="L42" s="102">
        <f t="shared" si="3"/>
        <v>1023938</v>
      </c>
      <c r="M42" s="102">
        <f t="shared" si="4"/>
        <v>4706811.2131834403</v>
      </c>
      <c r="N42" s="102">
        <f>($N$3*365.25*'Atendimento '!I42/(1-$M$3))</f>
        <v>1100.2270518749999</v>
      </c>
      <c r="O42" s="177">
        <f t="shared" si="5"/>
        <v>312.08676871046606</v>
      </c>
    </row>
    <row r="43" spans="2:15" x14ac:dyDescent="0.15">
      <c r="B43" s="147">
        <f>População!B43</f>
        <v>31</v>
      </c>
      <c r="C43" s="109">
        <f>População!C43</f>
        <v>2057</v>
      </c>
      <c r="D43" s="121">
        <f>$D$3*'Redes e Reservasão'!U43/1000</f>
        <v>32.675045570117412</v>
      </c>
      <c r="E43" s="121">
        <f>'Atendimento '!F43*'Perdas e Vazões de Água'!V43/'Atendimento '!D43*'Perdas e Vazões de Água'!$U$3</f>
        <v>173.68473077337381</v>
      </c>
      <c r="F43" s="121">
        <f t="shared" si="0"/>
        <v>206.35977634349123</v>
      </c>
      <c r="G43" s="121">
        <f>'Atendimento '!F43*'Perdas e Vazões de Água'!S43/'Atendimento '!D43*'Perdas e Vazões de Água'!$U$3+D43</f>
        <v>153.63424155196444</v>
      </c>
      <c r="H43" s="121">
        <f>'Atendimento '!F43*'Perdas e Vazões de Água'!T43/'Atendimento '!D43*'Perdas e Vazões de Água'!$U$3+D43</f>
        <v>179.99700894772786</v>
      </c>
      <c r="I43" s="121">
        <f>'Atendimento '!F43*'Perdas e Vazões de Água'!U43/'Atendimento '!D43*'Perdas e Vazões de Água'!$U$3+D43</f>
        <v>84.36705442911979</v>
      </c>
      <c r="J43" s="111">
        <f>'Cota per capita e por economia '!I43*'Economais e Ligações Esgoto'!R43</f>
        <v>4636449.6835635826</v>
      </c>
      <c r="K43" s="111">
        <f>J43*'Perdas e Vazões de Água'!$U$3</f>
        <v>3709159.7468508664</v>
      </c>
      <c r="L43" s="111">
        <f t="shared" si="3"/>
        <v>1031146</v>
      </c>
      <c r="M43" s="111">
        <f t="shared" si="4"/>
        <v>4740305.7468508668</v>
      </c>
      <c r="N43" s="111">
        <f>($N$3*365.25*'Atendimento '!I43/(1-$M$3))</f>
        <v>1103.2504087500001</v>
      </c>
      <c r="O43" s="178">
        <f t="shared" si="5"/>
        <v>314.30763551567219</v>
      </c>
    </row>
    <row r="44" spans="2:15" x14ac:dyDescent="0.15">
      <c r="B44" s="147">
        <f>População!B44</f>
        <v>32</v>
      </c>
      <c r="C44" s="109">
        <f>População!C44</f>
        <v>2058</v>
      </c>
      <c r="D44" s="121">
        <f>$D$3*'Redes e Reservasão'!U44/1000</f>
        <v>32.894218391031281</v>
      </c>
      <c r="E44" s="121">
        <f>'Atendimento '!F44*'Perdas e Vazões de Água'!V44/'Atendimento '!D44*'Perdas e Vazões de Água'!$U$3</f>
        <v>174.10886094751726</v>
      </c>
      <c r="F44" s="121">
        <f t="shared" si="0"/>
        <v>207.00307933854853</v>
      </c>
      <c r="G44" s="121">
        <f>'Atendimento '!F44*'Perdas e Vazões de Água'!S44/'Atendimento '!D44*'Perdas e Vazões de Água'!$U$3+D44</f>
        <v>154.14879120092527</v>
      </c>
      <c r="H44" s="121">
        <f>'Atendimento '!F44*'Perdas e Vazões de Água'!T44/'Atendimento '!D44*'Perdas e Vazões de Água'!$U$3+D44</f>
        <v>180.57593526973687</v>
      </c>
      <c r="I44" s="121">
        <f>'Atendimento '!F44*'Perdas e Vazões de Água'!U44/'Atendimento '!D44*'Perdas e Vazões de Água'!$U$3+D44</f>
        <v>84.712456773041055</v>
      </c>
      <c r="J44" s="111">
        <f>'Cota per capita e por economia '!I44*'Economais e Ligações Esgoto'!R44</f>
        <v>4666821.3855474051</v>
      </c>
      <c r="K44" s="111">
        <f>J44*'Perdas e Vazões de Água'!$U$3</f>
        <v>3733457.1084379242</v>
      </c>
      <c r="L44" s="111">
        <f t="shared" si="3"/>
        <v>1038063</v>
      </c>
      <c r="M44" s="111">
        <f t="shared" si="4"/>
        <v>4771520.1084379237</v>
      </c>
      <c r="N44" s="111">
        <f>($N$3*365.25*'Atendimento '!I44/(1-$M$3))</f>
        <v>1106.1167081250001</v>
      </c>
      <c r="O44" s="178">
        <f t="shared" si="5"/>
        <v>316.37731471117064</v>
      </c>
    </row>
    <row r="45" spans="2:15" x14ac:dyDescent="0.15">
      <c r="B45" s="147">
        <f>População!B45</f>
        <v>33</v>
      </c>
      <c r="C45" s="109">
        <f>População!C45</f>
        <v>2059</v>
      </c>
      <c r="D45" s="121">
        <f>$D$3*'Redes e Reservasão'!U45/1000</f>
        <v>33.105420448226639</v>
      </c>
      <c r="E45" s="121">
        <f>'Atendimento '!F45*'Perdas e Vazões de Água'!V45/'Atendimento '!D45*'Perdas e Vazões de Água'!$U$3</f>
        <v>174.5495056275183</v>
      </c>
      <c r="F45" s="121">
        <f t="shared" si="0"/>
        <v>207.65492607574492</v>
      </c>
      <c r="G45" s="121">
        <f>'Atendimento '!F45*'Perdas e Vazões de Água'!S45/'Atendimento '!D45*'Perdas e Vazões de Água'!$U$3+D45</f>
        <v>154.66687127767523</v>
      </c>
      <c r="H45" s="121">
        <f>'Atendimento '!F45*'Perdas e Vazões de Água'!T45/'Atendimento '!D45*'Perdas e Vazões de Água'!$U$3+D45</f>
        <v>181.16089867671008</v>
      </c>
      <c r="I45" s="121">
        <f>'Atendimento '!F45*'Perdas e Vazões de Água'!U45/'Atendimento '!D45*'Perdas e Vazões de Água'!$U$3+D45</f>
        <v>85.054803396605976</v>
      </c>
      <c r="J45" s="111">
        <f>'Cota per capita e por economia '!I45*'Economais e Ligações Esgoto'!R45</f>
        <v>4697525.2871473124</v>
      </c>
      <c r="K45" s="111">
        <f>J45*'Perdas e Vazões de Água'!$U$3</f>
        <v>3758020.2297178502</v>
      </c>
      <c r="L45" s="111">
        <f t="shared" si="3"/>
        <v>1044728</v>
      </c>
      <c r="M45" s="111">
        <f t="shared" si="4"/>
        <v>4802748.2297178507</v>
      </c>
      <c r="N45" s="111">
        <f>($N$3*365.25*'Atendimento '!I45/(1-$M$3))</f>
        <v>1108.8259499999999</v>
      </c>
      <c r="O45" s="178">
        <f t="shared" si="5"/>
        <v>318.447906247932</v>
      </c>
    </row>
    <row r="46" spans="2:15" x14ac:dyDescent="0.15">
      <c r="B46" s="147">
        <f>População!B46</f>
        <v>34</v>
      </c>
      <c r="C46" s="109">
        <f>População!C46</f>
        <v>2060</v>
      </c>
      <c r="D46" s="121">
        <f>$D$3*'Redes e Reservasão'!U46/1000</f>
        <v>33.131991474386972</v>
      </c>
      <c r="E46" s="121">
        <f>'Atendimento '!F46*'Perdas e Vazões de Água'!V46/'Atendimento '!D46*'Perdas e Vazões de Água'!$U$3</f>
        <v>174.97101500310291</v>
      </c>
      <c r="F46" s="121">
        <f t="shared" ref="F46:F47" si="6">D46+E46</f>
        <v>208.10300647748988</v>
      </c>
      <c r="G46" s="121">
        <f>'Atendimento '!F46*'Perdas e Vazões de Água'!S46/'Atendimento '!D46*'Perdas e Vazões de Água'!$U$3+D46</f>
        <v>154.9869939300637</v>
      </c>
      <c r="H46" s="121">
        <f>'Atendimento '!F46*'Perdas e Vazões de Água'!T46/'Atendimento '!D46*'Perdas e Vazões de Água'!$U$3+D46</f>
        <v>181.54500020377679</v>
      </c>
      <c r="I46" s="121">
        <f>'Atendimento '!F46*'Perdas e Vazões de Água'!U46/'Atendimento '!D46*'Perdas e Vazões de Água'!$U$3+D46</f>
        <v>85.206823944320973</v>
      </c>
      <c r="J46" s="111">
        <f>'Cota per capita e por economia '!I46*'Economais e Ligações Esgoto'!R46</f>
        <v>4724332.5599999996</v>
      </c>
      <c r="K46" s="111">
        <f>J46*'Perdas e Vazões de Água'!$U$3</f>
        <v>3779466.048</v>
      </c>
      <c r="L46" s="111">
        <f t="shared" si="3"/>
        <v>1045566</v>
      </c>
      <c r="M46" s="111">
        <f t="shared" si="4"/>
        <v>4825032.0480000004</v>
      </c>
      <c r="N46" s="111">
        <f>($N$3*365.25*'Atendimento '!I46/(1-$M$3))</f>
        <v>1111.4762953125</v>
      </c>
      <c r="O46" s="178">
        <f t="shared" si="5"/>
        <v>319.92544263662938</v>
      </c>
    </row>
    <row r="47" spans="2:15" ht="12.75" thickBot="1" x14ac:dyDescent="0.2">
      <c r="B47" s="148">
        <f>População!B47</f>
        <v>35</v>
      </c>
      <c r="C47" s="149">
        <f>População!C47</f>
        <v>2061</v>
      </c>
      <c r="D47" s="150">
        <f>$D$3*'Redes e Reservasão'!U47/1000</f>
        <v>33.296046946893256</v>
      </c>
      <c r="E47" s="150">
        <f>'Atendimento '!F47*'Perdas e Vazões de Água'!V47/'Atendimento '!D47*'Perdas e Vazões de Água'!$U$3</f>
        <v>174.55478503307197</v>
      </c>
      <c r="F47" s="150">
        <f t="shared" si="6"/>
        <v>207.85083197996522</v>
      </c>
      <c r="G47" s="150">
        <f>'Atendimento '!F47*'Perdas e Vazões de Água'!S47/'Atendimento '!D47*'Perdas e Vazões de Água'!$U$3+D47</f>
        <v>154.86117451089524</v>
      </c>
      <c r="H47" s="150">
        <f>'Atendimento '!F47*'Perdas e Vazões de Água'!T47/'Atendimento '!D47*'Perdas e Vazões de Água'!$U$3+D47</f>
        <v>181.35600324543023</v>
      </c>
      <c r="I47" s="150">
        <f>'Atendimento '!F47*'Perdas e Vazões de Água'!U47/'Atendimento '!D47*'Perdas e Vazões de Água'!$U$3+D47</f>
        <v>85.247001150715903</v>
      </c>
      <c r="J47" s="102">
        <f>'Cota per capita e por economia '!I47*'Economais e Ligações Esgoto'!R47</f>
        <v>4755468.9669715585</v>
      </c>
      <c r="K47" s="102">
        <f>J47*'Perdas e Vazões de Água'!$U$3</f>
        <v>3804375.1735772472</v>
      </c>
      <c r="L47" s="102">
        <f t="shared" si="3"/>
        <v>1050743</v>
      </c>
      <c r="M47" s="179">
        <f t="shared" si="4"/>
        <v>4855118.1735772472</v>
      </c>
      <c r="N47" s="102">
        <f>($N$3*365.25*'Atendimento '!I47/(1-$M$3))</f>
        <v>1108.8652143750001</v>
      </c>
      <c r="O47" s="180">
        <f t="shared" si="5"/>
        <v>321.92031374769516</v>
      </c>
    </row>
  </sheetData>
  <mergeCells count="2">
    <mergeCell ref="B6:C7"/>
    <mergeCell ref="B5:O5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307F1-4E1A-46CC-9BC3-737664B92D15}">
  <dimension ref="B1:AU49"/>
  <sheetViews>
    <sheetView showGridLines="0" tabSelected="1" topLeftCell="A2" workbookViewId="0">
      <selection activeCell="K13" sqref="K13:K16"/>
    </sheetView>
  </sheetViews>
  <sheetFormatPr defaultRowHeight="12" x14ac:dyDescent="0.15"/>
  <sheetData>
    <row r="1" spans="2:47" x14ac:dyDescent="0.15">
      <c r="B1" s="40"/>
      <c r="C1" s="40"/>
      <c r="D1" s="241" t="s">
        <v>11</v>
      </c>
      <c r="E1" s="241"/>
      <c r="F1" s="241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2:47" x14ac:dyDescent="0.15">
      <c r="B2" s="40"/>
      <c r="C2" s="40"/>
      <c r="D2" s="128" t="s">
        <v>151</v>
      </c>
      <c r="E2" s="126" t="s">
        <v>24</v>
      </c>
      <c r="F2" s="126" t="s">
        <v>25</v>
      </c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AA2" s="128" t="s">
        <v>232</v>
      </c>
      <c r="AB2" s="128" t="s">
        <v>233</v>
      </c>
      <c r="AC2" s="128" t="s">
        <v>234</v>
      </c>
      <c r="AD2" s="128" t="s">
        <v>235</v>
      </c>
      <c r="AE2" s="128" t="s">
        <v>236</v>
      </c>
      <c r="AF2" s="128" t="s">
        <v>237</v>
      </c>
      <c r="AG2" s="128" t="s">
        <v>238</v>
      </c>
      <c r="AH2" s="128" t="s">
        <v>239</v>
      </c>
      <c r="AI2" s="126" t="s">
        <v>3</v>
      </c>
      <c r="AM2" s="128" t="s">
        <v>234</v>
      </c>
      <c r="AN2" s="128" t="s">
        <v>235</v>
      </c>
      <c r="AO2" s="128" t="s">
        <v>236</v>
      </c>
      <c r="AP2" s="128" t="s">
        <v>237</v>
      </c>
      <c r="AQ2" s="128" t="s">
        <v>238</v>
      </c>
      <c r="AR2" s="128" t="s">
        <v>239</v>
      </c>
      <c r="AS2" s="128" t="s">
        <v>240</v>
      </c>
      <c r="AT2" s="128" t="s">
        <v>241</v>
      </c>
      <c r="AU2" s="126" t="s">
        <v>3</v>
      </c>
    </row>
    <row r="3" spans="2:47" x14ac:dyDescent="0.15">
      <c r="B3" s="40"/>
      <c r="C3" s="40"/>
      <c r="D3" s="154">
        <v>3</v>
      </c>
      <c r="E3" s="154">
        <v>21.21</v>
      </c>
      <c r="F3" s="154">
        <v>21.21</v>
      </c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AA3" s="139">
        <v>0.80200000000000005</v>
      </c>
      <c r="AB3" s="139">
        <v>2.0799999999999999E-2</v>
      </c>
      <c r="AC3" s="139">
        <v>0.10730000000000001</v>
      </c>
      <c r="AD3" s="139">
        <v>3.8800000000000001E-2</v>
      </c>
      <c r="AE3" s="139">
        <v>2.6700000000000002E-2</v>
      </c>
      <c r="AF3" s="139">
        <v>1.5E-3</v>
      </c>
      <c r="AG3" s="139">
        <v>1.5E-3</v>
      </c>
      <c r="AH3" s="139">
        <v>1.4E-3</v>
      </c>
      <c r="AI3" s="158">
        <f>SUM(AA3:AH3)</f>
        <v>0.99999999999999989</v>
      </c>
      <c r="AM3" s="139">
        <v>0.3</v>
      </c>
      <c r="AN3" s="139">
        <v>0.60599999999999998</v>
      </c>
      <c r="AO3" s="139">
        <v>0.05</v>
      </c>
      <c r="AP3" s="139">
        <v>0.02</v>
      </c>
      <c r="AQ3" s="139">
        <v>0.01</v>
      </c>
      <c r="AR3" s="139">
        <v>8.9999999999999993E-3</v>
      </c>
      <c r="AS3" s="139">
        <v>5.0000000000000001E-3</v>
      </c>
      <c r="AT3" s="139">
        <v>0</v>
      </c>
      <c r="AU3" s="158">
        <f>SUM(AM3:AT3)</f>
        <v>1</v>
      </c>
    </row>
    <row r="4" spans="2:47" ht="12.75" thickBot="1" x14ac:dyDescent="0.2">
      <c r="B4" s="40"/>
      <c r="C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2:47" ht="19.5" thickBot="1" x14ac:dyDescent="0.2">
      <c r="B5" s="226" t="s">
        <v>55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8"/>
      <c r="X5" s="40"/>
      <c r="Y5" s="226" t="s">
        <v>242</v>
      </c>
      <c r="Z5" s="227"/>
      <c r="AA5" s="227"/>
      <c r="AB5" s="227"/>
      <c r="AC5" s="227"/>
      <c r="AD5" s="227"/>
      <c r="AE5" s="227"/>
      <c r="AF5" s="227"/>
      <c r="AG5" s="227"/>
      <c r="AH5" s="227"/>
      <c r="AI5" s="228"/>
      <c r="AK5" s="226" t="s">
        <v>243</v>
      </c>
      <c r="AL5" s="227"/>
      <c r="AM5" s="227"/>
      <c r="AN5" s="227"/>
      <c r="AO5" s="227"/>
      <c r="AP5" s="227"/>
      <c r="AQ5" s="227"/>
      <c r="AR5" s="227"/>
      <c r="AS5" s="227"/>
      <c r="AT5" s="227"/>
      <c r="AU5" s="228"/>
    </row>
    <row r="6" spans="2:47" ht="60" x14ac:dyDescent="0.15">
      <c r="B6" s="229" t="str">
        <f>População!B6</f>
        <v>ANO</v>
      </c>
      <c r="C6" s="231"/>
      <c r="D6" s="127" t="s">
        <v>141</v>
      </c>
      <c r="E6" s="127" t="s">
        <v>139</v>
      </c>
      <c r="F6" s="127" t="s">
        <v>140</v>
      </c>
      <c r="G6" s="127" t="s">
        <v>142</v>
      </c>
      <c r="H6" s="127" t="s">
        <v>143</v>
      </c>
      <c r="I6" s="127" t="s">
        <v>144</v>
      </c>
      <c r="J6" s="127" t="s">
        <v>146</v>
      </c>
      <c r="K6" s="127" t="s">
        <v>147</v>
      </c>
      <c r="L6" s="127" t="s">
        <v>145</v>
      </c>
      <c r="M6" s="127" t="s">
        <v>148</v>
      </c>
      <c r="N6" s="127" t="s">
        <v>149</v>
      </c>
      <c r="O6" s="127" t="s">
        <v>150</v>
      </c>
      <c r="P6" s="127" t="s">
        <v>210</v>
      </c>
      <c r="Q6" s="127" t="s">
        <v>27</v>
      </c>
      <c r="R6" s="127" t="s">
        <v>137</v>
      </c>
      <c r="S6" s="127" t="s">
        <v>153</v>
      </c>
      <c r="T6" s="127" t="s">
        <v>162</v>
      </c>
      <c r="U6" s="127" t="s">
        <v>26</v>
      </c>
      <c r="V6" s="127" t="s">
        <v>138</v>
      </c>
      <c r="W6" s="127" t="s">
        <v>152</v>
      </c>
      <c r="X6" s="40"/>
      <c r="Y6" s="229" t="str">
        <f>B6</f>
        <v>ANO</v>
      </c>
      <c r="Z6" s="230"/>
      <c r="AA6" s="190" t="s">
        <v>244</v>
      </c>
      <c r="AB6" s="190" t="s">
        <v>245</v>
      </c>
      <c r="AC6" s="190" t="s">
        <v>246</v>
      </c>
      <c r="AD6" s="190" t="s">
        <v>247</v>
      </c>
      <c r="AE6" s="190" t="s">
        <v>248</v>
      </c>
      <c r="AF6" s="190" t="s">
        <v>249</v>
      </c>
      <c r="AG6" s="190" t="s">
        <v>250</v>
      </c>
      <c r="AH6" s="190" t="s">
        <v>251</v>
      </c>
      <c r="AI6" s="190" t="s">
        <v>319</v>
      </c>
      <c r="AK6" s="229" t="str">
        <f>Y6</f>
        <v>ANO</v>
      </c>
      <c r="AL6" s="230"/>
      <c r="AM6" s="190" t="s">
        <v>311</v>
      </c>
      <c r="AN6" s="190" t="s">
        <v>312</v>
      </c>
      <c r="AO6" s="190" t="s">
        <v>313</v>
      </c>
      <c r="AP6" s="190" t="s">
        <v>314</v>
      </c>
      <c r="AQ6" s="190" t="s">
        <v>315</v>
      </c>
      <c r="AR6" s="190" t="s">
        <v>316</v>
      </c>
      <c r="AS6" s="190" t="s">
        <v>317</v>
      </c>
      <c r="AT6" s="190" t="s">
        <v>318</v>
      </c>
      <c r="AU6" s="190" t="s">
        <v>320</v>
      </c>
    </row>
    <row r="7" spans="2:47" x14ac:dyDescent="0.15">
      <c r="B7" s="219"/>
      <c r="C7" s="220"/>
      <c r="D7" s="110" t="s">
        <v>102</v>
      </c>
      <c r="E7" s="110" t="s">
        <v>102</v>
      </c>
      <c r="F7" s="110" t="s">
        <v>102</v>
      </c>
      <c r="G7" s="110" t="s">
        <v>102</v>
      </c>
      <c r="H7" s="110" t="s">
        <v>102</v>
      </c>
      <c r="I7" s="110" t="s">
        <v>102</v>
      </c>
      <c r="J7" s="110" t="s">
        <v>102</v>
      </c>
      <c r="K7" s="110" t="s">
        <v>102</v>
      </c>
      <c r="L7" s="110" t="s">
        <v>102</v>
      </c>
      <c r="M7" s="110" t="s">
        <v>102</v>
      </c>
      <c r="N7" s="110" t="s">
        <v>102</v>
      </c>
      <c r="O7" s="110" t="s">
        <v>102</v>
      </c>
      <c r="P7" s="110" t="s">
        <v>101</v>
      </c>
      <c r="Q7" s="110" t="s">
        <v>101</v>
      </c>
      <c r="R7" s="110" t="s">
        <v>101</v>
      </c>
      <c r="S7" s="110" t="s">
        <v>134</v>
      </c>
      <c r="T7" s="110" t="s">
        <v>163</v>
      </c>
      <c r="U7" s="110" t="s">
        <v>101</v>
      </c>
      <c r="V7" s="110" t="s">
        <v>101</v>
      </c>
      <c r="W7" s="110" t="s">
        <v>154</v>
      </c>
      <c r="X7" s="40"/>
      <c r="Y7" s="219"/>
      <c r="Z7" s="220"/>
      <c r="AA7" s="110" t="s">
        <v>101</v>
      </c>
      <c r="AB7" s="110" t="s">
        <v>101</v>
      </c>
      <c r="AC7" s="110" t="s">
        <v>101</v>
      </c>
      <c r="AD7" s="110" t="s">
        <v>101</v>
      </c>
      <c r="AE7" s="110" t="s">
        <v>101</v>
      </c>
      <c r="AF7" s="110" t="s">
        <v>101</v>
      </c>
      <c r="AG7" s="110" t="s">
        <v>101</v>
      </c>
      <c r="AH7" s="110" t="s">
        <v>101</v>
      </c>
      <c r="AI7" s="110" t="s">
        <v>101</v>
      </c>
      <c r="AK7" s="219"/>
      <c r="AL7" s="220"/>
      <c r="AM7" s="110" t="s">
        <v>101</v>
      </c>
      <c r="AN7" s="110" t="s">
        <v>101</v>
      </c>
      <c r="AO7" s="110" t="s">
        <v>101</v>
      </c>
      <c r="AP7" s="110" t="s">
        <v>101</v>
      </c>
      <c r="AQ7" s="110" t="s">
        <v>101</v>
      </c>
      <c r="AR7" s="110" t="s">
        <v>101</v>
      </c>
      <c r="AS7" s="110" t="s">
        <v>101</v>
      </c>
      <c r="AT7" s="110" t="s">
        <v>101</v>
      </c>
      <c r="AU7" s="110" t="s">
        <v>101</v>
      </c>
    </row>
    <row r="8" spans="2:47" x14ac:dyDescent="0.15">
      <c r="B8" s="101" t="str">
        <f>População!B8</f>
        <v>CENSO</v>
      </c>
      <c r="C8" s="101">
        <f>População!C8</f>
        <v>2022</v>
      </c>
      <c r="D8" s="102">
        <f>ROUND('Perdas e Vazões de Água'!V8*86.4/$D$3,0)</f>
        <v>5705</v>
      </c>
      <c r="E8" s="102">
        <f t="shared" ref="E8:E47" si="0">ROUND(D8*3/5,0)</f>
        <v>3423</v>
      </c>
      <c r="F8" s="102">
        <f t="shared" ref="F8:F45" si="1">D8-E8</f>
        <v>2282</v>
      </c>
      <c r="G8" s="102">
        <v>4100</v>
      </c>
      <c r="H8" s="102">
        <v>0</v>
      </c>
      <c r="I8" s="102">
        <v>4100</v>
      </c>
      <c r="J8" s="102">
        <v>0</v>
      </c>
      <c r="K8" s="102">
        <v>0</v>
      </c>
      <c r="L8" s="102">
        <f t="shared" ref="L8:L47" si="2">J8+K8</f>
        <v>0</v>
      </c>
      <c r="M8" s="102">
        <f t="shared" ref="M8:M45" si="3">G8+J8-E8</f>
        <v>677</v>
      </c>
      <c r="N8" s="102">
        <f t="shared" ref="N8:N45" si="4">H8+K8-F8</f>
        <v>-2282</v>
      </c>
      <c r="O8" s="102">
        <f t="shared" ref="O8:O45" si="5">M8+N8</f>
        <v>-1605</v>
      </c>
      <c r="P8" s="120">
        <f>E3</f>
        <v>21.21</v>
      </c>
      <c r="Q8" s="102">
        <f>'Economais e Ligações Água'!X8*'Atendimento '!D8*$E$3</f>
        <v>269601.51324644854</v>
      </c>
      <c r="R8" s="102">
        <v>0</v>
      </c>
      <c r="S8" s="102">
        <f t="shared" ref="S8:S45" si="6">ROUND(Q8/$E$3,0)</f>
        <v>12711</v>
      </c>
      <c r="T8" s="120">
        <f>$F$3</f>
        <v>21.21</v>
      </c>
      <c r="U8" s="102">
        <f>'Economais e Ligações Esgoto'!U8*'Atendimento '!F8*T8</f>
        <v>0</v>
      </c>
      <c r="V8" s="102">
        <v>0</v>
      </c>
      <c r="W8" s="102">
        <f t="shared" ref="W8:W45" si="7">ROUND(U8/$F$3,0)</f>
        <v>0</v>
      </c>
      <c r="X8" s="40"/>
      <c r="Y8" s="101" t="str">
        <f>B8</f>
        <v>CENSO</v>
      </c>
      <c r="Z8" s="101">
        <f>C8</f>
        <v>2022</v>
      </c>
      <c r="AA8" s="102">
        <f t="shared" ref="AA8:AH8" si="8">ROUND($Q8*AA$3,0)</f>
        <v>216220</v>
      </c>
      <c r="AB8" s="102">
        <f t="shared" si="8"/>
        <v>5608</v>
      </c>
      <c r="AC8" s="102">
        <f t="shared" si="8"/>
        <v>28928</v>
      </c>
      <c r="AD8" s="102">
        <f t="shared" si="8"/>
        <v>10461</v>
      </c>
      <c r="AE8" s="102">
        <f t="shared" si="8"/>
        <v>7198</v>
      </c>
      <c r="AF8" s="102">
        <f t="shared" si="8"/>
        <v>404</v>
      </c>
      <c r="AG8" s="102">
        <f t="shared" si="8"/>
        <v>404</v>
      </c>
      <c r="AH8" s="102">
        <f t="shared" si="8"/>
        <v>377</v>
      </c>
      <c r="AI8" s="102">
        <f>SUM(AA8:AH8)</f>
        <v>269600</v>
      </c>
      <c r="AK8" s="101" t="str">
        <f>Y8</f>
        <v>CENSO</v>
      </c>
      <c r="AL8" s="101">
        <f>Z8</f>
        <v>2022</v>
      </c>
      <c r="AM8" s="102">
        <f t="shared" ref="AM8:AT8" si="9">ROUND($U8*AM$3,0)</f>
        <v>0</v>
      </c>
      <c r="AN8" s="102">
        <f t="shared" si="9"/>
        <v>0</v>
      </c>
      <c r="AO8" s="102">
        <f t="shared" si="9"/>
        <v>0</v>
      </c>
      <c r="AP8" s="102">
        <f t="shared" si="9"/>
        <v>0</v>
      </c>
      <c r="AQ8" s="102">
        <f t="shared" si="9"/>
        <v>0</v>
      </c>
      <c r="AR8" s="102">
        <f t="shared" si="9"/>
        <v>0</v>
      </c>
      <c r="AS8" s="102">
        <f t="shared" si="9"/>
        <v>0</v>
      </c>
      <c r="AT8" s="102">
        <f t="shared" si="9"/>
        <v>0</v>
      </c>
      <c r="AU8" s="102">
        <f>SUM(AM8:AT8)</f>
        <v>0</v>
      </c>
    </row>
    <row r="9" spans="2:47" x14ac:dyDescent="0.15">
      <c r="B9" s="109">
        <f>População!B9</f>
        <v>-2</v>
      </c>
      <c r="C9" s="109">
        <f>População!C9</f>
        <v>2023</v>
      </c>
      <c r="D9" s="111">
        <f>ROUND('Perdas e Vazões de Água'!V9*86.4/$D$3,0)</f>
        <v>5790</v>
      </c>
      <c r="E9" s="111">
        <f t="shared" si="0"/>
        <v>3474</v>
      </c>
      <c r="F9" s="111">
        <f t="shared" si="1"/>
        <v>2316</v>
      </c>
      <c r="G9" s="111">
        <f t="shared" ref="G9:G45" si="10">G8+J8</f>
        <v>4100</v>
      </c>
      <c r="H9" s="111">
        <f t="shared" ref="H9:H45" si="11">H8+K8</f>
        <v>0</v>
      </c>
      <c r="I9" s="111">
        <f t="shared" ref="I9:I45" si="12">I8+L8</f>
        <v>4100</v>
      </c>
      <c r="J9" s="111"/>
      <c r="K9" s="111"/>
      <c r="L9" s="111">
        <f t="shared" si="2"/>
        <v>0</v>
      </c>
      <c r="M9" s="111">
        <f t="shared" si="3"/>
        <v>626</v>
      </c>
      <c r="N9" s="111">
        <f t="shared" si="4"/>
        <v>-2316</v>
      </c>
      <c r="O9" s="111">
        <f t="shared" si="5"/>
        <v>-1690</v>
      </c>
      <c r="P9" s="121">
        <f t="shared" ref="P9:P45" si="13">P8</f>
        <v>21.21</v>
      </c>
      <c r="Q9" s="111">
        <f>Q8+(P9*('Economais e Ligações Água'!T9-'Economais e Ligações Água'!T8))</f>
        <v>276257.41312377725</v>
      </c>
      <c r="R9" s="111">
        <f t="shared" ref="R9:R47" si="14">Q9-Q8</f>
        <v>6655.8998773287167</v>
      </c>
      <c r="S9" s="111">
        <f t="shared" si="6"/>
        <v>13025</v>
      </c>
      <c r="T9" s="121">
        <f t="shared" ref="T9:T47" si="15">$T$8</f>
        <v>21.21</v>
      </c>
      <c r="U9" s="111">
        <f>'Economais e Ligações Esgoto'!U9*'Atendimento '!F9*T9</f>
        <v>0</v>
      </c>
      <c r="V9" s="111">
        <f t="shared" ref="V9:V47" si="16">U9-U8</f>
        <v>0</v>
      </c>
      <c r="W9" s="111">
        <f t="shared" si="7"/>
        <v>0</v>
      </c>
      <c r="X9" s="40"/>
      <c r="Y9" s="109">
        <f t="shared" ref="Y9:Y47" si="17">B9</f>
        <v>-2</v>
      </c>
      <c r="Z9" s="109">
        <f t="shared" ref="Z9:Z47" si="18">C9</f>
        <v>2023</v>
      </c>
      <c r="AA9" s="111">
        <f t="shared" ref="AA9:AG46" si="19">ROUND($Q9*AA$3,0)</f>
        <v>221558</v>
      </c>
      <c r="AB9" s="111">
        <f t="shared" si="19"/>
        <v>5746</v>
      </c>
      <c r="AC9" s="111">
        <f t="shared" si="19"/>
        <v>29642</v>
      </c>
      <c r="AD9" s="111">
        <f t="shared" si="19"/>
        <v>10719</v>
      </c>
      <c r="AE9" s="111">
        <f t="shared" si="19"/>
        <v>7376</v>
      </c>
      <c r="AF9" s="111">
        <f t="shared" si="19"/>
        <v>414</v>
      </c>
      <c r="AG9" s="111">
        <f t="shared" si="19"/>
        <v>414</v>
      </c>
      <c r="AH9" s="111">
        <f t="shared" ref="AH9:AH46" si="20">ROUND($Q9*AH$3,0)</f>
        <v>387</v>
      </c>
      <c r="AI9" s="111">
        <f t="shared" ref="AI9:AI45" si="21">SUM(AA9:AH9)</f>
        <v>276256</v>
      </c>
      <c r="AK9" s="109">
        <f t="shared" ref="AK9:AK47" si="22">Y9</f>
        <v>-2</v>
      </c>
      <c r="AL9" s="109">
        <f t="shared" ref="AL9:AL47" si="23">Z9</f>
        <v>2023</v>
      </c>
      <c r="AM9" s="111">
        <f t="shared" ref="AM9:AT40" si="24">ROUND($U9*AM$3,0)</f>
        <v>0</v>
      </c>
      <c r="AN9" s="111">
        <f t="shared" si="24"/>
        <v>0</v>
      </c>
      <c r="AO9" s="111">
        <f t="shared" si="24"/>
        <v>0</v>
      </c>
      <c r="AP9" s="111">
        <f t="shared" si="24"/>
        <v>0</v>
      </c>
      <c r="AQ9" s="111">
        <f t="shared" si="24"/>
        <v>0</v>
      </c>
      <c r="AR9" s="111">
        <f t="shared" si="24"/>
        <v>0</v>
      </c>
      <c r="AS9" s="111">
        <f t="shared" si="24"/>
        <v>0</v>
      </c>
      <c r="AT9" s="111">
        <f t="shared" si="24"/>
        <v>0</v>
      </c>
      <c r="AU9" s="111">
        <f t="shared" ref="AU9:AU47" si="25">SUM(AM9:AT9)</f>
        <v>0</v>
      </c>
    </row>
    <row r="10" spans="2:47" x14ac:dyDescent="0.15">
      <c r="B10" s="109">
        <f>População!B10</f>
        <v>-1</v>
      </c>
      <c r="C10" s="109">
        <f>População!C10</f>
        <v>2024</v>
      </c>
      <c r="D10" s="111">
        <f>ROUND('Perdas e Vazões de Água'!V10*86.4/$D$3,0)</f>
        <v>5871</v>
      </c>
      <c r="E10" s="111">
        <f t="shared" si="0"/>
        <v>3523</v>
      </c>
      <c r="F10" s="111">
        <f t="shared" si="1"/>
        <v>2348</v>
      </c>
      <c r="G10" s="111">
        <f t="shared" si="10"/>
        <v>4100</v>
      </c>
      <c r="H10" s="111">
        <f t="shared" si="11"/>
        <v>0</v>
      </c>
      <c r="I10" s="111">
        <f t="shared" si="12"/>
        <v>4100</v>
      </c>
      <c r="J10" s="111"/>
      <c r="K10" s="111"/>
      <c r="L10" s="111">
        <f t="shared" si="2"/>
        <v>0</v>
      </c>
      <c r="M10" s="111">
        <f t="shared" si="3"/>
        <v>577</v>
      </c>
      <c r="N10" s="111">
        <f t="shared" si="4"/>
        <v>-2348</v>
      </c>
      <c r="O10" s="111">
        <f t="shared" si="5"/>
        <v>-1771</v>
      </c>
      <c r="P10" s="121">
        <f t="shared" si="13"/>
        <v>21.21</v>
      </c>
      <c r="Q10" s="111">
        <f>Q9+(P10*('Economais e Ligações Água'!T10-'Economais e Ligações Água'!T9))</f>
        <v>282899.13758542837</v>
      </c>
      <c r="R10" s="111">
        <f t="shared" si="14"/>
        <v>6641.7244616511161</v>
      </c>
      <c r="S10" s="111">
        <f t="shared" si="6"/>
        <v>13338</v>
      </c>
      <c r="T10" s="121">
        <f t="shared" si="15"/>
        <v>21.21</v>
      </c>
      <c r="U10" s="111">
        <f>'Economais e Ligações Esgoto'!U10*'Atendimento '!F10*T10</f>
        <v>0</v>
      </c>
      <c r="V10" s="111">
        <f t="shared" si="16"/>
        <v>0</v>
      </c>
      <c r="W10" s="111">
        <f t="shared" si="7"/>
        <v>0</v>
      </c>
      <c r="X10" s="40"/>
      <c r="Y10" s="109">
        <f t="shared" si="17"/>
        <v>-1</v>
      </c>
      <c r="Z10" s="109">
        <f t="shared" si="18"/>
        <v>2024</v>
      </c>
      <c r="AA10" s="111">
        <f t="shared" si="19"/>
        <v>226885</v>
      </c>
      <c r="AB10" s="111">
        <f t="shared" si="19"/>
        <v>5884</v>
      </c>
      <c r="AC10" s="111">
        <f t="shared" si="19"/>
        <v>30355</v>
      </c>
      <c r="AD10" s="111">
        <f t="shared" si="19"/>
        <v>10976</v>
      </c>
      <c r="AE10" s="111">
        <f t="shared" si="19"/>
        <v>7553</v>
      </c>
      <c r="AF10" s="111">
        <f t="shared" si="19"/>
        <v>424</v>
      </c>
      <c r="AG10" s="111">
        <f t="shared" si="19"/>
        <v>424</v>
      </c>
      <c r="AH10" s="111">
        <f t="shared" si="20"/>
        <v>396</v>
      </c>
      <c r="AI10" s="111">
        <f t="shared" si="21"/>
        <v>282897</v>
      </c>
      <c r="AK10" s="109">
        <f t="shared" si="22"/>
        <v>-1</v>
      </c>
      <c r="AL10" s="109">
        <f t="shared" si="23"/>
        <v>2024</v>
      </c>
      <c r="AM10" s="111">
        <f t="shared" si="24"/>
        <v>0</v>
      </c>
      <c r="AN10" s="111">
        <f t="shared" si="24"/>
        <v>0</v>
      </c>
      <c r="AO10" s="111">
        <f t="shared" si="24"/>
        <v>0</v>
      </c>
      <c r="AP10" s="111">
        <f t="shared" si="24"/>
        <v>0</v>
      </c>
      <c r="AQ10" s="111">
        <f t="shared" si="24"/>
        <v>0</v>
      </c>
      <c r="AR10" s="111">
        <f t="shared" si="24"/>
        <v>0</v>
      </c>
      <c r="AS10" s="111">
        <f t="shared" si="24"/>
        <v>0</v>
      </c>
      <c r="AT10" s="111">
        <f t="shared" si="24"/>
        <v>0</v>
      </c>
      <c r="AU10" s="111">
        <f t="shared" si="25"/>
        <v>0</v>
      </c>
    </row>
    <row r="11" spans="2:47" x14ac:dyDescent="0.15">
      <c r="B11" s="101" t="str">
        <f>População!B11</f>
        <v>Base</v>
      </c>
      <c r="C11" s="101">
        <f>População!C11</f>
        <v>2025</v>
      </c>
      <c r="D11" s="102">
        <f>ROUND('Perdas e Vazões de Água'!V11*86.4/$D$3,0)</f>
        <v>5948</v>
      </c>
      <c r="E11" s="102">
        <f t="shared" si="0"/>
        <v>3569</v>
      </c>
      <c r="F11" s="102">
        <f t="shared" si="1"/>
        <v>2379</v>
      </c>
      <c r="G11" s="102">
        <f t="shared" si="10"/>
        <v>4100</v>
      </c>
      <c r="H11" s="102">
        <f t="shared" si="11"/>
        <v>0</v>
      </c>
      <c r="I11" s="102">
        <f t="shared" si="12"/>
        <v>4100</v>
      </c>
      <c r="J11" s="102"/>
      <c r="K11" s="102"/>
      <c r="L11" s="102">
        <f t="shared" si="2"/>
        <v>0</v>
      </c>
      <c r="M11" s="102">
        <f t="shared" si="3"/>
        <v>531</v>
      </c>
      <c r="N11" s="102">
        <f t="shared" si="4"/>
        <v>-2379</v>
      </c>
      <c r="O11" s="102">
        <f t="shared" si="5"/>
        <v>-1848</v>
      </c>
      <c r="P11" s="120">
        <f t="shared" si="13"/>
        <v>21.21</v>
      </c>
      <c r="Q11" s="102">
        <f>Q10+(P11*('Economais e Ligações Água'!T11-'Economais e Ligações Água'!T10))</f>
        <v>289462.29255087225</v>
      </c>
      <c r="R11" s="102">
        <f t="shared" si="14"/>
        <v>6563.1549654438859</v>
      </c>
      <c r="S11" s="102">
        <f t="shared" si="6"/>
        <v>13647</v>
      </c>
      <c r="T11" s="120">
        <f t="shared" si="15"/>
        <v>21.21</v>
      </c>
      <c r="U11" s="102">
        <f>'Economais e Ligações Esgoto'!U11*'Atendimento '!F11*T11</f>
        <v>0</v>
      </c>
      <c r="V11" s="102">
        <f t="shared" si="16"/>
        <v>0</v>
      </c>
      <c r="W11" s="102">
        <f t="shared" si="7"/>
        <v>0</v>
      </c>
      <c r="X11" s="40"/>
      <c r="Y11" s="101" t="str">
        <f t="shared" si="17"/>
        <v>Base</v>
      </c>
      <c r="Z11" s="101">
        <f t="shared" si="18"/>
        <v>2025</v>
      </c>
      <c r="AA11" s="102">
        <f t="shared" si="19"/>
        <v>232149</v>
      </c>
      <c r="AB11" s="102">
        <f t="shared" si="19"/>
        <v>6021</v>
      </c>
      <c r="AC11" s="102">
        <f t="shared" si="19"/>
        <v>31059</v>
      </c>
      <c r="AD11" s="102">
        <f t="shared" si="19"/>
        <v>11231</v>
      </c>
      <c r="AE11" s="102">
        <f t="shared" si="19"/>
        <v>7729</v>
      </c>
      <c r="AF11" s="102">
        <f t="shared" si="19"/>
        <v>434</v>
      </c>
      <c r="AG11" s="102">
        <f t="shared" si="19"/>
        <v>434</v>
      </c>
      <c r="AH11" s="102">
        <f t="shared" si="20"/>
        <v>405</v>
      </c>
      <c r="AI11" s="102">
        <f t="shared" si="21"/>
        <v>289462</v>
      </c>
      <c r="AJ11" s="48"/>
      <c r="AK11" s="101" t="str">
        <f t="shared" si="22"/>
        <v>Base</v>
      </c>
      <c r="AL11" s="101">
        <f t="shared" si="23"/>
        <v>2025</v>
      </c>
      <c r="AM11" s="102">
        <f t="shared" si="24"/>
        <v>0</v>
      </c>
      <c r="AN11" s="102">
        <f t="shared" si="24"/>
        <v>0</v>
      </c>
      <c r="AO11" s="102">
        <f t="shared" si="24"/>
        <v>0</v>
      </c>
      <c r="AP11" s="102">
        <f t="shared" si="24"/>
        <v>0</v>
      </c>
      <c r="AQ11" s="102">
        <f t="shared" si="24"/>
        <v>0</v>
      </c>
      <c r="AR11" s="102">
        <f t="shared" si="24"/>
        <v>0</v>
      </c>
      <c r="AS11" s="102">
        <f t="shared" si="24"/>
        <v>0</v>
      </c>
      <c r="AT11" s="102">
        <f t="shared" si="24"/>
        <v>0</v>
      </c>
      <c r="AU11" s="102">
        <f t="shared" si="25"/>
        <v>0</v>
      </c>
    </row>
    <row r="12" spans="2:47" x14ac:dyDescent="0.15">
      <c r="B12" s="109">
        <f>População!B12</f>
        <v>0</v>
      </c>
      <c r="C12" s="109">
        <f>População!C12</f>
        <v>2026</v>
      </c>
      <c r="D12" s="111">
        <f>ROUND('Perdas e Vazões de Água'!V12*86.4/$D$3,0)</f>
        <v>6045</v>
      </c>
      <c r="E12" s="111">
        <f t="shared" si="0"/>
        <v>3627</v>
      </c>
      <c r="F12" s="111">
        <f t="shared" si="1"/>
        <v>2418</v>
      </c>
      <c r="G12" s="111">
        <f t="shared" si="10"/>
        <v>4100</v>
      </c>
      <c r="H12" s="111">
        <f t="shared" si="11"/>
        <v>0</v>
      </c>
      <c r="I12" s="111">
        <f t="shared" si="12"/>
        <v>4100</v>
      </c>
      <c r="J12" s="111"/>
      <c r="K12" s="111"/>
      <c r="L12" s="111">
        <f t="shared" si="2"/>
        <v>0</v>
      </c>
      <c r="M12" s="111">
        <f t="shared" si="3"/>
        <v>473</v>
      </c>
      <c r="N12" s="111">
        <f t="shared" si="4"/>
        <v>-2418</v>
      </c>
      <c r="O12" s="111">
        <f t="shared" si="5"/>
        <v>-1945</v>
      </c>
      <c r="P12" s="121">
        <f t="shared" si="13"/>
        <v>21.21</v>
      </c>
      <c r="Q12" s="111">
        <f>Q11+(P12*('Economais e Ligações Água'!T12-'Economais e Ligações Água'!T11))</f>
        <v>296019.6290108774</v>
      </c>
      <c r="R12" s="111">
        <f t="shared" si="14"/>
        <v>6557.3364600051427</v>
      </c>
      <c r="S12" s="111">
        <f t="shared" si="6"/>
        <v>13957</v>
      </c>
      <c r="T12" s="121">
        <f t="shared" si="15"/>
        <v>21.21</v>
      </c>
      <c r="U12" s="111">
        <f>'Economais e Ligações Esgoto'!U12*'Atendimento '!F12*T12</f>
        <v>0</v>
      </c>
      <c r="V12" s="111">
        <f t="shared" si="16"/>
        <v>0</v>
      </c>
      <c r="W12" s="111">
        <f t="shared" si="7"/>
        <v>0</v>
      </c>
      <c r="X12" s="40"/>
      <c r="Y12" s="109">
        <f t="shared" si="17"/>
        <v>0</v>
      </c>
      <c r="Z12" s="109">
        <f t="shared" si="18"/>
        <v>2026</v>
      </c>
      <c r="AA12" s="111">
        <f t="shared" si="19"/>
        <v>237408</v>
      </c>
      <c r="AB12" s="111">
        <f t="shared" si="19"/>
        <v>6157</v>
      </c>
      <c r="AC12" s="111">
        <f t="shared" si="19"/>
        <v>31763</v>
      </c>
      <c r="AD12" s="111">
        <f t="shared" si="19"/>
        <v>11486</v>
      </c>
      <c r="AE12" s="111">
        <f t="shared" si="19"/>
        <v>7904</v>
      </c>
      <c r="AF12" s="111">
        <f t="shared" si="19"/>
        <v>444</v>
      </c>
      <c r="AG12" s="111">
        <f t="shared" si="19"/>
        <v>444</v>
      </c>
      <c r="AH12" s="111">
        <f t="shared" si="20"/>
        <v>414</v>
      </c>
      <c r="AI12" s="111">
        <f t="shared" si="21"/>
        <v>296020</v>
      </c>
      <c r="AJ12" s="48"/>
      <c r="AK12" s="109">
        <f t="shared" si="22"/>
        <v>0</v>
      </c>
      <c r="AL12" s="109">
        <f t="shared" si="23"/>
        <v>2026</v>
      </c>
      <c r="AM12" s="111">
        <f t="shared" si="24"/>
        <v>0</v>
      </c>
      <c r="AN12" s="111">
        <f t="shared" si="24"/>
        <v>0</v>
      </c>
      <c r="AO12" s="111">
        <f t="shared" si="24"/>
        <v>0</v>
      </c>
      <c r="AP12" s="111">
        <f t="shared" si="24"/>
        <v>0</v>
      </c>
      <c r="AQ12" s="111">
        <f t="shared" si="24"/>
        <v>0</v>
      </c>
      <c r="AR12" s="111">
        <f t="shared" si="24"/>
        <v>0</v>
      </c>
      <c r="AS12" s="111">
        <f t="shared" si="24"/>
        <v>0</v>
      </c>
      <c r="AT12" s="111">
        <f t="shared" si="24"/>
        <v>0</v>
      </c>
      <c r="AU12" s="111">
        <f t="shared" si="25"/>
        <v>0</v>
      </c>
    </row>
    <row r="13" spans="2:47" x14ac:dyDescent="0.15">
      <c r="B13" s="101">
        <f>População!B13</f>
        <v>1</v>
      </c>
      <c r="C13" s="101">
        <f>População!C13</f>
        <v>2027</v>
      </c>
      <c r="D13" s="102">
        <f>ROUND('Perdas e Vazões de Água'!V13*86.4/$D$3,0)</f>
        <v>5888</v>
      </c>
      <c r="E13" s="102">
        <f t="shared" si="0"/>
        <v>3533</v>
      </c>
      <c r="F13" s="102">
        <f t="shared" si="1"/>
        <v>2355</v>
      </c>
      <c r="G13" s="102">
        <f t="shared" si="10"/>
        <v>4100</v>
      </c>
      <c r="H13" s="102">
        <f t="shared" si="11"/>
        <v>0</v>
      </c>
      <c r="I13" s="102">
        <f t="shared" si="12"/>
        <v>4100</v>
      </c>
      <c r="J13" s="102"/>
      <c r="K13" s="111">
        <v>600</v>
      </c>
      <c r="L13" s="111">
        <f t="shared" si="2"/>
        <v>600</v>
      </c>
      <c r="M13" s="102">
        <f>G13+J13-E13</f>
        <v>567</v>
      </c>
      <c r="N13" s="102">
        <f>H13+K13-F13</f>
        <v>-1755</v>
      </c>
      <c r="O13" s="102">
        <f t="shared" si="5"/>
        <v>-1188</v>
      </c>
      <c r="P13" s="120">
        <f t="shared" si="13"/>
        <v>21.21</v>
      </c>
      <c r="Q13" s="102">
        <f>Q12+(P13*('Economais e Ligações Água'!T13-'Economais e Ligações Água'!T12))</f>
        <v>302518.86680173344</v>
      </c>
      <c r="R13" s="102">
        <f t="shared" si="14"/>
        <v>6499.2377908560447</v>
      </c>
      <c r="S13" s="102">
        <f t="shared" si="6"/>
        <v>14263</v>
      </c>
      <c r="T13" s="120">
        <f t="shared" si="15"/>
        <v>21.21</v>
      </c>
      <c r="U13" s="102">
        <f>'Economais e Ligações Esgoto'!U13*'Atendimento '!F13*T13</f>
        <v>0</v>
      </c>
      <c r="V13" s="102">
        <f t="shared" si="16"/>
        <v>0</v>
      </c>
      <c r="W13" s="102">
        <f t="shared" si="7"/>
        <v>0</v>
      </c>
      <c r="X13" s="40"/>
      <c r="Y13" s="101">
        <f t="shared" si="17"/>
        <v>1</v>
      </c>
      <c r="Z13" s="101">
        <f t="shared" si="18"/>
        <v>2027</v>
      </c>
      <c r="AA13" s="102">
        <f t="shared" si="19"/>
        <v>242620</v>
      </c>
      <c r="AB13" s="102">
        <f t="shared" si="19"/>
        <v>6292</v>
      </c>
      <c r="AC13" s="102">
        <f t="shared" si="19"/>
        <v>32460</v>
      </c>
      <c r="AD13" s="102">
        <f t="shared" si="19"/>
        <v>11738</v>
      </c>
      <c r="AE13" s="102">
        <f t="shared" si="19"/>
        <v>8077</v>
      </c>
      <c r="AF13" s="102">
        <f t="shared" si="19"/>
        <v>454</v>
      </c>
      <c r="AG13" s="102">
        <f t="shared" si="19"/>
        <v>454</v>
      </c>
      <c r="AH13" s="102">
        <f t="shared" si="20"/>
        <v>424</v>
      </c>
      <c r="AI13" s="102">
        <f t="shared" si="21"/>
        <v>302519</v>
      </c>
      <c r="AJ13" s="48"/>
      <c r="AK13" s="101">
        <f t="shared" si="22"/>
        <v>1</v>
      </c>
      <c r="AL13" s="101">
        <f t="shared" si="23"/>
        <v>2027</v>
      </c>
      <c r="AM13" s="102">
        <f t="shared" si="24"/>
        <v>0</v>
      </c>
      <c r="AN13" s="102">
        <f t="shared" si="24"/>
        <v>0</v>
      </c>
      <c r="AO13" s="102">
        <f t="shared" si="24"/>
        <v>0</v>
      </c>
      <c r="AP13" s="102">
        <f t="shared" si="24"/>
        <v>0</v>
      </c>
      <c r="AQ13" s="102">
        <f t="shared" si="24"/>
        <v>0</v>
      </c>
      <c r="AR13" s="102">
        <f t="shared" si="24"/>
        <v>0</v>
      </c>
      <c r="AS13" s="102">
        <f t="shared" si="24"/>
        <v>0</v>
      </c>
      <c r="AT13" s="102">
        <f t="shared" si="24"/>
        <v>0</v>
      </c>
      <c r="AU13" s="102">
        <f t="shared" si="25"/>
        <v>0</v>
      </c>
    </row>
    <row r="14" spans="2:47" x14ac:dyDescent="0.15">
      <c r="B14" s="109">
        <f>População!B14</f>
        <v>2</v>
      </c>
      <c r="C14" s="109">
        <f>População!C14</f>
        <v>2028</v>
      </c>
      <c r="D14" s="111">
        <f>ROUND('Perdas e Vazões de Água'!V14*86.4/$D$3,0)</f>
        <v>5945</v>
      </c>
      <c r="E14" s="111">
        <f t="shared" si="0"/>
        <v>3567</v>
      </c>
      <c r="F14" s="111">
        <f t="shared" si="1"/>
        <v>2378</v>
      </c>
      <c r="G14" s="111">
        <f>G13+J13</f>
        <v>4100</v>
      </c>
      <c r="H14" s="111">
        <f>H13+K13</f>
        <v>600</v>
      </c>
      <c r="I14" s="111">
        <f>I13+L13</f>
        <v>4700</v>
      </c>
      <c r="J14" s="111"/>
      <c r="K14" s="102">
        <v>550</v>
      </c>
      <c r="L14" s="102">
        <f t="shared" si="2"/>
        <v>550</v>
      </c>
      <c r="M14" s="111">
        <f>G14+J14-E14</f>
        <v>533</v>
      </c>
      <c r="N14" s="111">
        <f>H14+K14-F14</f>
        <v>-1228</v>
      </c>
      <c r="O14" s="111">
        <f t="shared" si="5"/>
        <v>-695</v>
      </c>
      <c r="P14" s="121">
        <f t="shared" si="13"/>
        <v>21.21</v>
      </c>
      <c r="Q14" s="111">
        <f>Q13+(P14*('Economais e Ligações Água'!T14-'Economais e Ligações Água'!T13))</f>
        <v>318551.17354761629</v>
      </c>
      <c r="R14" s="111">
        <f t="shared" si="14"/>
        <v>16032.306745882845</v>
      </c>
      <c r="S14" s="111">
        <f t="shared" si="6"/>
        <v>15019</v>
      </c>
      <c r="T14" s="121">
        <f t="shared" si="15"/>
        <v>21.21</v>
      </c>
      <c r="U14" s="111">
        <f>'Economais e Ligações Esgoto'!U14*'Atendimento '!F14*T14</f>
        <v>64094.803530707497</v>
      </c>
      <c r="V14" s="111">
        <f t="shared" si="16"/>
        <v>64094.803530707497</v>
      </c>
      <c r="W14" s="111">
        <f t="shared" si="7"/>
        <v>3022</v>
      </c>
      <c r="X14" s="40"/>
      <c r="Y14" s="109">
        <f t="shared" si="17"/>
        <v>2</v>
      </c>
      <c r="Z14" s="109">
        <f t="shared" si="18"/>
        <v>2028</v>
      </c>
      <c r="AA14" s="111">
        <f t="shared" si="19"/>
        <v>255478</v>
      </c>
      <c r="AB14" s="111">
        <f t="shared" si="19"/>
        <v>6626</v>
      </c>
      <c r="AC14" s="111">
        <f t="shared" si="19"/>
        <v>34181</v>
      </c>
      <c r="AD14" s="111">
        <f t="shared" si="19"/>
        <v>12360</v>
      </c>
      <c r="AE14" s="111">
        <f t="shared" si="19"/>
        <v>8505</v>
      </c>
      <c r="AF14" s="111">
        <f t="shared" si="19"/>
        <v>478</v>
      </c>
      <c r="AG14" s="111">
        <f t="shared" si="19"/>
        <v>478</v>
      </c>
      <c r="AH14" s="111">
        <f t="shared" si="20"/>
        <v>446</v>
      </c>
      <c r="AI14" s="111">
        <f t="shared" si="21"/>
        <v>318552</v>
      </c>
      <c r="AJ14" s="48"/>
      <c r="AK14" s="109">
        <f t="shared" si="22"/>
        <v>2</v>
      </c>
      <c r="AL14" s="109">
        <f t="shared" si="23"/>
        <v>2028</v>
      </c>
      <c r="AM14" s="111">
        <f t="shared" si="24"/>
        <v>19228</v>
      </c>
      <c r="AN14" s="111">
        <f t="shared" si="24"/>
        <v>38841</v>
      </c>
      <c r="AO14" s="111">
        <f t="shared" si="24"/>
        <v>3205</v>
      </c>
      <c r="AP14" s="111">
        <f t="shared" si="24"/>
        <v>1282</v>
      </c>
      <c r="AQ14" s="111">
        <f t="shared" si="24"/>
        <v>641</v>
      </c>
      <c r="AR14" s="111">
        <f t="shared" si="24"/>
        <v>577</v>
      </c>
      <c r="AS14" s="111">
        <f t="shared" si="24"/>
        <v>320</v>
      </c>
      <c r="AT14" s="111">
        <f t="shared" si="24"/>
        <v>0</v>
      </c>
      <c r="AU14" s="111">
        <f t="shared" si="25"/>
        <v>64094</v>
      </c>
    </row>
    <row r="15" spans="2:47" x14ac:dyDescent="0.15">
      <c r="B15" s="109">
        <f>População!B15</f>
        <v>3</v>
      </c>
      <c r="C15" s="109">
        <f>População!C15</f>
        <v>2029</v>
      </c>
      <c r="D15" s="111">
        <f>ROUND('Perdas e Vazões de Água'!V15*86.4/$D$3,0)</f>
        <v>5930</v>
      </c>
      <c r="E15" s="111">
        <f t="shared" si="0"/>
        <v>3558</v>
      </c>
      <c r="F15" s="111">
        <f t="shared" si="1"/>
        <v>2372</v>
      </c>
      <c r="G15" s="111">
        <f>G14+J14</f>
        <v>4100</v>
      </c>
      <c r="H15" s="111">
        <f>H14+K14</f>
        <v>1150</v>
      </c>
      <c r="I15" s="111">
        <f>I14+L14</f>
        <v>5250</v>
      </c>
      <c r="J15" s="111"/>
      <c r="K15" s="111">
        <v>750</v>
      </c>
      <c r="L15" s="111">
        <f t="shared" si="2"/>
        <v>750</v>
      </c>
      <c r="M15" s="111">
        <f>G15+J15-E15</f>
        <v>542</v>
      </c>
      <c r="N15" s="111">
        <f>H15+K15-F15</f>
        <v>-472</v>
      </c>
      <c r="O15" s="111">
        <f t="shared" si="5"/>
        <v>70</v>
      </c>
      <c r="P15" s="121">
        <f t="shared" si="13"/>
        <v>21.21</v>
      </c>
      <c r="Q15" s="111">
        <f>Q14+(P15*('Economais e Ligações Água'!T15-'Economais e Ligações Água'!T14))</f>
        <v>327097.87063211534</v>
      </c>
      <c r="R15" s="111">
        <f t="shared" si="14"/>
        <v>8546.6970844990574</v>
      </c>
      <c r="S15" s="111">
        <f t="shared" si="6"/>
        <v>15422</v>
      </c>
      <c r="T15" s="121">
        <f t="shared" si="15"/>
        <v>21.21</v>
      </c>
      <c r="U15" s="111">
        <f>'Economais e Ligações Esgoto'!U15*'Atendimento '!F15*T15</f>
        <v>130839.14825284615</v>
      </c>
      <c r="V15" s="111">
        <f t="shared" si="16"/>
        <v>66744.34472213866</v>
      </c>
      <c r="W15" s="111">
        <f t="shared" si="7"/>
        <v>6169</v>
      </c>
      <c r="X15" s="40"/>
      <c r="Y15" s="109">
        <f t="shared" si="17"/>
        <v>3</v>
      </c>
      <c r="Z15" s="109">
        <f t="shared" si="18"/>
        <v>2029</v>
      </c>
      <c r="AA15" s="111">
        <f t="shared" si="19"/>
        <v>262332</v>
      </c>
      <c r="AB15" s="111">
        <f t="shared" si="19"/>
        <v>6804</v>
      </c>
      <c r="AC15" s="111">
        <f t="shared" si="19"/>
        <v>35098</v>
      </c>
      <c r="AD15" s="111">
        <f t="shared" si="19"/>
        <v>12691</v>
      </c>
      <c r="AE15" s="111">
        <f t="shared" si="19"/>
        <v>8734</v>
      </c>
      <c r="AF15" s="111">
        <f t="shared" si="19"/>
        <v>491</v>
      </c>
      <c r="AG15" s="111">
        <f t="shared" si="19"/>
        <v>491</v>
      </c>
      <c r="AH15" s="111">
        <f t="shared" si="20"/>
        <v>458</v>
      </c>
      <c r="AI15" s="111">
        <f t="shared" si="21"/>
        <v>327099</v>
      </c>
      <c r="AJ15" s="48"/>
      <c r="AK15" s="109">
        <f t="shared" si="22"/>
        <v>3</v>
      </c>
      <c r="AL15" s="109">
        <f t="shared" si="23"/>
        <v>2029</v>
      </c>
      <c r="AM15" s="111">
        <f t="shared" si="24"/>
        <v>39252</v>
      </c>
      <c r="AN15" s="111">
        <f t="shared" si="24"/>
        <v>79289</v>
      </c>
      <c r="AO15" s="111">
        <f t="shared" si="24"/>
        <v>6542</v>
      </c>
      <c r="AP15" s="111">
        <f t="shared" si="24"/>
        <v>2617</v>
      </c>
      <c r="AQ15" s="111">
        <f t="shared" si="24"/>
        <v>1308</v>
      </c>
      <c r="AR15" s="111">
        <f t="shared" si="24"/>
        <v>1178</v>
      </c>
      <c r="AS15" s="111">
        <f t="shared" si="24"/>
        <v>654</v>
      </c>
      <c r="AT15" s="111">
        <f t="shared" si="24"/>
        <v>0</v>
      </c>
      <c r="AU15" s="111">
        <f t="shared" si="25"/>
        <v>130840</v>
      </c>
    </row>
    <row r="16" spans="2:47" x14ac:dyDescent="0.15">
      <c r="B16" s="109">
        <f>População!B16</f>
        <v>4</v>
      </c>
      <c r="C16" s="109">
        <f>População!C16</f>
        <v>2030</v>
      </c>
      <c r="D16" s="111">
        <f>ROUND('Perdas e Vazões de Água'!V16*86.4/$D$3,0)</f>
        <v>5861</v>
      </c>
      <c r="E16" s="111">
        <f t="shared" si="0"/>
        <v>3517</v>
      </c>
      <c r="F16" s="111">
        <f t="shared" si="1"/>
        <v>2344</v>
      </c>
      <c r="G16" s="111">
        <f>G15+J15</f>
        <v>4100</v>
      </c>
      <c r="H16" s="111">
        <f>H15+K15</f>
        <v>1900</v>
      </c>
      <c r="I16" s="111">
        <f>I15+L15</f>
        <v>6000</v>
      </c>
      <c r="J16" s="111"/>
      <c r="K16" s="111">
        <v>200</v>
      </c>
      <c r="L16" s="111">
        <f t="shared" si="2"/>
        <v>200</v>
      </c>
      <c r="M16" s="111">
        <f>G16+J16-E16</f>
        <v>583</v>
      </c>
      <c r="N16" s="111">
        <f>H16+K16-F16</f>
        <v>-244</v>
      </c>
      <c r="O16" s="111">
        <f t="shared" si="5"/>
        <v>339</v>
      </c>
      <c r="P16" s="121">
        <f t="shared" si="13"/>
        <v>21.21</v>
      </c>
      <c r="Q16" s="111">
        <f>Q15+(P16*('Economais e Ligações Água'!T16-'Economais e Ligações Água'!T15))</f>
        <v>333639.12266374228</v>
      </c>
      <c r="R16" s="111">
        <f t="shared" si="14"/>
        <v>6541.2520316269365</v>
      </c>
      <c r="S16" s="111">
        <f t="shared" si="6"/>
        <v>15730</v>
      </c>
      <c r="T16" s="121">
        <f t="shared" si="15"/>
        <v>21.21</v>
      </c>
      <c r="U16" s="111">
        <f>'Economais e Ligações Esgoto'!U16*'Atendimento '!F16*T16</f>
        <v>200183.47359824541</v>
      </c>
      <c r="V16" s="111">
        <f t="shared" si="16"/>
        <v>69344.325345399266</v>
      </c>
      <c r="W16" s="111">
        <f t="shared" si="7"/>
        <v>9438</v>
      </c>
      <c r="X16" s="40"/>
      <c r="Y16" s="109">
        <f t="shared" si="17"/>
        <v>4</v>
      </c>
      <c r="Z16" s="109">
        <f t="shared" si="18"/>
        <v>2030</v>
      </c>
      <c r="AA16" s="111">
        <f t="shared" si="19"/>
        <v>267579</v>
      </c>
      <c r="AB16" s="111">
        <f t="shared" si="19"/>
        <v>6940</v>
      </c>
      <c r="AC16" s="111">
        <f t="shared" si="19"/>
        <v>35799</v>
      </c>
      <c r="AD16" s="111">
        <f t="shared" si="19"/>
        <v>12945</v>
      </c>
      <c r="AE16" s="111">
        <f t="shared" si="19"/>
        <v>8908</v>
      </c>
      <c r="AF16" s="111">
        <f t="shared" si="19"/>
        <v>500</v>
      </c>
      <c r="AG16" s="111">
        <f t="shared" si="19"/>
        <v>500</v>
      </c>
      <c r="AH16" s="111">
        <f t="shared" si="20"/>
        <v>467</v>
      </c>
      <c r="AI16" s="111">
        <f t="shared" si="21"/>
        <v>333638</v>
      </c>
      <c r="AJ16" s="48"/>
      <c r="AK16" s="109">
        <f t="shared" si="22"/>
        <v>4</v>
      </c>
      <c r="AL16" s="109">
        <f t="shared" si="23"/>
        <v>2030</v>
      </c>
      <c r="AM16" s="111">
        <f t="shared" si="24"/>
        <v>60055</v>
      </c>
      <c r="AN16" s="111">
        <f t="shared" si="24"/>
        <v>121311</v>
      </c>
      <c r="AO16" s="111">
        <f t="shared" si="24"/>
        <v>10009</v>
      </c>
      <c r="AP16" s="111">
        <f t="shared" si="24"/>
        <v>4004</v>
      </c>
      <c r="AQ16" s="111">
        <f t="shared" si="24"/>
        <v>2002</v>
      </c>
      <c r="AR16" s="111">
        <f t="shared" si="24"/>
        <v>1802</v>
      </c>
      <c r="AS16" s="111">
        <f t="shared" si="24"/>
        <v>1001</v>
      </c>
      <c r="AT16" s="111">
        <f t="shared" si="24"/>
        <v>0</v>
      </c>
      <c r="AU16" s="111">
        <f t="shared" si="25"/>
        <v>200184</v>
      </c>
    </row>
    <row r="17" spans="2:47" x14ac:dyDescent="0.15">
      <c r="B17" s="101">
        <f>População!B17</f>
        <v>5</v>
      </c>
      <c r="C17" s="101">
        <f>População!C17</f>
        <v>2031</v>
      </c>
      <c r="D17" s="102">
        <f>ROUND('Perdas e Vazões de Água'!V17*86.4/$D$3,0)</f>
        <v>5810</v>
      </c>
      <c r="E17" s="102">
        <f t="shared" si="0"/>
        <v>3486</v>
      </c>
      <c r="F17" s="102">
        <f t="shared" si="1"/>
        <v>2324</v>
      </c>
      <c r="G17" s="102">
        <f>G16+J16</f>
        <v>4100</v>
      </c>
      <c r="H17" s="102">
        <f>H16+K16</f>
        <v>2100</v>
      </c>
      <c r="I17" s="102">
        <f>I16+L16</f>
        <v>6200</v>
      </c>
      <c r="J17" s="102"/>
      <c r="K17" s="102">
        <v>100</v>
      </c>
      <c r="L17" s="102">
        <f t="shared" si="2"/>
        <v>100</v>
      </c>
      <c r="M17" s="102">
        <f>G17+J17-E17</f>
        <v>614</v>
      </c>
      <c r="N17" s="102">
        <f>H17+K17-F17</f>
        <v>-124</v>
      </c>
      <c r="O17" s="102">
        <f t="shared" si="5"/>
        <v>490</v>
      </c>
      <c r="P17" s="120">
        <f t="shared" si="13"/>
        <v>21.21</v>
      </c>
      <c r="Q17" s="102">
        <f>Q16+(P17*('Economais e Ligações Água'!T17-'Economais e Ligações Água'!T16))</f>
        <v>340099.34664209257</v>
      </c>
      <c r="R17" s="102">
        <f t="shared" si="14"/>
        <v>6460.2239783502882</v>
      </c>
      <c r="S17" s="102">
        <f t="shared" si="6"/>
        <v>16035</v>
      </c>
      <c r="T17" s="120">
        <f t="shared" si="15"/>
        <v>21.21</v>
      </c>
      <c r="U17" s="102">
        <f>'Economais e Ligações Esgoto'!U17*'Atendimento '!F17*T17</f>
        <v>272079.47731367406</v>
      </c>
      <c r="V17" s="102">
        <f t="shared" si="16"/>
        <v>71896.00371542864</v>
      </c>
      <c r="W17" s="102">
        <f t="shared" si="7"/>
        <v>12828</v>
      </c>
      <c r="X17" s="40"/>
      <c r="Y17" s="101">
        <f t="shared" si="17"/>
        <v>5</v>
      </c>
      <c r="Z17" s="101">
        <f t="shared" si="18"/>
        <v>2031</v>
      </c>
      <c r="AA17" s="102">
        <f t="shared" si="19"/>
        <v>272760</v>
      </c>
      <c r="AB17" s="102">
        <f t="shared" si="19"/>
        <v>7074</v>
      </c>
      <c r="AC17" s="102">
        <f t="shared" si="19"/>
        <v>36493</v>
      </c>
      <c r="AD17" s="102">
        <f t="shared" si="19"/>
        <v>13196</v>
      </c>
      <c r="AE17" s="102">
        <f t="shared" si="19"/>
        <v>9081</v>
      </c>
      <c r="AF17" s="102">
        <f t="shared" si="19"/>
        <v>510</v>
      </c>
      <c r="AG17" s="102">
        <f t="shared" si="19"/>
        <v>510</v>
      </c>
      <c r="AH17" s="102">
        <f t="shared" si="20"/>
        <v>476</v>
      </c>
      <c r="AI17" s="102">
        <f t="shared" si="21"/>
        <v>340100</v>
      </c>
      <c r="AJ17" s="48"/>
      <c r="AK17" s="101">
        <f t="shared" si="22"/>
        <v>5</v>
      </c>
      <c r="AL17" s="101">
        <f t="shared" si="23"/>
        <v>2031</v>
      </c>
      <c r="AM17" s="102">
        <f t="shared" si="24"/>
        <v>81624</v>
      </c>
      <c r="AN17" s="102">
        <f t="shared" si="24"/>
        <v>164880</v>
      </c>
      <c r="AO17" s="102">
        <f t="shared" si="24"/>
        <v>13604</v>
      </c>
      <c r="AP17" s="102">
        <f t="shared" si="24"/>
        <v>5442</v>
      </c>
      <c r="AQ17" s="102">
        <f t="shared" si="24"/>
        <v>2721</v>
      </c>
      <c r="AR17" s="102">
        <f t="shared" si="24"/>
        <v>2449</v>
      </c>
      <c r="AS17" s="102">
        <f t="shared" si="24"/>
        <v>1360</v>
      </c>
      <c r="AT17" s="102">
        <f t="shared" si="24"/>
        <v>0</v>
      </c>
      <c r="AU17" s="102">
        <f t="shared" si="25"/>
        <v>272080</v>
      </c>
    </row>
    <row r="18" spans="2:47" x14ac:dyDescent="0.15">
      <c r="B18" s="109">
        <f>População!B18</f>
        <v>6</v>
      </c>
      <c r="C18" s="109">
        <f>População!C18</f>
        <v>2032</v>
      </c>
      <c r="D18" s="111">
        <f>ROUND('Perdas e Vazões de Água'!V18*86.4/$D$3,0)</f>
        <v>5770</v>
      </c>
      <c r="E18" s="111">
        <f t="shared" si="0"/>
        <v>3462</v>
      </c>
      <c r="F18" s="111">
        <f t="shared" si="1"/>
        <v>2308</v>
      </c>
      <c r="G18" s="111">
        <f>G17+J17</f>
        <v>4100</v>
      </c>
      <c r="H18" s="111">
        <f>H17+K17</f>
        <v>2200</v>
      </c>
      <c r="I18" s="111">
        <f>I17+L17</f>
        <v>6300</v>
      </c>
      <c r="J18" s="111"/>
      <c r="K18" s="111"/>
      <c r="L18" s="111">
        <f t="shared" si="2"/>
        <v>0</v>
      </c>
      <c r="M18" s="111">
        <f t="shared" si="3"/>
        <v>638</v>
      </c>
      <c r="N18" s="111">
        <f t="shared" si="4"/>
        <v>-108</v>
      </c>
      <c r="O18" s="111">
        <f t="shared" si="5"/>
        <v>530</v>
      </c>
      <c r="P18" s="121">
        <f t="shared" si="13"/>
        <v>21.21</v>
      </c>
      <c r="Q18" s="111">
        <f>Q17+(P18*('Economais e Ligações Água'!T18-'Economais e Ligações Água'!T17))</f>
        <v>346479.7314649531</v>
      </c>
      <c r="R18" s="111">
        <f t="shared" si="14"/>
        <v>6380.3848228605348</v>
      </c>
      <c r="S18" s="111">
        <f t="shared" si="6"/>
        <v>16336</v>
      </c>
      <c r="T18" s="121">
        <f t="shared" si="15"/>
        <v>21.21</v>
      </c>
      <c r="U18" s="111">
        <f>'Economais e Ligações Esgoto'!U18*'Atendimento '!F18*T18</f>
        <v>294507.77174521016</v>
      </c>
      <c r="V18" s="111">
        <f t="shared" si="16"/>
        <v>22428.294431536109</v>
      </c>
      <c r="W18" s="111">
        <f t="shared" si="7"/>
        <v>13885</v>
      </c>
      <c r="X18" s="40"/>
      <c r="Y18" s="109">
        <f t="shared" si="17"/>
        <v>6</v>
      </c>
      <c r="Z18" s="109">
        <f t="shared" si="18"/>
        <v>2032</v>
      </c>
      <c r="AA18" s="111">
        <f t="shared" si="19"/>
        <v>277877</v>
      </c>
      <c r="AB18" s="111">
        <f t="shared" si="19"/>
        <v>7207</v>
      </c>
      <c r="AC18" s="111">
        <f t="shared" si="19"/>
        <v>37177</v>
      </c>
      <c r="AD18" s="111">
        <f t="shared" si="19"/>
        <v>13443</v>
      </c>
      <c r="AE18" s="111">
        <f t="shared" si="19"/>
        <v>9251</v>
      </c>
      <c r="AF18" s="111">
        <f t="shared" si="19"/>
        <v>520</v>
      </c>
      <c r="AG18" s="111">
        <f t="shared" si="19"/>
        <v>520</v>
      </c>
      <c r="AH18" s="111">
        <f t="shared" si="20"/>
        <v>485</v>
      </c>
      <c r="AI18" s="111">
        <f t="shared" si="21"/>
        <v>346480</v>
      </c>
      <c r="AJ18" s="48"/>
      <c r="AK18" s="109">
        <f t="shared" si="22"/>
        <v>6</v>
      </c>
      <c r="AL18" s="109">
        <f t="shared" si="23"/>
        <v>2032</v>
      </c>
      <c r="AM18" s="111">
        <f t="shared" si="24"/>
        <v>88352</v>
      </c>
      <c r="AN18" s="111">
        <f t="shared" si="24"/>
        <v>178472</v>
      </c>
      <c r="AO18" s="111">
        <f t="shared" si="24"/>
        <v>14725</v>
      </c>
      <c r="AP18" s="111">
        <f t="shared" si="24"/>
        <v>5890</v>
      </c>
      <c r="AQ18" s="111">
        <f t="shared" si="24"/>
        <v>2945</v>
      </c>
      <c r="AR18" s="111">
        <f t="shared" si="24"/>
        <v>2651</v>
      </c>
      <c r="AS18" s="111">
        <f t="shared" si="24"/>
        <v>1473</v>
      </c>
      <c r="AT18" s="111">
        <f t="shared" si="24"/>
        <v>0</v>
      </c>
      <c r="AU18" s="111">
        <f t="shared" si="25"/>
        <v>294508</v>
      </c>
    </row>
    <row r="19" spans="2:47" x14ac:dyDescent="0.15">
      <c r="B19" s="109">
        <f>População!B19</f>
        <v>7</v>
      </c>
      <c r="C19" s="109">
        <f>População!C19</f>
        <v>2033</v>
      </c>
      <c r="D19" s="111">
        <f>ROUND('Perdas e Vazões de Água'!V19*86.4/$D$3,0)</f>
        <v>5718</v>
      </c>
      <c r="E19" s="111">
        <f t="shared" si="0"/>
        <v>3431</v>
      </c>
      <c r="F19" s="111">
        <f t="shared" si="1"/>
        <v>2287</v>
      </c>
      <c r="G19" s="111">
        <f t="shared" si="10"/>
        <v>4100</v>
      </c>
      <c r="H19" s="111">
        <f t="shared" si="11"/>
        <v>2200</v>
      </c>
      <c r="I19" s="111">
        <f t="shared" si="12"/>
        <v>6300</v>
      </c>
      <c r="J19" s="111"/>
      <c r="K19" s="111"/>
      <c r="L19" s="111">
        <f t="shared" si="2"/>
        <v>0</v>
      </c>
      <c r="M19" s="111">
        <f t="shared" si="3"/>
        <v>669</v>
      </c>
      <c r="N19" s="111">
        <f t="shared" si="4"/>
        <v>-87</v>
      </c>
      <c r="O19" s="111">
        <f t="shared" si="5"/>
        <v>582</v>
      </c>
      <c r="P19" s="121">
        <f t="shared" si="13"/>
        <v>21.21</v>
      </c>
      <c r="Q19" s="111">
        <f>Q18+(P19*('Economais e Ligações Água'!T19-'Economais e Ligações Água'!T18))</f>
        <v>352761.82310199778</v>
      </c>
      <c r="R19" s="111">
        <f t="shared" si="14"/>
        <v>6282.0916370446794</v>
      </c>
      <c r="S19" s="111">
        <f t="shared" si="6"/>
        <v>16632</v>
      </c>
      <c r="T19" s="121">
        <f t="shared" si="15"/>
        <v>21.21</v>
      </c>
      <c r="U19" s="111">
        <f>'Economais e Ligações Esgoto'!U19*'Atendimento '!F19*T19</f>
        <v>317485.64079179801</v>
      </c>
      <c r="V19" s="111">
        <f t="shared" si="16"/>
        <v>22977.869046587846</v>
      </c>
      <c r="W19" s="111">
        <f t="shared" si="7"/>
        <v>14969</v>
      </c>
      <c r="X19" s="40"/>
      <c r="Y19" s="109">
        <f t="shared" si="17"/>
        <v>7</v>
      </c>
      <c r="Z19" s="109">
        <f t="shared" si="18"/>
        <v>2033</v>
      </c>
      <c r="AA19" s="111">
        <f t="shared" si="19"/>
        <v>282915</v>
      </c>
      <c r="AB19" s="111">
        <f t="shared" si="19"/>
        <v>7337</v>
      </c>
      <c r="AC19" s="111">
        <f t="shared" si="19"/>
        <v>37851</v>
      </c>
      <c r="AD19" s="111">
        <f t="shared" si="19"/>
        <v>13687</v>
      </c>
      <c r="AE19" s="111">
        <f t="shared" si="19"/>
        <v>9419</v>
      </c>
      <c r="AF19" s="111">
        <f t="shared" si="19"/>
        <v>529</v>
      </c>
      <c r="AG19" s="111">
        <f t="shared" si="19"/>
        <v>529</v>
      </c>
      <c r="AH19" s="111">
        <f t="shared" si="20"/>
        <v>494</v>
      </c>
      <c r="AI19" s="111">
        <f t="shared" si="21"/>
        <v>352761</v>
      </c>
      <c r="AJ19" s="48"/>
      <c r="AK19" s="109">
        <f t="shared" si="22"/>
        <v>7</v>
      </c>
      <c r="AL19" s="109">
        <f t="shared" si="23"/>
        <v>2033</v>
      </c>
      <c r="AM19" s="111">
        <f t="shared" si="24"/>
        <v>95246</v>
      </c>
      <c r="AN19" s="111">
        <f t="shared" si="24"/>
        <v>192396</v>
      </c>
      <c r="AO19" s="111">
        <f t="shared" si="24"/>
        <v>15874</v>
      </c>
      <c r="AP19" s="111">
        <f t="shared" si="24"/>
        <v>6350</v>
      </c>
      <c r="AQ19" s="111">
        <f t="shared" si="24"/>
        <v>3175</v>
      </c>
      <c r="AR19" s="111">
        <f t="shared" si="24"/>
        <v>2857</v>
      </c>
      <c r="AS19" s="111">
        <f t="shared" si="24"/>
        <v>1587</v>
      </c>
      <c r="AT19" s="111">
        <f t="shared" si="24"/>
        <v>0</v>
      </c>
      <c r="AU19" s="111">
        <f t="shared" si="25"/>
        <v>317485</v>
      </c>
    </row>
    <row r="20" spans="2:47" x14ac:dyDescent="0.15">
      <c r="B20" s="109">
        <f>População!B20</f>
        <v>8</v>
      </c>
      <c r="C20" s="109">
        <f>População!C20</f>
        <v>2034</v>
      </c>
      <c r="D20" s="111">
        <f>ROUND('Perdas e Vazões de Água'!V20*86.4/$D$3,0)</f>
        <v>5746</v>
      </c>
      <c r="E20" s="111">
        <f t="shared" si="0"/>
        <v>3448</v>
      </c>
      <c r="F20" s="111">
        <f t="shared" si="1"/>
        <v>2298</v>
      </c>
      <c r="G20" s="111">
        <f t="shared" si="10"/>
        <v>4100</v>
      </c>
      <c r="H20" s="111">
        <f t="shared" si="11"/>
        <v>2200</v>
      </c>
      <c r="I20" s="111">
        <f t="shared" si="12"/>
        <v>6300</v>
      </c>
      <c r="J20" s="111"/>
      <c r="K20" s="111"/>
      <c r="L20" s="111">
        <f t="shared" si="2"/>
        <v>0</v>
      </c>
      <c r="M20" s="111">
        <f t="shared" si="3"/>
        <v>652</v>
      </c>
      <c r="N20" s="111">
        <f t="shared" si="4"/>
        <v>-98</v>
      </c>
      <c r="O20" s="111">
        <f t="shared" si="5"/>
        <v>554</v>
      </c>
      <c r="P20" s="121">
        <f t="shared" si="13"/>
        <v>21.21</v>
      </c>
      <c r="Q20" s="111">
        <f>Q19+(P20*('Economais e Ligações Água'!T20-'Economais e Ligações Água'!T19))</f>
        <v>358918.46611744148</v>
      </c>
      <c r="R20" s="111">
        <f t="shared" si="14"/>
        <v>6156.6430154436966</v>
      </c>
      <c r="S20" s="111">
        <f t="shared" si="6"/>
        <v>16922</v>
      </c>
      <c r="T20" s="121">
        <f t="shared" si="15"/>
        <v>21.21</v>
      </c>
      <c r="U20" s="111">
        <f>'Economais e Ligações Esgoto'!U20*'Atendimento '!F20*T20</f>
        <v>330204.98882804613</v>
      </c>
      <c r="V20" s="111">
        <f t="shared" si="16"/>
        <v>12719.34803624812</v>
      </c>
      <c r="W20" s="111">
        <f t="shared" si="7"/>
        <v>15568</v>
      </c>
      <c r="X20" s="40"/>
      <c r="Y20" s="109">
        <f t="shared" si="17"/>
        <v>8</v>
      </c>
      <c r="Z20" s="109">
        <f t="shared" si="18"/>
        <v>2034</v>
      </c>
      <c r="AA20" s="111">
        <f t="shared" si="19"/>
        <v>287853</v>
      </c>
      <c r="AB20" s="111">
        <f t="shared" si="19"/>
        <v>7466</v>
      </c>
      <c r="AC20" s="111">
        <f t="shared" si="19"/>
        <v>38512</v>
      </c>
      <c r="AD20" s="111">
        <f t="shared" si="19"/>
        <v>13926</v>
      </c>
      <c r="AE20" s="111">
        <f t="shared" si="19"/>
        <v>9583</v>
      </c>
      <c r="AF20" s="111">
        <f t="shared" si="19"/>
        <v>538</v>
      </c>
      <c r="AG20" s="111">
        <f t="shared" si="19"/>
        <v>538</v>
      </c>
      <c r="AH20" s="111">
        <f t="shared" si="20"/>
        <v>502</v>
      </c>
      <c r="AI20" s="111">
        <f t="shared" si="21"/>
        <v>358918</v>
      </c>
      <c r="AJ20" s="48"/>
      <c r="AK20" s="109">
        <f t="shared" si="22"/>
        <v>8</v>
      </c>
      <c r="AL20" s="109">
        <f t="shared" si="23"/>
        <v>2034</v>
      </c>
      <c r="AM20" s="111">
        <f t="shared" si="24"/>
        <v>99061</v>
      </c>
      <c r="AN20" s="111">
        <f t="shared" si="24"/>
        <v>200104</v>
      </c>
      <c r="AO20" s="111">
        <f t="shared" si="24"/>
        <v>16510</v>
      </c>
      <c r="AP20" s="111">
        <f t="shared" si="24"/>
        <v>6604</v>
      </c>
      <c r="AQ20" s="111">
        <f t="shared" si="24"/>
        <v>3302</v>
      </c>
      <c r="AR20" s="111">
        <f t="shared" si="24"/>
        <v>2972</v>
      </c>
      <c r="AS20" s="111">
        <f t="shared" si="24"/>
        <v>1651</v>
      </c>
      <c r="AT20" s="111">
        <f t="shared" si="24"/>
        <v>0</v>
      </c>
      <c r="AU20" s="111">
        <f t="shared" si="25"/>
        <v>330204</v>
      </c>
    </row>
    <row r="21" spans="2:47" x14ac:dyDescent="0.15">
      <c r="B21" s="109">
        <f>População!B21</f>
        <v>9</v>
      </c>
      <c r="C21" s="109">
        <f>População!C21</f>
        <v>2035</v>
      </c>
      <c r="D21" s="111">
        <f>ROUND('Perdas e Vazões de Água'!V21*86.4/$D$3,0)</f>
        <v>5774</v>
      </c>
      <c r="E21" s="111">
        <f t="shared" si="0"/>
        <v>3464</v>
      </c>
      <c r="F21" s="111">
        <f t="shared" si="1"/>
        <v>2310</v>
      </c>
      <c r="G21" s="111">
        <f t="shared" si="10"/>
        <v>4100</v>
      </c>
      <c r="H21" s="111">
        <f t="shared" si="11"/>
        <v>2200</v>
      </c>
      <c r="I21" s="111">
        <f t="shared" si="12"/>
        <v>6300</v>
      </c>
      <c r="J21" s="111"/>
      <c r="K21" s="111"/>
      <c r="L21" s="111">
        <f t="shared" si="2"/>
        <v>0</v>
      </c>
      <c r="M21" s="111">
        <f t="shared" si="3"/>
        <v>636</v>
      </c>
      <c r="N21" s="111">
        <f t="shared" si="4"/>
        <v>-110</v>
      </c>
      <c r="O21" s="111">
        <f t="shared" si="5"/>
        <v>526</v>
      </c>
      <c r="P21" s="121">
        <f t="shared" si="13"/>
        <v>21.21</v>
      </c>
      <c r="Q21" s="111">
        <f>Q20+(P21*('Economais e Ligações Água'!T21-'Economais e Ligações Água'!T20))</f>
        <v>365023.64472305629</v>
      </c>
      <c r="R21" s="111">
        <f t="shared" si="14"/>
        <v>6105.1786056148121</v>
      </c>
      <c r="S21" s="111">
        <f t="shared" si="6"/>
        <v>17210</v>
      </c>
      <c r="T21" s="121">
        <f t="shared" si="15"/>
        <v>21.21</v>
      </c>
      <c r="U21" s="111">
        <f>'Economais e Ligações Esgoto'!U21*'Atendimento '!F21*T21</f>
        <v>343122.22603967268</v>
      </c>
      <c r="V21" s="111">
        <f t="shared" si="16"/>
        <v>12917.237211626547</v>
      </c>
      <c r="W21" s="111">
        <f t="shared" si="7"/>
        <v>16177</v>
      </c>
      <c r="X21" s="40"/>
      <c r="Y21" s="109">
        <f t="shared" si="17"/>
        <v>9</v>
      </c>
      <c r="Z21" s="109">
        <f t="shared" si="18"/>
        <v>2035</v>
      </c>
      <c r="AA21" s="111">
        <f t="shared" si="19"/>
        <v>292749</v>
      </c>
      <c r="AB21" s="111">
        <f t="shared" si="19"/>
        <v>7592</v>
      </c>
      <c r="AC21" s="111">
        <f t="shared" si="19"/>
        <v>39167</v>
      </c>
      <c r="AD21" s="111">
        <f t="shared" si="19"/>
        <v>14163</v>
      </c>
      <c r="AE21" s="111">
        <f t="shared" si="19"/>
        <v>9746</v>
      </c>
      <c r="AF21" s="111">
        <f t="shared" si="19"/>
        <v>548</v>
      </c>
      <c r="AG21" s="111">
        <f t="shared" si="19"/>
        <v>548</v>
      </c>
      <c r="AH21" s="111">
        <f t="shared" si="20"/>
        <v>511</v>
      </c>
      <c r="AI21" s="111">
        <f t="shared" si="21"/>
        <v>365024</v>
      </c>
      <c r="AJ21" s="48"/>
      <c r="AK21" s="109">
        <f t="shared" si="22"/>
        <v>9</v>
      </c>
      <c r="AL21" s="109">
        <f t="shared" si="23"/>
        <v>2035</v>
      </c>
      <c r="AM21" s="111">
        <f t="shared" si="24"/>
        <v>102937</v>
      </c>
      <c r="AN21" s="111">
        <f t="shared" si="24"/>
        <v>207932</v>
      </c>
      <c r="AO21" s="111">
        <f t="shared" si="24"/>
        <v>17156</v>
      </c>
      <c r="AP21" s="111">
        <f t="shared" si="24"/>
        <v>6862</v>
      </c>
      <c r="AQ21" s="111">
        <f t="shared" si="24"/>
        <v>3431</v>
      </c>
      <c r="AR21" s="111">
        <f t="shared" si="24"/>
        <v>3088</v>
      </c>
      <c r="AS21" s="111">
        <f t="shared" si="24"/>
        <v>1716</v>
      </c>
      <c r="AT21" s="111">
        <f t="shared" si="24"/>
        <v>0</v>
      </c>
      <c r="AU21" s="111">
        <f t="shared" si="25"/>
        <v>343122</v>
      </c>
    </row>
    <row r="22" spans="2:47" x14ac:dyDescent="0.15">
      <c r="B22" s="101">
        <f>População!B22</f>
        <v>10</v>
      </c>
      <c r="C22" s="101">
        <f>População!C22</f>
        <v>2036</v>
      </c>
      <c r="D22" s="102">
        <f>ROUND('Perdas e Vazões de Água'!V22*86.4/$D$3,0)</f>
        <v>5799</v>
      </c>
      <c r="E22" s="102">
        <f t="shared" si="0"/>
        <v>3479</v>
      </c>
      <c r="F22" s="102">
        <f t="shared" si="1"/>
        <v>2320</v>
      </c>
      <c r="G22" s="102">
        <f t="shared" si="10"/>
        <v>4100</v>
      </c>
      <c r="H22" s="102">
        <f t="shared" si="11"/>
        <v>2200</v>
      </c>
      <c r="I22" s="102">
        <f t="shared" si="12"/>
        <v>6300</v>
      </c>
      <c r="J22" s="102"/>
      <c r="K22" s="102"/>
      <c r="L22" s="102">
        <f t="shared" si="2"/>
        <v>0</v>
      </c>
      <c r="M22" s="102">
        <f t="shared" si="3"/>
        <v>621</v>
      </c>
      <c r="N22" s="102">
        <f t="shared" si="4"/>
        <v>-120</v>
      </c>
      <c r="O22" s="102">
        <f t="shared" si="5"/>
        <v>501</v>
      </c>
      <c r="P22" s="120">
        <f t="shared" si="13"/>
        <v>21.21</v>
      </c>
      <c r="Q22" s="102">
        <f>Q21+(P22*('Economais e Ligações Água'!T22-'Economais e Ligações Água'!T21))</f>
        <v>370993.1778710793</v>
      </c>
      <c r="R22" s="102">
        <f t="shared" si="14"/>
        <v>5969.5331480230088</v>
      </c>
      <c r="S22" s="102">
        <f t="shared" si="6"/>
        <v>17491</v>
      </c>
      <c r="T22" s="120">
        <f t="shared" si="15"/>
        <v>21.21</v>
      </c>
      <c r="U22" s="102">
        <f>'Economais e Ligações Esgoto'!U22*'Atendimento '!F22*T22</f>
        <v>356153.45075623621</v>
      </c>
      <c r="V22" s="102">
        <f t="shared" si="16"/>
        <v>13031.224716563534</v>
      </c>
      <c r="W22" s="102">
        <f t="shared" si="7"/>
        <v>16792</v>
      </c>
      <c r="X22" s="40"/>
      <c r="Y22" s="101">
        <f t="shared" si="17"/>
        <v>10</v>
      </c>
      <c r="Z22" s="101">
        <f t="shared" si="18"/>
        <v>2036</v>
      </c>
      <c r="AA22" s="102">
        <f t="shared" si="19"/>
        <v>297537</v>
      </c>
      <c r="AB22" s="102">
        <f t="shared" si="19"/>
        <v>7717</v>
      </c>
      <c r="AC22" s="102">
        <f t="shared" si="19"/>
        <v>39808</v>
      </c>
      <c r="AD22" s="102">
        <f t="shared" si="19"/>
        <v>14395</v>
      </c>
      <c r="AE22" s="102">
        <f t="shared" si="19"/>
        <v>9906</v>
      </c>
      <c r="AF22" s="102">
        <f t="shared" si="19"/>
        <v>556</v>
      </c>
      <c r="AG22" s="102">
        <f t="shared" si="19"/>
        <v>556</v>
      </c>
      <c r="AH22" s="102">
        <f t="shared" si="20"/>
        <v>519</v>
      </c>
      <c r="AI22" s="102">
        <f t="shared" si="21"/>
        <v>370994</v>
      </c>
      <c r="AJ22" s="48"/>
      <c r="AK22" s="101">
        <f t="shared" si="22"/>
        <v>10</v>
      </c>
      <c r="AL22" s="101">
        <f t="shared" si="23"/>
        <v>2036</v>
      </c>
      <c r="AM22" s="102">
        <f t="shared" si="24"/>
        <v>106846</v>
      </c>
      <c r="AN22" s="102">
        <f t="shared" si="24"/>
        <v>215829</v>
      </c>
      <c r="AO22" s="102">
        <f t="shared" si="24"/>
        <v>17808</v>
      </c>
      <c r="AP22" s="102">
        <f t="shared" si="24"/>
        <v>7123</v>
      </c>
      <c r="AQ22" s="102">
        <f t="shared" si="24"/>
        <v>3562</v>
      </c>
      <c r="AR22" s="102">
        <f t="shared" si="24"/>
        <v>3205</v>
      </c>
      <c r="AS22" s="102">
        <f t="shared" si="24"/>
        <v>1781</v>
      </c>
      <c r="AT22" s="102">
        <f t="shared" si="24"/>
        <v>0</v>
      </c>
      <c r="AU22" s="102">
        <f t="shared" si="25"/>
        <v>356154</v>
      </c>
    </row>
    <row r="23" spans="2:47" x14ac:dyDescent="0.15">
      <c r="B23" s="109">
        <f>População!B23</f>
        <v>11</v>
      </c>
      <c r="C23" s="109">
        <f>População!C23</f>
        <v>2037</v>
      </c>
      <c r="D23" s="111">
        <f>ROUND('Perdas e Vazões de Água'!V23*86.4/$D$3,0)</f>
        <v>5823</v>
      </c>
      <c r="E23" s="111">
        <f t="shared" si="0"/>
        <v>3494</v>
      </c>
      <c r="F23" s="111">
        <f t="shared" si="1"/>
        <v>2329</v>
      </c>
      <c r="G23" s="111">
        <f t="shared" si="10"/>
        <v>4100</v>
      </c>
      <c r="H23" s="111">
        <f t="shared" si="11"/>
        <v>2200</v>
      </c>
      <c r="I23" s="111">
        <f t="shared" si="12"/>
        <v>6300</v>
      </c>
      <c r="J23" s="111"/>
      <c r="K23" s="111"/>
      <c r="L23" s="111">
        <f t="shared" si="2"/>
        <v>0</v>
      </c>
      <c r="M23" s="111">
        <f t="shared" si="3"/>
        <v>606</v>
      </c>
      <c r="N23" s="111">
        <f t="shared" si="4"/>
        <v>-129</v>
      </c>
      <c r="O23" s="111">
        <f t="shared" si="5"/>
        <v>477</v>
      </c>
      <c r="P23" s="121">
        <f t="shared" si="13"/>
        <v>21.21</v>
      </c>
      <c r="Q23" s="111">
        <f>Q22+(P23*('Economais e Ligações Água'!T23-'Economais e Ligações Água'!T22))</f>
        <v>376838.24111314496</v>
      </c>
      <c r="R23" s="111">
        <f t="shared" si="14"/>
        <v>5845.0632420656621</v>
      </c>
      <c r="S23" s="111">
        <f t="shared" si="6"/>
        <v>17767</v>
      </c>
      <c r="T23" s="121">
        <f t="shared" si="15"/>
        <v>21.21</v>
      </c>
      <c r="U23" s="111">
        <f>'Economais e Ligações Esgoto'!U23*'Atendimento '!F23*T23</f>
        <v>369301.47629088204</v>
      </c>
      <c r="V23" s="111">
        <f t="shared" si="16"/>
        <v>13148.025534645829</v>
      </c>
      <c r="W23" s="111">
        <f t="shared" si="7"/>
        <v>17412</v>
      </c>
      <c r="X23" s="40"/>
      <c r="Y23" s="109">
        <f t="shared" si="17"/>
        <v>11</v>
      </c>
      <c r="Z23" s="109">
        <f t="shared" si="18"/>
        <v>2037</v>
      </c>
      <c r="AA23" s="111">
        <f t="shared" si="19"/>
        <v>302224</v>
      </c>
      <c r="AB23" s="111">
        <f t="shared" si="19"/>
        <v>7838</v>
      </c>
      <c r="AC23" s="111">
        <f t="shared" si="19"/>
        <v>40435</v>
      </c>
      <c r="AD23" s="111">
        <f t="shared" si="19"/>
        <v>14621</v>
      </c>
      <c r="AE23" s="111">
        <f t="shared" si="19"/>
        <v>10062</v>
      </c>
      <c r="AF23" s="111">
        <f t="shared" si="19"/>
        <v>565</v>
      </c>
      <c r="AG23" s="111">
        <f t="shared" si="19"/>
        <v>565</v>
      </c>
      <c r="AH23" s="111">
        <f t="shared" si="20"/>
        <v>528</v>
      </c>
      <c r="AI23" s="111">
        <f t="shared" si="21"/>
        <v>376838</v>
      </c>
      <c r="AJ23" s="48"/>
      <c r="AK23" s="109">
        <f t="shared" si="22"/>
        <v>11</v>
      </c>
      <c r="AL23" s="109">
        <f t="shared" si="23"/>
        <v>2037</v>
      </c>
      <c r="AM23" s="111">
        <f t="shared" si="24"/>
        <v>110790</v>
      </c>
      <c r="AN23" s="111">
        <f t="shared" si="24"/>
        <v>223797</v>
      </c>
      <c r="AO23" s="111">
        <f t="shared" si="24"/>
        <v>18465</v>
      </c>
      <c r="AP23" s="111">
        <f t="shared" si="24"/>
        <v>7386</v>
      </c>
      <c r="AQ23" s="111">
        <f t="shared" si="24"/>
        <v>3693</v>
      </c>
      <c r="AR23" s="111">
        <f t="shared" si="24"/>
        <v>3324</v>
      </c>
      <c r="AS23" s="111">
        <f t="shared" si="24"/>
        <v>1847</v>
      </c>
      <c r="AT23" s="111">
        <f t="shared" si="24"/>
        <v>0</v>
      </c>
      <c r="AU23" s="111">
        <f t="shared" si="25"/>
        <v>369302</v>
      </c>
    </row>
    <row r="24" spans="2:47" x14ac:dyDescent="0.15">
      <c r="B24" s="109">
        <f>População!B24</f>
        <v>12</v>
      </c>
      <c r="C24" s="109">
        <f>População!C24</f>
        <v>2038</v>
      </c>
      <c r="D24" s="111">
        <f>ROUND('Perdas e Vazões de Água'!V24*86.4/$D$3,0)</f>
        <v>5846</v>
      </c>
      <c r="E24" s="111">
        <f t="shared" si="0"/>
        <v>3508</v>
      </c>
      <c r="F24" s="111">
        <f t="shared" si="1"/>
        <v>2338</v>
      </c>
      <c r="G24" s="111">
        <f t="shared" si="10"/>
        <v>4100</v>
      </c>
      <c r="H24" s="111">
        <f t="shared" si="11"/>
        <v>2200</v>
      </c>
      <c r="I24" s="111">
        <f t="shared" si="12"/>
        <v>6300</v>
      </c>
      <c r="J24" s="111"/>
      <c r="K24" s="111"/>
      <c r="L24" s="111">
        <f t="shared" si="2"/>
        <v>0</v>
      </c>
      <c r="M24" s="111">
        <f t="shared" si="3"/>
        <v>592</v>
      </c>
      <c r="N24" s="111">
        <f t="shared" si="4"/>
        <v>-138</v>
      </c>
      <c r="O24" s="111">
        <f t="shared" si="5"/>
        <v>454</v>
      </c>
      <c r="P24" s="121">
        <f t="shared" si="13"/>
        <v>21.21</v>
      </c>
      <c r="Q24" s="111">
        <f>Q23+(P24*('Economais e Ligações Água'!T24-'Economais e Ligações Água'!T23))</f>
        <v>382596.94473612087</v>
      </c>
      <c r="R24" s="111">
        <f t="shared" si="14"/>
        <v>5758.7036229759105</v>
      </c>
      <c r="S24" s="111">
        <f t="shared" si="6"/>
        <v>18039</v>
      </c>
      <c r="T24" s="121">
        <f t="shared" si="15"/>
        <v>21.21</v>
      </c>
      <c r="U24" s="111">
        <f>'Economais e Ligações Esgoto'!U24*'Atendimento '!F24*T24</f>
        <v>382596.94473612081</v>
      </c>
      <c r="V24" s="111">
        <f t="shared" si="16"/>
        <v>13295.468445238774</v>
      </c>
      <c r="W24" s="111">
        <f t="shared" si="7"/>
        <v>18039</v>
      </c>
      <c r="X24" s="40"/>
      <c r="Y24" s="109">
        <f t="shared" si="17"/>
        <v>12</v>
      </c>
      <c r="Z24" s="109">
        <f t="shared" si="18"/>
        <v>2038</v>
      </c>
      <c r="AA24" s="111">
        <f t="shared" si="19"/>
        <v>306843</v>
      </c>
      <c r="AB24" s="111">
        <f t="shared" si="19"/>
        <v>7958</v>
      </c>
      <c r="AC24" s="111">
        <f t="shared" si="19"/>
        <v>41053</v>
      </c>
      <c r="AD24" s="111">
        <f t="shared" si="19"/>
        <v>14845</v>
      </c>
      <c r="AE24" s="111">
        <f t="shared" si="19"/>
        <v>10215</v>
      </c>
      <c r="AF24" s="111">
        <f t="shared" si="19"/>
        <v>574</v>
      </c>
      <c r="AG24" s="111">
        <f t="shared" si="19"/>
        <v>574</v>
      </c>
      <c r="AH24" s="111">
        <f t="shared" si="20"/>
        <v>536</v>
      </c>
      <c r="AI24" s="111">
        <f t="shared" si="21"/>
        <v>382598</v>
      </c>
      <c r="AJ24" s="48"/>
      <c r="AK24" s="109">
        <f t="shared" si="22"/>
        <v>12</v>
      </c>
      <c r="AL24" s="109">
        <f t="shared" si="23"/>
        <v>2038</v>
      </c>
      <c r="AM24" s="111">
        <f t="shared" si="24"/>
        <v>114779</v>
      </c>
      <c r="AN24" s="111">
        <f t="shared" si="24"/>
        <v>231854</v>
      </c>
      <c r="AO24" s="111">
        <f t="shared" si="24"/>
        <v>19130</v>
      </c>
      <c r="AP24" s="111">
        <f t="shared" si="24"/>
        <v>7652</v>
      </c>
      <c r="AQ24" s="111">
        <f t="shared" si="24"/>
        <v>3826</v>
      </c>
      <c r="AR24" s="111">
        <f t="shared" si="24"/>
        <v>3443</v>
      </c>
      <c r="AS24" s="111">
        <f t="shared" si="24"/>
        <v>1913</v>
      </c>
      <c r="AT24" s="111">
        <f t="shared" si="24"/>
        <v>0</v>
      </c>
      <c r="AU24" s="111">
        <f t="shared" si="25"/>
        <v>382597</v>
      </c>
    </row>
    <row r="25" spans="2:47" x14ac:dyDescent="0.15">
      <c r="B25" s="109">
        <f>População!B25</f>
        <v>13</v>
      </c>
      <c r="C25" s="109">
        <f>População!C25</f>
        <v>2039</v>
      </c>
      <c r="D25" s="111">
        <f>ROUND('Perdas e Vazões de Água'!V25*86.4/$D$3,0)</f>
        <v>5865</v>
      </c>
      <c r="E25" s="111">
        <f t="shared" si="0"/>
        <v>3519</v>
      </c>
      <c r="F25" s="111">
        <f t="shared" si="1"/>
        <v>2346</v>
      </c>
      <c r="G25" s="111">
        <f t="shared" si="10"/>
        <v>4100</v>
      </c>
      <c r="H25" s="111">
        <f t="shared" si="11"/>
        <v>2200</v>
      </c>
      <c r="I25" s="111">
        <f t="shared" si="12"/>
        <v>6300</v>
      </c>
      <c r="J25" s="111"/>
      <c r="K25" s="111"/>
      <c r="L25" s="111">
        <f t="shared" si="2"/>
        <v>0</v>
      </c>
      <c r="M25" s="111">
        <f t="shared" si="3"/>
        <v>581</v>
      </c>
      <c r="N25" s="111">
        <f t="shared" si="4"/>
        <v>-146</v>
      </c>
      <c r="O25" s="111">
        <f t="shared" si="5"/>
        <v>435</v>
      </c>
      <c r="P25" s="121">
        <f t="shared" si="13"/>
        <v>21.21</v>
      </c>
      <c r="Q25" s="111">
        <f>Q24+(P25*('Economais e Ligações Água'!T25-'Economais e Ligações Água'!T24))</f>
        <v>388185.58164948464</v>
      </c>
      <c r="R25" s="111">
        <f t="shared" si="14"/>
        <v>5588.6369133637636</v>
      </c>
      <c r="S25" s="111">
        <f t="shared" si="6"/>
        <v>18302</v>
      </c>
      <c r="T25" s="121">
        <f t="shared" si="15"/>
        <v>21.21</v>
      </c>
      <c r="U25" s="111">
        <f>'Economais e Ligações Esgoto'!U25*'Atendimento '!F25*T25</f>
        <v>388185.58164948458</v>
      </c>
      <c r="V25" s="111">
        <f t="shared" si="16"/>
        <v>5588.6369133637636</v>
      </c>
      <c r="W25" s="111">
        <f t="shared" si="7"/>
        <v>18302</v>
      </c>
      <c r="X25" s="40"/>
      <c r="Y25" s="109">
        <f t="shared" si="17"/>
        <v>13</v>
      </c>
      <c r="Z25" s="109">
        <f t="shared" si="18"/>
        <v>2039</v>
      </c>
      <c r="AA25" s="111">
        <f t="shared" si="19"/>
        <v>311325</v>
      </c>
      <c r="AB25" s="111">
        <f t="shared" si="19"/>
        <v>8074</v>
      </c>
      <c r="AC25" s="111">
        <f t="shared" si="19"/>
        <v>41652</v>
      </c>
      <c r="AD25" s="111">
        <f t="shared" si="19"/>
        <v>15062</v>
      </c>
      <c r="AE25" s="111">
        <f t="shared" si="19"/>
        <v>10365</v>
      </c>
      <c r="AF25" s="111">
        <f t="shared" si="19"/>
        <v>582</v>
      </c>
      <c r="AG25" s="111">
        <f t="shared" si="19"/>
        <v>582</v>
      </c>
      <c r="AH25" s="111">
        <f t="shared" si="20"/>
        <v>543</v>
      </c>
      <c r="AI25" s="111">
        <f t="shared" si="21"/>
        <v>388185</v>
      </c>
      <c r="AJ25" s="48"/>
      <c r="AK25" s="109">
        <f t="shared" si="22"/>
        <v>13</v>
      </c>
      <c r="AL25" s="109">
        <f t="shared" si="23"/>
        <v>2039</v>
      </c>
      <c r="AM25" s="111">
        <f t="shared" si="24"/>
        <v>116456</v>
      </c>
      <c r="AN25" s="111">
        <f t="shared" si="24"/>
        <v>235240</v>
      </c>
      <c r="AO25" s="111">
        <f t="shared" si="24"/>
        <v>19409</v>
      </c>
      <c r="AP25" s="111">
        <f t="shared" si="24"/>
        <v>7764</v>
      </c>
      <c r="AQ25" s="111">
        <f t="shared" si="24"/>
        <v>3882</v>
      </c>
      <c r="AR25" s="111">
        <f t="shared" si="24"/>
        <v>3494</v>
      </c>
      <c r="AS25" s="111">
        <f t="shared" si="24"/>
        <v>1941</v>
      </c>
      <c r="AT25" s="111">
        <f t="shared" si="24"/>
        <v>0</v>
      </c>
      <c r="AU25" s="111">
        <f t="shared" si="25"/>
        <v>388186</v>
      </c>
    </row>
    <row r="26" spans="2:47" x14ac:dyDescent="0.15">
      <c r="B26" s="109">
        <f>População!B26</f>
        <v>14</v>
      </c>
      <c r="C26" s="109">
        <f>População!C26</f>
        <v>2040</v>
      </c>
      <c r="D26" s="111">
        <f>ROUND('Perdas e Vazões de Água'!V26*86.4/$D$3,0)</f>
        <v>5885</v>
      </c>
      <c r="E26" s="111">
        <f t="shared" si="0"/>
        <v>3531</v>
      </c>
      <c r="F26" s="111">
        <f t="shared" si="1"/>
        <v>2354</v>
      </c>
      <c r="G26" s="111">
        <f t="shared" si="10"/>
        <v>4100</v>
      </c>
      <c r="H26" s="111">
        <f t="shared" si="11"/>
        <v>2200</v>
      </c>
      <c r="I26" s="111">
        <f t="shared" si="12"/>
        <v>6300</v>
      </c>
      <c r="J26" s="111"/>
      <c r="K26" s="111"/>
      <c r="L26" s="111">
        <f t="shared" si="2"/>
        <v>0</v>
      </c>
      <c r="M26" s="111">
        <f t="shared" si="3"/>
        <v>569</v>
      </c>
      <c r="N26" s="111">
        <f t="shared" si="4"/>
        <v>-154</v>
      </c>
      <c r="O26" s="111">
        <f t="shared" si="5"/>
        <v>415</v>
      </c>
      <c r="P26" s="121">
        <f t="shared" si="13"/>
        <v>21.21</v>
      </c>
      <c r="Q26" s="111">
        <f>Q25+(P26*('Economais e Ligações Água'!T26-'Economais e Ligações Água'!T25))</f>
        <v>393663.88682391745</v>
      </c>
      <c r="R26" s="111">
        <f t="shared" si="14"/>
        <v>5478.3051744328113</v>
      </c>
      <c r="S26" s="111">
        <f t="shared" si="6"/>
        <v>18560</v>
      </c>
      <c r="T26" s="121">
        <f t="shared" si="15"/>
        <v>21.21</v>
      </c>
      <c r="U26" s="111">
        <f>'Economais e Ligações Esgoto'!U26*'Atendimento '!F26*T26</f>
        <v>393663.88682391739</v>
      </c>
      <c r="V26" s="111">
        <f t="shared" si="16"/>
        <v>5478.3051744328113</v>
      </c>
      <c r="W26" s="111">
        <f t="shared" si="7"/>
        <v>18560</v>
      </c>
      <c r="X26" s="40"/>
      <c r="Y26" s="109">
        <f t="shared" si="17"/>
        <v>14</v>
      </c>
      <c r="Z26" s="109">
        <f t="shared" si="18"/>
        <v>2040</v>
      </c>
      <c r="AA26" s="111">
        <f t="shared" si="19"/>
        <v>315718</v>
      </c>
      <c r="AB26" s="111">
        <f t="shared" si="19"/>
        <v>8188</v>
      </c>
      <c r="AC26" s="111">
        <f t="shared" si="19"/>
        <v>42240</v>
      </c>
      <c r="AD26" s="111">
        <f t="shared" si="19"/>
        <v>15274</v>
      </c>
      <c r="AE26" s="111">
        <f t="shared" si="19"/>
        <v>10511</v>
      </c>
      <c r="AF26" s="111">
        <f t="shared" si="19"/>
        <v>590</v>
      </c>
      <c r="AG26" s="111">
        <f t="shared" si="19"/>
        <v>590</v>
      </c>
      <c r="AH26" s="111">
        <f t="shared" si="20"/>
        <v>551</v>
      </c>
      <c r="AI26" s="111">
        <f t="shared" si="21"/>
        <v>393662</v>
      </c>
      <c r="AJ26" s="48"/>
      <c r="AK26" s="109">
        <f t="shared" si="22"/>
        <v>14</v>
      </c>
      <c r="AL26" s="109">
        <f t="shared" si="23"/>
        <v>2040</v>
      </c>
      <c r="AM26" s="111">
        <f t="shared" si="24"/>
        <v>118099</v>
      </c>
      <c r="AN26" s="111">
        <f t="shared" si="24"/>
        <v>238560</v>
      </c>
      <c r="AO26" s="111">
        <f t="shared" si="24"/>
        <v>19683</v>
      </c>
      <c r="AP26" s="111">
        <f t="shared" si="24"/>
        <v>7873</v>
      </c>
      <c r="AQ26" s="111">
        <f t="shared" si="24"/>
        <v>3937</v>
      </c>
      <c r="AR26" s="111">
        <f t="shared" si="24"/>
        <v>3543</v>
      </c>
      <c r="AS26" s="111">
        <f t="shared" si="24"/>
        <v>1968</v>
      </c>
      <c r="AT26" s="111">
        <f t="shared" si="24"/>
        <v>0</v>
      </c>
      <c r="AU26" s="111">
        <f t="shared" si="25"/>
        <v>393663</v>
      </c>
    </row>
    <row r="27" spans="2:47" x14ac:dyDescent="0.15">
      <c r="B27" s="101">
        <f>População!B27</f>
        <v>15</v>
      </c>
      <c r="C27" s="101">
        <f>População!C27</f>
        <v>2041</v>
      </c>
      <c r="D27" s="102">
        <f>ROUND('Perdas e Vazões de Água'!V27*86.4/$D$3,0)</f>
        <v>5904</v>
      </c>
      <c r="E27" s="102">
        <f t="shared" si="0"/>
        <v>3542</v>
      </c>
      <c r="F27" s="102">
        <f t="shared" si="1"/>
        <v>2362</v>
      </c>
      <c r="G27" s="102">
        <f t="shared" si="10"/>
        <v>4100</v>
      </c>
      <c r="H27" s="102">
        <f t="shared" si="11"/>
        <v>2200</v>
      </c>
      <c r="I27" s="102">
        <f t="shared" si="12"/>
        <v>6300</v>
      </c>
      <c r="J27" s="102"/>
      <c r="K27" s="102"/>
      <c r="L27" s="102">
        <f t="shared" si="2"/>
        <v>0</v>
      </c>
      <c r="M27" s="102">
        <f t="shared" si="3"/>
        <v>558</v>
      </c>
      <c r="N27" s="102">
        <f t="shared" si="4"/>
        <v>-162</v>
      </c>
      <c r="O27" s="102">
        <f t="shared" si="5"/>
        <v>396</v>
      </c>
      <c r="P27" s="120">
        <f t="shared" si="13"/>
        <v>21.21</v>
      </c>
      <c r="Q27" s="102">
        <f>Q26+(P27*('Economais e Ligações Água'!T27-'Economais e Ligações Água'!T26))</f>
        <v>399024.27041877067</v>
      </c>
      <c r="R27" s="102">
        <f t="shared" si="14"/>
        <v>5360.3835948532214</v>
      </c>
      <c r="S27" s="102">
        <f t="shared" si="6"/>
        <v>18813</v>
      </c>
      <c r="T27" s="120">
        <f t="shared" si="15"/>
        <v>21.21</v>
      </c>
      <c r="U27" s="102">
        <f>'Economais e Ligações Esgoto'!U27*'Atendimento '!F27*T27</f>
        <v>399024.27041877061</v>
      </c>
      <c r="V27" s="102">
        <f t="shared" si="16"/>
        <v>5360.3835948532214</v>
      </c>
      <c r="W27" s="102">
        <f t="shared" si="7"/>
        <v>18813</v>
      </c>
      <c r="X27" s="40"/>
      <c r="Y27" s="101">
        <f t="shared" si="17"/>
        <v>15</v>
      </c>
      <c r="Z27" s="101">
        <f t="shared" si="18"/>
        <v>2041</v>
      </c>
      <c r="AA27" s="102">
        <f t="shared" si="19"/>
        <v>320017</v>
      </c>
      <c r="AB27" s="102">
        <f t="shared" si="19"/>
        <v>8300</v>
      </c>
      <c r="AC27" s="102">
        <f t="shared" si="19"/>
        <v>42815</v>
      </c>
      <c r="AD27" s="102">
        <f t="shared" si="19"/>
        <v>15482</v>
      </c>
      <c r="AE27" s="102">
        <f t="shared" si="19"/>
        <v>10654</v>
      </c>
      <c r="AF27" s="102">
        <f t="shared" si="19"/>
        <v>599</v>
      </c>
      <c r="AG27" s="102">
        <f t="shared" si="19"/>
        <v>599</v>
      </c>
      <c r="AH27" s="102">
        <f t="shared" si="20"/>
        <v>559</v>
      </c>
      <c r="AI27" s="102">
        <f t="shared" si="21"/>
        <v>399025</v>
      </c>
      <c r="AJ27" s="48"/>
      <c r="AK27" s="101">
        <f t="shared" si="22"/>
        <v>15</v>
      </c>
      <c r="AL27" s="101">
        <f t="shared" si="23"/>
        <v>2041</v>
      </c>
      <c r="AM27" s="102">
        <f t="shared" si="24"/>
        <v>119707</v>
      </c>
      <c r="AN27" s="102">
        <f t="shared" si="24"/>
        <v>241809</v>
      </c>
      <c r="AO27" s="102">
        <f t="shared" si="24"/>
        <v>19951</v>
      </c>
      <c r="AP27" s="102">
        <f t="shared" si="24"/>
        <v>7980</v>
      </c>
      <c r="AQ27" s="102">
        <f t="shared" si="24"/>
        <v>3990</v>
      </c>
      <c r="AR27" s="102">
        <f t="shared" si="24"/>
        <v>3591</v>
      </c>
      <c r="AS27" s="102">
        <f t="shared" si="24"/>
        <v>1995</v>
      </c>
      <c r="AT27" s="102">
        <f t="shared" si="24"/>
        <v>0</v>
      </c>
      <c r="AU27" s="102">
        <f t="shared" si="25"/>
        <v>399023</v>
      </c>
    </row>
    <row r="28" spans="2:47" x14ac:dyDescent="0.15">
      <c r="B28" s="109">
        <f>População!B28</f>
        <v>16</v>
      </c>
      <c r="C28" s="109">
        <f>População!C28</f>
        <v>2042</v>
      </c>
      <c r="D28" s="111">
        <f>ROUND('Perdas e Vazões de Água'!V28*86.4/$D$3,0)</f>
        <v>5920</v>
      </c>
      <c r="E28" s="111">
        <f t="shared" si="0"/>
        <v>3552</v>
      </c>
      <c r="F28" s="111">
        <f t="shared" si="1"/>
        <v>2368</v>
      </c>
      <c r="G28" s="111">
        <f t="shared" si="10"/>
        <v>4100</v>
      </c>
      <c r="H28" s="111">
        <f t="shared" si="11"/>
        <v>2200</v>
      </c>
      <c r="I28" s="111">
        <f t="shared" si="12"/>
        <v>6300</v>
      </c>
      <c r="J28" s="111"/>
      <c r="K28" s="111"/>
      <c r="L28" s="111">
        <f t="shared" si="2"/>
        <v>0</v>
      </c>
      <c r="M28" s="111">
        <f t="shared" si="3"/>
        <v>548</v>
      </c>
      <c r="N28" s="111">
        <f t="shared" si="4"/>
        <v>-168</v>
      </c>
      <c r="O28" s="111">
        <f t="shared" si="5"/>
        <v>380</v>
      </c>
      <c r="P28" s="121">
        <f t="shared" si="13"/>
        <v>21.21</v>
      </c>
      <c r="Q28" s="111">
        <f>Q27+(P28*('Economais e Ligações Água'!T28-'Economais e Ligações Água'!T27))</f>
        <v>404264.35789962229</v>
      </c>
      <c r="R28" s="111">
        <f t="shared" si="14"/>
        <v>5240.0874808516237</v>
      </c>
      <c r="S28" s="111">
        <f t="shared" si="6"/>
        <v>19060</v>
      </c>
      <c r="T28" s="121">
        <f t="shared" si="15"/>
        <v>21.21</v>
      </c>
      <c r="U28" s="111">
        <f>'Economais e Ligações Esgoto'!U28*'Atendimento '!F28*T28</f>
        <v>404264.35789962223</v>
      </c>
      <c r="V28" s="111">
        <f t="shared" si="16"/>
        <v>5240.0874808516237</v>
      </c>
      <c r="W28" s="111">
        <f t="shared" si="7"/>
        <v>19060</v>
      </c>
      <c r="X28" s="40"/>
      <c r="Y28" s="109">
        <f t="shared" si="17"/>
        <v>16</v>
      </c>
      <c r="Z28" s="109">
        <f t="shared" si="18"/>
        <v>2042</v>
      </c>
      <c r="AA28" s="111">
        <f t="shared" si="19"/>
        <v>324220</v>
      </c>
      <c r="AB28" s="111">
        <f t="shared" si="19"/>
        <v>8409</v>
      </c>
      <c r="AC28" s="111">
        <f t="shared" si="19"/>
        <v>43378</v>
      </c>
      <c r="AD28" s="111">
        <f t="shared" si="19"/>
        <v>15685</v>
      </c>
      <c r="AE28" s="111">
        <f t="shared" si="19"/>
        <v>10794</v>
      </c>
      <c r="AF28" s="111">
        <f t="shared" si="19"/>
        <v>606</v>
      </c>
      <c r="AG28" s="111">
        <f t="shared" si="19"/>
        <v>606</v>
      </c>
      <c r="AH28" s="111">
        <f t="shared" si="20"/>
        <v>566</v>
      </c>
      <c r="AI28" s="111">
        <f t="shared" si="21"/>
        <v>404264</v>
      </c>
      <c r="AJ28" s="48"/>
      <c r="AK28" s="109">
        <f t="shared" si="22"/>
        <v>16</v>
      </c>
      <c r="AL28" s="109">
        <f t="shared" si="23"/>
        <v>2042</v>
      </c>
      <c r="AM28" s="111">
        <f t="shared" si="24"/>
        <v>121279</v>
      </c>
      <c r="AN28" s="111">
        <f t="shared" si="24"/>
        <v>244984</v>
      </c>
      <c r="AO28" s="111">
        <f t="shared" si="24"/>
        <v>20213</v>
      </c>
      <c r="AP28" s="111">
        <f t="shared" si="24"/>
        <v>8085</v>
      </c>
      <c r="AQ28" s="111">
        <f t="shared" si="24"/>
        <v>4043</v>
      </c>
      <c r="AR28" s="111">
        <f t="shared" si="24"/>
        <v>3638</v>
      </c>
      <c r="AS28" s="111">
        <f t="shared" si="24"/>
        <v>2021</v>
      </c>
      <c r="AT28" s="111">
        <f t="shared" si="24"/>
        <v>0</v>
      </c>
      <c r="AU28" s="111">
        <f t="shared" si="25"/>
        <v>404263</v>
      </c>
    </row>
    <row r="29" spans="2:47" x14ac:dyDescent="0.15">
      <c r="B29" s="109">
        <f>População!B29</f>
        <v>17</v>
      </c>
      <c r="C29" s="109">
        <f>População!C29</f>
        <v>2043</v>
      </c>
      <c r="D29" s="111">
        <f>ROUND('Perdas e Vazões de Água'!V29*86.4/$D$3,0)</f>
        <v>5935</v>
      </c>
      <c r="E29" s="111">
        <f t="shared" si="0"/>
        <v>3561</v>
      </c>
      <c r="F29" s="111">
        <f t="shared" si="1"/>
        <v>2374</v>
      </c>
      <c r="G29" s="111">
        <f t="shared" si="10"/>
        <v>4100</v>
      </c>
      <c r="H29" s="111">
        <f t="shared" si="11"/>
        <v>2200</v>
      </c>
      <c r="I29" s="111">
        <f t="shared" si="12"/>
        <v>6300</v>
      </c>
      <c r="J29" s="111"/>
      <c r="K29" s="111"/>
      <c r="L29" s="111">
        <f t="shared" si="2"/>
        <v>0</v>
      </c>
      <c r="M29" s="111">
        <f t="shared" si="3"/>
        <v>539</v>
      </c>
      <c r="N29" s="111">
        <f t="shared" si="4"/>
        <v>-174</v>
      </c>
      <c r="O29" s="111">
        <f t="shared" si="5"/>
        <v>365</v>
      </c>
      <c r="P29" s="121">
        <f t="shared" si="13"/>
        <v>21.21</v>
      </c>
      <c r="Q29" s="111">
        <f>Q28+(P29*('Economais e Ligações Água'!T29-'Economais e Ligações Água'!T28))</f>
        <v>409360.82356184412</v>
      </c>
      <c r="R29" s="111">
        <f t="shared" si="14"/>
        <v>5096.4656622218317</v>
      </c>
      <c r="S29" s="111">
        <f t="shared" si="6"/>
        <v>19300</v>
      </c>
      <c r="T29" s="121">
        <f t="shared" si="15"/>
        <v>21.21</v>
      </c>
      <c r="U29" s="111">
        <f>'Economais e Ligações Esgoto'!U29*'Atendimento '!F29*T29</f>
        <v>409360.82356184407</v>
      </c>
      <c r="V29" s="111">
        <f t="shared" si="16"/>
        <v>5096.4656622218317</v>
      </c>
      <c r="W29" s="111">
        <f t="shared" si="7"/>
        <v>19300</v>
      </c>
      <c r="X29" s="40"/>
      <c r="Y29" s="109">
        <f t="shared" si="17"/>
        <v>17</v>
      </c>
      <c r="Z29" s="109">
        <f t="shared" si="18"/>
        <v>2043</v>
      </c>
      <c r="AA29" s="111">
        <f t="shared" si="19"/>
        <v>328307</v>
      </c>
      <c r="AB29" s="111">
        <f t="shared" si="19"/>
        <v>8515</v>
      </c>
      <c r="AC29" s="111">
        <f t="shared" si="19"/>
        <v>43924</v>
      </c>
      <c r="AD29" s="111">
        <f t="shared" si="19"/>
        <v>15883</v>
      </c>
      <c r="AE29" s="111">
        <f t="shared" si="19"/>
        <v>10930</v>
      </c>
      <c r="AF29" s="111">
        <f t="shared" si="19"/>
        <v>614</v>
      </c>
      <c r="AG29" s="111">
        <f t="shared" si="19"/>
        <v>614</v>
      </c>
      <c r="AH29" s="111">
        <f t="shared" si="20"/>
        <v>573</v>
      </c>
      <c r="AI29" s="111">
        <f t="shared" si="21"/>
        <v>409360</v>
      </c>
      <c r="AJ29" s="48"/>
      <c r="AK29" s="109">
        <f t="shared" si="22"/>
        <v>17</v>
      </c>
      <c r="AL29" s="109">
        <f t="shared" si="23"/>
        <v>2043</v>
      </c>
      <c r="AM29" s="111">
        <f t="shared" si="24"/>
        <v>122808</v>
      </c>
      <c r="AN29" s="111">
        <f t="shared" si="24"/>
        <v>248073</v>
      </c>
      <c r="AO29" s="111">
        <f t="shared" si="24"/>
        <v>20468</v>
      </c>
      <c r="AP29" s="111">
        <f t="shared" si="24"/>
        <v>8187</v>
      </c>
      <c r="AQ29" s="111">
        <f t="shared" si="24"/>
        <v>4094</v>
      </c>
      <c r="AR29" s="111">
        <f t="shared" si="24"/>
        <v>3684</v>
      </c>
      <c r="AS29" s="111">
        <f t="shared" si="24"/>
        <v>2047</v>
      </c>
      <c r="AT29" s="111">
        <f t="shared" si="24"/>
        <v>0</v>
      </c>
      <c r="AU29" s="111">
        <f t="shared" si="25"/>
        <v>409361</v>
      </c>
    </row>
    <row r="30" spans="2:47" x14ac:dyDescent="0.15">
      <c r="B30" s="109">
        <f>População!B30</f>
        <v>18</v>
      </c>
      <c r="C30" s="109">
        <f>População!C30</f>
        <v>2044</v>
      </c>
      <c r="D30" s="111">
        <f>ROUND('Perdas e Vazões de Água'!V30*86.4/$D$3,0)</f>
        <v>5951</v>
      </c>
      <c r="E30" s="111">
        <f t="shared" si="0"/>
        <v>3571</v>
      </c>
      <c r="F30" s="111">
        <f t="shared" si="1"/>
        <v>2380</v>
      </c>
      <c r="G30" s="111">
        <f t="shared" si="10"/>
        <v>4100</v>
      </c>
      <c r="H30" s="111">
        <f t="shared" si="11"/>
        <v>2200</v>
      </c>
      <c r="I30" s="111">
        <f t="shared" si="12"/>
        <v>6300</v>
      </c>
      <c r="J30" s="111"/>
      <c r="K30" s="111"/>
      <c r="L30" s="111">
        <f t="shared" si="2"/>
        <v>0</v>
      </c>
      <c r="M30" s="111">
        <f t="shared" si="3"/>
        <v>529</v>
      </c>
      <c r="N30" s="111">
        <f t="shared" si="4"/>
        <v>-180</v>
      </c>
      <c r="O30" s="111">
        <f t="shared" si="5"/>
        <v>349</v>
      </c>
      <c r="P30" s="121">
        <f t="shared" si="13"/>
        <v>21.21</v>
      </c>
      <c r="Q30" s="111">
        <f>Q29+(P30*('Economais e Ligações Água'!T30-'Economais e Ligações Água'!T29))</f>
        <v>414337.09972150292</v>
      </c>
      <c r="R30" s="111">
        <f t="shared" si="14"/>
        <v>4976.2761596587952</v>
      </c>
      <c r="S30" s="111">
        <f t="shared" si="6"/>
        <v>19535</v>
      </c>
      <c r="T30" s="121">
        <f t="shared" si="15"/>
        <v>21.21</v>
      </c>
      <c r="U30" s="111">
        <f>'Economais e Ligações Esgoto'!U30*'Atendimento '!F30*T30</f>
        <v>414337.09972150286</v>
      </c>
      <c r="V30" s="111">
        <f t="shared" si="16"/>
        <v>4976.2761596587952</v>
      </c>
      <c r="W30" s="111">
        <f t="shared" si="7"/>
        <v>19535</v>
      </c>
      <c r="X30" s="40"/>
      <c r="Y30" s="109">
        <f t="shared" si="17"/>
        <v>18</v>
      </c>
      <c r="Z30" s="109">
        <f t="shared" si="18"/>
        <v>2044</v>
      </c>
      <c r="AA30" s="111">
        <f t="shared" si="19"/>
        <v>332298</v>
      </c>
      <c r="AB30" s="111">
        <f t="shared" si="19"/>
        <v>8618</v>
      </c>
      <c r="AC30" s="111">
        <f t="shared" si="19"/>
        <v>44458</v>
      </c>
      <c r="AD30" s="111">
        <f t="shared" si="19"/>
        <v>16076</v>
      </c>
      <c r="AE30" s="111">
        <f t="shared" si="19"/>
        <v>11063</v>
      </c>
      <c r="AF30" s="111">
        <f t="shared" si="19"/>
        <v>622</v>
      </c>
      <c r="AG30" s="111">
        <f t="shared" si="19"/>
        <v>622</v>
      </c>
      <c r="AH30" s="111">
        <f t="shared" si="20"/>
        <v>580</v>
      </c>
      <c r="AI30" s="111">
        <f t="shared" si="21"/>
        <v>414337</v>
      </c>
      <c r="AJ30" s="48"/>
      <c r="AK30" s="109">
        <f t="shared" si="22"/>
        <v>18</v>
      </c>
      <c r="AL30" s="109">
        <f t="shared" si="23"/>
        <v>2044</v>
      </c>
      <c r="AM30" s="111">
        <f t="shared" si="24"/>
        <v>124301</v>
      </c>
      <c r="AN30" s="111">
        <f t="shared" si="24"/>
        <v>251088</v>
      </c>
      <c r="AO30" s="111">
        <f t="shared" si="24"/>
        <v>20717</v>
      </c>
      <c r="AP30" s="111">
        <f t="shared" si="24"/>
        <v>8287</v>
      </c>
      <c r="AQ30" s="111">
        <f t="shared" si="24"/>
        <v>4143</v>
      </c>
      <c r="AR30" s="111">
        <f t="shared" si="24"/>
        <v>3729</v>
      </c>
      <c r="AS30" s="111">
        <f t="shared" si="24"/>
        <v>2072</v>
      </c>
      <c r="AT30" s="111">
        <f t="shared" si="24"/>
        <v>0</v>
      </c>
      <c r="AU30" s="111">
        <f t="shared" si="25"/>
        <v>414337</v>
      </c>
    </row>
    <row r="31" spans="2:47" x14ac:dyDescent="0.15">
      <c r="B31" s="109">
        <f>População!B31</f>
        <v>19</v>
      </c>
      <c r="C31" s="109">
        <f>População!C31</f>
        <v>2045</v>
      </c>
      <c r="D31" s="111">
        <f>ROUND('Perdas e Vazões de Água'!V31*86.4/$D$3,0)</f>
        <v>5980</v>
      </c>
      <c r="E31" s="111">
        <f t="shared" si="0"/>
        <v>3588</v>
      </c>
      <c r="F31" s="111">
        <f t="shared" si="1"/>
        <v>2392</v>
      </c>
      <c r="G31" s="111">
        <f t="shared" si="10"/>
        <v>4100</v>
      </c>
      <c r="H31" s="111">
        <f t="shared" si="11"/>
        <v>2200</v>
      </c>
      <c r="I31" s="111">
        <f t="shared" si="12"/>
        <v>6300</v>
      </c>
      <c r="J31" s="111"/>
      <c r="K31" s="111"/>
      <c r="L31" s="111">
        <f t="shared" si="2"/>
        <v>0</v>
      </c>
      <c r="M31" s="111">
        <f t="shared" si="3"/>
        <v>512</v>
      </c>
      <c r="N31" s="111">
        <f t="shared" si="4"/>
        <v>-192</v>
      </c>
      <c r="O31" s="111">
        <f t="shared" si="5"/>
        <v>320</v>
      </c>
      <c r="P31" s="121">
        <f t="shared" si="13"/>
        <v>21.21</v>
      </c>
      <c r="Q31" s="111">
        <f>Q30+(P31*('Economais e Ligações Água'!T31-'Economais e Ligações Água'!T30))</f>
        <v>419150.12073369807</v>
      </c>
      <c r="R31" s="111">
        <f t="shared" si="14"/>
        <v>4813.0210121951532</v>
      </c>
      <c r="S31" s="111">
        <f t="shared" si="6"/>
        <v>19762</v>
      </c>
      <c r="T31" s="121">
        <f t="shared" si="15"/>
        <v>21.21</v>
      </c>
      <c r="U31" s="111">
        <f>'Economais e Ligações Esgoto'!U31*'Atendimento '!F31*T31</f>
        <v>419150.12073369802</v>
      </c>
      <c r="V31" s="111">
        <f t="shared" si="16"/>
        <v>4813.0210121951532</v>
      </c>
      <c r="W31" s="111">
        <f t="shared" si="7"/>
        <v>19762</v>
      </c>
      <c r="X31" s="40"/>
      <c r="Y31" s="109">
        <f t="shared" si="17"/>
        <v>19</v>
      </c>
      <c r="Z31" s="109">
        <f t="shared" si="18"/>
        <v>2045</v>
      </c>
      <c r="AA31" s="111">
        <f t="shared" si="19"/>
        <v>336158</v>
      </c>
      <c r="AB31" s="111">
        <f t="shared" si="19"/>
        <v>8718</v>
      </c>
      <c r="AC31" s="111">
        <f t="shared" si="19"/>
        <v>44975</v>
      </c>
      <c r="AD31" s="111">
        <f t="shared" si="19"/>
        <v>16263</v>
      </c>
      <c r="AE31" s="111">
        <f t="shared" si="19"/>
        <v>11191</v>
      </c>
      <c r="AF31" s="111">
        <f t="shared" si="19"/>
        <v>629</v>
      </c>
      <c r="AG31" s="111">
        <f t="shared" si="19"/>
        <v>629</v>
      </c>
      <c r="AH31" s="111">
        <f t="shared" si="20"/>
        <v>587</v>
      </c>
      <c r="AI31" s="111">
        <f t="shared" si="21"/>
        <v>419150</v>
      </c>
      <c r="AJ31" s="48"/>
      <c r="AK31" s="109">
        <f t="shared" si="22"/>
        <v>19</v>
      </c>
      <c r="AL31" s="109">
        <f t="shared" si="23"/>
        <v>2045</v>
      </c>
      <c r="AM31" s="111">
        <f t="shared" si="24"/>
        <v>125745</v>
      </c>
      <c r="AN31" s="111">
        <f t="shared" si="24"/>
        <v>254005</v>
      </c>
      <c r="AO31" s="111">
        <f t="shared" si="24"/>
        <v>20958</v>
      </c>
      <c r="AP31" s="111">
        <f t="shared" si="24"/>
        <v>8383</v>
      </c>
      <c r="AQ31" s="111">
        <f t="shared" si="24"/>
        <v>4192</v>
      </c>
      <c r="AR31" s="111">
        <f t="shared" si="24"/>
        <v>3772</v>
      </c>
      <c r="AS31" s="111">
        <f t="shared" si="24"/>
        <v>2096</v>
      </c>
      <c r="AT31" s="111">
        <f t="shared" si="24"/>
        <v>0</v>
      </c>
      <c r="AU31" s="111">
        <f t="shared" si="25"/>
        <v>419151</v>
      </c>
    </row>
    <row r="32" spans="2:47" x14ac:dyDescent="0.15">
      <c r="B32" s="101">
        <f>População!B32</f>
        <v>20</v>
      </c>
      <c r="C32" s="101">
        <f>População!C32</f>
        <v>2046</v>
      </c>
      <c r="D32" s="102">
        <f>ROUND('Perdas e Vazões de Água'!V32*86.4/$D$3,0)</f>
        <v>6010</v>
      </c>
      <c r="E32" s="102">
        <f t="shared" si="0"/>
        <v>3606</v>
      </c>
      <c r="F32" s="102">
        <f t="shared" si="1"/>
        <v>2404</v>
      </c>
      <c r="G32" s="102">
        <f t="shared" si="10"/>
        <v>4100</v>
      </c>
      <c r="H32" s="102">
        <f t="shared" si="11"/>
        <v>2200</v>
      </c>
      <c r="I32" s="102">
        <f t="shared" si="12"/>
        <v>6300</v>
      </c>
      <c r="J32" s="102"/>
      <c r="K32" s="102"/>
      <c r="L32" s="102">
        <f t="shared" si="2"/>
        <v>0</v>
      </c>
      <c r="M32" s="102">
        <f t="shared" si="3"/>
        <v>494</v>
      </c>
      <c r="N32" s="102">
        <f t="shared" si="4"/>
        <v>-204</v>
      </c>
      <c r="O32" s="102">
        <f t="shared" si="5"/>
        <v>290</v>
      </c>
      <c r="P32" s="120">
        <f t="shared" si="13"/>
        <v>21.21</v>
      </c>
      <c r="Q32" s="102">
        <f>Q31+(P32*('Economais e Ligações Água'!T32-'Economais e Ligações Água'!T31))</f>
        <v>423873.70373100205</v>
      </c>
      <c r="R32" s="102">
        <f t="shared" si="14"/>
        <v>4723.5829973039799</v>
      </c>
      <c r="S32" s="102">
        <f t="shared" si="6"/>
        <v>19985</v>
      </c>
      <c r="T32" s="120">
        <f t="shared" si="15"/>
        <v>21.21</v>
      </c>
      <c r="U32" s="102">
        <f>'Economais e Ligações Esgoto'!U32*'Atendimento '!F32*T32</f>
        <v>423873.703731002</v>
      </c>
      <c r="V32" s="102">
        <f t="shared" si="16"/>
        <v>4723.5829973039799</v>
      </c>
      <c r="W32" s="102">
        <f t="shared" si="7"/>
        <v>19985</v>
      </c>
      <c r="X32" s="40"/>
      <c r="Y32" s="101">
        <f t="shared" si="17"/>
        <v>20</v>
      </c>
      <c r="Z32" s="101">
        <f t="shared" si="18"/>
        <v>2046</v>
      </c>
      <c r="AA32" s="102">
        <f t="shared" si="19"/>
        <v>339947</v>
      </c>
      <c r="AB32" s="102">
        <f t="shared" si="19"/>
        <v>8817</v>
      </c>
      <c r="AC32" s="102">
        <f t="shared" si="19"/>
        <v>45482</v>
      </c>
      <c r="AD32" s="102">
        <f t="shared" si="19"/>
        <v>16446</v>
      </c>
      <c r="AE32" s="102">
        <f t="shared" si="19"/>
        <v>11317</v>
      </c>
      <c r="AF32" s="102">
        <f t="shared" si="19"/>
        <v>636</v>
      </c>
      <c r="AG32" s="102">
        <f t="shared" si="19"/>
        <v>636</v>
      </c>
      <c r="AH32" s="102">
        <f t="shared" si="20"/>
        <v>593</v>
      </c>
      <c r="AI32" s="102">
        <f t="shared" si="21"/>
        <v>423874</v>
      </c>
      <c r="AJ32" s="48"/>
      <c r="AK32" s="101">
        <f t="shared" si="22"/>
        <v>20</v>
      </c>
      <c r="AL32" s="101">
        <f t="shared" si="23"/>
        <v>2046</v>
      </c>
      <c r="AM32" s="102">
        <f t="shared" si="24"/>
        <v>127162</v>
      </c>
      <c r="AN32" s="102">
        <f t="shared" si="24"/>
        <v>256867</v>
      </c>
      <c r="AO32" s="102">
        <f t="shared" si="24"/>
        <v>21194</v>
      </c>
      <c r="AP32" s="102">
        <f t="shared" si="24"/>
        <v>8477</v>
      </c>
      <c r="AQ32" s="102">
        <f t="shared" si="24"/>
        <v>4239</v>
      </c>
      <c r="AR32" s="102">
        <f t="shared" si="24"/>
        <v>3815</v>
      </c>
      <c r="AS32" s="102">
        <f t="shared" si="24"/>
        <v>2119</v>
      </c>
      <c r="AT32" s="102">
        <f t="shared" si="24"/>
        <v>0</v>
      </c>
      <c r="AU32" s="102">
        <f t="shared" si="25"/>
        <v>423873</v>
      </c>
    </row>
    <row r="33" spans="2:47" x14ac:dyDescent="0.15">
      <c r="B33" s="109">
        <f>População!B33</f>
        <v>21</v>
      </c>
      <c r="C33" s="109">
        <f>População!C33</f>
        <v>2047</v>
      </c>
      <c r="D33" s="111">
        <f>ROUND('Perdas e Vazões de Água'!V33*86.4/$D$3,0)</f>
        <v>6038</v>
      </c>
      <c r="E33" s="111">
        <f t="shared" si="0"/>
        <v>3623</v>
      </c>
      <c r="F33" s="111">
        <f t="shared" si="1"/>
        <v>2415</v>
      </c>
      <c r="G33" s="111">
        <f t="shared" si="10"/>
        <v>4100</v>
      </c>
      <c r="H33" s="111">
        <f t="shared" si="11"/>
        <v>2200</v>
      </c>
      <c r="I33" s="111">
        <f t="shared" si="12"/>
        <v>6300</v>
      </c>
      <c r="J33" s="111"/>
      <c r="K33" s="111"/>
      <c r="L33" s="111">
        <f t="shared" si="2"/>
        <v>0</v>
      </c>
      <c r="M33" s="111">
        <f t="shared" si="3"/>
        <v>477</v>
      </c>
      <c r="N33" s="111">
        <f t="shared" si="4"/>
        <v>-215</v>
      </c>
      <c r="O33" s="111">
        <f t="shared" si="5"/>
        <v>262</v>
      </c>
      <c r="P33" s="121">
        <f t="shared" si="13"/>
        <v>21.21</v>
      </c>
      <c r="Q33" s="111">
        <f>Q32+(P33*('Economais e Ligações Água'!T33-'Economais e Ligações Água'!T32))</f>
        <v>428432.40590154397</v>
      </c>
      <c r="R33" s="111">
        <f t="shared" si="14"/>
        <v>4558.7021705419174</v>
      </c>
      <c r="S33" s="111">
        <f t="shared" si="6"/>
        <v>20200</v>
      </c>
      <c r="T33" s="121">
        <f t="shared" si="15"/>
        <v>21.21</v>
      </c>
      <c r="U33" s="111">
        <f>'Economais e Ligações Esgoto'!U33*'Atendimento '!F33*T33</f>
        <v>428432.40590154391</v>
      </c>
      <c r="V33" s="111">
        <f t="shared" si="16"/>
        <v>4558.7021705419174</v>
      </c>
      <c r="W33" s="111">
        <f t="shared" si="7"/>
        <v>20200</v>
      </c>
      <c r="X33" s="40"/>
      <c r="Y33" s="109">
        <f t="shared" si="17"/>
        <v>21</v>
      </c>
      <c r="Z33" s="109">
        <f t="shared" si="18"/>
        <v>2047</v>
      </c>
      <c r="AA33" s="111">
        <f t="shared" si="19"/>
        <v>343603</v>
      </c>
      <c r="AB33" s="111">
        <f t="shared" si="19"/>
        <v>8911</v>
      </c>
      <c r="AC33" s="111">
        <f t="shared" si="19"/>
        <v>45971</v>
      </c>
      <c r="AD33" s="111">
        <f t="shared" si="19"/>
        <v>16623</v>
      </c>
      <c r="AE33" s="111">
        <f t="shared" si="19"/>
        <v>11439</v>
      </c>
      <c r="AF33" s="111">
        <f t="shared" si="19"/>
        <v>643</v>
      </c>
      <c r="AG33" s="111">
        <f t="shared" si="19"/>
        <v>643</v>
      </c>
      <c r="AH33" s="111">
        <f t="shared" si="20"/>
        <v>600</v>
      </c>
      <c r="AI33" s="111">
        <f t="shared" si="21"/>
        <v>428433</v>
      </c>
      <c r="AJ33" s="48"/>
      <c r="AK33" s="109">
        <f t="shared" si="22"/>
        <v>21</v>
      </c>
      <c r="AL33" s="109">
        <f t="shared" si="23"/>
        <v>2047</v>
      </c>
      <c r="AM33" s="111">
        <f t="shared" si="24"/>
        <v>128530</v>
      </c>
      <c r="AN33" s="111">
        <f t="shared" si="24"/>
        <v>259630</v>
      </c>
      <c r="AO33" s="111">
        <f t="shared" si="24"/>
        <v>21422</v>
      </c>
      <c r="AP33" s="111">
        <f t="shared" si="24"/>
        <v>8569</v>
      </c>
      <c r="AQ33" s="111">
        <f t="shared" si="24"/>
        <v>4284</v>
      </c>
      <c r="AR33" s="111">
        <f t="shared" si="24"/>
        <v>3856</v>
      </c>
      <c r="AS33" s="111">
        <f t="shared" si="24"/>
        <v>2142</v>
      </c>
      <c r="AT33" s="111">
        <f t="shared" si="24"/>
        <v>0</v>
      </c>
      <c r="AU33" s="111">
        <f t="shared" si="25"/>
        <v>428433</v>
      </c>
    </row>
    <row r="34" spans="2:47" x14ac:dyDescent="0.15">
      <c r="B34" s="109">
        <f>População!B34</f>
        <v>22</v>
      </c>
      <c r="C34" s="109">
        <f>População!C34</f>
        <v>2048</v>
      </c>
      <c r="D34" s="111">
        <f>ROUND('Perdas e Vazões de Água'!V34*86.4/$D$3,0)</f>
        <v>6064</v>
      </c>
      <c r="E34" s="111">
        <f t="shared" si="0"/>
        <v>3638</v>
      </c>
      <c r="F34" s="111">
        <f t="shared" si="1"/>
        <v>2426</v>
      </c>
      <c r="G34" s="111">
        <f t="shared" si="10"/>
        <v>4100</v>
      </c>
      <c r="H34" s="111">
        <f t="shared" si="11"/>
        <v>2200</v>
      </c>
      <c r="I34" s="111">
        <f t="shared" si="12"/>
        <v>6300</v>
      </c>
      <c r="J34" s="111"/>
      <c r="K34" s="111"/>
      <c r="L34" s="111">
        <f t="shared" si="2"/>
        <v>0</v>
      </c>
      <c r="M34" s="111">
        <f t="shared" si="3"/>
        <v>462</v>
      </c>
      <c r="N34" s="111">
        <f t="shared" si="4"/>
        <v>-226</v>
      </c>
      <c r="O34" s="111">
        <f t="shared" si="5"/>
        <v>236</v>
      </c>
      <c r="P34" s="121">
        <f t="shared" si="13"/>
        <v>21.21</v>
      </c>
      <c r="Q34" s="111">
        <f>Q33+(P34*('Economais e Ligações Água'!T34-'Economais e Ligações Água'!T33))</f>
        <v>432863.63968485338</v>
      </c>
      <c r="R34" s="111">
        <f t="shared" si="14"/>
        <v>4431.2337833094061</v>
      </c>
      <c r="S34" s="111">
        <f t="shared" si="6"/>
        <v>20408</v>
      </c>
      <c r="T34" s="121">
        <f t="shared" si="15"/>
        <v>21.21</v>
      </c>
      <c r="U34" s="111">
        <f>'Economais e Ligações Esgoto'!U34*'Atendimento '!F34*T34</f>
        <v>432863.63968485332</v>
      </c>
      <c r="V34" s="111">
        <f t="shared" si="16"/>
        <v>4431.2337833094061</v>
      </c>
      <c r="W34" s="111">
        <f t="shared" si="7"/>
        <v>20408</v>
      </c>
      <c r="X34" s="40"/>
      <c r="Y34" s="109">
        <f t="shared" si="17"/>
        <v>22</v>
      </c>
      <c r="Z34" s="109">
        <f t="shared" si="18"/>
        <v>2048</v>
      </c>
      <c r="AA34" s="111">
        <f t="shared" si="19"/>
        <v>347157</v>
      </c>
      <c r="AB34" s="111">
        <f t="shared" si="19"/>
        <v>9004</v>
      </c>
      <c r="AC34" s="111">
        <f t="shared" si="19"/>
        <v>46446</v>
      </c>
      <c r="AD34" s="111">
        <f t="shared" si="19"/>
        <v>16795</v>
      </c>
      <c r="AE34" s="111">
        <f t="shared" si="19"/>
        <v>11557</v>
      </c>
      <c r="AF34" s="111">
        <f t="shared" si="19"/>
        <v>649</v>
      </c>
      <c r="AG34" s="111">
        <f t="shared" si="19"/>
        <v>649</v>
      </c>
      <c r="AH34" s="111">
        <f t="shared" si="20"/>
        <v>606</v>
      </c>
      <c r="AI34" s="111">
        <f t="shared" si="21"/>
        <v>432863</v>
      </c>
      <c r="AJ34" s="48"/>
      <c r="AK34" s="109">
        <f t="shared" si="22"/>
        <v>22</v>
      </c>
      <c r="AL34" s="109">
        <f t="shared" si="23"/>
        <v>2048</v>
      </c>
      <c r="AM34" s="111">
        <f t="shared" si="24"/>
        <v>129859</v>
      </c>
      <c r="AN34" s="111">
        <f t="shared" si="24"/>
        <v>262315</v>
      </c>
      <c r="AO34" s="111">
        <f t="shared" si="24"/>
        <v>21643</v>
      </c>
      <c r="AP34" s="111">
        <f t="shared" si="24"/>
        <v>8657</v>
      </c>
      <c r="AQ34" s="111">
        <f t="shared" si="24"/>
        <v>4329</v>
      </c>
      <c r="AR34" s="111">
        <f t="shared" si="24"/>
        <v>3896</v>
      </c>
      <c r="AS34" s="111">
        <f t="shared" si="24"/>
        <v>2164</v>
      </c>
      <c r="AT34" s="111">
        <f t="shared" si="24"/>
        <v>0</v>
      </c>
      <c r="AU34" s="111">
        <f t="shared" si="25"/>
        <v>432863</v>
      </c>
    </row>
    <row r="35" spans="2:47" x14ac:dyDescent="0.15">
      <c r="B35" s="109">
        <f>População!B35</f>
        <v>23</v>
      </c>
      <c r="C35" s="109">
        <f>População!C35</f>
        <v>2049</v>
      </c>
      <c r="D35" s="111">
        <f>ROUND('Perdas e Vazões de Água'!V35*86.4/$D$3,0)</f>
        <v>6089</v>
      </c>
      <c r="E35" s="111">
        <f t="shared" si="0"/>
        <v>3653</v>
      </c>
      <c r="F35" s="111">
        <f t="shared" si="1"/>
        <v>2436</v>
      </c>
      <c r="G35" s="111">
        <f t="shared" si="10"/>
        <v>4100</v>
      </c>
      <c r="H35" s="111">
        <f t="shared" si="11"/>
        <v>2200</v>
      </c>
      <c r="I35" s="111">
        <f t="shared" si="12"/>
        <v>6300</v>
      </c>
      <c r="J35" s="111"/>
      <c r="K35" s="111"/>
      <c r="L35" s="111">
        <f t="shared" si="2"/>
        <v>0</v>
      </c>
      <c r="M35" s="111">
        <f t="shared" si="3"/>
        <v>447</v>
      </c>
      <c r="N35" s="111">
        <f t="shared" si="4"/>
        <v>-236</v>
      </c>
      <c r="O35" s="111">
        <f t="shared" si="5"/>
        <v>211</v>
      </c>
      <c r="P35" s="121">
        <f t="shared" si="13"/>
        <v>21.21</v>
      </c>
      <c r="Q35" s="111">
        <f>Q34+(P35*('Economais e Ligações Água'!T35-'Economais e Ligações Água'!T34))</f>
        <v>437150.46269474534</v>
      </c>
      <c r="R35" s="111">
        <f t="shared" si="14"/>
        <v>4286.8230098919594</v>
      </c>
      <c r="S35" s="111">
        <f t="shared" si="6"/>
        <v>20611</v>
      </c>
      <c r="T35" s="121">
        <f t="shared" si="15"/>
        <v>21.21</v>
      </c>
      <c r="U35" s="111">
        <f>'Economais e Ligações Esgoto'!U35*'Atendimento '!F35*T35</f>
        <v>437150.46269474528</v>
      </c>
      <c r="V35" s="111">
        <f t="shared" si="16"/>
        <v>4286.8230098919594</v>
      </c>
      <c r="W35" s="111">
        <f t="shared" si="7"/>
        <v>20611</v>
      </c>
      <c r="X35" s="40"/>
      <c r="Y35" s="109">
        <f t="shared" si="17"/>
        <v>23</v>
      </c>
      <c r="Z35" s="109">
        <f t="shared" si="18"/>
        <v>2049</v>
      </c>
      <c r="AA35" s="111">
        <f t="shared" si="19"/>
        <v>350595</v>
      </c>
      <c r="AB35" s="111">
        <f t="shared" si="19"/>
        <v>9093</v>
      </c>
      <c r="AC35" s="111">
        <f t="shared" si="19"/>
        <v>46906</v>
      </c>
      <c r="AD35" s="111">
        <f t="shared" si="19"/>
        <v>16961</v>
      </c>
      <c r="AE35" s="111">
        <f t="shared" si="19"/>
        <v>11672</v>
      </c>
      <c r="AF35" s="111">
        <f t="shared" si="19"/>
        <v>656</v>
      </c>
      <c r="AG35" s="111">
        <f t="shared" si="19"/>
        <v>656</v>
      </c>
      <c r="AH35" s="111">
        <f t="shared" si="20"/>
        <v>612</v>
      </c>
      <c r="AI35" s="111">
        <f t="shared" si="21"/>
        <v>437151</v>
      </c>
      <c r="AJ35" s="48"/>
      <c r="AK35" s="109">
        <f t="shared" si="22"/>
        <v>23</v>
      </c>
      <c r="AL35" s="109">
        <f t="shared" si="23"/>
        <v>2049</v>
      </c>
      <c r="AM35" s="111">
        <f t="shared" si="24"/>
        <v>131145</v>
      </c>
      <c r="AN35" s="111">
        <f t="shared" si="24"/>
        <v>264913</v>
      </c>
      <c r="AO35" s="111">
        <f t="shared" si="24"/>
        <v>21858</v>
      </c>
      <c r="AP35" s="111">
        <f t="shared" si="24"/>
        <v>8743</v>
      </c>
      <c r="AQ35" s="111">
        <f t="shared" si="24"/>
        <v>4372</v>
      </c>
      <c r="AR35" s="111">
        <f t="shared" si="24"/>
        <v>3934</v>
      </c>
      <c r="AS35" s="111">
        <f t="shared" si="24"/>
        <v>2186</v>
      </c>
      <c r="AT35" s="111">
        <f t="shared" si="24"/>
        <v>0</v>
      </c>
      <c r="AU35" s="111">
        <f t="shared" si="25"/>
        <v>437151</v>
      </c>
    </row>
    <row r="36" spans="2:47" x14ac:dyDescent="0.15">
      <c r="B36" s="109">
        <f>População!B36</f>
        <v>24</v>
      </c>
      <c r="C36" s="109">
        <f>População!C36</f>
        <v>2050</v>
      </c>
      <c r="D36" s="111">
        <f>ROUND('Perdas e Vazões de Água'!V36*86.4/$D$3,0)</f>
        <v>6113</v>
      </c>
      <c r="E36" s="111">
        <f t="shared" si="0"/>
        <v>3668</v>
      </c>
      <c r="F36" s="111">
        <f t="shared" si="1"/>
        <v>2445</v>
      </c>
      <c r="G36" s="111">
        <f t="shared" si="10"/>
        <v>4100</v>
      </c>
      <c r="H36" s="111">
        <f t="shared" si="11"/>
        <v>2200</v>
      </c>
      <c r="I36" s="111">
        <f t="shared" si="12"/>
        <v>6300</v>
      </c>
      <c r="J36" s="111"/>
      <c r="K36" s="111"/>
      <c r="L36" s="111">
        <f t="shared" si="2"/>
        <v>0</v>
      </c>
      <c r="M36" s="111">
        <f t="shared" si="3"/>
        <v>432</v>
      </c>
      <c r="N36" s="111">
        <f t="shared" si="4"/>
        <v>-245</v>
      </c>
      <c r="O36" s="111">
        <f t="shared" si="5"/>
        <v>187</v>
      </c>
      <c r="P36" s="121">
        <f t="shared" si="13"/>
        <v>21.21</v>
      </c>
      <c r="Q36" s="111">
        <f>Q35+(P36*('Economais e Ligações Água'!T36-'Economais e Ligações Água'!T35))</f>
        <v>441310.22942385013</v>
      </c>
      <c r="R36" s="111">
        <f t="shared" si="14"/>
        <v>4159.7667291047983</v>
      </c>
      <c r="S36" s="111">
        <f t="shared" si="6"/>
        <v>20807</v>
      </c>
      <c r="T36" s="121">
        <f t="shared" si="15"/>
        <v>21.21</v>
      </c>
      <c r="U36" s="111">
        <f>'Economais e Ligações Esgoto'!U36*'Atendimento '!F36*T36</f>
        <v>441310.22942385008</v>
      </c>
      <c r="V36" s="111">
        <f t="shared" si="16"/>
        <v>4159.7667291047983</v>
      </c>
      <c r="W36" s="111">
        <f t="shared" si="7"/>
        <v>20807</v>
      </c>
      <c r="X36" s="40"/>
      <c r="Y36" s="109">
        <f t="shared" si="17"/>
        <v>24</v>
      </c>
      <c r="Z36" s="109">
        <f t="shared" si="18"/>
        <v>2050</v>
      </c>
      <c r="AA36" s="111">
        <f t="shared" si="19"/>
        <v>353931</v>
      </c>
      <c r="AB36" s="111">
        <f t="shared" si="19"/>
        <v>9179</v>
      </c>
      <c r="AC36" s="111">
        <f t="shared" si="19"/>
        <v>47353</v>
      </c>
      <c r="AD36" s="111">
        <f t="shared" si="19"/>
        <v>17123</v>
      </c>
      <c r="AE36" s="111">
        <f t="shared" si="19"/>
        <v>11783</v>
      </c>
      <c r="AF36" s="111">
        <f t="shared" si="19"/>
        <v>662</v>
      </c>
      <c r="AG36" s="111">
        <f t="shared" ref="AG36:AG46" si="26">ROUND($Q36*AG$3,0)</f>
        <v>662</v>
      </c>
      <c r="AH36" s="111">
        <f t="shared" si="20"/>
        <v>618</v>
      </c>
      <c r="AI36" s="111">
        <f t="shared" si="21"/>
        <v>441311</v>
      </c>
      <c r="AJ36" s="48"/>
      <c r="AK36" s="109">
        <f t="shared" si="22"/>
        <v>24</v>
      </c>
      <c r="AL36" s="109">
        <f t="shared" si="23"/>
        <v>2050</v>
      </c>
      <c r="AM36" s="111">
        <f t="shared" si="24"/>
        <v>132393</v>
      </c>
      <c r="AN36" s="111">
        <f t="shared" si="24"/>
        <v>267434</v>
      </c>
      <c r="AO36" s="111">
        <f t="shared" si="24"/>
        <v>22066</v>
      </c>
      <c r="AP36" s="111">
        <f t="shared" si="24"/>
        <v>8826</v>
      </c>
      <c r="AQ36" s="111">
        <f t="shared" si="24"/>
        <v>4413</v>
      </c>
      <c r="AR36" s="111">
        <f t="shared" si="24"/>
        <v>3972</v>
      </c>
      <c r="AS36" s="111">
        <f t="shared" si="24"/>
        <v>2207</v>
      </c>
      <c r="AT36" s="111">
        <f t="shared" si="24"/>
        <v>0</v>
      </c>
      <c r="AU36" s="111">
        <f t="shared" si="25"/>
        <v>441311</v>
      </c>
    </row>
    <row r="37" spans="2:47" x14ac:dyDescent="0.15">
      <c r="B37" s="101">
        <f>População!B37</f>
        <v>25</v>
      </c>
      <c r="C37" s="101">
        <f>População!C37</f>
        <v>2051</v>
      </c>
      <c r="D37" s="102">
        <f>ROUND('Perdas e Vazões de Água'!V37*86.4/$D$3,0)</f>
        <v>6135</v>
      </c>
      <c r="E37" s="102">
        <f t="shared" si="0"/>
        <v>3681</v>
      </c>
      <c r="F37" s="102">
        <f t="shared" si="1"/>
        <v>2454</v>
      </c>
      <c r="G37" s="102">
        <f t="shared" si="10"/>
        <v>4100</v>
      </c>
      <c r="H37" s="102">
        <f t="shared" si="11"/>
        <v>2200</v>
      </c>
      <c r="I37" s="102">
        <f t="shared" si="12"/>
        <v>6300</v>
      </c>
      <c r="J37" s="102"/>
      <c r="K37" s="102"/>
      <c r="L37" s="102">
        <f t="shared" si="2"/>
        <v>0</v>
      </c>
      <c r="M37" s="102">
        <f t="shared" si="3"/>
        <v>419</v>
      </c>
      <c r="N37" s="102">
        <f t="shared" si="4"/>
        <v>-254</v>
      </c>
      <c r="O37" s="102">
        <f t="shared" si="5"/>
        <v>165</v>
      </c>
      <c r="P37" s="120">
        <f t="shared" si="13"/>
        <v>21.21</v>
      </c>
      <c r="Q37" s="102">
        <f>Q36+(P37*('Economais e Ligações Água'!T37-'Economais e Ligações Água'!T36))</f>
        <v>445321.81052758021</v>
      </c>
      <c r="R37" s="102">
        <f t="shared" si="14"/>
        <v>4011.5811037300737</v>
      </c>
      <c r="S37" s="102">
        <f t="shared" si="6"/>
        <v>20996</v>
      </c>
      <c r="T37" s="120">
        <f t="shared" si="15"/>
        <v>21.21</v>
      </c>
      <c r="U37" s="102">
        <f>'Economais e Ligações Esgoto'!U37*'Atendimento '!F37*T37</f>
        <v>445321.81052758015</v>
      </c>
      <c r="V37" s="102">
        <f t="shared" si="16"/>
        <v>4011.5811037300737</v>
      </c>
      <c r="W37" s="102">
        <f t="shared" si="7"/>
        <v>20996</v>
      </c>
      <c r="X37" s="40"/>
      <c r="Y37" s="101">
        <f t="shared" si="17"/>
        <v>25</v>
      </c>
      <c r="Z37" s="101">
        <f t="shared" si="18"/>
        <v>2051</v>
      </c>
      <c r="AA37" s="102">
        <f t="shared" si="19"/>
        <v>357148</v>
      </c>
      <c r="AB37" s="102">
        <f t="shared" si="19"/>
        <v>9263</v>
      </c>
      <c r="AC37" s="102">
        <f t="shared" si="19"/>
        <v>47783</v>
      </c>
      <c r="AD37" s="102">
        <f t="shared" si="19"/>
        <v>17278</v>
      </c>
      <c r="AE37" s="102">
        <f t="shared" si="19"/>
        <v>11890</v>
      </c>
      <c r="AF37" s="102">
        <f t="shared" si="19"/>
        <v>668</v>
      </c>
      <c r="AG37" s="102">
        <f t="shared" si="26"/>
        <v>668</v>
      </c>
      <c r="AH37" s="102">
        <f t="shared" si="20"/>
        <v>623</v>
      </c>
      <c r="AI37" s="102">
        <f t="shared" si="21"/>
        <v>445321</v>
      </c>
      <c r="AJ37" s="48"/>
      <c r="AK37" s="101">
        <f t="shared" si="22"/>
        <v>25</v>
      </c>
      <c r="AL37" s="101">
        <f t="shared" si="23"/>
        <v>2051</v>
      </c>
      <c r="AM37" s="102">
        <f t="shared" si="24"/>
        <v>133597</v>
      </c>
      <c r="AN37" s="102">
        <f t="shared" si="24"/>
        <v>269865</v>
      </c>
      <c r="AO37" s="102">
        <f t="shared" si="24"/>
        <v>22266</v>
      </c>
      <c r="AP37" s="102">
        <f t="shared" si="24"/>
        <v>8906</v>
      </c>
      <c r="AQ37" s="102">
        <f t="shared" si="24"/>
        <v>4453</v>
      </c>
      <c r="AR37" s="102">
        <f t="shared" si="24"/>
        <v>4008</v>
      </c>
      <c r="AS37" s="102">
        <f t="shared" si="24"/>
        <v>2227</v>
      </c>
      <c r="AT37" s="102">
        <f t="shared" si="24"/>
        <v>0</v>
      </c>
      <c r="AU37" s="102">
        <f t="shared" si="25"/>
        <v>445322</v>
      </c>
    </row>
    <row r="38" spans="2:47" x14ac:dyDescent="0.15">
      <c r="B38" s="109">
        <f>População!B38</f>
        <v>26</v>
      </c>
      <c r="C38" s="109">
        <f>População!C38</f>
        <v>2052</v>
      </c>
      <c r="D38" s="111">
        <f>ROUND('Perdas e Vazões de Água'!V38*86.4/$D$3,0)</f>
        <v>6159</v>
      </c>
      <c r="E38" s="111">
        <f t="shared" si="0"/>
        <v>3695</v>
      </c>
      <c r="F38" s="111">
        <f t="shared" si="1"/>
        <v>2464</v>
      </c>
      <c r="G38" s="111">
        <f t="shared" si="10"/>
        <v>4100</v>
      </c>
      <c r="H38" s="111">
        <f t="shared" si="11"/>
        <v>2200</v>
      </c>
      <c r="I38" s="111">
        <f t="shared" si="12"/>
        <v>6300</v>
      </c>
      <c r="J38" s="111"/>
      <c r="K38" s="111"/>
      <c r="L38" s="111">
        <f t="shared" si="2"/>
        <v>0</v>
      </c>
      <c r="M38" s="111">
        <f t="shared" si="3"/>
        <v>405</v>
      </c>
      <c r="N38" s="111">
        <f t="shared" si="4"/>
        <v>-264</v>
      </c>
      <c r="O38" s="111">
        <f t="shared" si="5"/>
        <v>141</v>
      </c>
      <c r="P38" s="121">
        <f t="shared" si="13"/>
        <v>21.21</v>
      </c>
      <c r="Q38" s="111">
        <f>Q37+(P38*('Economais e Ligações Água'!T38-'Economais e Ligações Água'!T37))</f>
        <v>449249.82655700151</v>
      </c>
      <c r="R38" s="111">
        <f t="shared" si="14"/>
        <v>3928.0160294212983</v>
      </c>
      <c r="S38" s="111">
        <f t="shared" si="6"/>
        <v>21181</v>
      </c>
      <c r="T38" s="121">
        <f t="shared" si="15"/>
        <v>21.21</v>
      </c>
      <c r="U38" s="111">
        <f>'Economais e Ligações Esgoto'!U38*'Atendimento '!F38*T38</f>
        <v>449249.82655700145</v>
      </c>
      <c r="V38" s="111">
        <f t="shared" si="16"/>
        <v>3928.0160294212983</v>
      </c>
      <c r="W38" s="111">
        <f t="shared" si="7"/>
        <v>21181</v>
      </c>
      <c r="X38" s="40"/>
      <c r="Y38" s="109">
        <f t="shared" si="17"/>
        <v>26</v>
      </c>
      <c r="Z38" s="109">
        <f t="shared" si="18"/>
        <v>2052</v>
      </c>
      <c r="AA38" s="111">
        <f t="shared" si="19"/>
        <v>360298</v>
      </c>
      <c r="AB38" s="111">
        <f t="shared" si="19"/>
        <v>9344</v>
      </c>
      <c r="AC38" s="111">
        <f t="shared" si="19"/>
        <v>48205</v>
      </c>
      <c r="AD38" s="111">
        <f t="shared" si="19"/>
        <v>17431</v>
      </c>
      <c r="AE38" s="111">
        <f t="shared" si="19"/>
        <v>11995</v>
      </c>
      <c r="AF38" s="111">
        <f t="shared" si="19"/>
        <v>674</v>
      </c>
      <c r="AG38" s="111">
        <f t="shared" si="26"/>
        <v>674</v>
      </c>
      <c r="AH38" s="111">
        <f t="shared" si="20"/>
        <v>629</v>
      </c>
      <c r="AI38" s="111">
        <f t="shared" si="21"/>
        <v>449250</v>
      </c>
      <c r="AJ38" s="48"/>
      <c r="AK38" s="109">
        <f t="shared" si="22"/>
        <v>26</v>
      </c>
      <c r="AL38" s="109">
        <f t="shared" si="23"/>
        <v>2052</v>
      </c>
      <c r="AM38" s="111">
        <f t="shared" si="24"/>
        <v>134775</v>
      </c>
      <c r="AN38" s="111">
        <f t="shared" si="24"/>
        <v>272245</v>
      </c>
      <c r="AO38" s="111">
        <f t="shared" si="24"/>
        <v>22462</v>
      </c>
      <c r="AP38" s="111">
        <f t="shared" si="24"/>
        <v>8985</v>
      </c>
      <c r="AQ38" s="111">
        <f t="shared" si="24"/>
        <v>4492</v>
      </c>
      <c r="AR38" s="111">
        <f t="shared" si="24"/>
        <v>4043</v>
      </c>
      <c r="AS38" s="111">
        <f t="shared" si="24"/>
        <v>2246</v>
      </c>
      <c r="AT38" s="111">
        <f t="shared" si="24"/>
        <v>0</v>
      </c>
      <c r="AU38" s="111">
        <f t="shared" si="25"/>
        <v>449248</v>
      </c>
    </row>
    <row r="39" spans="2:47" x14ac:dyDescent="0.15">
      <c r="B39" s="109">
        <f>População!B39</f>
        <v>27</v>
      </c>
      <c r="C39" s="109">
        <f>População!C39</f>
        <v>2053</v>
      </c>
      <c r="D39" s="111">
        <f>ROUND('Perdas e Vazões de Água'!V39*86.4/$D$3,0)</f>
        <v>6178</v>
      </c>
      <c r="E39" s="111">
        <f t="shared" si="0"/>
        <v>3707</v>
      </c>
      <c r="F39" s="111">
        <f t="shared" si="1"/>
        <v>2471</v>
      </c>
      <c r="G39" s="111">
        <f t="shared" si="10"/>
        <v>4100</v>
      </c>
      <c r="H39" s="111">
        <f t="shared" si="11"/>
        <v>2200</v>
      </c>
      <c r="I39" s="111">
        <f t="shared" si="12"/>
        <v>6300</v>
      </c>
      <c r="J39" s="111"/>
      <c r="K39" s="111"/>
      <c r="L39" s="111">
        <f t="shared" si="2"/>
        <v>0</v>
      </c>
      <c r="M39" s="111">
        <f t="shared" si="3"/>
        <v>393</v>
      </c>
      <c r="N39" s="111">
        <f t="shared" si="4"/>
        <v>-271</v>
      </c>
      <c r="O39" s="111">
        <f t="shared" si="5"/>
        <v>122</v>
      </c>
      <c r="P39" s="121">
        <f t="shared" si="13"/>
        <v>21.21</v>
      </c>
      <c r="Q39" s="111">
        <f>Q38+(P39*('Economais e Ligações Água'!T39-'Economais e Ligações Água'!T38))</f>
        <v>452995.15065138065</v>
      </c>
      <c r="R39" s="111">
        <f t="shared" si="14"/>
        <v>3745.3240943791461</v>
      </c>
      <c r="S39" s="111">
        <f t="shared" si="6"/>
        <v>21358</v>
      </c>
      <c r="T39" s="121">
        <f t="shared" si="15"/>
        <v>21.21</v>
      </c>
      <c r="U39" s="111">
        <f>'Economais e Ligações Esgoto'!U39*'Atendimento '!F39*T39</f>
        <v>452995.15065138065</v>
      </c>
      <c r="V39" s="111">
        <f t="shared" si="16"/>
        <v>3745.3240943792043</v>
      </c>
      <c r="W39" s="111">
        <f t="shared" si="7"/>
        <v>21358</v>
      </c>
      <c r="X39" s="40"/>
      <c r="Y39" s="109">
        <f t="shared" si="17"/>
        <v>27</v>
      </c>
      <c r="Z39" s="109">
        <f t="shared" si="18"/>
        <v>2053</v>
      </c>
      <c r="AA39" s="111">
        <f t="shared" si="19"/>
        <v>363302</v>
      </c>
      <c r="AB39" s="111">
        <f t="shared" si="19"/>
        <v>9422</v>
      </c>
      <c r="AC39" s="111">
        <f t="shared" si="19"/>
        <v>48606</v>
      </c>
      <c r="AD39" s="111">
        <f t="shared" si="19"/>
        <v>17576</v>
      </c>
      <c r="AE39" s="111">
        <f t="shared" si="19"/>
        <v>12095</v>
      </c>
      <c r="AF39" s="111">
        <f t="shared" si="19"/>
        <v>679</v>
      </c>
      <c r="AG39" s="111">
        <f t="shared" si="26"/>
        <v>679</v>
      </c>
      <c r="AH39" s="111">
        <f t="shared" si="20"/>
        <v>634</v>
      </c>
      <c r="AI39" s="111">
        <f t="shared" si="21"/>
        <v>452993</v>
      </c>
      <c r="AJ39" s="48"/>
      <c r="AK39" s="109">
        <f t="shared" si="22"/>
        <v>27</v>
      </c>
      <c r="AL39" s="109">
        <f t="shared" si="23"/>
        <v>2053</v>
      </c>
      <c r="AM39" s="111">
        <f t="shared" si="24"/>
        <v>135899</v>
      </c>
      <c r="AN39" s="111">
        <f t="shared" si="24"/>
        <v>274515</v>
      </c>
      <c r="AO39" s="111">
        <f t="shared" si="24"/>
        <v>22650</v>
      </c>
      <c r="AP39" s="111">
        <f t="shared" si="24"/>
        <v>9060</v>
      </c>
      <c r="AQ39" s="111">
        <f t="shared" si="24"/>
        <v>4530</v>
      </c>
      <c r="AR39" s="111">
        <f t="shared" si="24"/>
        <v>4077</v>
      </c>
      <c r="AS39" s="111">
        <f t="shared" si="24"/>
        <v>2265</v>
      </c>
      <c r="AT39" s="111">
        <f t="shared" si="24"/>
        <v>0</v>
      </c>
      <c r="AU39" s="111">
        <f t="shared" si="25"/>
        <v>452996</v>
      </c>
    </row>
    <row r="40" spans="2:47" x14ac:dyDescent="0.15">
      <c r="B40" s="109">
        <f>População!B40</f>
        <v>28</v>
      </c>
      <c r="C40" s="109">
        <f>População!C40</f>
        <v>2054</v>
      </c>
      <c r="D40" s="111">
        <f>ROUND('Perdas e Vazões de Água'!V40*86.4/$D$3,0)</f>
        <v>6199</v>
      </c>
      <c r="E40" s="111">
        <f t="shared" si="0"/>
        <v>3719</v>
      </c>
      <c r="F40" s="111">
        <f t="shared" si="1"/>
        <v>2480</v>
      </c>
      <c r="G40" s="111">
        <f t="shared" si="10"/>
        <v>4100</v>
      </c>
      <c r="H40" s="111">
        <f t="shared" si="11"/>
        <v>2200</v>
      </c>
      <c r="I40" s="111">
        <f t="shared" si="12"/>
        <v>6300</v>
      </c>
      <c r="J40" s="111"/>
      <c r="K40" s="111"/>
      <c r="L40" s="111">
        <f t="shared" si="2"/>
        <v>0</v>
      </c>
      <c r="M40" s="111">
        <f t="shared" si="3"/>
        <v>381</v>
      </c>
      <c r="N40" s="111">
        <f t="shared" si="4"/>
        <v>-280</v>
      </c>
      <c r="O40" s="111">
        <f t="shared" si="5"/>
        <v>101</v>
      </c>
      <c r="P40" s="121">
        <f t="shared" si="13"/>
        <v>21.21</v>
      </c>
      <c r="Q40" s="111">
        <f>Q39+(P40*('Economais e Ligações Água'!T40-'Economais e Ligações Água'!T39))</f>
        <v>456637.77750159503</v>
      </c>
      <c r="R40" s="111">
        <f t="shared" si="14"/>
        <v>3642.6268502143794</v>
      </c>
      <c r="S40" s="111">
        <f t="shared" si="6"/>
        <v>21529</v>
      </c>
      <c r="T40" s="121">
        <f t="shared" si="15"/>
        <v>21.21</v>
      </c>
      <c r="U40" s="111">
        <f>'Economais e Ligações Esgoto'!U40*'Atendimento '!F40*T40</f>
        <v>456637.77750159503</v>
      </c>
      <c r="V40" s="111">
        <f t="shared" si="16"/>
        <v>3642.6268502143794</v>
      </c>
      <c r="W40" s="111">
        <f t="shared" si="7"/>
        <v>21529</v>
      </c>
      <c r="X40" s="40"/>
      <c r="Y40" s="109">
        <f t="shared" si="17"/>
        <v>28</v>
      </c>
      <c r="Z40" s="109">
        <f t="shared" si="18"/>
        <v>2054</v>
      </c>
      <c r="AA40" s="111">
        <f t="shared" si="19"/>
        <v>366223</v>
      </c>
      <c r="AB40" s="111">
        <f t="shared" si="19"/>
        <v>9498</v>
      </c>
      <c r="AC40" s="111">
        <f t="shared" si="19"/>
        <v>48997</v>
      </c>
      <c r="AD40" s="111">
        <f t="shared" si="19"/>
        <v>17718</v>
      </c>
      <c r="AE40" s="111">
        <f t="shared" si="19"/>
        <v>12192</v>
      </c>
      <c r="AF40" s="111">
        <f t="shared" si="19"/>
        <v>685</v>
      </c>
      <c r="AG40" s="111">
        <f t="shared" si="26"/>
        <v>685</v>
      </c>
      <c r="AH40" s="111">
        <f t="shared" si="20"/>
        <v>639</v>
      </c>
      <c r="AI40" s="111">
        <f t="shared" si="21"/>
        <v>456637</v>
      </c>
      <c r="AJ40" s="48"/>
      <c r="AK40" s="109">
        <f t="shared" si="22"/>
        <v>28</v>
      </c>
      <c r="AL40" s="109">
        <f t="shared" si="23"/>
        <v>2054</v>
      </c>
      <c r="AM40" s="111">
        <f t="shared" si="24"/>
        <v>136991</v>
      </c>
      <c r="AN40" s="111">
        <f t="shared" si="24"/>
        <v>276722</v>
      </c>
      <c r="AO40" s="111">
        <f t="shared" si="24"/>
        <v>22832</v>
      </c>
      <c r="AP40" s="111">
        <f t="shared" si="24"/>
        <v>9133</v>
      </c>
      <c r="AQ40" s="111">
        <f t="shared" si="24"/>
        <v>4566</v>
      </c>
      <c r="AR40" s="111">
        <f t="shared" si="24"/>
        <v>4110</v>
      </c>
      <c r="AS40" s="111">
        <f t="shared" si="24"/>
        <v>2283</v>
      </c>
      <c r="AT40" s="111">
        <f t="shared" ref="AT40:AT47" si="27">ROUND($U40*AT$3,0)</f>
        <v>0</v>
      </c>
      <c r="AU40" s="111">
        <f t="shared" si="25"/>
        <v>456637</v>
      </c>
    </row>
    <row r="41" spans="2:47" x14ac:dyDescent="0.15">
      <c r="B41" s="109">
        <f>População!B41</f>
        <v>29</v>
      </c>
      <c r="C41" s="109">
        <f>População!C41</f>
        <v>2055</v>
      </c>
      <c r="D41" s="111">
        <f>ROUND('Perdas e Vazões de Água'!V41*86.4/$D$3,0)</f>
        <v>6217</v>
      </c>
      <c r="E41" s="111">
        <f t="shared" si="0"/>
        <v>3730</v>
      </c>
      <c r="F41" s="111">
        <f t="shared" si="1"/>
        <v>2487</v>
      </c>
      <c r="G41" s="111">
        <f t="shared" si="10"/>
        <v>4100</v>
      </c>
      <c r="H41" s="111">
        <f t="shared" si="11"/>
        <v>2200</v>
      </c>
      <c r="I41" s="111">
        <f t="shared" si="12"/>
        <v>6300</v>
      </c>
      <c r="J41" s="111"/>
      <c r="K41" s="111"/>
      <c r="L41" s="111">
        <f t="shared" si="2"/>
        <v>0</v>
      </c>
      <c r="M41" s="111">
        <f t="shared" si="3"/>
        <v>370</v>
      </c>
      <c r="N41" s="111">
        <f t="shared" si="4"/>
        <v>-287</v>
      </c>
      <c r="O41" s="111">
        <f t="shared" si="5"/>
        <v>83</v>
      </c>
      <c r="P41" s="121">
        <f t="shared" si="13"/>
        <v>21.21</v>
      </c>
      <c r="Q41" s="111">
        <f>Q40+(P41*('Economais e Ligações Água'!T41-'Economais e Ligações Água'!T40))</f>
        <v>460138.37061472703</v>
      </c>
      <c r="R41" s="111">
        <f t="shared" si="14"/>
        <v>3500.5931131319958</v>
      </c>
      <c r="S41" s="111">
        <f t="shared" si="6"/>
        <v>21694</v>
      </c>
      <c r="T41" s="121">
        <f t="shared" si="15"/>
        <v>21.21</v>
      </c>
      <c r="U41" s="111">
        <f>'Economais e Ligações Esgoto'!U41*'Atendimento '!F41*T41</f>
        <v>460138.37061472703</v>
      </c>
      <c r="V41" s="111">
        <f t="shared" si="16"/>
        <v>3500.5931131319958</v>
      </c>
      <c r="W41" s="111">
        <f t="shared" si="7"/>
        <v>21694</v>
      </c>
      <c r="X41" s="40"/>
      <c r="Y41" s="109">
        <f t="shared" si="17"/>
        <v>29</v>
      </c>
      <c r="Z41" s="109">
        <f t="shared" si="18"/>
        <v>2055</v>
      </c>
      <c r="AA41" s="111">
        <f t="shared" si="19"/>
        <v>369031</v>
      </c>
      <c r="AB41" s="111">
        <f t="shared" si="19"/>
        <v>9571</v>
      </c>
      <c r="AC41" s="111">
        <f t="shared" si="19"/>
        <v>49373</v>
      </c>
      <c r="AD41" s="111">
        <f t="shared" si="19"/>
        <v>17853</v>
      </c>
      <c r="AE41" s="111">
        <f t="shared" si="19"/>
        <v>12286</v>
      </c>
      <c r="AF41" s="111">
        <f t="shared" si="19"/>
        <v>690</v>
      </c>
      <c r="AG41" s="111">
        <f t="shared" si="26"/>
        <v>690</v>
      </c>
      <c r="AH41" s="111">
        <f t="shared" si="20"/>
        <v>644</v>
      </c>
      <c r="AI41" s="111">
        <f t="shared" si="21"/>
        <v>460138</v>
      </c>
      <c r="AJ41" s="48"/>
      <c r="AK41" s="109">
        <f t="shared" si="22"/>
        <v>29</v>
      </c>
      <c r="AL41" s="109">
        <f t="shared" si="23"/>
        <v>2055</v>
      </c>
      <c r="AM41" s="111">
        <f t="shared" ref="AM41:AS47" si="28">ROUND($U41*AM$3,0)</f>
        <v>138042</v>
      </c>
      <c r="AN41" s="111">
        <f t="shared" si="28"/>
        <v>278844</v>
      </c>
      <c r="AO41" s="111">
        <f t="shared" si="28"/>
        <v>23007</v>
      </c>
      <c r="AP41" s="111">
        <f t="shared" si="28"/>
        <v>9203</v>
      </c>
      <c r="AQ41" s="111">
        <f t="shared" si="28"/>
        <v>4601</v>
      </c>
      <c r="AR41" s="111">
        <f t="shared" si="28"/>
        <v>4141</v>
      </c>
      <c r="AS41" s="111">
        <f t="shared" si="28"/>
        <v>2301</v>
      </c>
      <c r="AT41" s="111">
        <f t="shared" si="27"/>
        <v>0</v>
      </c>
      <c r="AU41" s="111">
        <f t="shared" si="25"/>
        <v>460139</v>
      </c>
    </row>
    <row r="42" spans="2:47" x14ac:dyDescent="0.15">
      <c r="B42" s="101">
        <f>População!B42</f>
        <v>30</v>
      </c>
      <c r="C42" s="101">
        <f>População!C42</f>
        <v>2056</v>
      </c>
      <c r="D42" s="102">
        <f>ROUND('Perdas e Vazões de Água'!V42*86.4/$D$3,0)</f>
        <v>6235</v>
      </c>
      <c r="E42" s="102">
        <f t="shared" si="0"/>
        <v>3741</v>
      </c>
      <c r="F42" s="102">
        <f t="shared" si="1"/>
        <v>2494</v>
      </c>
      <c r="G42" s="102">
        <f t="shared" si="10"/>
        <v>4100</v>
      </c>
      <c r="H42" s="102">
        <f t="shared" si="11"/>
        <v>2200</v>
      </c>
      <c r="I42" s="102">
        <f t="shared" si="12"/>
        <v>6300</v>
      </c>
      <c r="J42" s="102"/>
      <c r="K42" s="102"/>
      <c r="L42" s="102">
        <f t="shared" si="2"/>
        <v>0</v>
      </c>
      <c r="M42" s="102">
        <f t="shared" si="3"/>
        <v>359</v>
      </c>
      <c r="N42" s="102">
        <f t="shared" si="4"/>
        <v>-294</v>
      </c>
      <c r="O42" s="102">
        <f t="shared" si="5"/>
        <v>65</v>
      </c>
      <c r="P42" s="120">
        <f t="shared" si="13"/>
        <v>21.21</v>
      </c>
      <c r="Q42" s="102">
        <f>Q41+(P42*('Economais e Ligações Água'!T42-'Economais e Ligações Água'!T41))</f>
        <v>463523.5011180467</v>
      </c>
      <c r="R42" s="102">
        <f t="shared" si="14"/>
        <v>3385.1305033196695</v>
      </c>
      <c r="S42" s="102">
        <f t="shared" si="6"/>
        <v>21854</v>
      </c>
      <c r="T42" s="120">
        <f t="shared" si="15"/>
        <v>21.21</v>
      </c>
      <c r="U42" s="102">
        <f>'Economais e Ligações Esgoto'!U42*'Atendimento '!F42*T42</f>
        <v>463523.5011180467</v>
      </c>
      <c r="V42" s="102">
        <f t="shared" si="16"/>
        <v>3385.1305033196695</v>
      </c>
      <c r="W42" s="102">
        <f t="shared" si="7"/>
        <v>21854</v>
      </c>
      <c r="X42" s="40"/>
      <c r="Y42" s="101">
        <f t="shared" si="17"/>
        <v>30</v>
      </c>
      <c r="Z42" s="101">
        <f t="shared" si="18"/>
        <v>2056</v>
      </c>
      <c r="AA42" s="102">
        <f t="shared" si="19"/>
        <v>371746</v>
      </c>
      <c r="AB42" s="102">
        <f t="shared" si="19"/>
        <v>9641</v>
      </c>
      <c r="AC42" s="102">
        <f t="shared" si="19"/>
        <v>49736</v>
      </c>
      <c r="AD42" s="102">
        <f t="shared" si="19"/>
        <v>17985</v>
      </c>
      <c r="AE42" s="102">
        <f t="shared" si="19"/>
        <v>12376</v>
      </c>
      <c r="AF42" s="102">
        <f t="shared" si="19"/>
        <v>695</v>
      </c>
      <c r="AG42" s="102">
        <f t="shared" si="26"/>
        <v>695</v>
      </c>
      <c r="AH42" s="102">
        <f t="shared" si="20"/>
        <v>649</v>
      </c>
      <c r="AI42" s="102">
        <f t="shared" si="21"/>
        <v>463523</v>
      </c>
      <c r="AJ42" s="48"/>
      <c r="AK42" s="101">
        <f t="shared" si="22"/>
        <v>30</v>
      </c>
      <c r="AL42" s="101">
        <f t="shared" si="23"/>
        <v>2056</v>
      </c>
      <c r="AM42" s="102">
        <f t="shared" si="28"/>
        <v>139057</v>
      </c>
      <c r="AN42" s="102">
        <f t="shared" si="28"/>
        <v>280895</v>
      </c>
      <c r="AO42" s="102">
        <f t="shared" si="28"/>
        <v>23176</v>
      </c>
      <c r="AP42" s="102">
        <f t="shared" si="28"/>
        <v>9270</v>
      </c>
      <c r="AQ42" s="102">
        <f t="shared" si="28"/>
        <v>4635</v>
      </c>
      <c r="AR42" s="102">
        <f t="shared" si="28"/>
        <v>4172</v>
      </c>
      <c r="AS42" s="102">
        <f t="shared" si="28"/>
        <v>2318</v>
      </c>
      <c r="AT42" s="102">
        <f t="shared" si="27"/>
        <v>0</v>
      </c>
      <c r="AU42" s="102">
        <f t="shared" si="25"/>
        <v>463523</v>
      </c>
    </row>
    <row r="43" spans="2:47" x14ac:dyDescent="0.15">
      <c r="B43" s="109">
        <f>População!B43</f>
        <v>31</v>
      </c>
      <c r="C43" s="109">
        <f>População!C43</f>
        <v>2057</v>
      </c>
      <c r="D43" s="111">
        <f>ROUND('Perdas e Vazões de Água'!V43*86.4/$D$3,0)</f>
        <v>6253</v>
      </c>
      <c r="E43" s="111">
        <f t="shared" si="0"/>
        <v>3752</v>
      </c>
      <c r="F43" s="111">
        <f t="shared" si="1"/>
        <v>2501</v>
      </c>
      <c r="G43" s="111">
        <f t="shared" si="10"/>
        <v>4100</v>
      </c>
      <c r="H43" s="111">
        <f t="shared" si="11"/>
        <v>2200</v>
      </c>
      <c r="I43" s="111">
        <f t="shared" si="12"/>
        <v>6300</v>
      </c>
      <c r="J43" s="111"/>
      <c r="K43" s="111"/>
      <c r="L43" s="111">
        <f t="shared" si="2"/>
        <v>0</v>
      </c>
      <c r="M43" s="111">
        <f t="shared" si="3"/>
        <v>348</v>
      </c>
      <c r="N43" s="111">
        <f t="shared" si="4"/>
        <v>-301</v>
      </c>
      <c r="O43" s="111">
        <f t="shared" si="5"/>
        <v>47</v>
      </c>
      <c r="P43" s="121">
        <f t="shared" si="13"/>
        <v>21.21</v>
      </c>
      <c r="Q43" s="111">
        <f>Q42+(P43*('Economais e Ligações Água'!T43-'Economais e Ligações Água'!T42))</f>
        <v>466786.36528739153</v>
      </c>
      <c r="R43" s="111">
        <f t="shared" si="14"/>
        <v>3262.8641693448299</v>
      </c>
      <c r="S43" s="111">
        <f t="shared" si="6"/>
        <v>22008</v>
      </c>
      <c r="T43" s="121">
        <f t="shared" si="15"/>
        <v>21.21</v>
      </c>
      <c r="U43" s="111">
        <f>'Economais e Ligações Esgoto'!U43*'Atendimento '!F43*T43</f>
        <v>466786.36528739153</v>
      </c>
      <c r="V43" s="111">
        <f t="shared" si="16"/>
        <v>3262.8641693448299</v>
      </c>
      <c r="W43" s="111">
        <f t="shared" si="7"/>
        <v>22008</v>
      </c>
      <c r="X43" s="40"/>
      <c r="Y43" s="109">
        <f t="shared" si="17"/>
        <v>31</v>
      </c>
      <c r="Z43" s="109">
        <f t="shared" si="18"/>
        <v>2057</v>
      </c>
      <c r="AA43" s="111">
        <f t="shared" si="19"/>
        <v>374363</v>
      </c>
      <c r="AB43" s="111">
        <f t="shared" si="19"/>
        <v>9709</v>
      </c>
      <c r="AC43" s="111">
        <f t="shared" si="19"/>
        <v>50086</v>
      </c>
      <c r="AD43" s="111">
        <f t="shared" si="19"/>
        <v>18111</v>
      </c>
      <c r="AE43" s="111">
        <f t="shared" si="19"/>
        <v>12463</v>
      </c>
      <c r="AF43" s="111">
        <f t="shared" si="19"/>
        <v>700</v>
      </c>
      <c r="AG43" s="111">
        <f t="shared" si="26"/>
        <v>700</v>
      </c>
      <c r="AH43" s="111">
        <f t="shared" si="20"/>
        <v>654</v>
      </c>
      <c r="AI43" s="111">
        <f t="shared" si="21"/>
        <v>466786</v>
      </c>
      <c r="AJ43" s="48"/>
      <c r="AK43" s="109">
        <f t="shared" si="22"/>
        <v>31</v>
      </c>
      <c r="AL43" s="109">
        <f t="shared" si="23"/>
        <v>2057</v>
      </c>
      <c r="AM43" s="111">
        <f t="shared" si="28"/>
        <v>140036</v>
      </c>
      <c r="AN43" s="111">
        <f t="shared" si="28"/>
        <v>282873</v>
      </c>
      <c r="AO43" s="111">
        <f t="shared" si="28"/>
        <v>23339</v>
      </c>
      <c r="AP43" s="111">
        <f t="shared" si="28"/>
        <v>9336</v>
      </c>
      <c r="AQ43" s="111">
        <f t="shared" si="28"/>
        <v>4668</v>
      </c>
      <c r="AR43" s="111">
        <f t="shared" si="28"/>
        <v>4201</v>
      </c>
      <c r="AS43" s="111">
        <f t="shared" si="28"/>
        <v>2334</v>
      </c>
      <c r="AT43" s="111">
        <f t="shared" si="27"/>
        <v>0</v>
      </c>
      <c r="AU43" s="111">
        <f t="shared" si="25"/>
        <v>466787</v>
      </c>
    </row>
    <row r="44" spans="2:47" x14ac:dyDescent="0.15">
      <c r="B44" s="109">
        <f>População!B44</f>
        <v>32</v>
      </c>
      <c r="C44" s="109">
        <f>População!C44</f>
        <v>2058</v>
      </c>
      <c r="D44" s="111">
        <f>ROUND('Perdas e Vazões de Água'!V44*86.4/$D$3,0)</f>
        <v>6268</v>
      </c>
      <c r="E44" s="111">
        <f t="shared" si="0"/>
        <v>3761</v>
      </c>
      <c r="F44" s="111">
        <f t="shared" si="1"/>
        <v>2507</v>
      </c>
      <c r="G44" s="111">
        <f t="shared" si="10"/>
        <v>4100</v>
      </c>
      <c r="H44" s="111">
        <f t="shared" si="11"/>
        <v>2200</v>
      </c>
      <c r="I44" s="111">
        <f t="shared" si="12"/>
        <v>6300</v>
      </c>
      <c r="J44" s="111"/>
      <c r="K44" s="111"/>
      <c r="L44" s="111">
        <f t="shared" si="2"/>
        <v>0</v>
      </c>
      <c r="M44" s="111">
        <f t="shared" si="3"/>
        <v>339</v>
      </c>
      <c r="N44" s="111">
        <f t="shared" si="4"/>
        <v>-307</v>
      </c>
      <c r="O44" s="111">
        <f t="shared" si="5"/>
        <v>32</v>
      </c>
      <c r="P44" s="121">
        <f t="shared" si="13"/>
        <v>21.21</v>
      </c>
      <c r="Q44" s="111">
        <f>Q43+(P44*('Economais e Ligações Água'!T44-'Economais e Ligações Água'!T43))</f>
        <v>469917.40558616113</v>
      </c>
      <c r="R44" s="111">
        <f t="shared" si="14"/>
        <v>3131.0402987695998</v>
      </c>
      <c r="S44" s="111">
        <f t="shared" si="6"/>
        <v>22155</v>
      </c>
      <c r="T44" s="121">
        <f t="shared" si="15"/>
        <v>21.21</v>
      </c>
      <c r="U44" s="111">
        <f>'Economais e Ligações Esgoto'!U44*'Atendimento '!F44*T44</f>
        <v>469917.40558616113</v>
      </c>
      <c r="V44" s="111">
        <f t="shared" si="16"/>
        <v>3131.0402987695998</v>
      </c>
      <c r="W44" s="111">
        <f t="shared" si="7"/>
        <v>22155</v>
      </c>
      <c r="X44" s="40"/>
      <c r="Y44" s="109">
        <f t="shared" si="17"/>
        <v>32</v>
      </c>
      <c r="Z44" s="109">
        <f t="shared" si="18"/>
        <v>2058</v>
      </c>
      <c r="AA44" s="111">
        <f t="shared" si="19"/>
        <v>376874</v>
      </c>
      <c r="AB44" s="111">
        <f t="shared" si="19"/>
        <v>9774</v>
      </c>
      <c r="AC44" s="111">
        <f t="shared" si="19"/>
        <v>50422</v>
      </c>
      <c r="AD44" s="111">
        <f t="shared" si="19"/>
        <v>18233</v>
      </c>
      <c r="AE44" s="111">
        <f t="shared" si="19"/>
        <v>12547</v>
      </c>
      <c r="AF44" s="111">
        <f t="shared" si="19"/>
        <v>705</v>
      </c>
      <c r="AG44" s="111">
        <f t="shared" si="26"/>
        <v>705</v>
      </c>
      <c r="AH44" s="111">
        <f t="shared" si="20"/>
        <v>658</v>
      </c>
      <c r="AI44" s="111">
        <f t="shared" si="21"/>
        <v>469918</v>
      </c>
      <c r="AJ44" s="48"/>
      <c r="AK44" s="109">
        <f t="shared" si="22"/>
        <v>32</v>
      </c>
      <c r="AL44" s="109">
        <f t="shared" si="23"/>
        <v>2058</v>
      </c>
      <c r="AM44" s="111">
        <f t="shared" si="28"/>
        <v>140975</v>
      </c>
      <c r="AN44" s="111">
        <f t="shared" si="28"/>
        <v>284770</v>
      </c>
      <c r="AO44" s="111">
        <f t="shared" si="28"/>
        <v>23496</v>
      </c>
      <c r="AP44" s="111">
        <f t="shared" si="28"/>
        <v>9398</v>
      </c>
      <c r="AQ44" s="111">
        <f t="shared" si="28"/>
        <v>4699</v>
      </c>
      <c r="AR44" s="111">
        <f t="shared" si="28"/>
        <v>4229</v>
      </c>
      <c r="AS44" s="111">
        <f t="shared" si="28"/>
        <v>2350</v>
      </c>
      <c r="AT44" s="111">
        <f t="shared" si="27"/>
        <v>0</v>
      </c>
      <c r="AU44" s="111">
        <f t="shared" si="25"/>
        <v>469917</v>
      </c>
    </row>
    <row r="45" spans="2:47" x14ac:dyDescent="0.15">
      <c r="B45" s="109">
        <f>População!B45</f>
        <v>33</v>
      </c>
      <c r="C45" s="109">
        <f>População!C45</f>
        <v>2059</v>
      </c>
      <c r="D45" s="111">
        <f>ROUND('Perdas e Vazões de Água'!V45*86.4/$D$3,0)</f>
        <v>6284</v>
      </c>
      <c r="E45" s="111">
        <f t="shared" si="0"/>
        <v>3770</v>
      </c>
      <c r="F45" s="111">
        <f t="shared" si="1"/>
        <v>2514</v>
      </c>
      <c r="G45" s="111">
        <f t="shared" si="10"/>
        <v>4100</v>
      </c>
      <c r="H45" s="111">
        <f t="shared" si="11"/>
        <v>2200</v>
      </c>
      <c r="I45" s="111">
        <f t="shared" si="12"/>
        <v>6300</v>
      </c>
      <c r="J45" s="111"/>
      <c r="K45" s="111"/>
      <c r="L45" s="111">
        <f t="shared" si="2"/>
        <v>0</v>
      </c>
      <c r="M45" s="111">
        <f t="shared" si="3"/>
        <v>330</v>
      </c>
      <c r="N45" s="111">
        <f t="shared" si="4"/>
        <v>-314</v>
      </c>
      <c r="O45" s="111">
        <f t="shared" si="5"/>
        <v>16</v>
      </c>
      <c r="P45" s="121">
        <f t="shared" si="13"/>
        <v>21.21</v>
      </c>
      <c r="Q45" s="111">
        <f>Q44+(P45*('Economais e Ligações Água'!T45-'Economais e Ligações Água'!T44))</f>
        <v>472934.577831809</v>
      </c>
      <c r="R45" s="111">
        <f t="shared" si="14"/>
        <v>3017.1722456478747</v>
      </c>
      <c r="S45" s="111">
        <f t="shared" si="6"/>
        <v>22298</v>
      </c>
      <c r="T45" s="121">
        <f t="shared" si="15"/>
        <v>21.21</v>
      </c>
      <c r="U45" s="111">
        <f>'Economais e Ligações Esgoto'!U45*'Atendimento '!F45*T45</f>
        <v>472934.577831809</v>
      </c>
      <c r="V45" s="111">
        <f t="shared" si="16"/>
        <v>3017.1722456478747</v>
      </c>
      <c r="W45" s="111">
        <f t="shared" si="7"/>
        <v>22298</v>
      </c>
      <c r="X45" s="40"/>
      <c r="Y45" s="109">
        <f t="shared" si="17"/>
        <v>33</v>
      </c>
      <c r="Z45" s="109">
        <f t="shared" si="18"/>
        <v>2059</v>
      </c>
      <c r="AA45" s="111">
        <f t="shared" si="19"/>
        <v>379294</v>
      </c>
      <c r="AB45" s="111">
        <f t="shared" si="19"/>
        <v>9837</v>
      </c>
      <c r="AC45" s="111">
        <f t="shared" si="19"/>
        <v>50746</v>
      </c>
      <c r="AD45" s="111">
        <f t="shared" si="19"/>
        <v>18350</v>
      </c>
      <c r="AE45" s="111">
        <f t="shared" si="19"/>
        <v>12627</v>
      </c>
      <c r="AF45" s="111">
        <f t="shared" si="19"/>
        <v>709</v>
      </c>
      <c r="AG45" s="111">
        <f t="shared" si="26"/>
        <v>709</v>
      </c>
      <c r="AH45" s="111">
        <f t="shared" si="20"/>
        <v>662</v>
      </c>
      <c r="AI45" s="111">
        <f t="shared" si="21"/>
        <v>472934</v>
      </c>
      <c r="AJ45" s="48"/>
      <c r="AK45" s="109">
        <f t="shared" si="22"/>
        <v>33</v>
      </c>
      <c r="AL45" s="109">
        <f t="shared" si="23"/>
        <v>2059</v>
      </c>
      <c r="AM45" s="111">
        <f t="shared" si="28"/>
        <v>141880</v>
      </c>
      <c r="AN45" s="111">
        <f t="shared" si="28"/>
        <v>286598</v>
      </c>
      <c r="AO45" s="111">
        <f t="shared" si="28"/>
        <v>23647</v>
      </c>
      <c r="AP45" s="111">
        <f t="shared" si="28"/>
        <v>9459</v>
      </c>
      <c r="AQ45" s="111">
        <f t="shared" si="28"/>
        <v>4729</v>
      </c>
      <c r="AR45" s="111">
        <f t="shared" si="28"/>
        <v>4256</v>
      </c>
      <c r="AS45" s="111">
        <f t="shared" si="28"/>
        <v>2365</v>
      </c>
      <c r="AT45" s="111">
        <f t="shared" si="27"/>
        <v>0</v>
      </c>
      <c r="AU45" s="111">
        <f t="shared" si="25"/>
        <v>472934</v>
      </c>
    </row>
    <row r="46" spans="2:47" x14ac:dyDescent="0.15">
      <c r="B46" s="109">
        <f>População!B46</f>
        <v>34</v>
      </c>
      <c r="C46" s="109">
        <f>População!C46</f>
        <v>2060</v>
      </c>
      <c r="D46" s="111">
        <f>ROUND('Perdas e Vazões de Água'!V46*86.4/$D$3,0)</f>
        <v>6299</v>
      </c>
      <c r="E46" s="111">
        <f t="shared" si="0"/>
        <v>3779</v>
      </c>
      <c r="F46" s="111">
        <f t="shared" ref="F46:F47" si="29">D46-E46</f>
        <v>2520</v>
      </c>
      <c r="G46" s="111">
        <f t="shared" ref="G46:G47" si="30">G45+J45</f>
        <v>4100</v>
      </c>
      <c r="H46" s="111">
        <f t="shared" ref="H46:H47" si="31">H45+K45</f>
        <v>2200</v>
      </c>
      <c r="I46" s="111">
        <f t="shared" ref="I46:I47" si="32">I45+L45</f>
        <v>6300</v>
      </c>
      <c r="J46" s="111"/>
      <c r="K46" s="111"/>
      <c r="L46" s="111">
        <f t="shared" si="2"/>
        <v>0</v>
      </c>
      <c r="M46" s="111">
        <f t="shared" ref="M46:M47" si="33">G46+J46-E46</f>
        <v>321</v>
      </c>
      <c r="N46" s="111">
        <f t="shared" ref="N46:N47" si="34">H46+K46-F46</f>
        <v>-320</v>
      </c>
      <c r="O46" s="111">
        <f t="shared" ref="O46:O47" si="35">M46+N46</f>
        <v>1</v>
      </c>
      <c r="P46" s="121">
        <f t="shared" ref="P46:P47" si="36">P45</f>
        <v>21.21</v>
      </c>
      <c r="Q46" s="111">
        <f>Q45+(P46*('Economais e Ligações Água'!T46-'Economais e Ligações Água'!T45))</f>
        <v>473314.16391981387</v>
      </c>
      <c r="R46" s="111">
        <f t="shared" si="14"/>
        <v>379.58608800487127</v>
      </c>
      <c r="S46" s="111">
        <f t="shared" ref="S46:S47" si="37">ROUND(Q46/$E$3,0)</f>
        <v>22316</v>
      </c>
      <c r="T46" s="121">
        <f t="shared" si="15"/>
        <v>21.21</v>
      </c>
      <c r="U46" s="111">
        <f>'Economais e Ligações Esgoto'!U46*'Atendimento '!F46*T46</f>
        <v>473314.16391981387</v>
      </c>
      <c r="V46" s="111">
        <f t="shared" si="16"/>
        <v>379.58608800487127</v>
      </c>
      <c r="W46" s="111">
        <f t="shared" ref="W46:W47" si="38">ROUND(U46/$F$3,0)</f>
        <v>22316</v>
      </c>
      <c r="X46" s="40"/>
      <c r="Y46" s="109">
        <f t="shared" si="17"/>
        <v>34</v>
      </c>
      <c r="Z46" s="109">
        <f t="shared" si="18"/>
        <v>2060</v>
      </c>
      <c r="AA46" s="111">
        <f t="shared" si="19"/>
        <v>379598</v>
      </c>
      <c r="AB46" s="111">
        <f t="shared" si="19"/>
        <v>9845</v>
      </c>
      <c r="AC46" s="111">
        <f t="shared" si="19"/>
        <v>50787</v>
      </c>
      <c r="AD46" s="111">
        <f t="shared" si="19"/>
        <v>18365</v>
      </c>
      <c r="AE46" s="111">
        <f t="shared" si="19"/>
        <v>12637</v>
      </c>
      <c r="AF46" s="111">
        <f t="shared" si="19"/>
        <v>710</v>
      </c>
      <c r="AG46" s="111">
        <f t="shared" si="26"/>
        <v>710</v>
      </c>
      <c r="AH46" s="111">
        <f t="shared" si="20"/>
        <v>663</v>
      </c>
      <c r="AI46" s="111">
        <f t="shared" ref="AI46:AI47" si="39">SUM(AA46:AH46)</f>
        <v>473315</v>
      </c>
      <c r="AJ46" s="48"/>
      <c r="AK46" s="109">
        <f t="shared" si="22"/>
        <v>34</v>
      </c>
      <c r="AL46" s="109">
        <f t="shared" si="23"/>
        <v>2060</v>
      </c>
      <c r="AM46" s="111">
        <f t="shared" si="28"/>
        <v>141994</v>
      </c>
      <c r="AN46" s="111">
        <f t="shared" si="28"/>
        <v>286828</v>
      </c>
      <c r="AO46" s="111">
        <f t="shared" si="28"/>
        <v>23666</v>
      </c>
      <c r="AP46" s="111">
        <f t="shared" si="28"/>
        <v>9466</v>
      </c>
      <c r="AQ46" s="111">
        <f t="shared" si="28"/>
        <v>4733</v>
      </c>
      <c r="AR46" s="111">
        <f t="shared" si="28"/>
        <v>4260</v>
      </c>
      <c r="AS46" s="111">
        <f t="shared" si="28"/>
        <v>2367</v>
      </c>
      <c r="AT46" s="111">
        <f t="shared" si="27"/>
        <v>0</v>
      </c>
      <c r="AU46" s="111">
        <f t="shared" si="25"/>
        <v>473314</v>
      </c>
    </row>
    <row r="47" spans="2:47" x14ac:dyDescent="0.15">
      <c r="B47" s="101">
        <f>População!B47</f>
        <v>35</v>
      </c>
      <c r="C47" s="101">
        <f>População!C47</f>
        <v>2061</v>
      </c>
      <c r="D47" s="102">
        <f>ROUND('Perdas e Vazões de Água'!V47*86.4/$D$3,0)</f>
        <v>6284</v>
      </c>
      <c r="E47" s="102">
        <f t="shared" si="0"/>
        <v>3770</v>
      </c>
      <c r="F47" s="102">
        <f t="shared" si="29"/>
        <v>2514</v>
      </c>
      <c r="G47" s="102">
        <f t="shared" si="30"/>
        <v>4100</v>
      </c>
      <c r="H47" s="102">
        <f t="shared" si="31"/>
        <v>2200</v>
      </c>
      <c r="I47" s="102">
        <f t="shared" si="32"/>
        <v>6300</v>
      </c>
      <c r="J47" s="102"/>
      <c r="K47" s="102"/>
      <c r="L47" s="102">
        <f t="shared" si="2"/>
        <v>0</v>
      </c>
      <c r="M47" s="102">
        <f t="shared" si="33"/>
        <v>330</v>
      </c>
      <c r="N47" s="102">
        <f t="shared" si="34"/>
        <v>-314</v>
      </c>
      <c r="O47" s="102">
        <f t="shared" si="35"/>
        <v>16</v>
      </c>
      <c r="P47" s="120">
        <f t="shared" si="36"/>
        <v>21.21</v>
      </c>
      <c r="Q47" s="102">
        <f>Q46+(P47*('Economais e Ligações Água'!T47-'Economais e Ligações Água'!T46))</f>
        <v>475657.81352704653</v>
      </c>
      <c r="R47" s="102">
        <f t="shared" si="14"/>
        <v>2343.6496072326554</v>
      </c>
      <c r="S47" s="102">
        <f t="shared" si="37"/>
        <v>22426</v>
      </c>
      <c r="T47" s="120">
        <f t="shared" si="15"/>
        <v>21.21</v>
      </c>
      <c r="U47" s="102">
        <f>'Economais e Ligações Esgoto'!U47*'Atendimento '!F47*T47</f>
        <v>475657.81352704653</v>
      </c>
      <c r="V47" s="102">
        <f t="shared" si="16"/>
        <v>2343.6496072326554</v>
      </c>
      <c r="W47" s="102">
        <f t="shared" si="38"/>
        <v>22426</v>
      </c>
      <c r="X47" s="40"/>
      <c r="Y47" s="101">
        <f t="shared" si="17"/>
        <v>35</v>
      </c>
      <c r="Z47" s="101">
        <f t="shared" si="18"/>
        <v>2061</v>
      </c>
      <c r="AA47" s="102">
        <f t="shared" ref="AA47:AB47" si="40">ROUND($Q47*AA$3,0)</f>
        <v>381478</v>
      </c>
      <c r="AB47" s="102">
        <f t="shared" si="40"/>
        <v>9894</v>
      </c>
      <c r="AC47" s="102">
        <f>ROUND($Q47*AC$3,0)</f>
        <v>51038</v>
      </c>
      <c r="AD47" s="102">
        <f t="shared" ref="AD47:AF47" si="41">ROUND($Q47*AD$3,0)</f>
        <v>18456</v>
      </c>
      <c r="AE47" s="102">
        <f t="shared" si="41"/>
        <v>12700</v>
      </c>
      <c r="AF47" s="102">
        <f t="shared" si="41"/>
        <v>713</v>
      </c>
      <c r="AG47" s="102">
        <f>ROUND($Q47*AG$3,0)</f>
        <v>713</v>
      </c>
      <c r="AH47" s="102">
        <f>ROUND($Q47*AH$3,0)</f>
        <v>666</v>
      </c>
      <c r="AI47" s="102">
        <f t="shared" si="39"/>
        <v>475658</v>
      </c>
      <c r="AJ47" s="48"/>
      <c r="AK47" s="101">
        <f t="shared" si="22"/>
        <v>35</v>
      </c>
      <c r="AL47" s="101">
        <f t="shared" si="23"/>
        <v>2061</v>
      </c>
      <c r="AM47" s="102">
        <f t="shared" si="28"/>
        <v>142697</v>
      </c>
      <c r="AN47" s="102">
        <f t="shared" si="28"/>
        <v>288249</v>
      </c>
      <c r="AO47" s="102">
        <f t="shared" si="28"/>
        <v>23783</v>
      </c>
      <c r="AP47" s="102">
        <f t="shared" si="28"/>
        <v>9513</v>
      </c>
      <c r="AQ47" s="102">
        <f t="shared" si="28"/>
        <v>4757</v>
      </c>
      <c r="AR47" s="102">
        <f t="shared" si="28"/>
        <v>4281</v>
      </c>
      <c r="AS47" s="102">
        <f t="shared" si="28"/>
        <v>2378</v>
      </c>
      <c r="AT47" s="102">
        <f t="shared" si="27"/>
        <v>0</v>
      </c>
      <c r="AU47" s="102">
        <f t="shared" si="25"/>
        <v>475658</v>
      </c>
    </row>
    <row r="48" spans="2:47" x14ac:dyDescent="0.15">
      <c r="X48" s="40"/>
    </row>
    <row r="49" spans="24:24" x14ac:dyDescent="0.15">
      <c r="X49" s="40"/>
    </row>
  </sheetData>
  <mergeCells count="7">
    <mergeCell ref="D1:F1"/>
    <mergeCell ref="B5:W5"/>
    <mergeCell ref="B6:C7"/>
    <mergeCell ref="Y6:Z7"/>
    <mergeCell ref="AK6:AL7"/>
    <mergeCell ref="AK5:AU5"/>
    <mergeCell ref="Y5:AI5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2737F-9925-4224-B981-AAEE886ED39C}">
  <dimension ref="B1:AN34"/>
  <sheetViews>
    <sheetView workbookViewId="0">
      <selection activeCell="D22" sqref="D22"/>
    </sheetView>
  </sheetViews>
  <sheetFormatPr defaultRowHeight="12" x14ac:dyDescent="0.15"/>
  <cols>
    <col min="2" max="2" width="38.125" customWidth="1"/>
    <col min="3" max="3" width="12.75" customWidth="1"/>
    <col min="4" max="40" width="10.75" customWidth="1"/>
  </cols>
  <sheetData>
    <row r="1" spans="2:40" ht="15.75" thickBot="1" x14ac:dyDescent="0.3">
      <c r="B1" s="244" t="s">
        <v>0</v>
      </c>
      <c r="C1" s="246" t="s">
        <v>134</v>
      </c>
      <c r="D1" s="191" t="str" cm="1">
        <f t="array" ref="D1:AN2">TRANSPOSE(População!B11:C47)</f>
        <v>Base</v>
      </c>
      <c r="E1" s="191">
        <v>0</v>
      </c>
      <c r="F1" s="191">
        <v>1</v>
      </c>
      <c r="G1" s="191">
        <v>2</v>
      </c>
      <c r="H1" s="191">
        <v>3</v>
      </c>
      <c r="I1" s="191">
        <v>4</v>
      </c>
      <c r="J1" s="191">
        <v>5</v>
      </c>
      <c r="K1" s="191">
        <v>6</v>
      </c>
      <c r="L1" s="191">
        <v>7</v>
      </c>
      <c r="M1" s="191">
        <v>8</v>
      </c>
      <c r="N1" s="191">
        <v>9</v>
      </c>
      <c r="O1" s="191">
        <v>10</v>
      </c>
      <c r="P1" s="191">
        <v>11</v>
      </c>
      <c r="Q1" s="191">
        <v>12</v>
      </c>
      <c r="R1" s="191">
        <v>13</v>
      </c>
      <c r="S1" s="191">
        <v>14</v>
      </c>
      <c r="T1" s="191">
        <v>15</v>
      </c>
      <c r="U1" s="191">
        <v>16</v>
      </c>
      <c r="V1" s="191">
        <v>17</v>
      </c>
      <c r="W1" s="191">
        <v>18</v>
      </c>
      <c r="X1" s="191">
        <v>19</v>
      </c>
      <c r="Y1" s="191">
        <v>20</v>
      </c>
      <c r="Z1" s="191">
        <v>21</v>
      </c>
      <c r="AA1" s="191">
        <v>22</v>
      </c>
      <c r="AB1" s="191">
        <v>23</v>
      </c>
      <c r="AC1" s="191">
        <v>24</v>
      </c>
      <c r="AD1" s="191">
        <v>25</v>
      </c>
      <c r="AE1" s="191">
        <v>26</v>
      </c>
      <c r="AF1" s="191">
        <v>27</v>
      </c>
      <c r="AG1" s="191">
        <v>28</v>
      </c>
      <c r="AH1" s="191">
        <v>29</v>
      </c>
      <c r="AI1" s="191">
        <v>30</v>
      </c>
      <c r="AJ1" s="191">
        <v>31</v>
      </c>
      <c r="AK1" s="191">
        <v>32</v>
      </c>
      <c r="AL1" s="191">
        <v>33</v>
      </c>
      <c r="AM1" s="191">
        <v>34</v>
      </c>
      <c r="AN1" s="192">
        <v>35</v>
      </c>
    </row>
    <row r="2" spans="2:40" ht="15" x14ac:dyDescent="0.25">
      <c r="B2" s="245"/>
      <c r="C2" s="247"/>
      <c r="D2" s="159">
        <v>2025</v>
      </c>
      <c r="E2" s="159">
        <v>2026</v>
      </c>
      <c r="F2" s="159">
        <v>2027</v>
      </c>
      <c r="G2" s="159">
        <v>2028</v>
      </c>
      <c r="H2" s="159">
        <v>2029</v>
      </c>
      <c r="I2" s="159">
        <v>2030</v>
      </c>
      <c r="J2" s="159">
        <v>2031</v>
      </c>
      <c r="K2" s="159">
        <v>2032</v>
      </c>
      <c r="L2" s="159">
        <v>2033</v>
      </c>
      <c r="M2" s="159">
        <v>2034</v>
      </c>
      <c r="N2" s="159">
        <v>2035</v>
      </c>
      <c r="O2" s="159">
        <v>2036</v>
      </c>
      <c r="P2" s="159">
        <v>2037</v>
      </c>
      <c r="Q2" s="159">
        <v>2038</v>
      </c>
      <c r="R2" s="159">
        <v>2039</v>
      </c>
      <c r="S2" s="159">
        <v>2040</v>
      </c>
      <c r="T2" s="159">
        <v>2041</v>
      </c>
      <c r="U2" s="159">
        <v>2042</v>
      </c>
      <c r="V2" s="159">
        <v>2043</v>
      </c>
      <c r="W2" s="159">
        <v>2044</v>
      </c>
      <c r="X2" s="159">
        <v>2045</v>
      </c>
      <c r="Y2" s="159">
        <v>2046</v>
      </c>
      <c r="Z2" s="159">
        <v>2047</v>
      </c>
      <c r="AA2" s="159">
        <v>2048</v>
      </c>
      <c r="AB2" s="159">
        <v>2049</v>
      </c>
      <c r="AC2" s="159">
        <v>2050</v>
      </c>
      <c r="AD2" s="159">
        <v>2051</v>
      </c>
      <c r="AE2" s="159">
        <v>2052</v>
      </c>
      <c r="AF2" s="159">
        <v>2053</v>
      </c>
      <c r="AG2" s="159">
        <v>2054</v>
      </c>
      <c r="AH2" s="159">
        <v>2055</v>
      </c>
      <c r="AI2" s="159">
        <v>2056</v>
      </c>
      <c r="AJ2" s="159">
        <v>2057</v>
      </c>
      <c r="AK2" s="159">
        <v>2058</v>
      </c>
      <c r="AL2" s="159">
        <v>2059</v>
      </c>
      <c r="AM2" s="159">
        <v>2060</v>
      </c>
      <c r="AN2" s="193">
        <v>2061</v>
      </c>
    </row>
    <row r="3" spans="2:40" ht="15" x14ac:dyDescent="0.25">
      <c r="B3" s="194" t="s">
        <v>95</v>
      </c>
      <c r="C3" s="160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95"/>
    </row>
    <row r="4" spans="2:40" ht="15" x14ac:dyDescent="0.25">
      <c r="B4" s="194" t="s">
        <v>252</v>
      </c>
      <c r="C4" s="160" t="s">
        <v>221</v>
      </c>
      <c r="D4" s="162" cm="1">
        <f t="array" ref="D4:AN4">TRANSPOSE(População!G11:G47)</f>
        <v>45430.859189432937</v>
      </c>
      <c r="E4" s="162">
        <v>46011.580352534933</v>
      </c>
      <c r="F4" s="162">
        <v>46573.432134953429</v>
      </c>
      <c r="G4" s="162">
        <v>47116.534574295358</v>
      </c>
      <c r="H4" s="162">
        <v>47641.051365863968</v>
      </c>
      <c r="I4" s="162">
        <v>48147.18655793662</v>
      </c>
      <c r="J4" s="162">
        <v>48635.181187192517</v>
      </c>
      <c r="K4" s="162">
        <v>49105.309894885817</v>
      </c>
      <c r="L4" s="163">
        <v>49557.877560314388</v>
      </c>
      <c r="M4" s="162">
        <v>49993.215983961309</v>
      </c>
      <c r="N4" s="162">
        <v>50411.680648487025</v>
      </c>
      <c r="O4" s="162">
        <v>50813.647581609919</v>
      </c>
      <c r="P4" s="162">
        <v>51199.510340907727</v>
      </c>
      <c r="Q4" s="162">
        <v>51569.677136759557</v>
      </c>
      <c r="R4" s="162">
        <v>51924.568106074483</v>
      </c>
      <c r="S4" s="162">
        <v>52264.612746151462</v>
      </c>
      <c r="T4" s="162">
        <v>52590.247515009047</v>
      </c>
      <c r="U4" s="162">
        <v>52901.913601823413</v>
      </c>
      <c r="V4" s="162">
        <v>53200.054868723935</v>
      </c>
      <c r="W4" s="162">
        <v>53485.115963113007</v>
      </c>
      <c r="X4" s="164">
        <v>53757.540597890482</v>
      </c>
      <c r="Y4" s="162">
        <v>54017.769995461087</v>
      </c>
      <c r="Z4" s="162">
        <v>54266.241490164277</v>
      </c>
      <c r="AA4" s="162">
        <v>54503.387282773809</v>
      </c>
      <c r="AB4" s="162">
        <v>54729.63333994471</v>
      </c>
      <c r="AC4" s="162">
        <v>54945.398430916823</v>
      </c>
      <c r="AD4" s="162">
        <v>55151.09329339418</v>
      </c>
      <c r="AE4" s="162">
        <v>55347.119920287252</v>
      </c>
      <c r="AF4" s="164">
        <v>55533.870958906715</v>
      </c>
      <c r="AG4" s="162">
        <v>55711.729214216328</v>
      </c>
      <c r="AH4" s="162">
        <v>55881.067247867672</v>
      </c>
      <c r="AI4" s="162">
        <v>56042.247064934483</v>
      </c>
      <c r="AJ4" s="162">
        <v>56195.619880524173</v>
      </c>
      <c r="AK4" s="162">
        <v>56341.525958754421</v>
      </c>
      <c r="AL4" s="162">
        <v>56480.294516930619</v>
      </c>
      <c r="AM4" s="162">
        <v>56615</v>
      </c>
      <c r="AN4" s="196">
        <v>56482.294516930597</v>
      </c>
    </row>
    <row r="5" spans="2:40" ht="15" x14ac:dyDescent="0.25">
      <c r="B5" s="197"/>
      <c r="C5" s="165"/>
      <c r="D5" s="166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98"/>
    </row>
    <row r="6" spans="2:40" ht="15" x14ac:dyDescent="0.25">
      <c r="B6" s="194" t="s">
        <v>253</v>
      </c>
      <c r="C6" s="160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96"/>
    </row>
    <row r="7" spans="2:40" ht="15" x14ac:dyDescent="0.25">
      <c r="B7" s="194" t="s">
        <v>254</v>
      </c>
      <c r="C7" s="160" t="s">
        <v>2</v>
      </c>
      <c r="D7" s="168" cm="1">
        <f t="array" ref="D7:AN7">TRANSPOSE('Atendimento '!D11:D47)</f>
        <v>0.96399999999999997</v>
      </c>
      <c r="E7" s="168">
        <v>0.96399999999999997</v>
      </c>
      <c r="F7" s="168">
        <v>0.96399999999999997</v>
      </c>
      <c r="G7" s="168">
        <v>0.99399999999999999</v>
      </c>
      <c r="H7" s="168">
        <v>1</v>
      </c>
      <c r="I7" s="168">
        <v>1</v>
      </c>
      <c r="J7" s="168">
        <v>1</v>
      </c>
      <c r="K7" s="168">
        <v>1</v>
      </c>
      <c r="L7" s="168">
        <v>1</v>
      </c>
      <c r="M7" s="168">
        <v>1</v>
      </c>
      <c r="N7" s="168">
        <v>1</v>
      </c>
      <c r="O7" s="168">
        <v>1</v>
      </c>
      <c r="P7" s="168">
        <v>1</v>
      </c>
      <c r="Q7" s="168">
        <v>1</v>
      </c>
      <c r="R7" s="168">
        <v>1</v>
      </c>
      <c r="S7" s="168">
        <v>1</v>
      </c>
      <c r="T7" s="168">
        <v>1</v>
      </c>
      <c r="U7" s="168">
        <v>1</v>
      </c>
      <c r="V7" s="168">
        <v>1</v>
      </c>
      <c r="W7" s="168">
        <v>1</v>
      </c>
      <c r="X7" s="168">
        <v>1</v>
      </c>
      <c r="Y7" s="168">
        <v>1</v>
      </c>
      <c r="Z7" s="168">
        <v>1</v>
      </c>
      <c r="AA7" s="168">
        <v>1</v>
      </c>
      <c r="AB7" s="168">
        <v>1</v>
      </c>
      <c r="AC7" s="168">
        <v>1</v>
      </c>
      <c r="AD7" s="168">
        <v>1</v>
      </c>
      <c r="AE7" s="168">
        <v>1</v>
      </c>
      <c r="AF7" s="168">
        <v>1</v>
      </c>
      <c r="AG7" s="168">
        <v>1</v>
      </c>
      <c r="AH7" s="168">
        <v>1</v>
      </c>
      <c r="AI7" s="168">
        <v>1</v>
      </c>
      <c r="AJ7" s="168">
        <v>1</v>
      </c>
      <c r="AK7" s="168">
        <v>1</v>
      </c>
      <c r="AL7" s="168">
        <v>1</v>
      </c>
      <c r="AM7" s="168">
        <v>1</v>
      </c>
      <c r="AN7" s="199">
        <v>1</v>
      </c>
    </row>
    <row r="8" spans="2:40" ht="15" x14ac:dyDescent="0.25">
      <c r="B8" s="194" t="s">
        <v>255</v>
      </c>
      <c r="C8" s="160" t="s">
        <v>2</v>
      </c>
      <c r="D8" s="168" cm="1">
        <f t="array" ref="D8:AN8">TRANSPOSE('Atendimento '!F11:F47)</f>
        <v>0</v>
      </c>
      <c r="E8" s="168">
        <v>0</v>
      </c>
      <c r="F8" s="168">
        <v>0</v>
      </c>
      <c r="G8" s="168">
        <v>0.2</v>
      </c>
      <c r="H8" s="168">
        <v>0.4</v>
      </c>
      <c r="I8" s="168">
        <v>0.6</v>
      </c>
      <c r="J8" s="168">
        <v>0.8</v>
      </c>
      <c r="K8" s="168">
        <v>0.85</v>
      </c>
      <c r="L8" s="168">
        <v>0.9</v>
      </c>
      <c r="M8" s="168">
        <v>0.92</v>
      </c>
      <c r="N8" s="168">
        <v>0.94</v>
      </c>
      <c r="O8" s="168">
        <v>0.96</v>
      </c>
      <c r="P8" s="168">
        <v>0.98</v>
      </c>
      <c r="Q8" s="168">
        <v>1</v>
      </c>
      <c r="R8" s="168">
        <v>1</v>
      </c>
      <c r="S8" s="168">
        <v>1</v>
      </c>
      <c r="T8" s="168">
        <v>1</v>
      </c>
      <c r="U8" s="168">
        <v>1</v>
      </c>
      <c r="V8" s="168">
        <v>1</v>
      </c>
      <c r="W8" s="168">
        <v>1</v>
      </c>
      <c r="X8" s="168">
        <v>1</v>
      </c>
      <c r="Y8" s="168">
        <v>1</v>
      </c>
      <c r="Z8" s="168">
        <v>1</v>
      </c>
      <c r="AA8" s="168">
        <v>1</v>
      </c>
      <c r="AB8" s="168">
        <v>1</v>
      </c>
      <c r="AC8" s="168">
        <v>1</v>
      </c>
      <c r="AD8" s="168">
        <v>1</v>
      </c>
      <c r="AE8" s="168">
        <v>1</v>
      </c>
      <c r="AF8" s="168">
        <v>1</v>
      </c>
      <c r="AG8" s="168">
        <v>1</v>
      </c>
      <c r="AH8" s="168">
        <v>1</v>
      </c>
      <c r="AI8" s="168">
        <v>1</v>
      </c>
      <c r="AJ8" s="168">
        <v>1</v>
      </c>
      <c r="AK8" s="168">
        <v>1</v>
      </c>
      <c r="AL8" s="168">
        <v>1</v>
      </c>
      <c r="AM8" s="168">
        <v>1</v>
      </c>
      <c r="AN8" s="199">
        <v>1</v>
      </c>
    </row>
    <row r="9" spans="2:40" ht="15" x14ac:dyDescent="0.25">
      <c r="B9" s="197"/>
      <c r="C9" s="165"/>
      <c r="D9" s="166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7"/>
      <c r="AK9" s="167"/>
      <c r="AL9" s="167"/>
      <c r="AM9" s="167"/>
      <c r="AN9" s="198"/>
    </row>
    <row r="10" spans="2:40" ht="15" x14ac:dyDescent="0.25">
      <c r="B10" s="194" t="s">
        <v>321</v>
      </c>
      <c r="C10" s="160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  <c r="AA10" s="168"/>
      <c r="AB10" s="168"/>
      <c r="AC10" s="168"/>
      <c r="AD10" s="168"/>
      <c r="AE10" s="168"/>
      <c r="AF10" s="168"/>
      <c r="AG10" s="168"/>
      <c r="AH10" s="168"/>
      <c r="AI10" s="168"/>
      <c r="AJ10" s="168"/>
      <c r="AK10" s="168"/>
      <c r="AL10" s="168"/>
      <c r="AM10" s="168"/>
      <c r="AN10" s="199"/>
    </row>
    <row r="11" spans="2:40" ht="15" x14ac:dyDescent="0.25">
      <c r="B11" s="194" t="s">
        <v>322</v>
      </c>
      <c r="C11" s="160" t="s">
        <v>101</v>
      </c>
      <c r="D11" s="169" cm="1">
        <f t="array" ref="D11:AN11">TRANSPOSE('Redes e Reservasão'!Q11:Q47)</f>
        <v>289462.29255087225</v>
      </c>
      <c r="E11" s="169">
        <v>296019.6290108774</v>
      </c>
      <c r="F11" s="169">
        <v>302518.86680173344</v>
      </c>
      <c r="G11" s="169">
        <v>318551.17354761629</v>
      </c>
      <c r="H11" s="169">
        <v>327097.87063211534</v>
      </c>
      <c r="I11" s="169">
        <v>333639.12266374228</v>
      </c>
      <c r="J11" s="169">
        <v>340099.34664209257</v>
      </c>
      <c r="K11" s="169">
        <v>346479.7314649531</v>
      </c>
      <c r="L11" s="169">
        <v>352761.82310199778</v>
      </c>
      <c r="M11" s="169">
        <v>358918.46611744148</v>
      </c>
      <c r="N11" s="169">
        <v>365023.64472305629</v>
      </c>
      <c r="O11" s="169">
        <v>370993.1778710793</v>
      </c>
      <c r="P11" s="169">
        <v>376838.24111314496</v>
      </c>
      <c r="Q11" s="169">
        <v>382596.94473612087</v>
      </c>
      <c r="R11" s="169">
        <v>388185.58164948464</v>
      </c>
      <c r="S11" s="169">
        <v>393663.88682391745</v>
      </c>
      <c r="T11" s="169">
        <v>399024.27041877067</v>
      </c>
      <c r="U11" s="169">
        <v>404264.35789962229</v>
      </c>
      <c r="V11" s="169">
        <v>409360.82356184412</v>
      </c>
      <c r="W11" s="169">
        <v>414337.09972150292</v>
      </c>
      <c r="X11" s="169">
        <v>419150.12073369807</v>
      </c>
      <c r="Y11" s="169">
        <v>423873.70373100205</v>
      </c>
      <c r="Z11" s="169">
        <v>428432.40590154397</v>
      </c>
      <c r="AA11" s="169">
        <v>432863.63968485338</v>
      </c>
      <c r="AB11" s="169">
        <v>437150.46269474534</v>
      </c>
      <c r="AC11" s="169">
        <v>441310.22942385013</v>
      </c>
      <c r="AD11" s="169">
        <v>445321.81052758021</v>
      </c>
      <c r="AE11" s="169">
        <v>449249.82655700151</v>
      </c>
      <c r="AF11" s="169">
        <v>452995.15065138065</v>
      </c>
      <c r="AG11" s="169">
        <v>456637.77750159503</v>
      </c>
      <c r="AH11" s="169">
        <v>460138.37061472703</v>
      </c>
      <c r="AI11" s="169">
        <v>463523.5011180467</v>
      </c>
      <c r="AJ11" s="169">
        <v>466786.36528739153</v>
      </c>
      <c r="AK11" s="169">
        <v>469917.40558616113</v>
      </c>
      <c r="AL11" s="169">
        <v>472934.577831809</v>
      </c>
      <c r="AM11" s="169">
        <v>473314.16391981387</v>
      </c>
      <c r="AN11" s="200">
        <v>475657.81352704653</v>
      </c>
    </row>
    <row r="12" spans="2:40" ht="15" x14ac:dyDescent="0.25">
      <c r="B12" s="194" t="s">
        <v>256</v>
      </c>
      <c r="C12" s="160" t="s">
        <v>101</v>
      </c>
      <c r="D12" s="162" cm="1">
        <f t="array" ref="D12:AN12">TRANSPOSE('Redes e Reservasão'!U11:U47)</f>
        <v>0</v>
      </c>
      <c r="E12" s="162">
        <v>0</v>
      </c>
      <c r="F12" s="169">
        <v>0</v>
      </c>
      <c r="G12" s="169">
        <v>64094.803530707497</v>
      </c>
      <c r="H12" s="169">
        <v>130839.14825284615</v>
      </c>
      <c r="I12" s="169">
        <v>200183.47359824541</v>
      </c>
      <c r="J12" s="169">
        <v>272079.47731367406</v>
      </c>
      <c r="K12" s="169">
        <v>294507.77174521016</v>
      </c>
      <c r="L12" s="169">
        <v>317485.64079179801</v>
      </c>
      <c r="M12" s="169">
        <v>330204.98882804613</v>
      </c>
      <c r="N12" s="169">
        <v>343122.22603967268</v>
      </c>
      <c r="O12" s="169">
        <v>356153.45075623621</v>
      </c>
      <c r="P12" s="169">
        <v>369301.47629088204</v>
      </c>
      <c r="Q12" s="169">
        <v>382596.94473612081</v>
      </c>
      <c r="R12" s="169">
        <v>388185.58164948458</v>
      </c>
      <c r="S12" s="169">
        <v>393663.88682391739</v>
      </c>
      <c r="T12" s="169">
        <v>399024.27041877061</v>
      </c>
      <c r="U12" s="169">
        <v>404264.35789962223</v>
      </c>
      <c r="V12" s="169">
        <v>409360.82356184407</v>
      </c>
      <c r="W12" s="169">
        <v>414337.09972150286</v>
      </c>
      <c r="X12" s="169">
        <v>419150.12073369802</v>
      </c>
      <c r="Y12" s="169">
        <v>423873.703731002</v>
      </c>
      <c r="Z12" s="169">
        <v>428432.40590154391</v>
      </c>
      <c r="AA12" s="169">
        <v>432863.63968485332</v>
      </c>
      <c r="AB12" s="169">
        <v>437150.46269474528</v>
      </c>
      <c r="AC12" s="169">
        <v>441310.22942385008</v>
      </c>
      <c r="AD12" s="169">
        <v>445321.81052758015</v>
      </c>
      <c r="AE12" s="169">
        <v>449249.82655700145</v>
      </c>
      <c r="AF12" s="169">
        <v>452995.15065138065</v>
      </c>
      <c r="AG12" s="169">
        <v>456637.77750159503</v>
      </c>
      <c r="AH12" s="169">
        <v>460138.37061472703</v>
      </c>
      <c r="AI12" s="169">
        <v>463523.5011180467</v>
      </c>
      <c r="AJ12" s="169">
        <v>466786.36528739153</v>
      </c>
      <c r="AK12" s="169">
        <v>469917.40558616113</v>
      </c>
      <c r="AL12" s="169">
        <v>472934.577831809</v>
      </c>
      <c r="AM12" s="169">
        <v>473314.16391981387</v>
      </c>
      <c r="AN12" s="200">
        <v>475657.81352704653</v>
      </c>
    </row>
    <row r="13" spans="2:40" ht="15" x14ac:dyDescent="0.25">
      <c r="B13" s="197"/>
      <c r="C13" s="165"/>
      <c r="D13" s="166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98"/>
    </row>
    <row r="14" spans="2:40" ht="15" x14ac:dyDescent="0.25">
      <c r="B14" s="194"/>
      <c r="C14" s="160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96"/>
    </row>
    <row r="15" spans="2:40" ht="15" x14ac:dyDescent="0.25">
      <c r="B15" s="194" t="s">
        <v>257</v>
      </c>
      <c r="C15" s="160" t="s">
        <v>258</v>
      </c>
      <c r="D15" s="170" cm="1">
        <f t="array" ref="D15:AN15">TRANSPOSE('Cota per capita e por economia '!G11:G47)</f>
        <v>272.33</v>
      </c>
      <c r="E15" s="170">
        <v>273.72000000000003</v>
      </c>
      <c r="F15" s="170">
        <v>258.32</v>
      </c>
      <c r="G15" s="170">
        <v>245.71</v>
      </c>
      <c r="H15" s="170">
        <v>238.34</v>
      </c>
      <c r="I15" s="170">
        <v>230.11</v>
      </c>
      <c r="J15" s="170">
        <v>223.27</v>
      </c>
      <c r="K15" s="170">
        <v>217.43</v>
      </c>
      <c r="L15" s="170">
        <v>211.08</v>
      </c>
      <c r="M15" s="170">
        <v>209.74</v>
      </c>
      <c r="N15" s="170">
        <v>208.52</v>
      </c>
      <c r="O15" s="170">
        <v>207.28</v>
      </c>
      <c r="P15" s="170">
        <v>206.09</v>
      </c>
      <c r="Q15" s="170">
        <v>204.95</v>
      </c>
      <c r="R15" s="170">
        <v>203.79</v>
      </c>
      <c r="S15" s="170">
        <v>202.7</v>
      </c>
      <c r="T15" s="170">
        <v>201.66</v>
      </c>
      <c r="U15" s="170">
        <v>200.62</v>
      </c>
      <c r="V15" s="170">
        <v>199.61</v>
      </c>
      <c r="W15" s="170">
        <v>198.67</v>
      </c>
      <c r="X15" s="170">
        <v>198.65</v>
      </c>
      <c r="Y15" s="170">
        <v>198.69</v>
      </c>
      <c r="Z15" s="170">
        <v>198.68</v>
      </c>
      <c r="AA15" s="170">
        <v>198.67</v>
      </c>
      <c r="AB15" s="170">
        <v>198.66</v>
      </c>
      <c r="AC15" s="170">
        <v>198.66</v>
      </c>
      <c r="AD15" s="170">
        <v>198.65</v>
      </c>
      <c r="AE15" s="170">
        <v>198.71</v>
      </c>
      <c r="AF15" s="170">
        <v>198.66</v>
      </c>
      <c r="AG15" s="170">
        <v>198.7</v>
      </c>
      <c r="AH15" s="170">
        <v>198.67</v>
      </c>
      <c r="AI15" s="170">
        <v>198.68</v>
      </c>
      <c r="AJ15" s="170">
        <v>198.69</v>
      </c>
      <c r="AK15" s="170">
        <v>198.66</v>
      </c>
      <c r="AL15" s="170">
        <v>198.67</v>
      </c>
      <c r="AM15" s="170">
        <v>198.68</v>
      </c>
      <c r="AN15" s="201">
        <v>198.67</v>
      </c>
    </row>
    <row r="16" spans="2:40" ht="15" x14ac:dyDescent="0.25">
      <c r="B16" s="194" t="s">
        <v>259</v>
      </c>
      <c r="C16" s="160" t="s">
        <v>258</v>
      </c>
      <c r="D16" s="170" cm="1">
        <f t="array" ref="D16:AN16">TRANSPOSE('Cota per capita e por economia '!H11:H47)</f>
        <v>168.85</v>
      </c>
      <c r="E16" s="170">
        <v>168.89</v>
      </c>
      <c r="F16" s="170">
        <v>168.9</v>
      </c>
      <c r="G16" s="170">
        <v>168.86</v>
      </c>
      <c r="H16" s="170">
        <v>168.88</v>
      </c>
      <c r="I16" s="170">
        <v>168.86</v>
      </c>
      <c r="J16" s="170">
        <v>168.88</v>
      </c>
      <c r="K16" s="170">
        <v>168.87</v>
      </c>
      <c r="L16" s="170">
        <v>168.86</v>
      </c>
      <c r="M16" s="170">
        <v>168.85</v>
      </c>
      <c r="N16" s="170">
        <v>168.89</v>
      </c>
      <c r="O16" s="170">
        <v>168.89</v>
      </c>
      <c r="P16" s="170">
        <v>168.89</v>
      </c>
      <c r="Q16" s="170">
        <v>168.9</v>
      </c>
      <c r="R16" s="170">
        <v>168.87</v>
      </c>
      <c r="S16" s="170">
        <v>168.87</v>
      </c>
      <c r="T16" s="170">
        <v>168.88</v>
      </c>
      <c r="U16" s="170">
        <v>168.87</v>
      </c>
      <c r="V16" s="170">
        <v>168.85</v>
      </c>
      <c r="W16" s="170">
        <v>168.87</v>
      </c>
      <c r="X16" s="170">
        <v>168.85</v>
      </c>
      <c r="Y16" s="170">
        <v>168.88</v>
      </c>
      <c r="Z16" s="170">
        <v>168.88</v>
      </c>
      <c r="AA16" s="170">
        <v>168.87</v>
      </c>
      <c r="AB16" s="170">
        <v>168.86</v>
      </c>
      <c r="AC16" s="170">
        <v>168.86</v>
      </c>
      <c r="AD16" s="170">
        <v>168.86</v>
      </c>
      <c r="AE16" s="170">
        <v>168.9</v>
      </c>
      <c r="AF16" s="170">
        <v>168.86</v>
      </c>
      <c r="AG16" s="170">
        <v>168.9</v>
      </c>
      <c r="AH16" s="170">
        <v>168.87</v>
      </c>
      <c r="AI16" s="170">
        <v>168.88</v>
      </c>
      <c r="AJ16" s="170">
        <v>168.88</v>
      </c>
      <c r="AK16" s="170">
        <v>168.86</v>
      </c>
      <c r="AL16" s="170">
        <v>168.87</v>
      </c>
      <c r="AM16" s="170">
        <v>168.88</v>
      </c>
      <c r="AN16" s="201">
        <v>168.87</v>
      </c>
    </row>
    <row r="17" spans="2:40" ht="15" x14ac:dyDescent="0.25">
      <c r="B17" s="194" t="s">
        <v>260</v>
      </c>
      <c r="C17" s="160" t="s">
        <v>258</v>
      </c>
      <c r="D17" s="170" cm="1">
        <f t="array" ref="D17:AN17">TRANSPOSE('Cota per capita e por economia '!I11:I47)</f>
        <v>145.24</v>
      </c>
      <c r="E17" s="170">
        <v>145.97999999999999</v>
      </c>
      <c r="F17" s="170">
        <v>148.05000000000001</v>
      </c>
      <c r="G17" s="170">
        <v>149.77000000000001</v>
      </c>
      <c r="H17" s="170">
        <v>153.22</v>
      </c>
      <c r="I17" s="170">
        <v>154.94</v>
      </c>
      <c r="J17" s="170">
        <v>156.56</v>
      </c>
      <c r="K17" s="170">
        <v>158</v>
      </c>
      <c r="L17" s="170">
        <v>158.31</v>
      </c>
      <c r="M17" s="170">
        <v>158.36000000000001</v>
      </c>
      <c r="N17" s="170">
        <v>158.46</v>
      </c>
      <c r="O17" s="170">
        <v>158.52000000000001</v>
      </c>
      <c r="P17" s="170">
        <v>158.58000000000001</v>
      </c>
      <c r="Q17" s="170">
        <v>158.65</v>
      </c>
      <c r="R17" s="170">
        <v>158.68</v>
      </c>
      <c r="S17" s="170">
        <v>158.74</v>
      </c>
      <c r="T17" s="170">
        <v>158.80000000000001</v>
      </c>
      <c r="U17" s="170">
        <v>158.84</v>
      </c>
      <c r="V17" s="170">
        <v>158.87</v>
      </c>
      <c r="W17" s="170">
        <v>158.94</v>
      </c>
      <c r="X17" s="170">
        <v>158.91999999999999</v>
      </c>
      <c r="Y17" s="170">
        <v>158.94999999999999</v>
      </c>
      <c r="Z17" s="170">
        <v>158.94</v>
      </c>
      <c r="AA17" s="170">
        <v>158.94</v>
      </c>
      <c r="AB17" s="170">
        <v>158.93</v>
      </c>
      <c r="AC17" s="170">
        <v>158.93</v>
      </c>
      <c r="AD17" s="170">
        <v>158.91999999999999</v>
      </c>
      <c r="AE17" s="170">
        <v>158.96</v>
      </c>
      <c r="AF17" s="170">
        <v>158.93</v>
      </c>
      <c r="AG17" s="170">
        <v>158.96</v>
      </c>
      <c r="AH17" s="170">
        <v>158.94</v>
      </c>
      <c r="AI17" s="170">
        <v>158.94</v>
      </c>
      <c r="AJ17" s="170">
        <v>158.94999999999999</v>
      </c>
      <c r="AK17" s="170">
        <v>158.91999999999999</v>
      </c>
      <c r="AL17" s="170">
        <v>158.94</v>
      </c>
      <c r="AM17" s="170">
        <v>158.94</v>
      </c>
      <c r="AN17" s="201">
        <v>158.94</v>
      </c>
    </row>
    <row r="18" spans="2:40" ht="15" x14ac:dyDescent="0.25">
      <c r="B18" s="197"/>
      <c r="C18" s="165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7"/>
      <c r="AJ18" s="167"/>
      <c r="AK18" s="167"/>
      <c r="AL18" s="167"/>
      <c r="AM18" s="167"/>
      <c r="AN18" s="198"/>
    </row>
    <row r="19" spans="2:40" ht="15" x14ac:dyDescent="0.25">
      <c r="B19" s="194" t="s">
        <v>261</v>
      </c>
      <c r="C19" s="160" t="s">
        <v>2</v>
      </c>
      <c r="D19" s="171" cm="1">
        <f t="array" ref="D19:AN19">TRANSPOSE('Perdas e Vazões de Água'!F11:F47)</f>
        <v>0.4667</v>
      </c>
      <c r="E19" s="171">
        <v>0.4667</v>
      </c>
      <c r="F19" s="171">
        <v>0.42688293667675503</v>
      </c>
      <c r="G19" s="171">
        <v>0.39046291327570271</v>
      </c>
      <c r="H19" s="171">
        <v>0.35715010731196289</v>
      </c>
      <c r="I19" s="171">
        <v>0.32667942284925844</v>
      </c>
      <c r="J19" s="171">
        <v>0.29880838092513151</v>
      </c>
      <c r="K19" s="171">
        <v>0.27331518995703152</v>
      </c>
      <c r="L19" s="171">
        <v>0.24999698077399349</v>
      </c>
      <c r="M19" s="171">
        <v>0.2449775231491802</v>
      </c>
      <c r="N19" s="171">
        <v>0.240058846560879</v>
      </c>
      <c r="O19" s="171">
        <v>0.23523892752008377</v>
      </c>
      <c r="P19" s="171">
        <v>0.23051578316554835</v>
      </c>
      <c r="Q19" s="171">
        <v>0.22588747044805937</v>
      </c>
      <c r="R19" s="171">
        <v>0.22135208533108741</v>
      </c>
      <c r="S19" s="171">
        <v>0.21690776200748738</v>
      </c>
      <c r="T19" s="171">
        <v>0.21255267213192625</v>
      </c>
      <c r="U19" s="171">
        <v>0.20828502406872201</v>
      </c>
      <c r="V19" s="171">
        <v>0.20410306215478466</v>
      </c>
      <c r="W19" s="171">
        <v>0.20000506597735582</v>
      </c>
      <c r="X19" s="171">
        <v>0.20000506597735582</v>
      </c>
      <c r="Y19" s="171">
        <v>0.20000506597735582</v>
      </c>
      <c r="Z19" s="171">
        <v>0.20000506597735582</v>
      </c>
      <c r="AA19" s="171">
        <v>0.20000506597735582</v>
      </c>
      <c r="AB19" s="171">
        <v>0.20000506597735582</v>
      </c>
      <c r="AC19" s="171">
        <v>0.20000506597735582</v>
      </c>
      <c r="AD19" s="171">
        <v>0.20000506597735582</v>
      </c>
      <c r="AE19" s="171">
        <v>0.20000506597735582</v>
      </c>
      <c r="AF19" s="171">
        <v>0.20000506597735582</v>
      </c>
      <c r="AG19" s="171">
        <v>0.20000506597735582</v>
      </c>
      <c r="AH19" s="171">
        <v>0.20000506597735582</v>
      </c>
      <c r="AI19" s="171">
        <v>0.20000506597735582</v>
      </c>
      <c r="AJ19" s="171">
        <v>0.20000506597735582</v>
      </c>
      <c r="AK19" s="171">
        <v>0.20000506597735582</v>
      </c>
      <c r="AL19" s="171">
        <v>0.20000506597735582</v>
      </c>
      <c r="AM19" s="171">
        <v>0.20000506597735582</v>
      </c>
      <c r="AN19" s="202">
        <v>0.20000506597735582</v>
      </c>
    </row>
    <row r="20" spans="2:40" ht="15" x14ac:dyDescent="0.25">
      <c r="B20" s="194" t="s">
        <v>262</v>
      </c>
      <c r="C20" s="160" t="s">
        <v>2</v>
      </c>
      <c r="D20" s="171" cm="1">
        <f t="array" ref="D20:AN20">TRANSPOSE('Perdas e Vazões de Água'!D11:D47)</f>
        <v>0.38</v>
      </c>
      <c r="E20" s="171">
        <v>0.38300000000000001</v>
      </c>
      <c r="F20" s="171">
        <v>0.34618293667675504</v>
      </c>
      <c r="G20" s="171">
        <v>0.31276291327570271</v>
      </c>
      <c r="H20" s="171">
        <v>0.29145010731196291</v>
      </c>
      <c r="I20" s="171">
        <v>0.26617942284925844</v>
      </c>
      <c r="J20" s="171">
        <v>0.24360838092513151</v>
      </c>
      <c r="K20" s="171">
        <v>0.22331518995703153</v>
      </c>
      <c r="L20" s="171">
        <v>0.19999698077399347</v>
      </c>
      <c r="M20" s="171">
        <v>0.19497752314918021</v>
      </c>
      <c r="N20" s="171">
        <v>0.19005884656087901</v>
      </c>
      <c r="O20" s="171">
        <v>0.18523892752008375</v>
      </c>
      <c r="P20" s="171">
        <v>0.18051578316554834</v>
      </c>
      <c r="Q20" s="171">
        <v>0.17588747044805936</v>
      </c>
      <c r="R20" s="171">
        <v>0.17135208533108742</v>
      </c>
      <c r="S20" s="171">
        <v>0.16690776200748736</v>
      </c>
      <c r="T20" s="171">
        <v>0.16255267213192626</v>
      </c>
      <c r="U20" s="171">
        <v>0.15828502406872202</v>
      </c>
      <c r="V20" s="171">
        <v>0.15410306215478464</v>
      </c>
      <c r="W20" s="171">
        <v>0.1500050659773558</v>
      </c>
      <c r="X20" s="171">
        <v>0.1500050659773558</v>
      </c>
      <c r="Y20" s="171">
        <v>0.1500050659773558</v>
      </c>
      <c r="Z20" s="171">
        <v>0.1500050659773558</v>
      </c>
      <c r="AA20" s="171">
        <v>0.1500050659773558</v>
      </c>
      <c r="AB20" s="171">
        <v>0.1500050659773558</v>
      </c>
      <c r="AC20" s="171">
        <v>0.1500050659773558</v>
      </c>
      <c r="AD20" s="171">
        <v>0.1500050659773558</v>
      </c>
      <c r="AE20" s="171">
        <v>0.1500050659773558</v>
      </c>
      <c r="AF20" s="171">
        <v>0.1500050659773558</v>
      </c>
      <c r="AG20" s="171">
        <v>0.1500050659773558</v>
      </c>
      <c r="AH20" s="171">
        <v>0.1500050659773558</v>
      </c>
      <c r="AI20" s="171">
        <v>0.1500050659773558</v>
      </c>
      <c r="AJ20" s="171">
        <v>0.1500050659773558</v>
      </c>
      <c r="AK20" s="171">
        <v>0.1500050659773558</v>
      </c>
      <c r="AL20" s="171">
        <v>0.1500050659773558</v>
      </c>
      <c r="AM20" s="171">
        <v>0.1500050659773558</v>
      </c>
      <c r="AN20" s="202">
        <v>0.1500050659773558</v>
      </c>
    </row>
    <row r="21" spans="2:40" ht="15" x14ac:dyDescent="0.25">
      <c r="B21" s="194" t="s">
        <v>263</v>
      </c>
      <c r="C21" s="160" t="s">
        <v>2</v>
      </c>
      <c r="D21" s="171" cm="1">
        <f t="array" ref="D21:AN21">TRANSPOSE('Perdas e Vazões de Água'!E11:E47)</f>
        <v>8.6699999999999999E-2</v>
      </c>
      <c r="E21" s="171">
        <v>8.3699999999999997E-2</v>
      </c>
      <c r="F21" s="171">
        <v>8.0699999999999994E-2</v>
      </c>
      <c r="G21" s="171">
        <v>7.7699999999999991E-2</v>
      </c>
      <c r="H21" s="171">
        <v>6.5699999999999995E-2</v>
      </c>
      <c r="I21" s="171">
        <v>6.0499999999999998E-2</v>
      </c>
      <c r="J21" s="171">
        <v>5.5199999999999999E-2</v>
      </c>
      <c r="K21" s="171">
        <v>0.05</v>
      </c>
      <c r="L21" s="171">
        <v>0.05</v>
      </c>
      <c r="M21" s="171">
        <v>0.05</v>
      </c>
      <c r="N21" s="171">
        <v>0.05</v>
      </c>
      <c r="O21" s="171">
        <v>0.05</v>
      </c>
      <c r="P21" s="171">
        <v>0.05</v>
      </c>
      <c r="Q21" s="171">
        <v>0.05</v>
      </c>
      <c r="R21" s="171">
        <v>0.05</v>
      </c>
      <c r="S21" s="171">
        <v>0.05</v>
      </c>
      <c r="T21" s="171">
        <v>0.05</v>
      </c>
      <c r="U21" s="171">
        <v>0.05</v>
      </c>
      <c r="V21" s="171">
        <v>0.05</v>
      </c>
      <c r="W21" s="171">
        <v>0.05</v>
      </c>
      <c r="X21" s="171">
        <v>0.05</v>
      </c>
      <c r="Y21" s="171">
        <v>0.05</v>
      </c>
      <c r="Z21" s="171">
        <v>0.05</v>
      </c>
      <c r="AA21" s="171">
        <v>0.05</v>
      </c>
      <c r="AB21" s="171">
        <v>0.05</v>
      </c>
      <c r="AC21" s="171">
        <v>0.05</v>
      </c>
      <c r="AD21" s="171">
        <v>0.05</v>
      </c>
      <c r="AE21" s="171">
        <v>0.05</v>
      </c>
      <c r="AF21" s="171">
        <v>0.05</v>
      </c>
      <c r="AG21" s="171">
        <v>0.05</v>
      </c>
      <c r="AH21" s="171">
        <v>0.05</v>
      </c>
      <c r="AI21" s="171">
        <v>0.05</v>
      </c>
      <c r="AJ21" s="171">
        <v>0.05</v>
      </c>
      <c r="AK21" s="171">
        <v>0.05</v>
      </c>
      <c r="AL21" s="171">
        <v>0.05</v>
      </c>
      <c r="AM21" s="171">
        <v>0.05</v>
      </c>
      <c r="AN21" s="202">
        <v>0.05</v>
      </c>
    </row>
    <row r="22" spans="2:40" ht="15" x14ac:dyDescent="0.25">
      <c r="B22" s="194" t="s">
        <v>264</v>
      </c>
      <c r="C22" s="160" t="s">
        <v>2</v>
      </c>
      <c r="D22" s="171">
        <f>'Perdas e Vazões de Água'!$W$3</f>
        <v>0.04</v>
      </c>
      <c r="E22" s="171">
        <f>D22</f>
        <v>0.04</v>
      </c>
      <c r="F22" s="171">
        <f t="shared" ref="F22:AN22" si="0">E22</f>
        <v>0.04</v>
      </c>
      <c r="G22" s="171">
        <f t="shared" si="0"/>
        <v>0.04</v>
      </c>
      <c r="H22" s="171">
        <f t="shared" si="0"/>
        <v>0.04</v>
      </c>
      <c r="I22" s="171">
        <f t="shared" si="0"/>
        <v>0.04</v>
      </c>
      <c r="J22" s="171">
        <f t="shared" si="0"/>
        <v>0.04</v>
      </c>
      <c r="K22" s="171">
        <f t="shared" si="0"/>
        <v>0.04</v>
      </c>
      <c r="L22" s="171">
        <f t="shared" si="0"/>
        <v>0.04</v>
      </c>
      <c r="M22" s="171">
        <f t="shared" si="0"/>
        <v>0.04</v>
      </c>
      <c r="N22" s="171">
        <f t="shared" si="0"/>
        <v>0.04</v>
      </c>
      <c r="O22" s="171">
        <f t="shared" si="0"/>
        <v>0.04</v>
      </c>
      <c r="P22" s="171">
        <f t="shared" si="0"/>
        <v>0.04</v>
      </c>
      <c r="Q22" s="171">
        <f t="shared" si="0"/>
        <v>0.04</v>
      </c>
      <c r="R22" s="171">
        <f t="shared" si="0"/>
        <v>0.04</v>
      </c>
      <c r="S22" s="171">
        <f t="shared" si="0"/>
        <v>0.04</v>
      </c>
      <c r="T22" s="171">
        <f t="shared" si="0"/>
        <v>0.04</v>
      </c>
      <c r="U22" s="171">
        <f t="shared" si="0"/>
        <v>0.04</v>
      </c>
      <c r="V22" s="171">
        <f t="shared" si="0"/>
        <v>0.04</v>
      </c>
      <c r="W22" s="171">
        <f t="shared" si="0"/>
        <v>0.04</v>
      </c>
      <c r="X22" s="171">
        <f t="shared" si="0"/>
        <v>0.04</v>
      </c>
      <c r="Y22" s="171">
        <f t="shared" si="0"/>
        <v>0.04</v>
      </c>
      <c r="Z22" s="171">
        <f t="shared" si="0"/>
        <v>0.04</v>
      </c>
      <c r="AA22" s="171">
        <f t="shared" si="0"/>
        <v>0.04</v>
      </c>
      <c r="AB22" s="171">
        <f t="shared" si="0"/>
        <v>0.04</v>
      </c>
      <c r="AC22" s="171">
        <f t="shared" si="0"/>
        <v>0.04</v>
      </c>
      <c r="AD22" s="171">
        <f t="shared" si="0"/>
        <v>0.04</v>
      </c>
      <c r="AE22" s="171">
        <f t="shared" si="0"/>
        <v>0.04</v>
      </c>
      <c r="AF22" s="171">
        <f t="shared" si="0"/>
        <v>0.04</v>
      </c>
      <c r="AG22" s="171">
        <f t="shared" si="0"/>
        <v>0.04</v>
      </c>
      <c r="AH22" s="171">
        <f t="shared" si="0"/>
        <v>0.04</v>
      </c>
      <c r="AI22" s="171">
        <f t="shared" si="0"/>
        <v>0.04</v>
      </c>
      <c r="AJ22" s="171">
        <f t="shared" si="0"/>
        <v>0.04</v>
      </c>
      <c r="AK22" s="171">
        <f t="shared" si="0"/>
        <v>0.04</v>
      </c>
      <c r="AL22" s="171">
        <f t="shared" si="0"/>
        <v>0.04</v>
      </c>
      <c r="AM22" s="171">
        <f t="shared" si="0"/>
        <v>0.04</v>
      </c>
      <c r="AN22" s="202">
        <f t="shared" si="0"/>
        <v>0.04</v>
      </c>
    </row>
    <row r="23" spans="2:40" ht="15" x14ac:dyDescent="0.25">
      <c r="B23" s="194" t="s">
        <v>265</v>
      </c>
      <c r="C23" s="160" t="s">
        <v>2</v>
      </c>
      <c r="D23" s="172">
        <v>5.8099999999999999E-2</v>
      </c>
      <c r="E23" s="172">
        <v>5.8099999999999999E-2</v>
      </c>
      <c r="F23" s="172">
        <v>5.8099999999999999E-2</v>
      </c>
      <c r="G23" s="172">
        <v>0.02</v>
      </c>
      <c r="H23" s="172">
        <v>0.02</v>
      </c>
      <c r="I23" s="172">
        <v>0.02</v>
      </c>
      <c r="J23" s="172">
        <v>0.02</v>
      </c>
      <c r="K23" s="172">
        <v>0.02</v>
      </c>
      <c r="L23" s="172">
        <v>0.02</v>
      </c>
      <c r="M23" s="172">
        <v>0.02</v>
      </c>
      <c r="N23" s="172">
        <v>0.02</v>
      </c>
      <c r="O23" s="172">
        <v>0.02</v>
      </c>
      <c r="P23" s="172">
        <v>0.02</v>
      </c>
      <c r="Q23" s="172">
        <v>0.02</v>
      </c>
      <c r="R23" s="172">
        <v>0.02</v>
      </c>
      <c r="S23" s="172">
        <v>0.02</v>
      </c>
      <c r="T23" s="172">
        <v>0.02</v>
      </c>
      <c r="U23" s="172">
        <v>0.02</v>
      </c>
      <c r="V23" s="172">
        <v>0.02</v>
      </c>
      <c r="W23" s="172">
        <v>0.02</v>
      </c>
      <c r="X23" s="172">
        <v>0.02</v>
      </c>
      <c r="Y23" s="172">
        <v>0.02</v>
      </c>
      <c r="Z23" s="172">
        <v>0.02</v>
      </c>
      <c r="AA23" s="172">
        <v>0.02</v>
      </c>
      <c r="AB23" s="172">
        <v>0.02</v>
      </c>
      <c r="AC23" s="172">
        <v>0.02</v>
      </c>
      <c r="AD23" s="172">
        <v>0.02</v>
      </c>
      <c r="AE23" s="172">
        <v>0.02</v>
      </c>
      <c r="AF23" s="172">
        <v>0.02</v>
      </c>
      <c r="AG23" s="172">
        <v>0.02</v>
      </c>
      <c r="AH23" s="172">
        <v>0.02</v>
      </c>
      <c r="AI23" s="172">
        <v>0.02</v>
      </c>
      <c r="AJ23" s="172">
        <v>0.02</v>
      </c>
      <c r="AK23" s="172">
        <v>0.02</v>
      </c>
      <c r="AL23" s="172">
        <v>0.02</v>
      </c>
      <c r="AM23" s="172">
        <v>0.02</v>
      </c>
      <c r="AN23" s="203">
        <v>0.02</v>
      </c>
    </row>
    <row r="24" spans="2:40" ht="15" x14ac:dyDescent="0.25">
      <c r="B24" s="194" t="s">
        <v>266</v>
      </c>
      <c r="C24" s="160" t="s">
        <v>2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72">
        <v>0</v>
      </c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  <c r="Q24" s="172">
        <v>0</v>
      </c>
      <c r="R24" s="172">
        <v>0</v>
      </c>
      <c r="S24" s="172">
        <v>0</v>
      </c>
      <c r="T24" s="172">
        <v>0</v>
      </c>
      <c r="U24" s="172">
        <v>0</v>
      </c>
      <c r="V24" s="172">
        <v>0</v>
      </c>
      <c r="W24" s="172">
        <v>0</v>
      </c>
      <c r="X24" s="172">
        <v>0</v>
      </c>
      <c r="Y24" s="172">
        <v>0</v>
      </c>
      <c r="Z24" s="172">
        <v>0</v>
      </c>
      <c r="AA24" s="172">
        <v>0</v>
      </c>
      <c r="AB24" s="172">
        <v>0</v>
      </c>
      <c r="AC24" s="172">
        <v>0</v>
      </c>
      <c r="AD24" s="172">
        <v>0</v>
      </c>
      <c r="AE24" s="172">
        <v>0</v>
      </c>
      <c r="AF24" s="172">
        <v>0</v>
      </c>
      <c r="AG24" s="172">
        <v>0</v>
      </c>
      <c r="AH24" s="172">
        <v>0</v>
      </c>
      <c r="AI24" s="172">
        <v>0</v>
      </c>
      <c r="AJ24" s="172">
        <v>0</v>
      </c>
      <c r="AK24" s="172">
        <v>0</v>
      </c>
      <c r="AL24" s="172">
        <v>0</v>
      </c>
      <c r="AM24" s="172">
        <v>0</v>
      </c>
      <c r="AN24" s="203">
        <v>0</v>
      </c>
    </row>
    <row r="25" spans="2:40" ht="15" x14ac:dyDescent="0.25">
      <c r="B25" s="197"/>
      <c r="C25" s="165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67"/>
      <c r="AJ25" s="167"/>
      <c r="AK25" s="167"/>
      <c r="AL25" s="167"/>
      <c r="AM25" s="167"/>
      <c r="AN25" s="198"/>
    </row>
    <row r="26" spans="2:40" ht="15" x14ac:dyDescent="0.25">
      <c r="B26" s="197"/>
      <c r="C26" s="165"/>
      <c r="D26" s="166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7"/>
      <c r="AI26" s="167"/>
      <c r="AJ26" s="167"/>
      <c r="AK26" s="167"/>
      <c r="AL26" s="167"/>
      <c r="AM26" s="167"/>
      <c r="AN26" s="198"/>
    </row>
    <row r="27" spans="2:40" ht="15" x14ac:dyDescent="0.25">
      <c r="B27" s="204" t="s">
        <v>271</v>
      </c>
      <c r="C27" s="160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95"/>
    </row>
    <row r="28" spans="2:40" ht="15" x14ac:dyDescent="0.25">
      <c r="B28" s="194" t="s">
        <v>267</v>
      </c>
      <c r="C28" s="160" t="s">
        <v>268</v>
      </c>
      <c r="D28" s="173" cm="1">
        <f t="array" ref="D28:AN28">TRANSPOSE('Economais e Ligações Água'!S11:S47)</f>
        <v>18054.532943578</v>
      </c>
      <c r="E28" s="173">
        <v>18464.929370473343</v>
      </c>
      <c r="F28" s="173">
        <v>18871.978213429691</v>
      </c>
      <c r="G28" s="173">
        <v>19874.06412749843</v>
      </c>
      <c r="H28" s="173">
        <v>20408.877964162944</v>
      </c>
      <c r="I28" s="173">
        <v>20818.83121718714</v>
      </c>
      <c r="J28" s="173">
        <v>21223.448012917201</v>
      </c>
      <c r="K28" s="173">
        <v>21623.30872139279</v>
      </c>
      <c r="L28" s="173">
        <v>22017.015715024689</v>
      </c>
      <c r="M28" s="173">
        <v>22403.194748111968</v>
      </c>
      <c r="N28" s="173">
        <v>22785.496120146072</v>
      </c>
      <c r="O28" s="173">
        <v>23159.595619313262</v>
      </c>
      <c r="P28" s="173">
        <v>23526.195245757965</v>
      </c>
      <c r="Q28" s="173">
        <v>23887.023717160399</v>
      </c>
      <c r="R28" s="173">
        <v>24237.83676195889</v>
      </c>
      <c r="S28" s="173">
        <v>24581.417208064111</v>
      </c>
      <c r="T28" s="173">
        <v>24917.574877135074</v>
      </c>
      <c r="U28" s="173">
        <v>25246.146296389066</v>
      </c>
      <c r="V28" s="173">
        <v>25565.99424148638</v>
      </c>
      <c r="W28" s="173">
        <v>25878.007125258897</v>
      </c>
      <c r="X28" s="173">
        <v>26180.098247944901</v>
      </c>
      <c r="Y28" s="173">
        <v>26476.204925161077</v>
      </c>
      <c r="Z28" s="173">
        <v>26762.287510105863</v>
      </c>
      <c r="AA28" s="173">
        <v>27040.328326469567</v>
      </c>
      <c r="AB28" s="173">
        <v>27309.33052825378</v>
      </c>
      <c r="AC28" s="173">
        <v>27570.31690220728</v>
      </c>
      <c r="AD28" s="173">
        <v>27822.328627899238</v>
      </c>
      <c r="AE28" s="173">
        <v>28068.424009607454</v>
      </c>
      <c r="AF28" s="173">
        <v>28303.677193231466</v>
      </c>
      <c r="AG28" s="173">
        <v>28532.176880379982</v>
      </c>
      <c r="AH28" s="173">
        <v>28752.025050658256</v>
      </c>
      <c r="AI28" s="173">
        <v>28964.335702021512</v>
      </c>
      <c r="AJ28" s="173">
        <v>29169.233617889797</v>
      </c>
      <c r="AK28" s="173">
        <v>29365.853168559057</v>
      </c>
      <c r="AL28" s="173">
        <v>29555.33715331139</v>
      </c>
      <c r="AM28" s="173">
        <v>29724</v>
      </c>
      <c r="AN28" s="205">
        <v>29919.90038361368</v>
      </c>
    </row>
    <row r="29" spans="2:40" ht="15" x14ac:dyDescent="0.25">
      <c r="B29" s="194" t="s">
        <v>269</v>
      </c>
      <c r="C29" s="160" t="s">
        <v>268</v>
      </c>
      <c r="D29" s="173" cm="1">
        <f t="array" ref="D29:AN29">TRANSPOSE('Economais e Ligações Esgoto'!R11:R47)</f>
        <v>0</v>
      </c>
      <c r="E29" s="173">
        <v>0</v>
      </c>
      <c r="F29" s="173">
        <v>0</v>
      </c>
      <c r="G29" s="173">
        <v>3998.8056594564246</v>
      </c>
      <c r="H29" s="173">
        <v>8163.5511856651774</v>
      </c>
      <c r="I29" s="173">
        <v>12491.298730312285</v>
      </c>
      <c r="J29" s="173">
        <v>16978.758410333761</v>
      </c>
      <c r="K29" s="173">
        <v>18379.81241318387</v>
      </c>
      <c r="L29" s="173">
        <v>19815.314143522224</v>
      </c>
      <c r="M29" s="173">
        <v>20610.939168263008</v>
      </c>
      <c r="N29" s="173">
        <v>21418.366352937304</v>
      </c>
      <c r="O29" s="173">
        <v>22233.211794540734</v>
      </c>
      <c r="P29" s="173">
        <v>23055.671340842808</v>
      </c>
      <c r="Q29" s="173">
        <v>23887.023717160399</v>
      </c>
      <c r="R29" s="173">
        <v>24237.83676195889</v>
      </c>
      <c r="S29" s="173">
        <v>24581.417208064111</v>
      </c>
      <c r="T29" s="173">
        <v>24917.574877135074</v>
      </c>
      <c r="U29" s="173">
        <v>25246.146296389066</v>
      </c>
      <c r="V29" s="173">
        <v>25565.99424148638</v>
      </c>
      <c r="W29" s="173">
        <v>25878.007125258897</v>
      </c>
      <c r="X29" s="173">
        <v>26180.098247944901</v>
      </c>
      <c r="Y29" s="173">
        <v>26476.204925161077</v>
      </c>
      <c r="Z29" s="173">
        <v>26762.287510105863</v>
      </c>
      <c r="AA29" s="173">
        <v>27040.328326469567</v>
      </c>
      <c r="AB29" s="173">
        <v>27309.33052825378</v>
      </c>
      <c r="AC29" s="173">
        <v>27570.31690220728</v>
      </c>
      <c r="AD29" s="173">
        <v>27822.328627899238</v>
      </c>
      <c r="AE29" s="173">
        <v>28068.424009607454</v>
      </c>
      <c r="AF29" s="173">
        <v>28303.677193231466</v>
      </c>
      <c r="AG29" s="173">
        <v>28532.176880379982</v>
      </c>
      <c r="AH29" s="173">
        <v>28752.025050658256</v>
      </c>
      <c r="AI29" s="173">
        <v>28964.335702021512</v>
      </c>
      <c r="AJ29" s="173">
        <v>29169.233617889797</v>
      </c>
      <c r="AK29" s="173">
        <v>29365.853168559057</v>
      </c>
      <c r="AL29" s="173">
        <v>29555.33715331139</v>
      </c>
      <c r="AM29" s="173">
        <v>29724</v>
      </c>
      <c r="AN29" s="205">
        <v>29919.90038361368</v>
      </c>
    </row>
    <row r="30" spans="2:40" ht="15" x14ac:dyDescent="0.25">
      <c r="B30" s="197"/>
      <c r="C30" s="165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74"/>
      <c r="AF30" s="174"/>
      <c r="AG30" s="174"/>
      <c r="AH30" s="174"/>
      <c r="AI30" s="174"/>
      <c r="AJ30" s="174"/>
      <c r="AK30" s="174"/>
      <c r="AL30" s="174"/>
      <c r="AM30" s="174"/>
      <c r="AN30" s="206"/>
    </row>
    <row r="31" spans="2:40" ht="15" x14ac:dyDescent="0.25">
      <c r="B31" s="204" t="s">
        <v>272</v>
      </c>
      <c r="C31" s="160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207"/>
    </row>
    <row r="32" spans="2:40" ht="15" x14ac:dyDescent="0.25">
      <c r="B32" s="194" t="s">
        <v>267</v>
      </c>
      <c r="C32" s="160" t="s">
        <v>270</v>
      </c>
      <c r="D32" s="173" cm="1">
        <f t="array" ref="D32:AN32">TRANSPOSE('Economais e Ligações Água'!T11:T47)</f>
        <v>13647.44425039473</v>
      </c>
      <c r="E32" s="173">
        <v>13956.606742615624</v>
      </c>
      <c r="F32" s="173">
        <v>14263.030023655514</v>
      </c>
      <c r="G32" s="173">
        <v>15018.914358680637</v>
      </c>
      <c r="H32" s="173">
        <v>15421.87037397998</v>
      </c>
      <c r="I32" s="173">
        <v>15730.27452445744</v>
      </c>
      <c r="J32" s="173">
        <v>16034.858398967119</v>
      </c>
      <c r="K32" s="173">
        <v>16335.678051152905</v>
      </c>
      <c r="L32" s="173">
        <v>16631.863418293153</v>
      </c>
      <c r="M32" s="173">
        <v>16922.134187526706</v>
      </c>
      <c r="N32" s="173">
        <v>17209.978534797559</v>
      </c>
      <c r="O32" s="173">
        <v>17491.42752810369</v>
      </c>
      <c r="P32" s="173">
        <v>17767.008067569303</v>
      </c>
      <c r="Q32" s="173">
        <v>18038.516960684621</v>
      </c>
      <c r="R32" s="173">
        <v>18302.007621380697</v>
      </c>
      <c r="S32" s="173">
        <v>18560.296408482667</v>
      </c>
      <c r="T32" s="173">
        <v>18813.025479432843</v>
      </c>
      <c r="U32" s="173">
        <v>19060.082880698832</v>
      </c>
      <c r="V32" s="173">
        <v>19300.368861944557</v>
      </c>
      <c r="W32" s="173">
        <v>19534.98819997656</v>
      </c>
      <c r="X32" s="173">
        <v>19761.91045420547</v>
      </c>
      <c r="Y32" s="173">
        <v>19984.615923196699</v>
      </c>
      <c r="Z32" s="173">
        <v>20199.547661553224</v>
      </c>
      <c r="AA32" s="173">
        <v>20408.469574957722</v>
      </c>
      <c r="AB32" s="173">
        <v>20610.58287103938</v>
      </c>
      <c r="AC32" s="173">
        <v>20806.705771987272</v>
      </c>
      <c r="AD32" s="173">
        <v>20995.842080508257</v>
      </c>
      <c r="AE32" s="173">
        <v>21181.038498679936</v>
      </c>
      <c r="AF32" s="173">
        <v>21357.621435708657</v>
      </c>
      <c r="AG32" s="173">
        <v>21529.362447034182</v>
      </c>
      <c r="AH32" s="173">
        <v>21694.406912528382</v>
      </c>
      <c r="AI32" s="173">
        <v>21854.007596324689</v>
      </c>
      <c r="AJ32" s="173">
        <v>22007.843719348963</v>
      </c>
      <c r="AK32" s="173">
        <v>22155.464666957148</v>
      </c>
      <c r="AL32" s="173">
        <v>22297.717012343659</v>
      </c>
      <c r="AM32" s="173">
        <v>22315.613574720126</v>
      </c>
      <c r="AN32" s="205">
        <v>22426.110963085644</v>
      </c>
    </row>
    <row r="33" spans="2:40" ht="15" x14ac:dyDescent="0.25">
      <c r="B33" s="194" t="s">
        <v>269</v>
      </c>
      <c r="C33" s="160" t="s">
        <v>270</v>
      </c>
      <c r="D33" s="173" cm="1">
        <f t="array" ref="D33:AN33">TRANSPOSE('Economais e Ligações Esgoto'!S11:S47)</f>
        <v>0</v>
      </c>
      <c r="E33" s="173">
        <v>0</v>
      </c>
      <c r="F33" s="173">
        <v>0</v>
      </c>
      <c r="G33" s="173">
        <v>3021.9143578834273</v>
      </c>
      <c r="H33" s="173">
        <v>6168.7481495919919</v>
      </c>
      <c r="I33" s="173">
        <v>9438.1647146744654</v>
      </c>
      <c r="J33" s="173">
        <v>12827.886719173694</v>
      </c>
      <c r="K33" s="173">
        <v>13885.326343479968</v>
      </c>
      <c r="L33" s="173">
        <v>14968.677076463839</v>
      </c>
      <c r="M33" s="173">
        <v>15568.363452524569</v>
      </c>
      <c r="N33" s="173">
        <v>16177.3798227097</v>
      </c>
      <c r="O33" s="173">
        <v>16791.770426979547</v>
      </c>
      <c r="P33" s="173">
        <v>17411.667906217917</v>
      </c>
      <c r="Q33" s="173">
        <v>18038.516960684621</v>
      </c>
      <c r="R33" s="173">
        <v>18302.007621380697</v>
      </c>
      <c r="S33" s="173">
        <v>18560.296408482667</v>
      </c>
      <c r="T33" s="173">
        <v>18813.025479432843</v>
      </c>
      <c r="U33" s="173">
        <v>19060.082880698832</v>
      </c>
      <c r="V33" s="173">
        <v>19300.368861944557</v>
      </c>
      <c r="W33" s="173">
        <v>19534.98819997656</v>
      </c>
      <c r="X33" s="173">
        <v>19761.91045420547</v>
      </c>
      <c r="Y33" s="173">
        <v>19984.615923196699</v>
      </c>
      <c r="Z33" s="173">
        <v>20199.547661553224</v>
      </c>
      <c r="AA33" s="173">
        <v>20408.469574957722</v>
      </c>
      <c r="AB33" s="173">
        <v>20610.58287103938</v>
      </c>
      <c r="AC33" s="173">
        <v>20806.705771987272</v>
      </c>
      <c r="AD33" s="173">
        <v>20995.842080508257</v>
      </c>
      <c r="AE33" s="173">
        <v>21181.038498679936</v>
      </c>
      <c r="AF33" s="173">
        <v>21357.621435708657</v>
      </c>
      <c r="AG33" s="173">
        <v>21529.362447034182</v>
      </c>
      <c r="AH33" s="173">
        <v>21694.406912528382</v>
      </c>
      <c r="AI33" s="173">
        <v>21854.007596324689</v>
      </c>
      <c r="AJ33" s="173">
        <v>22007.843719348963</v>
      </c>
      <c r="AK33" s="173">
        <v>22155.464666957148</v>
      </c>
      <c r="AL33" s="173">
        <v>22297.717012343659</v>
      </c>
      <c r="AM33" s="173">
        <v>22315.613574720126</v>
      </c>
      <c r="AN33" s="205">
        <v>22426.110963085644</v>
      </c>
    </row>
    <row r="34" spans="2:40" ht="15.75" thickBot="1" x14ac:dyDescent="0.3">
      <c r="B34" s="208"/>
      <c r="C34" s="209"/>
      <c r="D34" s="210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2"/>
    </row>
  </sheetData>
  <mergeCells count="2">
    <mergeCell ref="B1:B2"/>
    <mergeCell ref="C1:C2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335"/>
  <sheetViews>
    <sheetView zoomScaleNormal="100" workbookViewId="0">
      <selection activeCell="K13" sqref="K13"/>
    </sheetView>
  </sheetViews>
  <sheetFormatPr defaultRowHeight="12" x14ac:dyDescent="0.15"/>
  <cols>
    <col min="1" max="1" width="11.5" customWidth="1"/>
    <col min="12" max="12" width="9.875" bestFit="1" customWidth="1"/>
    <col min="13" max="13" width="9.125" bestFit="1" customWidth="1"/>
    <col min="49" max="49" width="9" style="85"/>
  </cols>
  <sheetData>
    <row r="1" spans="1:51" ht="12.75" thickBot="1" x14ac:dyDescent="0.2"/>
    <row r="2" spans="1:51" ht="60.75" thickBot="1" x14ac:dyDescent="0.2">
      <c r="A2" s="93" t="e">
        <f>#REF!</f>
        <v>#REF!</v>
      </c>
      <c r="B2" s="91" t="e">
        <f>#REF!</f>
        <v>#REF!</v>
      </c>
      <c r="C2" s="91" t="e">
        <f>#REF!</f>
        <v>#REF!</v>
      </c>
      <c r="D2" s="91" t="e">
        <f>#REF!</f>
        <v>#REF!</v>
      </c>
      <c r="E2" s="91" t="e">
        <f>#REF!</f>
        <v>#REF!</v>
      </c>
      <c r="F2" s="91" t="e">
        <f>#REF!</f>
        <v>#REF!</v>
      </c>
      <c r="G2" s="91" t="e">
        <f>#REF!</f>
        <v>#REF!</v>
      </c>
      <c r="H2" s="90" t="e">
        <f>#REF!</f>
        <v>#REF!</v>
      </c>
      <c r="I2" s="90" t="e">
        <f>#REF!</f>
        <v>#REF!</v>
      </c>
      <c r="J2" s="90" t="e">
        <f>#REF!</f>
        <v>#REF!</v>
      </c>
      <c r="K2" s="90" t="e">
        <f>#REF!</f>
        <v>#REF!</v>
      </c>
      <c r="L2" s="90" t="e">
        <f>#REF!</f>
        <v>#REF!</v>
      </c>
      <c r="M2" s="90" t="e">
        <f>#REF!</f>
        <v>#REF!</v>
      </c>
      <c r="N2" s="91" t="e">
        <f>#REF!</f>
        <v>#REF!</v>
      </c>
      <c r="O2" s="91" t="e">
        <f>#REF!</f>
        <v>#REF!</v>
      </c>
      <c r="P2" s="91" t="e">
        <f>#REF!</f>
        <v>#REF!</v>
      </c>
      <c r="Q2" s="46" t="e">
        <f>#REF!</f>
        <v>#REF!</v>
      </c>
      <c r="R2" s="45" t="e">
        <f>#REF!</f>
        <v>#REF!</v>
      </c>
      <c r="S2" s="45" t="e">
        <f>#REF!</f>
        <v>#REF!</v>
      </c>
      <c r="T2" s="45" t="e">
        <f>#REF!</f>
        <v>#REF!</v>
      </c>
      <c r="U2" s="45" t="e">
        <f>#REF!</f>
        <v>#REF!</v>
      </c>
      <c r="V2" s="45" t="e">
        <f>#REF!</f>
        <v>#REF!</v>
      </c>
      <c r="W2" s="45" t="e">
        <f>#REF!</f>
        <v>#REF!</v>
      </c>
      <c r="X2" s="46" t="e">
        <f>#REF!</f>
        <v>#REF!</v>
      </c>
      <c r="Y2" s="87" t="e">
        <f>#REF!</f>
        <v>#REF!</v>
      </c>
      <c r="AA2" s="93" t="s">
        <v>160</v>
      </c>
      <c r="AB2" s="91" t="s">
        <v>20</v>
      </c>
      <c r="AC2" s="91" t="s">
        <v>4</v>
      </c>
      <c r="AD2" s="91" t="s">
        <v>155</v>
      </c>
      <c r="AE2" s="91" t="s">
        <v>156</v>
      </c>
      <c r="AF2" s="91" t="s">
        <v>157</v>
      </c>
      <c r="AG2" s="91" t="s">
        <v>158</v>
      </c>
      <c r="AH2" s="90" t="s">
        <v>50</v>
      </c>
      <c r="AI2" s="90" t="s">
        <v>28</v>
      </c>
      <c r="AJ2" s="90" t="s">
        <v>51</v>
      </c>
      <c r="AK2" s="90" t="s">
        <v>29</v>
      </c>
      <c r="AL2" s="90" t="s">
        <v>110</v>
      </c>
      <c r="AM2" s="90" t="s">
        <v>111</v>
      </c>
      <c r="AN2" s="91" t="s">
        <v>43</v>
      </c>
      <c r="AO2" s="91" t="s">
        <v>44</v>
      </c>
      <c r="AP2" s="91" t="s">
        <v>5</v>
      </c>
      <c r="AQ2" s="46" t="s">
        <v>45</v>
      </c>
      <c r="AR2" s="45" t="s">
        <v>46</v>
      </c>
      <c r="AS2" s="45" t="s">
        <v>93</v>
      </c>
      <c r="AT2" s="45" t="s">
        <v>30</v>
      </c>
      <c r="AU2" s="45" t="s">
        <v>31</v>
      </c>
      <c r="AV2" s="45" t="s">
        <v>32</v>
      </c>
      <c r="AW2" s="94" t="s">
        <v>26</v>
      </c>
      <c r="AX2" s="46" t="s">
        <v>138</v>
      </c>
      <c r="AY2" s="87" t="s">
        <v>152</v>
      </c>
    </row>
    <row r="3" spans="1:51" x14ac:dyDescent="0.15">
      <c r="B3" s="44" t="e">
        <f>#REF!</f>
        <v>#REF!</v>
      </c>
      <c r="C3" s="44" t="e">
        <f>#REF!</f>
        <v>#REF!</v>
      </c>
      <c r="D3" s="44" t="e">
        <f>#REF!</f>
        <v>#REF!</v>
      </c>
      <c r="E3" s="44" t="e">
        <f>#REF!</f>
        <v>#REF!</v>
      </c>
      <c r="F3" s="44" t="e">
        <f>#REF!</f>
        <v>#REF!</v>
      </c>
      <c r="G3" s="44" t="e">
        <f>#REF!</f>
        <v>#REF!</v>
      </c>
      <c r="H3" s="43" t="e">
        <f>#REF!</f>
        <v>#REF!</v>
      </c>
      <c r="I3" s="43" t="e">
        <f>#REF!</f>
        <v>#REF!</v>
      </c>
      <c r="J3" s="43" t="e">
        <f>#REF!</f>
        <v>#REF!</v>
      </c>
      <c r="K3" s="43" t="e">
        <f>#REF!</f>
        <v>#REF!</v>
      </c>
      <c r="L3" s="92" t="e">
        <f>#REF!</f>
        <v>#REF!</v>
      </c>
      <c r="M3" s="92" t="e">
        <f>#REF!</f>
        <v>#REF!</v>
      </c>
      <c r="N3" s="39" t="e">
        <f>#REF!</f>
        <v>#REF!</v>
      </c>
      <c r="O3" s="39" t="e">
        <f>#REF!</f>
        <v>#REF!</v>
      </c>
      <c r="P3" s="39" t="e">
        <f>#REF!</f>
        <v>#REF!</v>
      </c>
      <c r="Q3" s="43" t="e">
        <f>#REF!</f>
        <v>#REF!</v>
      </c>
      <c r="R3" s="43" t="e">
        <f>#REF!</f>
        <v>#REF!</v>
      </c>
      <c r="S3" s="43" t="e">
        <f>#REF!</f>
        <v>#REF!</v>
      </c>
      <c r="T3" s="43" t="e">
        <f>#REF!</f>
        <v>#REF!</v>
      </c>
      <c r="U3" s="43" t="e">
        <f>#REF!</f>
        <v>#REF!</v>
      </c>
      <c r="V3" s="43" t="e">
        <f>#REF!</f>
        <v>#REF!</v>
      </c>
      <c r="W3" s="43" t="e">
        <f>#REF!</f>
        <v>#REF!</v>
      </c>
      <c r="X3" s="43" t="e">
        <f>#REF!</f>
        <v>#REF!</v>
      </c>
      <c r="Y3" s="43" t="e">
        <f>#REF!</f>
        <v>#REF!</v>
      </c>
      <c r="AB3" s="44" t="s">
        <v>120</v>
      </c>
      <c r="AC3" s="44" t="s">
        <v>120</v>
      </c>
      <c r="AD3" s="44" t="s">
        <v>159</v>
      </c>
      <c r="AE3" s="44" t="s">
        <v>159</v>
      </c>
      <c r="AF3" s="44" t="s">
        <v>159</v>
      </c>
      <c r="AG3" s="44" t="s">
        <v>159</v>
      </c>
      <c r="AH3" s="43" t="s">
        <v>2</v>
      </c>
      <c r="AI3" s="43" t="s">
        <v>2</v>
      </c>
      <c r="AJ3" s="43" t="s">
        <v>2</v>
      </c>
      <c r="AK3" s="43" t="s">
        <v>2</v>
      </c>
      <c r="AL3" s="92">
        <v>0</v>
      </c>
      <c r="AM3" s="92">
        <v>0</v>
      </c>
      <c r="AN3" s="39" t="s">
        <v>2</v>
      </c>
      <c r="AO3" s="39" t="s">
        <v>2</v>
      </c>
      <c r="AP3" s="39" t="s">
        <v>2</v>
      </c>
      <c r="AQ3" s="43" t="s">
        <v>19</v>
      </c>
      <c r="AR3" s="43" t="s">
        <v>19</v>
      </c>
      <c r="AS3" s="43" t="s">
        <v>19</v>
      </c>
      <c r="AT3" s="43" t="s">
        <v>19</v>
      </c>
      <c r="AU3" s="43" t="s">
        <v>19</v>
      </c>
      <c r="AV3" s="43" t="s">
        <v>19</v>
      </c>
      <c r="AW3" s="92" t="s">
        <v>101</v>
      </c>
      <c r="AX3" s="43" t="s">
        <v>101</v>
      </c>
      <c r="AY3" s="43" t="s">
        <v>154</v>
      </c>
    </row>
    <row r="4" spans="1:51" ht="15.75" x14ac:dyDescent="0.15">
      <c r="B4" s="76" t="e">
        <f>#REF!</f>
        <v>#REF!</v>
      </c>
      <c r="C4" s="76" t="e">
        <f>#REF!</f>
        <v>#REF!</v>
      </c>
      <c r="D4" s="76" t="e">
        <f>#REF!</f>
        <v>#REF!</v>
      </c>
      <c r="E4" s="76" t="e">
        <f>#REF!</f>
        <v>#REF!</v>
      </c>
      <c r="F4" s="76" t="e">
        <f>#REF!</f>
        <v>#REF!</v>
      </c>
      <c r="G4" s="76" t="e">
        <f>#REF!</f>
        <v>#REF!</v>
      </c>
      <c r="H4" s="54" t="e">
        <f>#REF!</f>
        <v>#REF!</v>
      </c>
      <c r="I4" s="55" t="e">
        <f>#REF!</f>
        <v>#REF!</v>
      </c>
      <c r="J4" s="54" t="e">
        <f>#REF!</f>
        <v>#REF!</v>
      </c>
      <c r="K4" s="55" t="e">
        <f>#REF!</f>
        <v>#REF!</v>
      </c>
      <c r="L4" s="82" t="e">
        <f>#REF!</f>
        <v>#REF!</v>
      </c>
      <c r="M4" s="82" t="e">
        <f>#REF!</f>
        <v>#REF!</v>
      </c>
      <c r="N4" s="54" t="e">
        <f>#REF!</f>
        <v>#REF!</v>
      </c>
      <c r="O4" s="54" t="e">
        <f>#REF!</f>
        <v>#REF!</v>
      </c>
      <c r="P4" s="54" t="e">
        <f>#REF!</f>
        <v>#REF!</v>
      </c>
      <c r="Q4" s="53" t="e">
        <f>#REF!</f>
        <v>#REF!</v>
      </c>
      <c r="R4" s="53" t="e">
        <f>#REF!</f>
        <v>#REF!</v>
      </c>
      <c r="S4" s="53" t="e">
        <f>#REF!</f>
        <v>#REF!</v>
      </c>
      <c r="T4" s="53" t="e">
        <f>#REF!</f>
        <v>#REF!</v>
      </c>
      <c r="U4" s="53" t="e">
        <f>#REF!</f>
        <v>#REF!</v>
      </c>
      <c r="V4" s="53" t="e">
        <f>#REF!</f>
        <v>#REF!</v>
      </c>
      <c r="W4" s="53" t="e">
        <f>#REF!</f>
        <v>#REF!</v>
      </c>
      <c r="X4" s="53" t="e">
        <f>#REF!</f>
        <v>#REF!</v>
      </c>
      <c r="Y4" s="53" t="e">
        <f>#REF!</f>
        <v>#REF!</v>
      </c>
      <c r="AB4" s="76">
        <v>28256.249248683125</v>
      </c>
      <c r="AC4" s="76">
        <v>22418.334715577264</v>
      </c>
      <c r="AD4" s="76">
        <v>11059.905891776449</v>
      </c>
      <c r="AE4" s="76">
        <v>5649.7847667753322</v>
      </c>
      <c r="AF4" s="76">
        <v>763.03487947625604</v>
      </c>
      <c r="AG4" s="76">
        <v>389.78476677533212</v>
      </c>
      <c r="AH4" s="54">
        <v>0.73504510649358956</v>
      </c>
      <c r="AI4" s="55">
        <v>1.0934659892767227</v>
      </c>
      <c r="AJ4" s="54">
        <v>0.14459301895883314</v>
      </c>
      <c r="AK4" s="55">
        <v>1.0934659892767227</v>
      </c>
      <c r="AL4" s="82">
        <v>37248</v>
      </c>
      <c r="AM4" s="82">
        <v>7327</v>
      </c>
      <c r="AN4" s="54">
        <v>0.41755321579381505</v>
      </c>
      <c r="AO4" s="54">
        <v>0.27836881052921009</v>
      </c>
      <c r="AP4" s="54">
        <v>0.69592202632302513</v>
      </c>
      <c r="AQ4" s="53">
        <v>0.37589700421038696</v>
      </c>
      <c r="AR4" s="53">
        <v>34.287860433000134</v>
      </c>
      <c r="AS4" s="53">
        <v>34.663757437210521</v>
      </c>
      <c r="AT4" s="53">
        <v>23.234470626210477</v>
      </c>
      <c r="AU4" s="53">
        <v>28.949114031710494</v>
      </c>
      <c r="AV4" s="53">
        <v>9.9003026800437564</v>
      </c>
      <c r="AW4" s="51">
        <v>5369.9572030055278</v>
      </c>
      <c r="AX4" s="53">
        <v>0</v>
      </c>
      <c r="AY4" s="53">
        <v>0</v>
      </c>
    </row>
    <row r="5" spans="1:51" ht="15.75" x14ac:dyDescent="0.15">
      <c r="B5" s="76" t="e">
        <f>#REF!</f>
        <v>#REF!</v>
      </c>
      <c r="C5" s="76" t="e">
        <f>#REF!</f>
        <v>#REF!</v>
      </c>
      <c r="D5" s="76" t="e">
        <f>#REF!</f>
        <v>#REF!</v>
      </c>
      <c r="E5" s="76" t="e">
        <f>#REF!</f>
        <v>#REF!</v>
      </c>
      <c r="F5" s="76" t="e">
        <f>#REF!</f>
        <v>#REF!</v>
      </c>
      <c r="G5" s="76" t="e">
        <f>#REF!</f>
        <v>#REF!</v>
      </c>
      <c r="H5" s="78" t="e">
        <f>#REF!</f>
        <v>#REF!</v>
      </c>
      <c r="I5" s="79" t="e">
        <f>#REF!</f>
        <v>#REF!</v>
      </c>
      <c r="J5" s="78" t="e">
        <f>#REF!</f>
        <v>#REF!</v>
      </c>
      <c r="K5" s="79" t="e">
        <f>#REF!</f>
        <v>#REF!</v>
      </c>
      <c r="L5" s="81" t="e">
        <f>#REF!</f>
        <v>#REF!</v>
      </c>
      <c r="M5" s="81" t="e">
        <f>#REF!</f>
        <v>#REF!</v>
      </c>
      <c r="N5" s="78" t="e">
        <f>#REF!</f>
        <v>#REF!</v>
      </c>
      <c r="O5" s="78" t="e">
        <f>#REF!</f>
        <v>#REF!</v>
      </c>
      <c r="P5" s="78" t="e">
        <f>#REF!</f>
        <v>#REF!</v>
      </c>
      <c r="Q5" s="77" t="e">
        <f>#REF!</f>
        <v>#REF!</v>
      </c>
      <c r="R5" s="77" t="e">
        <f>#REF!</f>
        <v>#REF!</v>
      </c>
      <c r="S5" s="77" t="e">
        <f>#REF!</f>
        <v>#REF!</v>
      </c>
      <c r="T5" s="77" t="e">
        <f>#REF!</f>
        <v>#REF!</v>
      </c>
      <c r="U5" s="77" t="e">
        <f>#REF!</f>
        <v>#REF!</v>
      </c>
      <c r="V5" s="77" t="e">
        <f>#REF!</f>
        <v>#REF!</v>
      </c>
      <c r="W5" s="77" t="e">
        <f>#REF!</f>
        <v>#REF!</v>
      </c>
      <c r="X5" s="77" t="e">
        <f>#REF!</f>
        <v>#REF!</v>
      </c>
      <c r="Y5" s="76" t="e">
        <f>#REF!</f>
        <v>#REF!</v>
      </c>
      <c r="AB5" s="76">
        <v>28607.845629168645</v>
      </c>
      <c r="AC5" s="76">
        <v>22705.613847613055</v>
      </c>
      <c r="AD5" s="76">
        <v>11257.188810045458</v>
      </c>
      <c r="AE5" s="76">
        <v>5750.7018738117376</v>
      </c>
      <c r="AF5" s="76">
        <v>772.64195130886844</v>
      </c>
      <c r="AG5" s="76">
        <v>394.70187381173764</v>
      </c>
      <c r="AH5" s="78">
        <v>0.75550056927092557</v>
      </c>
      <c r="AI5" s="79">
        <v>1.0944786286488752</v>
      </c>
      <c r="AJ5" s="78">
        <v>0.14171381096769087</v>
      </c>
      <c r="AK5" s="79">
        <v>1.0944786286488752</v>
      </c>
      <c r="AL5" s="81">
        <v>38767</v>
      </c>
      <c r="AM5" s="81">
        <v>7272</v>
      </c>
      <c r="AN5" s="78">
        <v>0.41702842080111552</v>
      </c>
      <c r="AO5" s="78">
        <v>0.27801894720074366</v>
      </c>
      <c r="AP5" s="78">
        <v>0.69504736800185918</v>
      </c>
      <c r="AQ5" s="77">
        <v>2.5911658084036371</v>
      </c>
      <c r="AR5" s="77">
        <v>34.017473169605502</v>
      </c>
      <c r="AS5" s="77">
        <v>36.608638978009139</v>
      </c>
      <c r="AT5" s="77">
        <v>25.26948125480731</v>
      </c>
      <c r="AU5" s="77">
        <v>30.939060116408228</v>
      </c>
      <c r="AV5" s="77">
        <v>12.040463911071834</v>
      </c>
      <c r="AW5" s="76">
        <v>37016.65440576624</v>
      </c>
      <c r="AX5" s="77">
        <v>0</v>
      </c>
      <c r="AY5" s="76">
        <v>2217</v>
      </c>
    </row>
    <row r="6" spans="1:51" x14ac:dyDescent="0.15">
      <c r="B6" s="51" t="e">
        <f>#REF!</f>
        <v>#REF!</v>
      </c>
      <c r="C6" s="51" t="e">
        <f>#REF!</f>
        <v>#REF!</v>
      </c>
      <c r="D6" s="51" t="e">
        <f>#REF!</f>
        <v>#REF!</v>
      </c>
      <c r="E6" s="51" t="e">
        <f>#REF!</f>
        <v>#REF!</v>
      </c>
      <c r="F6" s="51" t="e">
        <f>#REF!</f>
        <v>#REF!</v>
      </c>
      <c r="G6" s="51" t="e">
        <f>#REF!</f>
        <v>#REF!</v>
      </c>
      <c r="H6" s="54" t="e">
        <f>#REF!</f>
        <v>#REF!</v>
      </c>
      <c r="I6" s="55" t="e">
        <f>#REF!</f>
        <v>#REF!</v>
      </c>
      <c r="J6" s="54" t="e">
        <f>#REF!</f>
        <v>#REF!</v>
      </c>
      <c r="K6" s="55" t="e">
        <f>#REF!</f>
        <v>#REF!</v>
      </c>
      <c r="L6" s="82" t="e">
        <f>#REF!</f>
        <v>#REF!</v>
      </c>
      <c r="M6" s="82" t="e">
        <f>#REF!</f>
        <v>#REF!</v>
      </c>
      <c r="N6" s="54" t="e">
        <f>#REF!</f>
        <v>#REF!</v>
      </c>
      <c r="O6" s="54" t="e">
        <f>#REF!</f>
        <v>#REF!</v>
      </c>
      <c r="P6" s="54" t="e">
        <f>#REF!</f>
        <v>#REF!</v>
      </c>
      <c r="Q6" s="53" t="e">
        <f>#REF!</f>
        <v>#REF!</v>
      </c>
      <c r="R6" s="53" t="e">
        <f>#REF!</f>
        <v>#REF!</v>
      </c>
      <c r="S6" s="53" t="e">
        <f>#REF!</f>
        <v>#REF!</v>
      </c>
      <c r="T6" s="53" t="e">
        <f>#REF!</f>
        <v>#REF!</v>
      </c>
      <c r="U6" s="53" t="e">
        <f>#REF!</f>
        <v>#REF!</v>
      </c>
      <c r="V6" s="53" t="e">
        <f>#REF!</f>
        <v>#REF!</v>
      </c>
      <c r="W6" s="53" t="e">
        <f>#REF!</f>
        <v>#REF!</v>
      </c>
      <c r="X6" s="53" t="e">
        <f>#REF!</f>
        <v>#REF!</v>
      </c>
      <c r="Y6" s="51" t="e">
        <f>#REF!</f>
        <v>#REF!</v>
      </c>
      <c r="AB6" s="51">
        <v>28945.520296325354</v>
      </c>
      <c r="AC6" s="51">
        <v>22981.733816495947</v>
      </c>
      <c r="AD6" s="51">
        <v>11453.535527201555</v>
      </c>
      <c r="AE6" s="51">
        <v>5850.3842916310732</v>
      </c>
      <c r="AF6" s="51">
        <v>781.89088873124354</v>
      </c>
      <c r="AG6" s="51">
        <v>399.38429163107344</v>
      </c>
      <c r="AH6" s="54">
        <v>0.77614866772091773</v>
      </c>
      <c r="AI6" s="55">
        <v>1.0954740495672763</v>
      </c>
      <c r="AJ6" s="54">
        <v>0.13891423300274769</v>
      </c>
      <c r="AK6" s="55">
        <v>1.0954740495672763</v>
      </c>
      <c r="AL6" s="82">
        <v>40303</v>
      </c>
      <c r="AM6" s="82">
        <v>7213</v>
      </c>
      <c r="AN6" s="54">
        <v>0.4165136742434038</v>
      </c>
      <c r="AO6" s="54">
        <v>0.2776757828289359</v>
      </c>
      <c r="AP6" s="54">
        <v>0.6941894570723397</v>
      </c>
      <c r="AQ6" s="53">
        <v>2.5817699418684881</v>
      </c>
      <c r="AR6" s="53">
        <v>33.728643561562819</v>
      </c>
      <c r="AS6" s="53">
        <v>36.310413503431306</v>
      </c>
      <c r="AT6" s="53">
        <v>25.067532316243707</v>
      </c>
      <c r="AU6" s="53">
        <v>30.68897290983751</v>
      </c>
      <c r="AV6" s="53">
        <v>11.950837597858163</v>
      </c>
      <c r="AW6" s="51">
        <v>36882.427740978397</v>
      </c>
      <c r="AX6" s="53">
        <v>0</v>
      </c>
      <c r="AY6" s="51">
        <v>2209</v>
      </c>
    </row>
    <row r="7" spans="1:51" x14ac:dyDescent="0.15">
      <c r="B7" s="56" t="e">
        <f>#REF!</f>
        <v>#REF!</v>
      </c>
      <c r="C7" s="56" t="e">
        <f>#REF!</f>
        <v>#REF!</v>
      </c>
      <c r="D7" s="56" t="e">
        <f>#REF!</f>
        <v>#REF!</v>
      </c>
      <c r="E7" s="56" t="e">
        <f>#REF!</f>
        <v>#REF!</v>
      </c>
      <c r="F7" s="56" t="e">
        <f>#REF!</f>
        <v>#REF!</v>
      </c>
      <c r="G7" s="56" t="e">
        <f>#REF!</f>
        <v>#REF!</v>
      </c>
      <c r="H7" s="58" t="e">
        <f>#REF!</f>
        <v>#REF!</v>
      </c>
      <c r="I7" s="59" t="e">
        <f>#REF!</f>
        <v>#REF!</v>
      </c>
      <c r="J7" s="58" t="e">
        <f>#REF!</f>
        <v>#REF!</v>
      </c>
      <c r="K7" s="59" t="e">
        <f>#REF!</f>
        <v>#REF!</v>
      </c>
      <c r="L7" s="83" t="e">
        <f>#REF!</f>
        <v>#REF!</v>
      </c>
      <c r="M7" s="83" t="e">
        <f>#REF!</f>
        <v>#REF!</v>
      </c>
      <c r="N7" s="58" t="e">
        <f>#REF!</f>
        <v>#REF!</v>
      </c>
      <c r="O7" s="58" t="e">
        <f>#REF!</f>
        <v>#REF!</v>
      </c>
      <c r="P7" s="58" t="e">
        <f>#REF!</f>
        <v>#REF!</v>
      </c>
      <c r="Q7" s="57" t="e">
        <f>#REF!</f>
        <v>#REF!</v>
      </c>
      <c r="R7" s="57" t="e">
        <f>#REF!</f>
        <v>#REF!</v>
      </c>
      <c r="S7" s="57" t="e">
        <f>#REF!</f>
        <v>#REF!</v>
      </c>
      <c r="T7" s="57" t="e">
        <f>#REF!</f>
        <v>#REF!</v>
      </c>
      <c r="U7" s="57" t="e">
        <f>#REF!</f>
        <v>#REF!</v>
      </c>
      <c r="V7" s="57" t="e">
        <f>#REF!</f>
        <v>#REF!</v>
      </c>
      <c r="W7" s="57" t="e">
        <f>#REF!</f>
        <v>#REF!</v>
      </c>
      <c r="X7" s="57" t="e">
        <f>#REF!</f>
        <v>#REF!</v>
      </c>
      <c r="Y7" s="56" t="e">
        <f>#REF!</f>
        <v>#REF!</v>
      </c>
      <c r="AB7" s="56">
        <v>29269.65567643139</v>
      </c>
      <c r="AC7" s="56">
        <v>23246.981961673027</v>
      </c>
      <c r="AD7" s="56">
        <v>11648.83496851454</v>
      </c>
      <c r="AE7" s="56">
        <v>5949.9085659596085</v>
      </c>
      <c r="AF7" s="56">
        <v>790.77924897052674</v>
      </c>
      <c r="AG7" s="56">
        <v>403.90856595960793</v>
      </c>
      <c r="AH7" s="58">
        <v>0.79697538358465825</v>
      </c>
      <c r="AI7" s="59">
        <v>1.0964522597533219</v>
      </c>
      <c r="AJ7" s="58">
        <v>0.1700088593926373</v>
      </c>
      <c r="AK7" s="59">
        <v>1.0964522597533219</v>
      </c>
      <c r="AL7" s="83">
        <v>41855</v>
      </c>
      <c r="AM7" s="83">
        <v>8928</v>
      </c>
      <c r="AN7" s="58">
        <v>0.40442584348281335</v>
      </c>
      <c r="AO7" s="58">
        <v>0.23391407945509562</v>
      </c>
      <c r="AP7" s="58">
        <v>0.63833992293790898</v>
      </c>
      <c r="AQ7" s="57">
        <v>3.2108552668441859</v>
      </c>
      <c r="AR7" s="57">
        <v>41.392856241582358</v>
      </c>
      <c r="AS7" s="57">
        <v>44.603711508426542</v>
      </c>
      <c r="AT7" s="57">
        <v>30.806092761232428</v>
      </c>
      <c r="AU7" s="57">
        <v>37.704902134829496</v>
      </c>
      <c r="AV7" s="57">
        <v>14.708870889505954</v>
      </c>
      <c r="AW7" s="56">
        <v>45869.360954916934</v>
      </c>
      <c r="AX7" s="57">
        <v>8986.9332139385369</v>
      </c>
      <c r="AY7" s="56">
        <v>2747</v>
      </c>
    </row>
    <row r="8" spans="1:51" x14ac:dyDescent="0.15">
      <c r="B8" s="51" t="e">
        <f>#REF!</f>
        <v>#REF!</v>
      </c>
      <c r="C8" s="51" t="e">
        <f>#REF!</f>
        <v>#REF!</v>
      </c>
      <c r="D8" s="51" t="e">
        <f>#REF!</f>
        <v>#REF!</v>
      </c>
      <c r="E8" s="51" t="e">
        <f>#REF!</f>
        <v>#REF!</v>
      </c>
      <c r="F8" s="51" t="e">
        <f>#REF!</f>
        <v>#REF!</v>
      </c>
      <c r="G8" s="51" t="e">
        <f>#REF!</f>
        <v>#REF!</v>
      </c>
      <c r="H8" s="54" t="e">
        <f>#REF!</f>
        <v>#REF!</v>
      </c>
      <c r="I8" s="55" t="e">
        <f>#REF!</f>
        <v>#REF!</v>
      </c>
      <c r="J8" s="54" t="e">
        <f>#REF!</f>
        <v>#REF!</v>
      </c>
      <c r="K8" s="55" t="e">
        <f>#REF!</f>
        <v>#REF!</v>
      </c>
      <c r="L8" s="82" t="e">
        <f>#REF!</f>
        <v>#REF!</v>
      </c>
      <c r="M8" s="82" t="e">
        <f>#REF!</f>
        <v>#REF!</v>
      </c>
      <c r="N8" s="54" t="e">
        <f>#REF!</f>
        <v>#REF!</v>
      </c>
      <c r="O8" s="54" t="e">
        <f>#REF!</f>
        <v>#REF!</v>
      </c>
      <c r="P8" s="54" t="e">
        <f>#REF!</f>
        <v>#REF!</v>
      </c>
      <c r="Q8" s="53" t="e">
        <f>#REF!</f>
        <v>#REF!</v>
      </c>
      <c r="R8" s="53" t="e">
        <f>#REF!</f>
        <v>#REF!</v>
      </c>
      <c r="S8" s="53" t="e">
        <f>#REF!</f>
        <v>#REF!</v>
      </c>
      <c r="T8" s="53" t="e">
        <f>#REF!</f>
        <v>#REF!</v>
      </c>
      <c r="U8" s="53" t="e">
        <f>#REF!</f>
        <v>#REF!</v>
      </c>
      <c r="V8" s="53" t="e">
        <f>#REF!</f>
        <v>#REF!</v>
      </c>
      <c r="W8" s="53" t="e">
        <f>#REF!</f>
        <v>#REF!</v>
      </c>
      <c r="X8" s="53" t="e">
        <f>#REF!</f>
        <v>#REF!</v>
      </c>
      <c r="Y8" s="51" t="e">
        <f>#REF!</f>
        <v>#REF!</v>
      </c>
      <c r="AB8" s="51">
        <v>29580.63763723696</v>
      </c>
      <c r="AC8" s="51">
        <v>23501.650289067085</v>
      </c>
      <c r="AD8" s="51">
        <v>11842.977538803436</v>
      </c>
      <c r="AE8" s="51">
        <v>6049.2770217315656</v>
      </c>
      <c r="AF8" s="51">
        <v>799.304707092493</v>
      </c>
      <c r="AG8" s="51">
        <v>408.27702173156581</v>
      </c>
      <c r="AH8" s="54">
        <v>0.81842266920165019</v>
      </c>
      <c r="AI8" s="55">
        <v>1.0973451375046974</v>
      </c>
      <c r="AJ8" s="54">
        <v>0.25111919425768325</v>
      </c>
      <c r="AK8" s="55">
        <v>1.0973451375046974</v>
      </c>
      <c r="AL8" s="82">
        <v>43444</v>
      </c>
      <c r="AM8" s="82">
        <v>13330</v>
      </c>
      <c r="AN8" s="54">
        <v>0.38993442357891628</v>
      </c>
      <c r="AO8" s="54">
        <v>0.19704922053297255</v>
      </c>
      <c r="AP8" s="54">
        <v>0.58698364411188886</v>
      </c>
      <c r="AQ8" s="53">
        <v>4.8180499495323019</v>
      </c>
      <c r="AR8" s="53">
        <v>61.162436591577958</v>
      </c>
      <c r="AS8" s="53">
        <v>65.980486541110253</v>
      </c>
      <c r="AT8" s="53">
        <v>45.593007677250938</v>
      </c>
      <c r="AU8" s="53">
        <v>55.786747109180602</v>
      </c>
      <c r="AV8" s="53">
        <v>21.807615669415071</v>
      </c>
      <c r="AW8" s="51">
        <v>68829.284993318593</v>
      </c>
      <c r="AX8" s="53">
        <v>22959.924038401659</v>
      </c>
      <c r="AY8" s="51">
        <v>4122</v>
      </c>
    </row>
    <row r="9" spans="1:51" x14ac:dyDescent="0.15">
      <c r="B9" s="51" t="e">
        <f>#REF!</f>
        <v>#REF!</v>
      </c>
      <c r="C9" s="51" t="e">
        <f>#REF!</f>
        <v>#REF!</v>
      </c>
      <c r="D9" s="51" t="e">
        <f>#REF!</f>
        <v>#REF!</v>
      </c>
      <c r="E9" s="51" t="e">
        <f>#REF!</f>
        <v>#REF!</v>
      </c>
      <c r="F9" s="51" t="e">
        <f>#REF!</f>
        <v>#REF!</v>
      </c>
      <c r="G9" s="51" t="e">
        <f>#REF!</f>
        <v>#REF!</v>
      </c>
      <c r="H9" s="54" t="e">
        <f>#REF!</f>
        <v>#REF!</v>
      </c>
      <c r="I9" s="55" t="e">
        <f>#REF!</f>
        <v>#REF!</v>
      </c>
      <c r="J9" s="54" t="e">
        <f>#REF!</f>
        <v>#REF!</v>
      </c>
      <c r="K9" s="55" t="e">
        <f>#REF!</f>
        <v>#REF!</v>
      </c>
      <c r="L9" s="82" t="e">
        <f>#REF!</f>
        <v>#REF!</v>
      </c>
      <c r="M9" s="82" t="e">
        <f>#REF!</f>
        <v>#REF!</v>
      </c>
      <c r="N9" s="54" t="e">
        <f>#REF!</f>
        <v>#REF!</v>
      </c>
      <c r="O9" s="54" t="e">
        <f>#REF!</f>
        <v>#REF!</v>
      </c>
      <c r="P9" s="54" t="e">
        <f>#REF!</f>
        <v>#REF!</v>
      </c>
      <c r="Q9" s="53" t="e">
        <f>#REF!</f>
        <v>#REF!</v>
      </c>
      <c r="R9" s="53" t="e">
        <f>#REF!</f>
        <v>#REF!</v>
      </c>
      <c r="S9" s="53" t="e">
        <f>#REF!</f>
        <v>#REF!</v>
      </c>
      <c r="T9" s="53" t="e">
        <f>#REF!</f>
        <v>#REF!</v>
      </c>
      <c r="U9" s="53" t="e">
        <f>#REF!</f>
        <v>#REF!</v>
      </c>
      <c r="V9" s="53" t="e">
        <f>#REF!</f>
        <v>#REF!</v>
      </c>
      <c r="W9" s="53" t="e">
        <f>#REF!</f>
        <v>#REF!</v>
      </c>
      <c r="X9" s="53" t="e">
        <f>#REF!</f>
        <v>#REF!</v>
      </c>
      <c r="Y9" s="51" t="e">
        <f>#REF!</f>
        <v>#REF!</v>
      </c>
      <c r="AB9" s="51">
        <v>29878.854170788032</v>
      </c>
      <c r="AC9" s="51">
        <v>23746.034324945605</v>
      </c>
      <c r="AD9" s="51">
        <v>12035.855354286845</v>
      </c>
      <c r="AE9" s="51">
        <v>6148.4918599672974</v>
      </c>
      <c r="AF9" s="51">
        <v>807.46506207679136</v>
      </c>
      <c r="AG9" s="51">
        <v>412.49185996729778</v>
      </c>
      <c r="AH9" s="54">
        <v>0.83986995481864213</v>
      </c>
      <c r="AI9" s="55">
        <v>1.0982380152560729</v>
      </c>
      <c r="AJ9" s="54">
        <v>0.33222952912272918</v>
      </c>
      <c r="AK9" s="55">
        <v>1.0982380152560729</v>
      </c>
      <c r="AL9" s="82">
        <v>45038</v>
      </c>
      <c r="AM9" s="82">
        <v>17816</v>
      </c>
      <c r="AN9" s="54">
        <v>0.37376486193216862</v>
      </c>
      <c r="AO9" s="54">
        <v>0.16599426337697609</v>
      </c>
      <c r="AP9" s="54">
        <v>0.53975912530914472</v>
      </c>
      <c r="AQ9" s="53">
        <v>6.4726470905256539</v>
      </c>
      <c r="AR9" s="53">
        <v>80.783104667478881</v>
      </c>
      <c r="AS9" s="53">
        <v>87.255751758004536</v>
      </c>
      <c r="AT9" s="53">
        <v>60.32805020217824</v>
      </c>
      <c r="AU9" s="53">
        <v>73.791900980091384</v>
      </c>
      <c r="AV9" s="53">
        <v>28.912398387047563</v>
      </c>
      <c r="AW9" s="51">
        <v>92466.387007509329</v>
      </c>
      <c r="AX9" s="53">
        <v>23637.102014190736</v>
      </c>
      <c r="AY9" s="51">
        <v>5537</v>
      </c>
    </row>
    <row r="10" spans="1:51" x14ac:dyDescent="0.15">
      <c r="B10" s="51" t="e">
        <f>#REF!</f>
        <v>#REF!</v>
      </c>
      <c r="C10" s="51" t="e">
        <f>#REF!</f>
        <v>#REF!</v>
      </c>
      <c r="D10" s="51" t="e">
        <f>#REF!</f>
        <v>#REF!</v>
      </c>
      <c r="E10" s="51" t="e">
        <f>#REF!</f>
        <v>#REF!</v>
      </c>
      <c r="F10" s="51" t="e">
        <f>#REF!</f>
        <v>#REF!</v>
      </c>
      <c r="G10" s="51" t="e">
        <f>#REF!</f>
        <v>#REF!</v>
      </c>
      <c r="H10" s="54" t="e">
        <f>#REF!</f>
        <v>#REF!</v>
      </c>
      <c r="I10" s="55" t="e">
        <f>#REF!</f>
        <v>#REF!</v>
      </c>
      <c r="J10" s="54" t="e">
        <f>#REF!</f>
        <v>#REF!</v>
      </c>
      <c r="K10" s="55" t="e">
        <f>#REF!</f>
        <v>#REF!</v>
      </c>
      <c r="L10" s="82" t="e">
        <f>#REF!</f>
        <v>#REF!</v>
      </c>
      <c r="M10" s="82" t="e">
        <f>#REF!</f>
        <v>#REF!</v>
      </c>
      <c r="N10" s="54" t="e">
        <f>#REF!</f>
        <v>#REF!</v>
      </c>
      <c r="O10" s="54" t="e">
        <f>#REF!</f>
        <v>#REF!</v>
      </c>
      <c r="P10" s="54" t="e">
        <f>#REF!</f>
        <v>#REF!</v>
      </c>
      <c r="Q10" s="53" t="e">
        <f>#REF!</f>
        <v>#REF!</v>
      </c>
      <c r="R10" s="53" t="e">
        <f>#REF!</f>
        <v>#REF!</v>
      </c>
      <c r="S10" s="53" t="e">
        <f>#REF!</f>
        <v>#REF!</v>
      </c>
      <c r="T10" s="53" t="e">
        <f>#REF!</f>
        <v>#REF!</v>
      </c>
      <c r="U10" s="53" t="e">
        <f>#REF!</f>
        <v>#REF!</v>
      </c>
      <c r="V10" s="53" t="e">
        <f>#REF!</f>
        <v>#REF!</v>
      </c>
      <c r="W10" s="53" t="e">
        <f>#REF!</f>
        <v>#REF!</v>
      </c>
      <c r="X10" s="53" t="e">
        <f>#REF!</f>
        <v>#REF!</v>
      </c>
      <c r="Y10" s="51" t="e">
        <f>#REF!</f>
        <v>#REF!</v>
      </c>
      <c r="AB10" s="51">
        <v>30164.694139435105</v>
      </c>
      <c r="AC10" s="51">
        <v>23980.432016462742</v>
      </c>
      <c r="AD10" s="51">
        <v>12227.360702830956</v>
      </c>
      <c r="AE10" s="51">
        <v>6246.4828130515925</v>
      </c>
      <c r="AF10" s="51">
        <v>815.25647858521995</v>
      </c>
      <c r="AG10" s="51">
        <v>416.48281305159298</v>
      </c>
      <c r="AH10" s="54">
        <v>0.86131724043563407</v>
      </c>
      <c r="AI10" s="55">
        <v>1.0991308930074484</v>
      </c>
      <c r="AJ10" s="54">
        <v>0.41333986398777511</v>
      </c>
      <c r="AK10" s="55">
        <v>1.0991308930074484</v>
      </c>
      <c r="AL10" s="82">
        <v>46636</v>
      </c>
      <c r="AM10" s="82">
        <v>22380</v>
      </c>
      <c r="AN10" s="54">
        <v>0.35650038710895227</v>
      </c>
      <c r="AO10" s="54">
        <v>0.13983356746876466</v>
      </c>
      <c r="AP10" s="54">
        <v>0.4963339545777169</v>
      </c>
      <c r="AQ10" s="53">
        <v>8.1746978482295543</v>
      </c>
      <c r="AR10" s="53">
        <v>100.20630037810638</v>
      </c>
      <c r="AS10" s="53">
        <v>108.38099822633593</v>
      </c>
      <c r="AT10" s="53">
        <v>74.978898100300469</v>
      </c>
      <c r="AU10" s="53">
        <v>91.679948163318201</v>
      </c>
      <c r="AV10" s="53">
        <v>36.009781286592435</v>
      </c>
      <c r="AW10" s="51">
        <v>116781.39783185077</v>
      </c>
      <c r="AX10" s="53">
        <v>24315.010824341443</v>
      </c>
      <c r="AY10" s="51">
        <v>6993</v>
      </c>
    </row>
    <row r="11" spans="1:51" x14ac:dyDescent="0.15">
      <c r="B11" s="51" t="e">
        <f>#REF!</f>
        <v>#REF!</v>
      </c>
      <c r="C11" s="51" t="e">
        <f>#REF!</f>
        <v>#REF!</v>
      </c>
      <c r="D11" s="51" t="e">
        <f>#REF!</f>
        <v>#REF!</v>
      </c>
      <c r="E11" s="51" t="e">
        <f>#REF!</f>
        <v>#REF!</v>
      </c>
      <c r="F11" s="51" t="e">
        <f>#REF!</f>
        <v>#REF!</v>
      </c>
      <c r="G11" s="51" t="e">
        <f>#REF!</f>
        <v>#REF!</v>
      </c>
      <c r="H11" s="54" t="e">
        <f>#REF!</f>
        <v>#REF!</v>
      </c>
      <c r="I11" s="55" t="e">
        <f>#REF!</f>
        <v>#REF!</v>
      </c>
      <c r="J11" s="54" t="e">
        <f>#REF!</f>
        <v>#REF!</v>
      </c>
      <c r="K11" s="55" t="e">
        <f>#REF!</f>
        <v>#REF!</v>
      </c>
      <c r="L11" s="82" t="e">
        <f>#REF!</f>
        <v>#REF!</v>
      </c>
      <c r="M11" s="82" t="e">
        <f>#REF!</f>
        <v>#REF!</v>
      </c>
      <c r="N11" s="54" t="e">
        <f>#REF!</f>
        <v>#REF!</v>
      </c>
      <c r="O11" s="54" t="e">
        <f>#REF!</f>
        <v>#REF!</v>
      </c>
      <c r="P11" s="54" t="e">
        <f>#REF!</f>
        <v>#REF!</v>
      </c>
      <c r="Q11" s="53" t="e">
        <f>#REF!</f>
        <v>#REF!</v>
      </c>
      <c r="R11" s="53" t="e">
        <f>#REF!</f>
        <v>#REF!</v>
      </c>
      <c r="S11" s="53" t="e">
        <f>#REF!</f>
        <v>#REF!</v>
      </c>
      <c r="T11" s="53" t="e">
        <f>#REF!</f>
        <v>#REF!</v>
      </c>
      <c r="U11" s="53" t="e">
        <f>#REF!</f>
        <v>#REF!</v>
      </c>
      <c r="V11" s="53" t="e">
        <f>#REF!</f>
        <v>#REF!</v>
      </c>
      <c r="W11" s="53" t="e">
        <f>#REF!</f>
        <v>#REF!</v>
      </c>
      <c r="X11" s="53" t="e">
        <f>#REF!</f>
        <v>#REF!</v>
      </c>
      <c r="Y11" s="51" t="e">
        <f>#REF!</f>
        <v>#REF!</v>
      </c>
      <c r="AB11" s="51">
        <v>30438.546091806333</v>
      </c>
      <c r="AC11" s="51">
        <v>24205.142685633193</v>
      </c>
      <c r="AD11" s="51">
        <v>12417.486919236062</v>
      </c>
      <c r="AE11" s="51">
        <v>6343.3028915095983</v>
      </c>
      <c r="AF11" s="51">
        <v>822.77415199945858</v>
      </c>
      <c r="AG11" s="51">
        <v>420.30289150959777</v>
      </c>
      <c r="AH11" s="54">
        <v>0.88276452605262601</v>
      </c>
      <c r="AI11" s="55">
        <v>1.1000237707588238</v>
      </c>
      <c r="AJ11" s="54">
        <v>0.49445019885282104</v>
      </c>
      <c r="AK11" s="55">
        <v>1.1000237707588238</v>
      </c>
      <c r="AL11" s="82">
        <v>48238</v>
      </c>
      <c r="AM11" s="82">
        <v>27019</v>
      </c>
      <c r="AN11" s="54">
        <v>0.33860666622551072</v>
      </c>
      <c r="AO11" s="54">
        <v>0.11779579723568735</v>
      </c>
      <c r="AP11" s="54">
        <v>0.45640246346119806</v>
      </c>
      <c r="AQ11" s="53">
        <v>9.9226497420473283</v>
      </c>
      <c r="AR11" s="53">
        <v>119.37369098657808</v>
      </c>
      <c r="AS11" s="53">
        <v>129.29634072862541</v>
      </c>
      <c r="AT11" s="53">
        <v>89.505110399766039</v>
      </c>
      <c r="AU11" s="53">
        <v>109.40072556419572</v>
      </c>
      <c r="AV11" s="53">
        <v>43.082008349430126</v>
      </c>
      <c r="AW11" s="51">
        <v>141752.13917210468</v>
      </c>
      <c r="AX11" s="53">
        <v>24970.74134025391</v>
      </c>
      <c r="AY11" s="51">
        <v>8488</v>
      </c>
    </row>
    <row r="12" spans="1:51" x14ac:dyDescent="0.15">
      <c r="B12" s="51" t="e">
        <f>#REF!</f>
        <v>#REF!</v>
      </c>
      <c r="C12" s="51" t="e">
        <f>#REF!</f>
        <v>#REF!</v>
      </c>
      <c r="D12" s="51" t="e">
        <f>#REF!</f>
        <v>#REF!</v>
      </c>
      <c r="E12" s="51" t="e">
        <f>#REF!</f>
        <v>#REF!</v>
      </c>
      <c r="F12" s="51" t="e">
        <f>#REF!</f>
        <v>#REF!</v>
      </c>
      <c r="G12" s="51" t="e">
        <f>#REF!</f>
        <v>#REF!</v>
      </c>
      <c r="H12" s="54" t="e">
        <f>#REF!</f>
        <v>#REF!</v>
      </c>
      <c r="I12" s="55" t="e">
        <f>#REF!</f>
        <v>#REF!</v>
      </c>
      <c r="J12" s="54" t="e">
        <f>#REF!</f>
        <v>#REF!</v>
      </c>
      <c r="K12" s="55" t="e">
        <f>#REF!</f>
        <v>#REF!</v>
      </c>
      <c r="L12" s="82" t="e">
        <f>#REF!</f>
        <v>#REF!</v>
      </c>
      <c r="M12" s="82" t="e">
        <f>#REF!</f>
        <v>#REF!</v>
      </c>
      <c r="N12" s="54" t="e">
        <f>#REF!</f>
        <v>#REF!</v>
      </c>
      <c r="O12" s="54" t="e">
        <f>#REF!</f>
        <v>#REF!</v>
      </c>
      <c r="P12" s="54" t="e">
        <f>#REF!</f>
        <v>#REF!</v>
      </c>
      <c r="Q12" s="53" t="e">
        <f>#REF!</f>
        <v>#REF!</v>
      </c>
      <c r="R12" s="53" t="e">
        <f>#REF!</f>
        <v>#REF!</v>
      </c>
      <c r="S12" s="53" t="e">
        <f>#REF!</f>
        <v>#REF!</v>
      </c>
      <c r="T12" s="53" t="e">
        <f>#REF!</f>
        <v>#REF!</v>
      </c>
      <c r="U12" s="53" t="e">
        <f>#REF!</f>
        <v>#REF!</v>
      </c>
      <c r="V12" s="53" t="e">
        <f>#REF!</f>
        <v>#REF!</v>
      </c>
      <c r="W12" s="53" t="e">
        <f>#REF!</f>
        <v>#REF!</v>
      </c>
      <c r="X12" s="53" t="e">
        <f>#REF!</f>
        <v>#REF!</v>
      </c>
      <c r="Y12" s="51" t="e">
        <f>#REF!</f>
        <v>#REF!</v>
      </c>
      <c r="AB12" s="51">
        <v>30700.797153807474</v>
      </c>
      <c r="AC12" s="51">
        <v>24420.466042000309</v>
      </c>
      <c r="AD12" s="51">
        <v>12606.131572702721</v>
      </c>
      <c r="AE12" s="51">
        <v>6438.9548829194728</v>
      </c>
      <c r="AF12" s="51">
        <v>830.01529474134759</v>
      </c>
      <c r="AG12" s="51">
        <v>423.95488291947237</v>
      </c>
      <c r="AH12" s="54">
        <v>0.90421181166961795</v>
      </c>
      <c r="AI12" s="55">
        <v>1.1009166485101993</v>
      </c>
      <c r="AJ12" s="54">
        <v>0.57556053371786697</v>
      </c>
      <c r="AK12" s="55">
        <v>1.1009166485101993</v>
      </c>
      <c r="AL12" s="82">
        <v>49841</v>
      </c>
      <c r="AM12" s="82">
        <v>31725</v>
      </c>
      <c r="AN12" s="54">
        <v>0.32045239581641949</v>
      </c>
      <c r="AO12" s="54">
        <v>9.9231179591343033E-2</v>
      </c>
      <c r="AP12" s="54">
        <v>0.41968357540776252</v>
      </c>
      <c r="AQ12" s="53">
        <v>11.717524371418556</v>
      </c>
      <c r="AR12" s="53">
        <v>138.30864785559868</v>
      </c>
      <c r="AS12" s="53">
        <v>150.02617222701724</v>
      </c>
      <c r="AT12" s="53">
        <v>103.92328960848434</v>
      </c>
      <c r="AU12" s="53">
        <v>126.9747309177508</v>
      </c>
      <c r="AV12" s="53">
        <v>50.136593220195969</v>
      </c>
      <c r="AW12" s="51">
        <v>167393.20530597935</v>
      </c>
      <c r="AX12" s="53">
        <v>25641.066133874672</v>
      </c>
      <c r="AY12" s="51">
        <v>10024</v>
      </c>
    </row>
    <row r="13" spans="1:51" x14ac:dyDescent="0.15">
      <c r="B13" s="51" t="e">
        <f>#REF!</f>
        <v>#REF!</v>
      </c>
      <c r="C13" s="51" t="e">
        <f>#REF!</f>
        <v>#REF!</v>
      </c>
      <c r="D13" s="51" t="e">
        <f>#REF!</f>
        <v>#REF!</v>
      </c>
      <c r="E13" s="51" t="e">
        <f>#REF!</f>
        <v>#REF!</v>
      </c>
      <c r="F13" s="51" t="e">
        <f>#REF!</f>
        <v>#REF!</v>
      </c>
      <c r="G13" s="51" t="e">
        <f>#REF!</f>
        <v>#REF!</v>
      </c>
      <c r="H13" s="54" t="e">
        <f>#REF!</f>
        <v>#REF!</v>
      </c>
      <c r="I13" s="55" t="e">
        <f>#REF!</f>
        <v>#REF!</v>
      </c>
      <c r="J13" s="54" t="e">
        <f>#REF!</f>
        <v>#REF!</v>
      </c>
      <c r="K13" s="55" t="e">
        <f>#REF!</f>
        <v>#REF!</v>
      </c>
      <c r="L13" s="82" t="e">
        <f>#REF!</f>
        <v>#REF!</v>
      </c>
      <c r="M13" s="82" t="e">
        <f>#REF!</f>
        <v>#REF!</v>
      </c>
      <c r="N13" s="54" t="e">
        <f>#REF!</f>
        <v>#REF!</v>
      </c>
      <c r="O13" s="54" t="e">
        <f>#REF!</f>
        <v>#REF!</v>
      </c>
      <c r="P13" s="54" t="e">
        <f>#REF!</f>
        <v>#REF!</v>
      </c>
      <c r="Q13" s="53" t="e">
        <f>#REF!</f>
        <v>#REF!</v>
      </c>
      <c r="R13" s="53" t="e">
        <f>#REF!</f>
        <v>#REF!</v>
      </c>
      <c r="S13" s="53" t="e">
        <f>#REF!</f>
        <v>#REF!</v>
      </c>
      <c r="T13" s="53" t="e">
        <f>#REF!</f>
        <v>#REF!</v>
      </c>
      <c r="U13" s="53" t="e">
        <f>#REF!</f>
        <v>#REF!</v>
      </c>
      <c r="V13" s="53" t="e">
        <f>#REF!</f>
        <v>#REF!</v>
      </c>
      <c r="W13" s="53" t="e">
        <f>#REF!</f>
        <v>#REF!</v>
      </c>
      <c r="X13" s="53" t="e">
        <f>#REF!</f>
        <v>#REF!</v>
      </c>
      <c r="Y13" s="51" t="e">
        <f>#REF!</f>
        <v>#REF!</v>
      </c>
      <c r="AB13" s="51">
        <v>30951.831998155623</v>
      </c>
      <c r="AC13" s="51">
        <v>24626.701257889898</v>
      </c>
      <c r="AD13" s="51">
        <v>12793.09937498665</v>
      </c>
      <c r="AE13" s="51">
        <v>6534.4627379516123</v>
      </c>
      <c r="AF13" s="51">
        <v>836.88185318707781</v>
      </c>
      <c r="AG13" s="51">
        <v>427.46273795161216</v>
      </c>
      <c r="AH13" s="54">
        <v>0.92565909728660989</v>
      </c>
      <c r="AI13" s="55">
        <v>1.1018095262615748</v>
      </c>
      <c r="AJ13" s="54">
        <v>0.6566708685829129</v>
      </c>
      <c r="AK13" s="55">
        <v>1.1018095262615748</v>
      </c>
      <c r="AL13" s="82">
        <v>51447</v>
      </c>
      <c r="AM13" s="82">
        <v>36497</v>
      </c>
      <c r="AN13" s="54">
        <v>0.30232648159311698</v>
      </c>
      <c r="AO13" s="54">
        <v>8.3592345687747371E-2</v>
      </c>
      <c r="AP13" s="54">
        <v>0.38591882728086435</v>
      </c>
      <c r="AQ13" s="53">
        <v>13.556006369170406</v>
      </c>
      <c r="AR13" s="53">
        <v>156.91806855504905</v>
      </c>
      <c r="AS13" s="53">
        <v>170.47407492421945</v>
      </c>
      <c r="AT13" s="53">
        <v>118.16805207253643</v>
      </c>
      <c r="AU13" s="53">
        <v>144.32106349837792</v>
      </c>
      <c r="AV13" s="53">
        <v>57.144358745572916</v>
      </c>
      <c r="AW13" s="51">
        <v>193657.23384529148</v>
      </c>
      <c r="AX13" s="53">
        <v>26264.02853931213</v>
      </c>
      <c r="AY13" s="51">
        <v>11596</v>
      </c>
    </row>
    <row r="14" spans="1:51" x14ac:dyDescent="0.15">
      <c r="B14" s="51" t="e">
        <f>#REF!</f>
        <v>#REF!</v>
      </c>
      <c r="C14" s="51" t="e">
        <f>#REF!</f>
        <v>#REF!</v>
      </c>
      <c r="D14" s="51" t="e">
        <f>#REF!</f>
        <v>#REF!</v>
      </c>
      <c r="E14" s="51" t="e">
        <f>#REF!</f>
        <v>#REF!</v>
      </c>
      <c r="F14" s="51" t="e">
        <f>#REF!</f>
        <v>#REF!</v>
      </c>
      <c r="G14" s="51" t="e">
        <f>#REF!</f>
        <v>#REF!</v>
      </c>
      <c r="H14" s="54" t="e">
        <f>#REF!</f>
        <v>#REF!</v>
      </c>
      <c r="I14" s="55" t="e">
        <f>#REF!</f>
        <v>#REF!</v>
      </c>
      <c r="J14" s="54" t="e">
        <f>#REF!</f>
        <v>#REF!</v>
      </c>
      <c r="K14" s="55" t="e">
        <f>#REF!</f>
        <v>#REF!</v>
      </c>
      <c r="L14" s="82" t="e">
        <f>#REF!</f>
        <v>#REF!</v>
      </c>
      <c r="M14" s="82" t="e">
        <f>#REF!</f>
        <v>#REF!</v>
      </c>
      <c r="N14" s="54" t="e">
        <f>#REF!</f>
        <v>#REF!</v>
      </c>
      <c r="O14" s="54" t="e">
        <f>#REF!</f>
        <v>#REF!</v>
      </c>
      <c r="P14" s="54" t="e">
        <f>#REF!</f>
        <v>#REF!</v>
      </c>
      <c r="Q14" s="53" t="e">
        <f>#REF!</f>
        <v>#REF!</v>
      </c>
      <c r="R14" s="53" t="e">
        <f>#REF!</f>
        <v>#REF!</v>
      </c>
      <c r="S14" s="53" t="e">
        <f>#REF!</f>
        <v>#REF!</v>
      </c>
      <c r="T14" s="53" t="e">
        <f>#REF!</f>
        <v>#REF!</v>
      </c>
      <c r="U14" s="53" t="e">
        <f>#REF!</f>
        <v>#REF!</v>
      </c>
      <c r="V14" s="53" t="e">
        <f>#REF!</f>
        <v>#REF!</v>
      </c>
      <c r="W14" s="53" t="e">
        <f>#REF!</f>
        <v>#REF!</v>
      </c>
      <c r="X14" s="53" t="e">
        <f>#REF!</f>
        <v>#REF!</v>
      </c>
      <c r="Y14" s="51" t="e">
        <f>#REF!</f>
        <v>#REF!</v>
      </c>
      <c r="AB14" s="51">
        <v>31192.031894563403</v>
      </c>
      <c r="AC14" s="51">
        <v>24824.146108900532</v>
      </c>
      <c r="AD14" s="51">
        <v>12978.392195470578</v>
      </c>
      <c r="AE14" s="51">
        <v>6629.8781477181974</v>
      </c>
      <c r="AF14" s="51">
        <v>843.47034213129564</v>
      </c>
      <c r="AG14" s="51">
        <v>430.87814771819711</v>
      </c>
      <c r="AH14" s="54">
        <v>0.94710638290360183</v>
      </c>
      <c r="AI14" s="55">
        <v>1.1027024040129503</v>
      </c>
      <c r="AJ14" s="54">
        <v>0.73778120344795883</v>
      </c>
      <c r="AK14" s="55">
        <v>1.1027024040129503</v>
      </c>
      <c r="AL14" s="82">
        <v>53053</v>
      </c>
      <c r="AM14" s="82">
        <v>41328</v>
      </c>
      <c r="AN14" s="54">
        <v>0.28445235803771951</v>
      </c>
      <c r="AO14" s="54">
        <v>7.0418192007358382E-2</v>
      </c>
      <c r="AP14" s="54">
        <v>0.35487055004507789</v>
      </c>
      <c r="AQ14" s="53">
        <v>15.438451811656238</v>
      </c>
      <c r="AR14" s="53">
        <v>175.23380639471725</v>
      </c>
      <c r="AS14" s="53">
        <v>190.6722582063735</v>
      </c>
      <c r="AT14" s="53">
        <v>132.26098940813441</v>
      </c>
      <c r="AU14" s="53">
        <v>161.46662380725397</v>
      </c>
      <c r="AV14" s="53">
        <v>64.114509143522142</v>
      </c>
      <c r="AW14" s="51">
        <v>220549.31159508909</v>
      </c>
      <c r="AX14" s="53">
        <v>26892.077749797609</v>
      </c>
      <c r="AY14" s="51">
        <v>13207</v>
      </c>
    </row>
    <row r="15" spans="1:51" x14ac:dyDescent="0.15">
      <c r="B15" s="51" t="e">
        <f>#REF!</f>
        <v>#REF!</v>
      </c>
      <c r="C15" s="51" t="e">
        <f>#REF!</f>
        <v>#REF!</v>
      </c>
      <c r="D15" s="51" t="e">
        <f>#REF!</f>
        <v>#REF!</v>
      </c>
      <c r="E15" s="51" t="e">
        <f>#REF!</f>
        <v>#REF!</v>
      </c>
      <c r="F15" s="51" t="e">
        <f>#REF!</f>
        <v>#REF!</v>
      </c>
      <c r="G15" s="51" t="e">
        <f>#REF!</f>
        <v>#REF!</v>
      </c>
      <c r="H15" s="54" t="e">
        <f>#REF!</f>
        <v>#REF!</v>
      </c>
      <c r="I15" s="55" t="e">
        <f>#REF!</f>
        <v>#REF!</v>
      </c>
      <c r="J15" s="54" t="e">
        <f>#REF!</f>
        <v>#REF!</v>
      </c>
      <c r="K15" s="55" t="e">
        <f>#REF!</f>
        <v>#REF!</v>
      </c>
      <c r="L15" s="82" t="e">
        <f>#REF!</f>
        <v>#REF!</v>
      </c>
      <c r="M15" s="82" t="e">
        <f>#REF!</f>
        <v>#REF!</v>
      </c>
      <c r="N15" s="54" t="e">
        <f>#REF!</f>
        <v>#REF!</v>
      </c>
      <c r="O15" s="54" t="e">
        <f>#REF!</f>
        <v>#REF!</v>
      </c>
      <c r="P15" s="54" t="e">
        <f>#REF!</f>
        <v>#REF!</v>
      </c>
      <c r="Q15" s="53" t="e">
        <f>#REF!</f>
        <v>#REF!</v>
      </c>
      <c r="R15" s="53" t="e">
        <f>#REF!</f>
        <v>#REF!</v>
      </c>
      <c r="S15" s="53" t="e">
        <f>#REF!</f>
        <v>#REF!</v>
      </c>
      <c r="T15" s="53" t="e">
        <f>#REF!</f>
        <v>#REF!</v>
      </c>
      <c r="U15" s="53" t="e">
        <f>#REF!</f>
        <v>#REF!</v>
      </c>
      <c r="V15" s="53" t="e">
        <f>#REF!</f>
        <v>#REF!</v>
      </c>
      <c r="W15" s="53" t="e">
        <f>#REF!</f>
        <v>#REF!</v>
      </c>
      <c r="X15" s="53" t="e">
        <f>#REF!</f>
        <v>#REF!</v>
      </c>
      <c r="Y15" s="51" t="e">
        <f>#REF!</f>
        <v>#REF!</v>
      </c>
      <c r="AB15" s="51">
        <v>31421.773841462142</v>
      </c>
      <c r="AC15" s="51">
        <v>25013.096181173361</v>
      </c>
      <c r="AD15" s="51">
        <v>13161.909965285333</v>
      </c>
      <c r="AE15" s="51">
        <v>6723.0610883043764</v>
      </c>
      <c r="AF15" s="51">
        <v>849.77257958202699</v>
      </c>
      <c r="AG15" s="51">
        <v>434.06108830437569</v>
      </c>
      <c r="AH15" s="54">
        <v>0.96855366852059377</v>
      </c>
      <c r="AI15" s="55">
        <v>1.1035952817643258</v>
      </c>
      <c r="AJ15" s="54">
        <v>0.81889153831300476</v>
      </c>
      <c r="AK15" s="55">
        <v>1.1035952817643258</v>
      </c>
      <c r="AL15" s="82">
        <v>54660</v>
      </c>
      <c r="AM15" s="82">
        <v>46214</v>
      </c>
      <c r="AN15" s="54">
        <v>0.26699991087398522</v>
      </c>
      <c r="AO15" s="54">
        <v>5.9320284946998703E-2</v>
      </c>
      <c r="AP15" s="54">
        <v>0.32632019582098393</v>
      </c>
      <c r="AQ15" s="53">
        <v>17.364212006931037</v>
      </c>
      <c r="AR15" s="53">
        <v>193.29749396291095</v>
      </c>
      <c r="AS15" s="53">
        <v>210.66170596984199</v>
      </c>
      <c r="AT15" s="53">
        <v>146.22920798220503</v>
      </c>
      <c r="AU15" s="53">
        <v>178.44545697602354</v>
      </c>
      <c r="AV15" s="53">
        <v>71.057960329961858</v>
      </c>
      <c r="AW15" s="51">
        <v>248060.17152758624</v>
      </c>
      <c r="AX15" s="53">
        <v>27510.859932497144</v>
      </c>
      <c r="AY15" s="51">
        <v>14854</v>
      </c>
    </row>
    <row r="16" spans="1:51" x14ac:dyDescent="0.15">
      <c r="B16" s="60" t="e">
        <f>#REF!</f>
        <v>#REF!</v>
      </c>
      <c r="C16" s="60" t="e">
        <f>#REF!</f>
        <v>#REF!</v>
      </c>
      <c r="D16" s="60" t="e">
        <f>#REF!</f>
        <v>#REF!</v>
      </c>
      <c r="E16" s="60" t="e">
        <f>#REF!</f>
        <v>#REF!</v>
      </c>
      <c r="F16" s="60" t="e">
        <f>#REF!</f>
        <v>#REF!</v>
      </c>
      <c r="G16" s="60" t="e">
        <f>#REF!</f>
        <v>#REF!</v>
      </c>
      <c r="H16" s="62" t="e">
        <f>#REF!</f>
        <v>#REF!</v>
      </c>
      <c r="I16" s="63" t="e">
        <f>#REF!</f>
        <v>#REF!</v>
      </c>
      <c r="J16" s="62" t="e">
        <f>#REF!</f>
        <v>#REF!</v>
      </c>
      <c r="K16" s="63" t="e">
        <f>#REF!</f>
        <v>#REF!</v>
      </c>
      <c r="L16" s="84" t="e">
        <f>#REF!</f>
        <v>#REF!</v>
      </c>
      <c r="M16" s="84" t="e">
        <f>#REF!</f>
        <v>#REF!</v>
      </c>
      <c r="N16" s="62" t="e">
        <f>#REF!</f>
        <v>#REF!</v>
      </c>
      <c r="O16" s="62" t="e">
        <f>#REF!</f>
        <v>#REF!</v>
      </c>
      <c r="P16" s="62" t="e">
        <f>#REF!</f>
        <v>#REF!</v>
      </c>
      <c r="Q16" s="61" t="e">
        <f>#REF!</f>
        <v>#REF!</v>
      </c>
      <c r="R16" s="61" t="e">
        <f>#REF!</f>
        <v>#REF!</v>
      </c>
      <c r="S16" s="61" t="e">
        <f>#REF!</f>
        <v>#REF!</v>
      </c>
      <c r="T16" s="61" t="e">
        <f>#REF!</f>
        <v>#REF!</v>
      </c>
      <c r="U16" s="61" t="e">
        <f>#REF!</f>
        <v>#REF!</v>
      </c>
      <c r="V16" s="61" t="e">
        <f>#REF!</f>
        <v>#REF!</v>
      </c>
      <c r="W16" s="61" t="e">
        <f>#REF!</f>
        <v>#REF!</v>
      </c>
      <c r="X16" s="61" t="e">
        <f>#REF!</f>
        <v>#REF!</v>
      </c>
      <c r="Y16" s="60" t="e">
        <f>#REF!</f>
        <v>#REF!</v>
      </c>
      <c r="AB16" s="60">
        <v>31641.429779084712</v>
      </c>
      <c r="AC16" s="60">
        <v>25193.84414600745</v>
      </c>
      <c r="AD16" s="60">
        <v>13343.56782646934</v>
      </c>
      <c r="AE16" s="60">
        <v>6816.1556527140847</v>
      </c>
      <c r="AF16" s="60">
        <v>855.79267844216099</v>
      </c>
      <c r="AG16" s="60">
        <v>437.15565271408445</v>
      </c>
      <c r="AH16" s="62">
        <v>0.99000095413758615</v>
      </c>
      <c r="AI16" s="63">
        <v>1.1044881595157015</v>
      </c>
      <c r="AJ16" s="62">
        <v>0.90000187317805069</v>
      </c>
      <c r="AK16" s="63">
        <v>1.1044881595157015</v>
      </c>
      <c r="AL16" s="84">
        <v>56267</v>
      </c>
      <c r="AM16" s="84">
        <v>51152</v>
      </c>
      <c r="AN16" s="62">
        <v>0.25009539149393989</v>
      </c>
      <c r="AO16" s="62">
        <v>4.9971408039351711E-2</v>
      </c>
      <c r="AP16" s="62">
        <v>0.30006679953329157</v>
      </c>
      <c r="AQ16" s="61">
        <v>19.332290488002386</v>
      </c>
      <c r="AR16" s="61">
        <v>211.09331339977359</v>
      </c>
      <c r="AS16" s="61">
        <v>230.42560388777599</v>
      </c>
      <c r="AT16" s="61">
        <v>160.06116608785146</v>
      </c>
      <c r="AU16" s="61">
        <v>195.24338498781373</v>
      </c>
      <c r="AV16" s="61">
        <v>77.969321987939509</v>
      </c>
      <c r="AW16" s="60">
        <v>276175.57840003405</v>
      </c>
      <c r="AX16" s="61">
        <v>28115.406872447813</v>
      </c>
      <c r="AY16" s="60">
        <v>16537</v>
      </c>
    </row>
    <row r="17" spans="2:51" x14ac:dyDescent="0.15">
      <c r="B17" s="51" t="e">
        <f>#REF!</f>
        <v>#REF!</v>
      </c>
      <c r="C17" s="51" t="e">
        <f>#REF!</f>
        <v>#REF!</v>
      </c>
      <c r="D17" s="51" t="e">
        <f>#REF!</f>
        <v>#REF!</v>
      </c>
      <c r="E17" s="51" t="e">
        <f>#REF!</f>
        <v>#REF!</v>
      </c>
      <c r="F17" s="51" t="e">
        <f>#REF!</f>
        <v>#REF!</v>
      </c>
      <c r="G17" s="51" t="e">
        <f>#REF!</f>
        <v>#REF!</v>
      </c>
      <c r="H17" s="54" t="e">
        <f>#REF!</f>
        <v>#REF!</v>
      </c>
      <c r="I17" s="55" t="e">
        <f>#REF!</f>
        <v>#REF!</v>
      </c>
      <c r="J17" s="54" t="e">
        <f>#REF!</f>
        <v>#REF!</v>
      </c>
      <c r="K17" s="55" t="e">
        <f>#REF!</f>
        <v>#REF!</v>
      </c>
      <c r="L17" s="82" t="e">
        <f>#REF!</f>
        <v>#REF!</v>
      </c>
      <c r="M17" s="82" t="e">
        <f>#REF!</f>
        <v>#REF!</v>
      </c>
      <c r="N17" s="54" t="e">
        <f>#REF!</f>
        <v>#REF!</v>
      </c>
      <c r="O17" s="54" t="e">
        <f>#REF!</f>
        <v>#REF!</v>
      </c>
      <c r="P17" s="54" t="e">
        <f>#REF!</f>
        <v>#REF!</v>
      </c>
      <c r="Q17" s="53" t="e">
        <f>#REF!</f>
        <v>#REF!</v>
      </c>
      <c r="R17" s="53" t="e">
        <f>#REF!</f>
        <v>#REF!</v>
      </c>
      <c r="S17" s="53" t="e">
        <f>#REF!</f>
        <v>#REF!</v>
      </c>
      <c r="T17" s="53" t="e">
        <f>#REF!</f>
        <v>#REF!</v>
      </c>
      <c r="U17" s="53" t="e">
        <f>#REF!</f>
        <v>#REF!</v>
      </c>
      <c r="V17" s="53" t="e">
        <f>#REF!</f>
        <v>#REF!</v>
      </c>
      <c r="W17" s="53" t="e">
        <f>#REF!</f>
        <v>#REF!</v>
      </c>
      <c r="X17" s="53" t="e">
        <f>#REF!</f>
        <v>#REF!</v>
      </c>
      <c r="Y17" s="51" t="e">
        <f>#REF!</f>
        <v>#REF!</v>
      </c>
      <c r="AB17" s="51">
        <v>31851.36588281265</v>
      </c>
      <c r="AC17" s="51">
        <v>25366.679101538528</v>
      </c>
      <c r="AD17" s="51">
        <v>13523.323710969165</v>
      </c>
      <c r="AE17" s="51">
        <v>6908.1179992973275</v>
      </c>
      <c r="AF17" s="51">
        <v>861.57448036169399</v>
      </c>
      <c r="AG17" s="51">
        <v>440.11799929732746</v>
      </c>
      <c r="AH17" s="54">
        <v>0.99100085872382748</v>
      </c>
      <c r="AI17" s="55">
        <v>1.1052246177695439</v>
      </c>
      <c r="AJ17" s="54">
        <v>0.90500574564082903</v>
      </c>
      <c r="AK17" s="55">
        <v>1.1052246177695439</v>
      </c>
      <c r="AL17" s="82">
        <v>56703</v>
      </c>
      <c r="AM17" s="82">
        <v>51783</v>
      </c>
      <c r="AN17" s="54">
        <v>0.24559438950094051</v>
      </c>
      <c r="AO17" s="54">
        <v>4.9971408039351711E-2</v>
      </c>
      <c r="AP17" s="54">
        <v>0.29556579754029222</v>
      </c>
      <c r="AQ17" s="53">
        <v>19.68898068549894</v>
      </c>
      <c r="AR17" s="53">
        <v>212.93189442191849</v>
      </c>
      <c r="AS17" s="53">
        <v>232.62087510741742</v>
      </c>
      <c r="AT17" s="53">
        <v>161.64357696677791</v>
      </c>
      <c r="AU17" s="53">
        <v>197.13222603709767</v>
      </c>
      <c r="AV17" s="53">
        <v>78.836729136031863</v>
      </c>
      <c r="AW17" s="51">
        <v>281271.15264998481</v>
      </c>
      <c r="AX17" s="53">
        <v>5095.5742499507614</v>
      </c>
      <c r="AY17" s="51">
        <v>16843</v>
      </c>
    </row>
    <row r="18" spans="2:51" x14ac:dyDescent="0.15">
      <c r="B18" s="51" t="e">
        <f>#REF!</f>
        <v>#REF!</v>
      </c>
      <c r="C18" s="51" t="e">
        <f>#REF!</f>
        <v>#REF!</v>
      </c>
      <c r="D18" s="51" t="e">
        <f>#REF!</f>
        <v>#REF!</v>
      </c>
      <c r="E18" s="51" t="e">
        <f>#REF!</f>
        <v>#REF!</v>
      </c>
      <c r="F18" s="51" t="e">
        <f>#REF!</f>
        <v>#REF!</v>
      </c>
      <c r="G18" s="51" t="e">
        <f>#REF!</f>
        <v>#REF!</v>
      </c>
      <c r="H18" s="54" t="e">
        <f>#REF!</f>
        <v>#REF!</v>
      </c>
      <c r="I18" s="55" t="e">
        <f>#REF!</f>
        <v>#REF!</v>
      </c>
      <c r="J18" s="54" t="e">
        <f>#REF!</f>
        <v>#REF!</v>
      </c>
      <c r="K18" s="55" t="e">
        <f>#REF!</f>
        <v>#REF!</v>
      </c>
      <c r="L18" s="82" t="e">
        <f>#REF!</f>
        <v>#REF!</v>
      </c>
      <c r="M18" s="82" t="e">
        <f>#REF!</f>
        <v>#REF!</v>
      </c>
      <c r="N18" s="54" t="e">
        <f>#REF!</f>
        <v>#REF!</v>
      </c>
      <c r="O18" s="54" t="e">
        <f>#REF!</f>
        <v>#REF!</v>
      </c>
      <c r="P18" s="54" t="e">
        <f>#REF!</f>
        <v>#REF!</v>
      </c>
      <c r="Q18" s="53" t="e">
        <f>#REF!</f>
        <v>#REF!</v>
      </c>
      <c r="R18" s="53" t="e">
        <f>#REF!</f>
        <v>#REF!</v>
      </c>
      <c r="S18" s="53" t="e">
        <f>#REF!</f>
        <v>#REF!</v>
      </c>
      <c r="T18" s="53" t="e">
        <f>#REF!</f>
        <v>#REF!</v>
      </c>
      <c r="U18" s="53" t="e">
        <f>#REF!</f>
        <v>#REF!</v>
      </c>
      <c r="V18" s="53" t="e">
        <f>#REF!</f>
        <v>#REF!</v>
      </c>
      <c r="W18" s="53" t="e">
        <f>#REF!</f>
        <v>#REF!</v>
      </c>
      <c r="X18" s="53" t="e">
        <f>#REF!</f>
        <v>#REF!</v>
      </c>
      <c r="Y18" s="51" t="e">
        <f>#REF!</f>
        <v>#REF!</v>
      </c>
      <c r="AB18" s="51">
        <v>32051.941934920615</v>
      </c>
      <c r="AC18" s="51">
        <v>25531.885980472507</v>
      </c>
      <c r="AD18" s="51">
        <v>13701.043819754444</v>
      </c>
      <c r="AE18" s="51">
        <v>6998.925108011842</v>
      </c>
      <c r="AF18" s="51">
        <v>867.06690242947582</v>
      </c>
      <c r="AG18" s="51">
        <v>442.92510801184159</v>
      </c>
      <c r="AH18" s="54">
        <v>0.99200076331006892</v>
      </c>
      <c r="AI18" s="55">
        <v>1.1059610760233864</v>
      </c>
      <c r="AJ18" s="54">
        <v>0.91000961810360737</v>
      </c>
      <c r="AK18" s="55">
        <v>1.1059610760233864</v>
      </c>
      <c r="AL18" s="82">
        <v>57123</v>
      </c>
      <c r="AM18" s="82">
        <v>52402</v>
      </c>
      <c r="AN18" s="54">
        <v>0.24116090253783615</v>
      </c>
      <c r="AO18" s="54">
        <v>4.9971408039351711E-2</v>
      </c>
      <c r="AP18" s="54">
        <v>0.29113231057718786</v>
      </c>
      <c r="AQ18" s="53">
        <v>20.044400172840838</v>
      </c>
      <c r="AR18" s="53">
        <v>214.70427846840607</v>
      </c>
      <c r="AS18" s="53">
        <v>234.7486786412469</v>
      </c>
      <c r="AT18" s="53">
        <v>163.18058581844491</v>
      </c>
      <c r="AU18" s="53">
        <v>198.9646322298459</v>
      </c>
      <c r="AV18" s="53">
        <v>79.684477525175851</v>
      </c>
      <c r="AW18" s="51">
        <v>286348.57389772619</v>
      </c>
      <c r="AX18" s="53">
        <v>5077.4212477413821</v>
      </c>
      <c r="AY18" s="51">
        <v>17147</v>
      </c>
    </row>
    <row r="19" spans="2:51" x14ac:dyDescent="0.15">
      <c r="B19" s="51" t="e">
        <f>#REF!</f>
        <v>#REF!</v>
      </c>
      <c r="C19" s="51" t="e">
        <f>#REF!</f>
        <v>#REF!</v>
      </c>
      <c r="D19" s="51" t="e">
        <f>#REF!</f>
        <v>#REF!</v>
      </c>
      <c r="E19" s="51" t="e">
        <f>#REF!</f>
        <v>#REF!</v>
      </c>
      <c r="F19" s="51" t="e">
        <f>#REF!</f>
        <v>#REF!</v>
      </c>
      <c r="G19" s="51" t="e">
        <f>#REF!</f>
        <v>#REF!</v>
      </c>
      <c r="H19" s="54" t="e">
        <f>#REF!</f>
        <v>#REF!</v>
      </c>
      <c r="I19" s="55" t="e">
        <f>#REF!</f>
        <v>#REF!</v>
      </c>
      <c r="J19" s="54" t="e">
        <f>#REF!</f>
        <v>#REF!</v>
      </c>
      <c r="K19" s="55" t="e">
        <f>#REF!</f>
        <v>#REF!</v>
      </c>
      <c r="L19" s="82" t="e">
        <f>#REF!</f>
        <v>#REF!</v>
      </c>
      <c r="M19" s="82" t="e">
        <f>#REF!</f>
        <v>#REF!</v>
      </c>
      <c r="N19" s="54" t="e">
        <f>#REF!</f>
        <v>#REF!</v>
      </c>
      <c r="O19" s="54" t="e">
        <f>#REF!</f>
        <v>#REF!</v>
      </c>
      <c r="P19" s="54" t="e">
        <f>#REF!</f>
        <v>#REF!</v>
      </c>
      <c r="Q19" s="53" t="e">
        <f>#REF!</f>
        <v>#REF!</v>
      </c>
      <c r="R19" s="53" t="e">
        <f>#REF!</f>
        <v>#REF!</v>
      </c>
      <c r="S19" s="53" t="e">
        <f>#REF!</f>
        <v>#REF!</v>
      </c>
      <c r="T19" s="53" t="e">
        <f>#REF!</f>
        <v>#REF!</v>
      </c>
      <c r="U19" s="53" t="e">
        <f>#REF!</f>
        <v>#REF!</v>
      </c>
      <c r="V19" s="53" t="e">
        <f>#REF!</f>
        <v>#REF!</v>
      </c>
      <c r="W19" s="53" t="e">
        <f>#REF!</f>
        <v>#REF!</v>
      </c>
      <c r="X19" s="53" t="e">
        <f>#REF!</f>
        <v>#REF!</v>
      </c>
      <c r="Y19" s="51" t="e">
        <f>#REF!</f>
        <v>#REF!</v>
      </c>
      <c r="AB19" s="51">
        <v>32243.510772214075</v>
      </c>
      <c r="AC19" s="51">
        <v>25689.745022254745</v>
      </c>
      <c r="AD19" s="51">
        <v>13876.695892887958</v>
      </c>
      <c r="AE19" s="51">
        <v>7088.6039386031189</v>
      </c>
      <c r="AF19" s="51">
        <v>872.31708785342721</v>
      </c>
      <c r="AG19" s="51">
        <v>445.60393860311956</v>
      </c>
      <c r="AH19" s="54">
        <v>0.99300066789631036</v>
      </c>
      <c r="AI19" s="55">
        <v>1.1066975342772289</v>
      </c>
      <c r="AJ19" s="54">
        <v>0.9150134905663857</v>
      </c>
      <c r="AK19" s="55">
        <v>1.1066975342772289</v>
      </c>
      <c r="AL19" s="82">
        <v>57528</v>
      </c>
      <c r="AM19" s="82">
        <v>53009</v>
      </c>
      <c r="AN19" s="54">
        <v>0.23679391787917833</v>
      </c>
      <c r="AO19" s="54">
        <v>4.9971408039351711E-2</v>
      </c>
      <c r="AP19" s="54">
        <v>0.28676532591853005</v>
      </c>
      <c r="AQ19" s="53">
        <v>20.399481381564268</v>
      </c>
      <c r="AR19" s="53">
        <v>216.43105621499228</v>
      </c>
      <c r="AS19" s="53">
        <v>236.83053759655655</v>
      </c>
      <c r="AT19" s="53">
        <v>164.6868521915591</v>
      </c>
      <c r="AU19" s="53">
        <v>200.75869489405781</v>
      </c>
      <c r="AV19" s="53">
        <v>80.519219219062123</v>
      </c>
      <c r="AW19" s="51">
        <v>291421.1625937752</v>
      </c>
      <c r="AX19" s="53">
        <v>5072.5886960490025</v>
      </c>
      <c r="AY19" s="51">
        <v>17450</v>
      </c>
    </row>
    <row r="20" spans="2:51" x14ac:dyDescent="0.15">
      <c r="B20" s="51" t="e">
        <f>#REF!</f>
        <v>#REF!</v>
      </c>
      <c r="C20" s="51" t="e">
        <f>#REF!</f>
        <v>#REF!</v>
      </c>
      <c r="D20" s="51" t="e">
        <f>#REF!</f>
        <v>#REF!</v>
      </c>
      <c r="E20" s="51" t="e">
        <f>#REF!</f>
        <v>#REF!</v>
      </c>
      <c r="F20" s="51" t="e">
        <f>#REF!</f>
        <v>#REF!</v>
      </c>
      <c r="G20" s="51" t="e">
        <f>#REF!</f>
        <v>#REF!</v>
      </c>
      <c r="H20" s="54" t="e">
        <f>#REF!</f>
        <v>#REF!</v>
      </c>
      <c r="I20" s="55" t="e">
        <f>#REF!</f>
        <v>#REF!</v>
      </c>
      <c r="J20" s="54" t="e">
        <f>#REF!</f>
        <v>#REF!</v>
      </c>
      <c r="K20" s="55" t="e">
        <f>#REF!</f>
        <v>#REF!</v>
      </c>
      <c r="L20" s="82" t="e">
        <f>#REF!</f>
        <v>#REF!</v>
      </c>
      <c r="M20" s="82" t="e">
        <f>#REF!</f>
        <v>#REF!</v>
      </c>
      <c r="N20" s="54" t="e">
        <f>#REF!</f>
        <v>#REF!</v>
      </c>
      <c r="O20" s="54" t="e">
        <f>#REF!</f>
        <v>#REF!</v>
      </c>
      <c r="P20" s="54" t="e">
        <f>#REF!</f>
        <v>#REF!</v>
      </c>
      <c r="Q20" s="53" t="e">
        <f>#REF!</f>
        <v>#REF!</v>
      </c>
      <c r="R20" s="53" t="e">
        <f>#REF!</f>
        <v>#REF!</v>
      </c>
      <c r="S20" s="53" t="e">
        <f>#REF!</f>
        <v>#REF!</v>
      </c>
      <c r="T20" s="53" t="e">
        <f>#REF!</f>
        <v>#REF!</v>
      </c>
      <c r="U20" s="53" t="e">
        <f>#REF!</f>
        <v>#REF!</v>
      </c>
      <c r="V20" s="53" t="e">
        <f>#REF!</f>
        <v>#REF!</v>
      </c>
      <c r="W20" s="53" t="e">
        <f>#REF!</f>
        <v>#REF!</v>
      </c>
      <c r="X20" s="53" t="e">
        <f>#REF!</f>
        <v>#REF!</v>
      </c>
      <c r="Y20" s="51" t="e">
        <f>#REF!</f>
        <v>#REF!</v>
      </c>
      <c r="AB20" s="51">
        <v>32426.417806542649</v>
      </c>
      <c r="AC20" s="51">
        <v>25840.531307553509</v>
      </c>
      <c r="AD20" s="51">
        <v>14050.251219329919</v>
      </c>
      <c r="AE20" s="51">
        <v>7177.1813210284881</v>
      </c>
      <c r="AF20" s="51">
        <v>877.37230962963292</v>
      </c>
      <c r="AG20" s="51">
        <v>448.18132102848926</v>
      </c>
      <c r="AH20" s="54">
        <v>0.9940005724825518</v>
      </c>
      <c r="AI20" s="55">
        <v>1.1074339925310714</v>
      </c>
      <c r="AJ20" s="54">
        <v>0.92001736302916404</v>
      </c>
      <c r="AK20" s="55">
        <v>1.1074339925310714</v>
      </c>
      <c r="AL20" s="82">
        <v>57917</v>
      </c>
      <c r="AM20" s="82">
        <v>53607</v>
      </c>
      <c r="AN20" s="54">
        <v>0.2324924379904004</v>
      </c>
      <c r="AO20" s="54">
        <v>4.9971408039351711E-2</v>
      </c>
      <c r="AP20" s="54">
        <v>0.28246384602975211</v>
      </c>
      <c r="AQ20" s="53">
        <v>20.753031101918232</v>
      </c>
      <c r="AR20" s="53">
        <v>218.09513756202216</v>
      </c>
      <c r="AS20" s="53">
        <v>238.84816866394038</v>
      </c>
      <c r="AT20" s="53">
        <v>166.14978947659964</v>
      </c>
      <c r="AU20" s="53">
        <v>202.49897907027002</v>
      </c>
      <c r="AV20" s="53">
        <v>81.335013758035501</v>
      </c>
      <c r="AW20" s="51">
        <v>296471.87288454617</v>
      </c>
      <c r="AX20" s="53">
        <v>5050.7102907709777</v>
      </c>
      <c r="AY20" s="51">
        <v>17753</v>
      </c>
    </row>
    <row r="21" spans="2:51" x14ac:dyDescent="0.15">
      <c r="B21" s="51" t="e">
        <f>#REF!</f>
        <v>#REF!</v>
      </c>
      <c r="C21" s="51" t="e">
        <f>#REF!</f>
        <v>#REF!</v>
      </c>
      <c r="D21" s="51" t="e">
        <f>#REF!</f>
        <v>#REF!</v>
      </c>
      <c r="E21" s="51" t="e">
        <f>#REF!</f>
        <v>#REF!</v>
      </c>
      <c r="F21" s="51" t="e">
        <f>#REF!</f>
        <v>#REF!</v>
      </c>
      <c r="G21" s="51" t="e">
        <f>#REF!</f>
        <v>#REF!</v>
      </c>
      <c r="H21" s="54" t="e">
        <f>#REF!</f>
        <v>#REF!</v>
      </c>
      <c r="I21" s="55" t="e">
        <f>#REF!</f>
        <v>#REF!</v>
      </c>
      <c r="J21" s="54" t="e">
        <f>#REF!</f>
        <v>#REF!</v>
      </c>
      <c r="K21" s="55" t="e">
        <f>#REF!</f>
        <v>#REF!</v>
      </c>
      <c r="L21" s="82" t="e">
        <f>#REF!</f>
        <v>#REF!</v>
      </c>
      <c r="M21" s="82" t="e">
        <f>#REF!</f>
        <v>#REF!</v>
      </c>
      <c r="N21" s="54" t="e">
        <f>#REF!</f>
        <v>#REF!</v>
      </c>
      <c r="O21" s="54" t="e">
        <f>#REF!</f>
        <v>#REF!</v>
      </c>
      <c r="P21" s="54" t="e">
        <f>#REF!</f>
        <v>#REF!</v>
      </c>
      <c r="Q21" s="53" t="e">
        <f>#REF!</f>
        <v>#REF!</v>
      </c>
      <c r="R21" s="53" t="e">
        <f>#REF!</f>
        <v>#REF!</v>
      </c>
      <c r="S21" s="53" t="e">
        <f>#REF!</f>
        <v>#REF!</v>
      </c>
      <c r="T21" s="53" t="e">
        <f>#REF!</f>
        <v>#REF!</v>
      </c>
      <c r="U21" s="53" t="e">
        <f>#REF!</f>
        <v>#REF!</v>
      </c>
      <c r="V21" s="53" t="e">
        <f>#REF!</f>
        <v>#REF!</v>
      </c>
      <c r="W21" s="53" t="e">
        <f>#REF!</f>
        <v>#REF!</v>
      </c>
      <c r="X21" s="53" t="e">
        <f>#REF!</f>
        <v>#REF!</v>
      </c>
      <c r="Y21" s="51" t="e">
        <f>#REF!</f>
        <v>#REF!</v>
      </c>
      <c r="AB21" s="51">
        <v>32601.000614770521</v>
      </c>
      <c r="AC21" s="51">
        <v>25984.514352531998</v>
      </c>
      <c r="AD21" s="51">
        <v>14221.53758398297</v>
      </c>
      <c r="AE21" s="51">
        <v>7264.6087922968845</v>
      </c>
      <c r="AF21" s="51">
        <v>882.13282484233412</v>
      </c>
      <c r="AG21" s="51">
        <v>450.60879229688373</v>
      </c>
      <c r="AH21" s="54">
        <v>0.99500047706879324</v>
      </c>
      <c r="AI21" s="55">
        <v>1.1081704507849139</v>
      </c>
      <c r="AJ21" s="54">
        <v>0.92502123549194237</v>
      </c>
      <c r="AK21" s="55">
        <v>1.1081704507849139</v>
      </c>
      <c r="AL21" s="82">
        <v>58293</v>
      </c>
      <c r="AM21" s="82">
        <v>54193</v>
      </c>
      <c r="AN21" s="54">
        <v>0.2282554802999541</v>
      </c>
      <c r="AO21" s="54">
        <v>4.9971408039351711E-2</v>
      </c>
      <c r="AP21" s="54">
        <v>0.27822688833930581</v>
      </c>
      <c r="AQ21" s="53">
        <v>21.107078910940025</v>
      </c>
      <c r="AR21" s="53">
        <v>219.736057068837</v>
      </c>
      <c r="AS21" s="53">
        <v>240.84313597977703</v>
      </c>
      <c r="AT21" s="53">
        <v>167.597783623498</v>
      </c>
      <c r="AU21" s="53">
        <v>204.22045980163753</v>
      </c>
      <c r="AV21" s="53">
        <v>82.144872541172504</v>
      </c>
      <c r="AW21" s="51">
        <v>301529.6987277146</v>
      </c>
      <c r="AX21" s="53">
        <v>5057.8258431684226</v>
      </c>
      <c r="AY21" s="51">
        <v>18056</v>
      </c>
    </row>
    <row r="22" spans="2:51" x14ac:dyDescent="0.15">
      <c r="B22" s="51" t="e">
        <f>#REF!</f>
        <v>#REF!</v>
      </c>
      <c r="C22" s="51" t="e">
        <f>#REF!</f>
        <v>#REF!</v>
      </c>
      <c r="D22" s="51" t="e">
        <f>#REF!</f>
        <v>#REF!</v>
      </c>
      <c r="E22" s="51" t="e">
        <f>#REF!</f>
        <v>#REF!</v>
      </c>
      <c r="F22" s="51" t="e">
        <f>#REF!</f>
        <v>#REF!</v>
      </c>
      <c r="G22" s="51" t="e">
        <f>#REF!</f>
        <v>#REF!</v>
      </c>
      <c r="H22" s="54" t="e">
        <f>#REF!</f>
        <v>#REF!</v>
      </c>
      <c r="I22" s="55" t="e">
        <f>#REF!</f>
        <v>#REF!</v>
      </c>
      <c r="J22" s="54" t="e">
        <f>#REF!</f>
        <v>#REF!</v>
      </c>
      <c r="K22" s="55" t="e">
        <f>#REF!</f>
        <v>#REF!</v>
      </c>
      <c r="L22" s="82" t="e">
        <f>#REF!</f>
        <v>#REF!</v>
      </c>
      <c r="M22" s="82" t="e">
        <f>#REF!</f>
        <v>#REF!</v>
      </c>
      <c r="N22" s="54" t="e">
        <f>#REF!</f>
        <v>#REF!</v>
      </c>
      <c r="O22" s="54" t="e">
        <f>#REF!</f>
        <v>#REF!</v>
      </c>
      <c r="P22" s="54" t="e">
        <f>#REF!</f>
        <v>#REF!</v>
      </c>
      <c r="Q22" s="53" t="e">
        <f>#REF!</f>
        <v>#REF!</v>
      </c>
      <c r="R22" s="53" t="e">
        <f>#REF!</f>
        <v>#REF!</v>
      </c>
      <c r="S22" s="53" t="e">
        <f>#REF!</f>
        <v>#REF!</v>
      </c>
      <c r="T22" s="53" t="e">
        <f>#REF!</f>
        <v>#REF!</v>
      </c>
      <c r="U22" s="53" t="e">
        <f>#REF!</f>
        <v>#REF!</v>
      </c>
      <c r="V22" s="53" t="e">
        <f>#REF!</f>
        <v>#REF!</v>
      </c>
      <c r="W22" s="53" t="e">
        <f>#REF!</f>
        <v>#REF!</v>
      </c>
      <c r="X22" s="53" t="e">
        <f>#REF!</f>
        <v>#REF!</v>
      </c>
      <c r="Y22" s="51" t="e">
        <f>#REF!</f>
        <v>#REF!</v>
      </c>
      <c r="AB22" s="51">
        <v>32767.5885944855</v>
      </c>
      <c r="AC22" s="51">
        <v>26121.957760069854</v>
      </c>
      <c r="AD22" s="51">
        <v>14390.631729638164</v>
      </c>
      <c r="AE22" s="51">
        <v>7350.9630374536519</v>
      </c>
      <c r="AF22" s="51">
        <v>886.7442573064219</v>
      </c>
      <c r="AG22" s="51">
        <v>452.96303745365151</v>
      </c>
      <c r="AH22" s="54">
        <v>0.99600038165503468</v>
      </c>
      <c r="AI22" s="55">
        <v>1.1089069090387564</v>
      </c>
      <c r="AJ22" s="54">
        <v>0.93002510795472071</v>
      </c>
      <c r="AK22" s="55">
        <v>1.1089069090387564</v>
      </c>
      <c r="AL22" s="82">
        <v>58654</v>
      </c>
      <c r="AM22" s="82">
        <v>54769</v>
      </c>
      <c r="AN22" s="54">
        <v>0.22408207697486451</v>
      </c>
      <c r="AO22" s="54">
        <v>4.9971408039351711E-2</v>
      </c>
      <c r="AP22" s="54">
        <v>0.27405348501421622</v>
      </c>
      <c r="AQ22" s="53">
        <v>21.458267483835197</v>
      </c>
      <c r="AR22" s="53">
        <v>221.29874456870007</v>
      </c>
      <c r="AS22" s="53">
        <v>242.75701205253526</v>
      </c>
      <c r="AT22" s="53">
        <v>168.99076386296852</v>
      </c>
      <c r="AU22" s="53">
        <v>205.87388795775186</v>
      </c>
      <c r="AV22" s="53">
        <v>82.930140975140759</v>
      </c>
      <c r="AW22" s="51">
        <v>306546.67834050278</v>
      </c>
      <c r="AX22" s="53">
        <v>5016.9796127881855</v>
      </c>
      <c r="AY22" s="51">
        <v>18356</v>
      </c>
    </row>
    <row r="23" spans="2:51" x14ac:dyDescent="0.15">
      <c r="B23" s="51" t="e">
        <f>#REF!</f>
        <v>#REF!</v>
      </c>
      <c r="C23" s="51" t="e">
        <f>#REF!</f>
        <v>#REF!</v>
      </c>
      <c r="D23" s="51" t="e">
        <f>#REF!</f>
        <v>#REF!</v>
      </c>
      <c r="E23" s="51" t="e">
        <f>#REF!</f>
        <v>#REF!</v>
      </c>
      <c r="F23" s="51" t="e">
        <f>#REF!</f>
        <v>#REF!</v>
      </c>
      <c r="G23" s="51" t="e">
        <f>#REF!</f>
        <v>#REF!</v>
      </c>
      <c r="H23" s="54" t="e">
        <f>#REF!</f>
        <v>#REF!</v>
      </c>
      <c r="I23" s="55" t="e">
        <f>#REF!</f>
        <v>#REF!</v>
      </c>
      <c r="J23" s="54" t="e">
        <f>#REF!</f>
        <v>#REF!</v>
      </c>
      <c r="K23" s="55" t="e">
        <f>#REF!</f>
        <v>#REF!</v>
      </c>
      <c r="L23" s="82" t="e">
        <f>#REF!</f>
        <v>#REF!</v>
      </c>
      <c r="M23" s="82" t="e">
        <f>#REF!</f>
        <v>#REF!</v>
      </c>
      <c r="N23" s="54" t="e">
        <f>#REF!</f>
        <v>#REF!</v>
      </c>
      <c r="O23" s="54" t="e">
        <f>#REF!</f>
        <v>#REF!</v>
      </c>
      <c r="P23" s="54" t="e">
        <f>#REF!</f>
        <v>#REF!</v>
      </c>
      <c r="Q23" s="53" t="e">
        <f>#REF!</f>
        <v>#REF!</v>
      </c>
      <c r="R23" s="53" t="e">
        <f>#REF!</f>
        <v>#REF!</v>
      </c>
      <c r="S23" s="53" t="e">
        <f>#REF!</f>
        <v>#REF!</v>
      </c>
      <c r="T23" s="53" t="e">
        <f>#REF!</f>
        <v>#REF!</v>
      </c>
      <c r="U23" s="53" t="e">
        <f>#REF!</f>
        <v>#REF!</v>
      </c>
      <c r="V23" s="53" t="e">
        <f>#REF!</f>
        <v>#REF!</v>
      </c>
      <c r="W23" s="53" t="e">
        <f>#REF!</f>
        <v>#REF!</v>
      </c>
      <c r="X23" s="53" t="e">
        <f>#REF!</f>
        <v>#REF!</v>
      </c>
      <c r="Y23" s="51" t="e">
        <f>#REF!</f>
        <v>#REF!</v>
      </c>
      <c r="AB23" s="51">
        <v>32926.502681518657</v>
      </c>
      <c r="AC23" s="51">
        <v>26253.118924861879</v>
      </c>
      <c r="AD23" s="51">
        <v>14557.36893855633</v>
      </c>
      <c r="AE23" s="51">
        <v>7436.1953443572856</v>
      </c>
      <c r="AF23" s="51">
        <v>891.10711325657587</v>
      </c>
      <c r="AG23" s="51">
        <v>455.1953443572861</v>
      </c>
      <c r="AH23" s="54">
        <v>0.99700028624127612</v>
      </c>
      <c r="AI23" s="55">
        <v>1.1096433672925989</v>
      </c>
      <c r="AJ23" s="54">
        <v>0.93502898041749904</v>
      </c>
      <c r="AK23" s="55">
        <v>1.1096433672925989</v>
      </c>
      <c r="AL23" s="82">
        <v>59002</v>
      </c>
      <c r="AM23" s="82">
        <v>55335</v>
      </c>
      <c r="AN23" s="54">
        <v>0.21997127469965125</v>
      </c>
      <c r="AO23" s="54">
        <v>4.9971408039351711E-2</v>
      </c>
      <c r="AP23" s="54">
        <v>0.26994268273900296</v>
      </c>
      <c r="AQ23" s="53">
        <v>21.809730045397341</v>
      </c>
      <c r="AR23" s="53">
        <v>222.84170790592285</v>
      </c>
      <c r="AS23" s="53">
        <v>244.65143795132019</v>
      </c>
      <c r="AT23" s="53">
        <v>170.37086864934591</v>
      </c>
      <c r="AU23" s="53">
        <v>207.51115330033304</v>
      </c>
      <c r="AV23" s="53">
        <v>83.710204463709246</v>
      </c>
      <c r="AW23" s="51">
        <v>311567.57207710482</v>
      </c>
      <c r="AX23" s="53">
        <v>5020.89373660204</v>
      </c>
      <c r="AY23" s="51">
        <v>18657</v>
      </c>
    </row>
    <row r="24" spans="2:51" x14ac:dyDescent="0.15">
      <c r="B24" s="51" t="e">
        <f>#REF!</f>
        <v>#REF!</v>
      </c>
      <c r="C24" s="51" t="e">
        <f>#REF!</f>
        <v>#REF!</v>
      </c>
      <c r="D24" s="51" t="e">
        <f>#REF!</f>
        <v>#REF!</v>
      </c>
      <c r="E24" s="51" t="e">
        <f>#REF!</f>
        <v>#REF!</v>
      </c>
      <c r="F24" s="51" t="e">
        <f>#REF!</f>
        <v>#REF!</v>
      </c>
      <c r="G24" s="51" t="e">
        <f>#REF!</f>
        <v>#REF!</v>
      </c>
      <c r="H24" s="54" t="e">
        <f>#REF!</f>
        <v>#REF!</v>
      </c>
      <c r="I24" s="55" t="e">
        <f>#REF!</f>
        <v>#REF!</v>
      </c>
      <c r="J24" s="54" t="e">
        <f>#REF!</f>
        <v>#REF!</v>
      </c>
      <c r="K24" s="55" t="e">
        <f>#REF!</f>
        <v>#REF!</v>
      </c>
      <c r="L24" s="82" t="e">
        <f>#REF!</f>
        <v>#REF!</v>
      </c>
      <c r="M24" s="82" t="e">
        <f>#REF!</f>
        <v>#REF!</v>
      </c>
      <c r="N24" s="54" t="e">
        <f>#REF!</f>
        <v>#REF!</v>
      </c>
      <c r="O24" s="54" t="e">
        <f>#REF!</f>
        <v>#REF!</v>
      </c>
      <c r="P24" s="54" t="e">
        <f>#REF!</f>
        <v>#REF!</v>
      </c>
      <c r="Q24" s="53" t="e">
        <f>#REF!</f>
        <v>#REF!</v>
      </c>
      <c r="R24" s="53" t="e">
        <f>#REF!</f>
        <v>#REF!</v>
      </c>
      <c r="S24" s="53" t="e">
        <f>#REF!</f>
        <v>#REF!</v>
      </c>
      <c r="T24" s="53" t="e">
        <f>#REF!</f>
        <v>#REF!</v>
      </c>
      <c r="U24" s="53" t="e">
        <f>#REF!</f>
        <v>#REF!</v>
      </c>
      <c r="V24" s="53" t="e">
        <f>#REF!</f>
        <v>#REF!</v>
      </c>
      <c r="W24" s="53" t="e">
        <f>#REF!</f>
        <v>#REF!</v>
      </c>
      <c r="X24" s="53" t="e">
        <f>#REF!</f>
        <v>#REF!</v>
      </c>
      <c r="Y24" s="51" t="e">
        <f>#REF!</f>
        <v>#REF!</v>
      </c>
      <c r="AB24" s="51">
        <v>33078.05512521504</v>
      </c>
      <c r="AC24" s="51">
        <v>26378.248789160683</v>
      </c>
      <c r="AD24" s="51">
        <v>14721.73546769506</v>
      </c>
      <c r="AE24" s="51">
        <v>7520.3320446691532</v>
      </c>
      <c r="AF24" s="51">
        <v>895.26916398484366</v>
      </c>
      <c r="AG24" s="51">
        <v>457.33204466915379</v>
      </c>
      <c r="AH24" s="54">
        <v>0.99800019082751756</v>
      </c>
      <c r="AI24" s="55">
        <v>1.1103798255464414</v>
      </c>
      <c r="AJ24" s="54">
        <v>0.94003285288027738</v>
      </c>
      <c r="AK24" s="55">
        <v>1.1103798255464414</v>
      </c>
      <c r="AL24" s="82">
        <v>59337</v>
      </c>
      <c r="AM24" s="82">
        <v>55891</v>
      </c>
      <c r="AN24" s="54">
        <v>0.2159221344585662</v>
      </c>
      <c r="AO24" s="54">
        <v>4.9971408039351711E-2</v>
      </c>
      <c r="AP24" s="54">
        <v>0.26589354249791791</v>
      </c>
      <c r="AQ24" s="53">
        <v>22.160277012011314</v>
      </c>
      <c r="AR24" s="53">
        <v>224.36672084719353</v>
      </c>
      <c r="AS24" s="53">
        <v>246.52699785920484</v>
      </c>
      <c r="AT24" s="53">
        <v>171.73809091014033</v>
      </c>
      <c r="AU24" s="53">
        <v>209.13254438467257</v>
      </c>
      <c r="AV24" s="53">
        <v>84.484366136231742</v>
      </c>
      <c r="AW24" s="51">
        <v>316575.38588587585</v>
      </c>
      <c r="AX24" s="53">
        <v>5007.8138087710249</v>
      </c>
      <c r="AY24" s="51">
        <v>18957</v>
      </c>
    </row>
    <row r="25" spans="2:51" x14ac:dyDescent="0.15">
      <c r="B25" s="51" t="e">
        <f>#REF!</f>
        <v>#REF!</v>
      </c>
      <c r="C25" s="51" t="e">
        <f>#REF!</f>
        <v>#REF!</v>
      </c>
      <c r="D25" s="51" t="e">
        <f>#REF!</f>
        <v>#REF!</v>
      </c>
      <c r="E25" s="51" t="e">
        <f>#REF!</f>
        <v>#REF!</v>
      </c>
      <c r="F25" s="51" t="e">
        <f>#REF!</f>
        <v>#REF!</v>
      </c>
      <c r="G25" s="51" t="e">
        <f>#REF!</f>
        <v>#REF!</v>
      </c>
      <c r="H25" s="54" t="e">
        <f>#REF!</f>
        <v>#REF!</v>
      </c>
      <c r="I25" s="55" t="e">
        <f>#REF!</f>
        <v>#REF!</v>
      </c>
      <c r="J25" s="54" t="e">
        <f>#REF!</f>
        <v>#REF!</v>
      </c>
      <c r="K25" s="55" t="e">
        <f>#REF!</f>
        <v>#REF!</v>
      </c>
      <c r="L25" s="82" t="e">
        <f>#REF!</f>
        <v>#REF!</v>
      </c>
      <c r="M25" s="82" t="e">
        <f>#REF!</f>
        <v>#REF!</v>
      </c>
      <c r="N25" s="54" t="e">
        <f>#REF!</f>
        <v>#REF!</v>
      </c>
      <c r="O25" s="54" t="e">
        <f>#REF!</f>
        <v>#REF!</v>
      </c>
      <c r="P25" s="54" t="e">
        <f>#REF!</f>
        <v>#REF!</v>
      </c>
      <c r="Q25" s="53" t="e">
        <f>#REF!</f>
        <v>#REF!</v>
      </c>
      <c r="R25" s="53" t="e">
        <f>#REF!</f>
        <v>#REF!</v>
      </c>
      <c r="S25" s="53" t="e">
        <f>#REF!</f>
        <v>#REF!</v>
      </c>
      <c r="T25" s="53" t="e">
        <f>#REF!</f>
        <v>#REF!</v>
      </c>
      <c r="U25" s="53" t="e">
        <f>#REF!</f>
        <v>#REF!</v>
      </c>
      <c r="V25" s="53" t="e">
        <f>#REF!</f>
        <v>#REF!</v>
      </c>
      <c r="W25" s="53" t="e">
        <f>#REF!</f>
        <v>#REF!</v>
      </c>
      <c r="X25" s="53" t="e">
        <f>#REF!</f>
        <v>#REF!</v>
      </c>
      <c r="Y25" s="51" t="e">
        <f>#REF!</f>
        <v>#REF!</v>
      </c>
      <c r="AB25" s="51">
        <v>33222.549317334044</v>
      </c>
      <c r="AC25" s="51">
        <v>26497.591645831435</v>
      </c>
      <c r="AD25" s="51">
        <v>14883.672391758677</v>
      </c>
      <c r="AE25" s="51">
        <v>7603.3742984597466</v>
      </c>
      <c r="AF25" s="51">
        <v>899.22924942073246</v>
      </c>
      <c r="AG25" s="51">
        <v>459.37429845974697</v>
      </c>
      <c r="AH25" s="54">
        <v>0.999000095413759</v>
      </c>
      <c r="AI25" s="55">
        <v>1.1111162838002839</v>
      </c>
      <c r="AJ25" s="54">
        <v>0.94503672534305572</v>
      </c>
      <c r="AK25" s="55">
        <v>1.1111162838002839</v>
      </c>
      <c r="AL25" s="82">
        <v>59660</v>
      </c>
      <c r="AM25" s="82">
        <v>56438</v>
      </c>
      <c r="AN25" s="54">
        <v>0.21193373132109741</v>
      </c>
      <c r="AO25" s="54">
        <v>4.9971408039351711E-2</v>
      </c>
      <c r="AP25" s="54">
        <v>0.26190513936044912</v>
      </c>
      <c r="AQ25" s="53">
        <v>22.508698121148015</v>
      </c>
      <c r="AR25" s="53">
        <v>225.81825123205414</v>
      </c>
      <c r="AS25" s="53">
        <v>248.32694935320217</v>
      </c>
      <c r="AT25" s="53">
        <v>173.05419894251747</v>
      </c>
      <c r="AU25" s="53">
        <v>210.69057414785982</v>
      </c>
      <c r="AV25" s="53">
        <v>85.235990130051945</v>
      </c>
      <c r="AW25" s="51">
        <v>321552.83030211448</v>
      </c>
      <c r="AX25" s="53">
        <v>4977.4444162386353</v>
      </c>
      <c r="AY25" s="51">
        <v>19255</v>
      </c>
    </row>
    <row r="26" spans="2:51" x14ac:dyDescent="0.15">
      <c r="B26" s="60" t="e">
        <f>#REF!</f>
        <v>#REF!</v>
      </c>
      <c r="C26" s="60" t="e">
        <f>#REF!</f>
        <v>#REF!</v>
      </c>
      <c r="D26" s="60" t="e">
        <f>#REF!</f>
        <v>#REF!</v>
      </c>
      <c r="E26" s="60" t="e">
        <f>#REF!</f>
        <v>#REF!</v>
      </c>
      <c r="F26" s="60" t="e">
        <f>#REF!</f>
        <v>#REF!</v>
      </c>
      <c r="G26" s="60" t="e">
        <f>#REF!</f>
        <v>#REF!</v>
      </c>
      <c r="H26" s="62" t="e">
        <f>#REF!</f>
        <v>#REF!</v>
      </c>
      <c r="I26" s="63" t="e">
        <f>#REF!</f>
        <v>#REF!</v>
      </c>
      <c r="J26" s="62" t="e">
        <f>#REF!</f>
        <v>#REF!</v>
      </c>
      <c r="K26" s="63" t="e">
        <f>#REF!</f>
        <v>#REF!</v>
      </c>
      <c r="L26" s="84" t="e">
        <f>#REF!</f>
        <v>#REF!</v>
      </c>
      <c r="M26" s="84" t="e">
        <f>#REF!</f>
        <v>#REF!</v>
      </c>
      <c r="N26" s="62" t="e">
        <f>#REF!</f>
        <v>#REF!</v>
      </c>
      <c r="O26" s="62" t="e">
        <f>#REF!</f>
        <v>#REF!</v>
      </c>
      <c r="P26" s="62" t="e">
        <f>#REF!</f>
        <v>#REF!</v>
      </c>
      <c r="Q26" s="61" t="e">
        <f>#REF!</f>
        <v>#REF!</v>
      </c>
      <c r="R26" s="61" t="e">
        <f>#REF!</f>
        <v>#REF!</v>
      </c>
      <c r="S26" s="61" t="e">
        <f>#REF!</f>
        <v>#REF!</v>
      </c>
      <c r="T26" s="61" t="e">
        <f>#REF!</f>
        <v>#REF!</v>
      </c>
      <c r="U26" s="61" t="e">
        <f>#REF!</f>
        <v>#REF!</v>
      </c>
      <c r="V26" s="61" t="e">
        <f>#REF!</f>
        <v>#REF!</v>
      </c>
      <c r="W26" s="61" t="e">
        <f>#REF!</f>
        <v>#REF!</v>
      </c>
      <c r="X26" s="61" t="e">
        <f>#REF!</f>
        <v>#REF!</v>
      </c>
      <c r="Y26" s="60" t="e">
        <f>#REF!</f>
        <v>#REF!</v>
      </c>
      <c r="AB26" s="60">
        <v>33360.279670453288</v>
      </c>
      <c r="AC26" s="60">
        <v>26611.38498534324</v>
      </c>
      <c r="AD26" s="60">
        <v>15043.166943143136</v>
      </c>
      <c r="AE26" s="60">
        <v>7684.2808838207502</v>
      </c>
      <c r="AF26" s="60">
        <v>903.02859147255788</v>
      </c>
      <c r="AG26" s="60">
        <v>461.28088382074986</v>
      </c>
      <c r="AH26" s="62">
        <v>1</v>
      </c>
      <c r="AI26" s="63">
        <v>1.1118527420541255</v>
      </c>
      <c r="AJ26" s="62">
        <v>0.95004059780583416</v>
      </c>
      <c r="AK26" s="63">
        <v>1.1118527420541255</v>
      </c>
      <c r="AL26" s="84">
        <v>59972</v>
      </c>
      <c r="AM26" s="84">
        <v>56976</v>
      </c>
      <c r="AN26" s="62">
        <v>0.20800515423069069</v>
      </c>
      <c r="AO26" s="62">
        <v>4.9971408039351711E-2</v>
      </c>
      <c r="AP26" s="62">
        <v>0.2579765622700424</v>
      </c>
      <c r="AQ26" s="61">
        <v>22.854984871472858</v>
      </c>
      <c r="AR26" s="61">
        <v>227.23589729839182</v>
      </c>
      <c r="AS26" s="61">
        <v>250.09088216986467</v>
      </c>
      <c r="AT26" s="61">
        <v>174.34558307040075</v>
      </c>
      <c r="AU26" s="61">
        <v>212.21823262013274</v>
      </c>
      <c r="AV26" s="61">
        <v>85.97606745435948</v>
      </c>
      <c r="AW26" s="60">
        <v>326499.78387818363</v>
      </c>
      <c r="AX26" s="61">
        <v>4946.9535760691506</v>
      </c>
      <c r="AY26" s="60">
        <v>19551</v>
      </c>
    </row>
    <row r="27" spans="2:51" x14ac:dyDescent="0.15">
      <c r="B27" s="51" t="e">
        <f>#REF!</f>
        <v>#REF!</v>
      </c>
      <c r="C27" s="51" t="e">
        <f>#REF!</f>
        <v>#REF!</v>
      </c>
      <c r="D27" s="51" t="e">
        <f>#REF!</f>
        <v>#REF!</v>
      </c>
      <c r="E27" s="51" t="e">
        <f>#REF!</f>
        <v>#REF!</v>
      </c>
      <c r="F27" s="51" t="e">
        <f>#REF!</f>
        <v>#REF!</v>
      </c>
      <c r="G27" s="51" t="e">
        <f>#REF!</f>
        <v>#REF!</v>
      </c>
      <c r="H27" s="54" t="e">
        <f>#REF!</f>
        <v>#REF!</v>
      </c>
      <c r="I27" s="55" t="e">
        <f>#REF!</f>
        <v>#REF!</v>
      </c>
      <c r="J27" s="54" t="e">
        <f>#REF!</f>
        <v>#REF!</v>
      </c>
      <c r="K27" s="55" t="e">
        <f>#REF!</f>
        <v>#REF!</v>
      </c>
      <c r="L27" s="82" t="e">
        <f>#REF!</f>
        <v>#REF!</v>
      </c>
      <c r="M27" s="82" t="e">
        <f>#REF!</f>
        <v>#REF!</v>
      </c>
      <c r="N27" s="54" t="e">
        <f>#REF!</f>
        <v>#REF!</v>
      </c>
      <c r="O27" s="54" t="e">
        <f>#REF!</f>
        <v>#REF!</v>
      </c>
      <c r="P27" s="54" t="e">
        <f>#REF!</f>
        <v>#REF!</v>
      </c>
      <c r="Q27" s="53" t="e">
        <f>#REF!</f>
        <v>#REF!</v>
      </c>
      <c r="R27" s="53" t="e">
        <f>#REF!</f>
        <v>#REF!</v>
      </c>
      <c r="S27" s="53" t="e">
        <f>#REF!</f>
        <v>#REF!</v>
      </c>
      <c r="T27" s="53" t="e">
        <f>#REF!</f>
        <v>#REF!</v>
      </c>
      <c r="U27" s="53" t="e">
        <f>#REF!</f>
        <v>#REF!</v>
      </c>
      <c r="V27" s="53" t="e">
        <f>#REF!</f>
        <v>#REF!</v>
      </c>
      <c r="W27" s="53" t="e">
        <f>#REF!</f>
        <v>#REF!</v>
      </c>
      <c r="X27" s="53" t="e">
        <f>#REF!</f>
        <v>#REF!</v>
      </c>
      <c r="Y27" s="51" t="e">
        <f>#REF!</f>
        <v>#REF!</v>
      </c>
      <c r="AB27" s="51">
        <v>33491.531541795885</v>
      </c>
      <c r="AC27" s="51">
        <v>26719.859383323994</v>
      </c>
      <c r="AD27" s="51">
        <v>15200.125140628334</v>
      </c>
      <c r="AE27" s="51">
        <v>7764.0955822288452</v>
      </c>
      <c r="AF27" s="51">
        <v>906.62340866363672</v>
      </c>
      <c r="AG27" s="51">
        <v>463.09558222884607</v>
      </c>
      <c r="AH27" s="54">
        <v>1</v>
      </c>
      <c r="AI27" s="55">
        <v>1.1124390398398296</v>
      </c>
      <c r="AJ27" s="54">
        <v>0.95503653802525079</v>
      </c>
      <c r="AK27" s="55">
        <v>1.1124390398398296</v>
      </c>
      <c r="AL27" s="82">
        <v>60211</v>
      </c>
      <c r="AM27" s="82">
        <v>57504</v>
      </c>
      <c r="AN27" s="54">
        <v>0.20542538860799028</v>
      </c>
      <c r="AO27" s="54">
        <v>4.9971408039351711E-2</v>
      </c>
      <c r="AP27" s="54">
        <v>0.25539679664734199</v>
      </c>
      <c r="AQ27" s="53">
        <v>23.201643048383886</v>
      </c>
      <c r="AR27" s="53">
        <v>228.84500352549864</v>
      </c>
      <c r="AS27" s="53">
        <v>252.04664657388253</v>
      </c>
      <c r="AT27" s="53">
        <v>175.76497873204963</v>
      </c>
      <c r="AU27" s="53">
        <v>213.90581265296609</v>
      </c>
      <c r="AV27" s="53">
        <v>86.769699583244616</v>
      </c>
      <c r="AW27" s="51">
        <v>331452.0435483412</v>
      </c>
      <c r="AX27" s="53">
        <v>4952.2596701575676</v>
      </c>
      <c r="AY27" s="51">
        <v>19847</v>
      </c>
    </row>
    <row r="28" spans="2:51" x14ac:dyDescent="0.15">
      <c r="B28" s="51" t="e">
        <f>#REF!</f>
        <v>#REF!</v>
      </c>
      <c r="C28" s="51" t="e">
        <f>#REF!</f>
        <v>#REF!</v>
      </c>
      <c r="D28" s="51" t="e">
        <f>#REF!</f>
        <v>#REF!</v>
      </c>
      <c r="E28" s="51" t="e">
        <f>#REF!</f>
        <v>#REF!</v>
      </c>
      <c r="F28" s="51" t="e">
        <f>#REF!</f>
        <v>#REF!</v>
      </c>
      <c r="G28" s="51" t="e">
        <f>#REF!</f>
        <v>#REF!</v>
      </c>
      <c r="H28" s="54" t="e">
        <f>#REF!</f>
        <v>#REF!</v>
      </c>
      <c r="I28" s="55" t="e">
        <f>#REF!</f>
        <v>#REF!</v>
      </c>
      <c r="J28" s="54" t="e">
        <f>#REF!</f>
        <v>#REF!</v>
      </c>
      <c r="K28" s="55" t="e">
        <f>#REF!</f>
        <v>#REF!</v>
      </c>
      <c r="L28" s="82" t="e">
        <f>#REF!</f>
        <v>#REF!</v>
      </c>
      <c r="M28" s="82" t="e">
        <f>#REF!</f>
        <v>#REF!</v>
      </c>
      <c r="N28" s="54" t="e">
        <f>#REF!</f>
        <v>#REF!</v>
      </c>
      <c r="O28" s="54" t="e">
        <f>#REF!</f>
        <v>#REF!</v>
      </c>
      <c r="P28" s="54" t="e">
        <f>#REF!</f>
        <v>#REF!</v>
      </c>
      <c r="Q28" s="53" t="e">
        <f>#REF!</f>
        <v>#REF!</v>
      </c>
      <c r="R28" s="53" t="e">
        <f>#REF!</f>
        <v>#REF!</v>
      </c>
      <c r="S28" s="53" t="e">
        <f>#REF!</f>
        <v>#REF!</v>
      </c>
      <c r="T28" s="53" t="e">
        <f>#REF!</f>
        <v>#REF!</v>
      </c>
      <c r="U28" s="53" t="e">
        <f>#REF!</f>
        <v>#REF!</v>
      </c>
      <c r="V28" s="53" t="e">
        <f>#REF!</f>
        <v>#REF!</v>
      </c>
      <c r="W28" s="53" t="e">
        <f>#REF!</f>
        <v>#REF!</v>
      </c>
      <c r="X28" s="53" t="e">
        <f>#REF!</f>
        <v>#REF!</v>
      </c>
      <c r="Y28" s="51" t="e">
        <f>#REF!</f>
        <v>#REF!</v>
      </c>
      <c r="AB28" s="51">
        <v>33616.581198487132</v>
      </c>
      <c r="AC28" s="51">
        <v>26823.238425347768</v>
      </c>
      <c r="AD28" s="51">
        <v>15354.556151367688</v>
      </c>
      <c r="AE28" s="51">
        <v>7843.9110243503892</v>
      </c>
      <c r="AF28" s="51">
        <v>910.0692762344421</v>
      </c>
      <c r="AG28" s="51">
        <v>464.9110243503892</v>
      </c>
      <c r="AH28" s="54">
        <v>1</v>
      </c>
      <c r="AI28" s="55">
        <v>1.1130253376255337</v>
      </c>
      <c r="AJ28" s="54">
        <v>0.96003247824466742</v>
      </c>
      <c r="AK28" s="55">
        <v>1.1130253376255337</v>
      </c>
      <c r="AL28" s="82">
        <v>60440</v>
      </c>
      <c r="AM28" s="82">
        <v>58024</v>
      </c>
      <c r="AN28" s="54">
        <v>0.20287142064151684</v>
      </c>
      <c r="AO28" s="54">
        <v>4.9971408039351711E-2</v>
      </c>
      <c r="AP28" s="54">
        <v>0.25284282868086855</v>
      </c>
      <c r="AQ28" s="53">
        <v>23.548038702902996</v>
      </c>
      <c r="AR28" s="53">
        <v>230.42140545481809</v>
      </c>
      <c r="AS28" s="53">
        <v>253.96944415772109</v>
      </c>
      <c r="AT28" s="53">
        <v>177.16230900611507</v>
      </c>
      <c r="AU28" s="53">
        <v>215.5658765819181</v>
      </c>
      <c r="AV28" s="53">
        <v>87.553984662574692</v>
      </c>
      <c r="AW28" s="51">
        <v>336400.5528986142</v>
      </c>
      <c r="AX28" s="53">
        <v>4948.5093502730015</v>
      </c>
      <c r="AY28" s="51">
        <v>20144</v>
      </c>
    </row>
    <row r="29" spans="2:51" x14ac:dyDescent="0.15">
      <c r="B29" s="51" t="e">
        <f>#REF!</f>
        <v>#REF!</v>
      </c>
      <c r="C29" s="51" t="e">
        <f>#REF!</f>
        <v>#REF!</v>
      </c>
      <c r="D29" s="51" t="e">
        <f>#REF!</f>
        <v>#REF!</v>
      </c>
      <c r="E29" s="51" t="e">
        <f>#REF!</f>
        <v>#REF!</v>
      </c>
      <c r="F29" s="51" t="e">
        <f>#REF!</f>
        <v>#REF!</v>
      </c>
      <c r="G29" s="51" t="e">
        <f>#REF!</f>
        <v>#REF!</v>
      </c>
      <c r="H29" s="54" t="e">
        <f>#REF!</f>
        <v>#REF!</v>
      </c>
      <c r="I29" s="55" t="e">
        <f>#REF!</f>
        <v>#REF!</v>
      </c>
      <c r="J29" s="54" t="e">
        <f>#REF!</f>
        <v>#REF!</v>
      </c>
      <c r="K29" s="55" t="e">
        <f>#REF!</f>
        <v>#REF!</v>
      </c>
      <c r="L29" s="82" t="e">
        <f>#REF!</f>
        <v>#REF!</v>
      </c>
      <c r="M29" s="82" t="e">
        <f>#REF!</f>
        <v>#REF!</v>
      </c>
      <c r="N29" s="54" t="e">
        <f>#REF!</f>
        <v>#REF!</v>
      </c>
      <c r="O29" s="54" t="e">
        <f>#REF!</f>
        <v>#REF!</v>
      </c>
      <c r="P29" s="54" t="e">
        <f>#REF!</f>
        <v>#REF!</v>
      </c>
      <c r="Q29" s="53" t="e">
        <f>#REF!</f>
        <v>#REF!</v>
      </c>
      <c r="R29" s="53" t="e">
        <f>#REF!</f>
        <v>#REF!</v>
      </c>
      <c r="S29" s="53" t="e">
        <f>#REF!</f>
        <v>#REF!</v>
      </c>
      <c r="T29" s="53" t="e">
        <f>#REF!</f>
        <v>#REF!</v>
      </c>
      <c r="U29" s="53" t="e">
        <f>#REF!</f>
        <v>#REF!</v>
      </c>
      <c r="V29" s="53" t="e">
        <f>#REF!</f>
        <v>#REF!</v>
      </c>
      <c r="W29" s="53" t="e">
        <f>#REF!</f>
        <v>#REF!</v>
      </c>
      <c r="X29" s="53" t="e">
        <f>#REF!</f>
        <v>#REF!</v>
      </c>
      <c r="Y29" s="51" t="e">
        <f>#REF!</f>
        <v>#REF!</v>
      </c>
      <c r="AB29" s="51">
        <v>33735.695820365654</v>
      </c>
      <c r="AC29" s="51">
        <v>26921.738665697689</v>
      </c>
      <c r="AD29" s="51">
        <v>15506.39459218903</v>
      </c>
      <c r="AE29" s="51">
        <v>7920.5276582191491</v>
      </c>
      <c r="AF29" s="51">
        <v>913.34343729096372</v>
      </c>
      <c r="AG29" s="51">
        <v>466.52765821914898</v>
      </c>
      <c r="AH29" s="54">
        <v>1</v>
      </c>
      <c r="AI29" s="55">
        <v>1.1136116354112378</v>
      </c>
      <c r="AJ29" s="54">
        <v>0.96502841846408405</v>
      </c>
      <c r="AK29" s="55">
        <v>1.1136116354112378</v>
      </c>
      <c r="AL29" s="82">
        <v>60657</v>
      </c>
      <c r="AM29" s="82">
        <v>58536</v>
      </c>
      <c r="AN29" s="54">
        <v>0.20034299235470812</v>
      </c>
      <c r="AO29" s="54">
        <v>4.9971408039351711E-2</v>
      </c>
      <c r="AP29" s="54">
        <v>0.25031440039405983</v>
      </c>
      <c r="AQ29" s="53">
        <v>23.891052663059497</v>
      </c>
      <c r="AR29" s="53">
        <v>231.96641085536427</v>
      </c>
      <c r="AS29" s="53">
        <v>255.85746351842377</v>
      </c>
      <c r="AT29" s="53">
        <v>178.53532656663566</v>
      </c>
      <c r="AU29" s="53">
        <v>217.1963950425297</v>
      </c>
      <c r="AV29" s="53">
        <v>88.326166789549561</v>
      </c>
      <c r="AW29" s="51">
        <v>341300.75232942135</v>
      </c>
      <c r="AX29" s="53">
        <v>4900.1994308071444</v>
      </c>
      <c r="AY29" s="51">
        <v>20437</v>
      </c>
    </row>
    <row r="30" spans="2:51" x14ac:dyDescent="0.15">
      <c r="B30" s="51" t="e">
        <f>#REF!</f>
        <v>#REF!</v>
      </c>
      <c r="C30" s="51" t="e">
        <f>#REF!</f>
        <v>#REF!</v>
      </c>
      <c r="D30" s="51" t="e">
        <f>#REF!</f>
        <v>#REF!</v>
      </c>
      <c r="E30" s="51" t="e">
        <f>#REF!</f>
        <v>#REF!</v>
      </c>
      <c r="F30" s="51" t="e">
        <f>#REF!</f>
        <v>#REF!</v>
      </c>
      <c r="G30" s="51" t="e">
        <f>#REF!</f>
        <v>#REF!</v>
      </c>
      <c r="H30" s="54" t="e">
        <f>#REF!</f>
        <v>#REF!</v>
      </c>
      <c r="I30" s="55" t="e">
        <f>#REF!</f>
        <v>#REF!</v>
      </c>
      <c r="J30" s="54" t="e">
        <f>#REF!</f>
        <v>#REF!</v>
      </c>
      <c r="K30" s="55" t="e">
        <f>#REF!</f>
        <v>#REF!</v>
      </c>
      <c r="L30" s="82" t="e">
        <f>#REF!</f>
        <v>#REF!</v>
      </c>
      <c r="M30" s="82" t="e">
        <f>#REF!</f>
        <v>#REF!</v>
      </c>
      <c r="N30" s="54" t="e">
        <f>#REF!</f>
        <v>#REF!</v>
      </c>
      <c r="O30" s="54" t="e">
        <f>#REF!</f>
        <v>#REF!</v>
      </c>
      <c r="P30" s="54" t="e">
        <f>#REF!</f>
        <v>#REF!</v>
      </c>
      <c r="Q30" s="53" t="e">
        <f>#REF!</f>
        <v>#REF!</v>
      </c>
      <c r="R30" s="53" t="e">
        <f>#REF!</f>
        <v>#REF!</v>
      </c>
      <c r="S30" s="53" t="e">
        <f>#REF!</f>
        <v>#REF!</v>
      </c>
      <c r="T30" s="53" t="e">
        <f>#REF!</f>
        <v>#REF!</v>
      </c>
      <c r="U30" s="53" t="e">
        <f>#REF!</f>
        <v>#REF!</v>
      </c>
      <c r="V30" s="53" t="e">
        <f>#REF!</f>
        <v>#REF!</v>
      </c>
      <c r="W30" s="53" t="e">
        <f>#REF!</f>
        <v>#REF!</v>
      </c>
      <c r="X30" s="53" t="e">
        <f>#REF!</f>
        <v>#REF!</v>
      </c>
      <c r="Y30" s="51" t="e">
        <f>#REF!</f>
        <v>#REF!</v>
      </c>
      <c r="AB30" s="51">
        <v>33849.13353662099</v>
      </c>
      <c r="AC30" s="51">
        <v>27015.56961694768</v>
      </c>
      <c r="AD30" s="51">
        <v>15655.623012557382</v>
      </c>
      <c r="AE30" s="51">
        <v>7997.1463776612536</v>
      </c>
      <c r="AF30" s="51">
        <v>916.46730686731394</v>
      </c>
      <c r="AG30" s="51">
        <v>468.14637766125367</v>
      </c>
      <c r="AH30" s="54">
        <v>1</v>
      </c>
      <c r="AI30" s="55">
        <v>1.1141979331969418</v>
      </c>
      <c r="AJ30" s="54">
        <v>0.97002435868350068</v>
      </c>
      <c r="AK30" s="55">
        <v>1.1141979331969418</v>
      </c>
      <c r="AL30" s="82">
        <v>60865</v>
      </c>
      <c r="AM30" s="82">
        <v>59041</v>
      </c>
      <c r="AN30" s="54">
        <v>0.19783984835076751</v>
      </c>
      <c r="AO30" s="54">
        <v>4.9971408039351711E-2</v>
      </c>
      <c r="AP30" s="54">
        <v>0.24781125639011922</v>
      </c>
      <c r="AQ30" s="53">
        <v>24.233618767169911</v>
      </c>
      <c r="AR30" s="53">
        <v>233.48129316217694</v>
      </c>
      <c r="AS30" s="53">
        <v>257.71491192934684</v>
      </c>
      <c r="AT30" s="53">
        <v>179.88781420862119</v>
      </c>
      <c r="AU30" s="53">
        <v>218.80136306898402</v>
      </c>
      <c r="AV30" s="53">
        <v>89.089533534441273</v>
      </c>
      <c r="AW30" s="51">
        <v>346194.55381671299</v>
      </c>
      <c r="AX30" s="53">
        <v>4893.8014872916392</v>
      </c>
      <c r="AY30" s="51">
        <v>20730</v>
      </c>
    </row>
    <row r="31" spans="2:51" x14ac:dyDescent="0.15">
      <c r="B31" s="51" t="e">
        <f>#REF!</f>
        <v>#REF!</v>
      </c>
      <c r="C31" s="51" t="e">
        <f>#REF!</f>
        <v>#REF!</v>
      </c>
      <c r="D31" s="51" t="e">
        <f>#REF!</f>
        <v>#REF!</v>
      </c>
      <c r="E31" s="51" t="e">
        <f>#REF!</f>
        <v>#REF!</v>
      </c>
      <c r="F31" s="51" t="e">
        <f>#REF!</f>
        <v>#REF!</v>
      </c>
      <c r="G31" s="51" t="e">
        <f>#REF!</f>
        <v>#REF!</v>
      </c>
      <c r="H31" s="54" t="e">
        <f>#REF!</f>
        <v>#REF!</v>
      </c>
      <c r="I31" s="55" t="e">
        <f>#REF!</f>
        <v>#REF!</v>
      </c>
      <c r="J31" s="54" t="e">
        <f>#REF!</f>
        <v>#REF!</v>
      </c>
      <c r="K31" s="55" t="e">
        <f>#REF!</f>
        <v>#REF!</v>
      </c>
      <c r="L31" s="82" t="e">
        <f>#REF!</f>
        <v>#REF!</v>
      </c>
      <c r="M31" s="82" t="e">
        <f>#REF!</f>
        <v>#REF!</v>
      </c>
      <c r="N31" s="54" t="e">
        <f>#REF!</f>
        <v>#REF!</v>
      </c>
      <c r="O31" s="54" t="e">
        <f>#REF!</f>
        <v>#REF!</v>
      </c>
      <c r="P31" s="54" t="e">
        <f>#REF!</f>
        <v>#REF!</v>
      </c>
      <c r="Q31" s="53" t="e">
        <f>#REF!</f>
        <v>#REF!</v>
      </c>
      <c r="R31" s="53" t="e">
        <f>#REF!</f>
        <v>#REF!</v>
      </c>
      <c r="S31" s="53" t="e">
        <f>#REF!</f>
        <v>#REF!</v>
      </c>
      <c r="T31" s="53" t="e">
        <f>#REF!</f>
        <v>#REF!</v>
      </c>
      <c r="U31" s="53" t="e">
        <f>#REF!</f>
        <v>#REF!</v>
      </c>
      <c r="V31" s="53" t="e">
        <f>#REF!</f>
        <v>#REF!</v>
      </c>
      <c r="W31" s="53" t="e">
        <f>#REF!</f>
        <v>#REF!</v>
      </c>
      <c r="X31" s="53" t="e">
        <f>#REF!</f>
        <v>#REF!</v>
      </c>
      <c r="Y31" s="51" t="e">
        <f>#REF!</f>
        <v>#REF!</v>
      </c>
      <c r="AB31" s="51">
        <v>33957.143492694828</v>
      </c>
      <c r="AC31" s="51">
        <v>27104.933767328082</v>
      </c>
      <c r="AD31" s="51">
        <v>15802.239289416113</v>
      </c>
      <c r="AE31" s="51">
        <v>8071.6600660934228</v>
      </c>
      <c r="AF31" s="51">
        <v>919.47389859335976</v>
      </c>
      <c r="AG31" s="51">
        <v>469.66006609342281</v>
      </c>
      <c r="AH31" s="54">
        <v>1</v>
      </c>
      <c r="AI31" s="55">
        <v>1.1147842309826459</v>
      </c>
      <c r="AJ31" s="54">
        <v>0.9750202989029173</v>
      </c>
      <c r="AK31" s="55">
        <v>1.1147842309826459</v>
      </c>
      <c r="AL31" s="82">
        <v>61062</v>
      </c>
      <c r="AM31" s="82">
        <v>59537</v>
      </c>
      <c r="AN31" s="54">
        <v>0.1953617357868663</v>
      </c>
      <c r="AO31" s="54">
        <v>4.9971408039351711E-2</v>
      </c>
      <c r="AP31" s="54">
        <v>0.24533314382621801</v>
      </c>
      <c r="AQ31" s="53">
        <v>24.572478553524373</v>
      </c>
      <c r="AR31" s="53">
        <v>234.94786583203128</v>
      </c>
      <c r="AS31" s="53">
        <v>259.52034438555563</v>
      </c>
      <c r="AT31" s="53">
        <v>181.20438910821193</v>
      </c>
      <c r="AU31" s="53">
        <v>220.36236674688382</v>
      </c>
      <c r="AV31" s="53">
        <v>89.835774617977521</v>
      </c>
      <c r="AW31" s="51">
        <v>351035.40790749097</v>
      </c>
      <c r="AX31" s="53">
        <v>4840.8540907779825</v>
      </c>
      <c r="AY31" s="51">
        <v>21020</v>
      </c>
    </row>
    <row r="32" spans="2:51" x14ac:dyDescent="0.15">
      <c r="B32" s="51" t="e">
        <f>#REF!</f>
        <v>#REF!</v>
      </c>
      <c r="C32" s="51" t="e">
        <f>#REF!</f>
        <v>#REF!</v>
      </c>
      <c r="D32" s="51" t="e">
        <f>#REF!</f>
        <v>#REF!</v>
      </c>
      <c r="E32" s="51" t="e">
        <f>#REF!</f>
        <v>#REF!</v>
      </c>
      <c r="F32" s="51" t="e">
        <f>#REF!</f>
        <v>#REF!</v>
      </c>
      <c r="G32" s="51" t="e">
        <f>#REF!</f>
        <v>#REF!</v>
      </c>
      <c r="H32" s="54" t="e">
        <f>#REF!</f>
        <v>#REF!</v>
      </c>
      <c r="I32" s="55" t="e">
        <f>#REF!</f>
        <v>#REF!</v>
      </c>
      <c r="J32" s="54" t="e">
        <f>#REF!</f>
        <v>#REF!</v>
      </c>
      <c r="K32" s="55" t="e">
        <f>#REF!</f>
        <v>#REF!</v>
      </c>
      <c r="L32" s="82" t="e">
        <f>#REF!</f>
        <v>#REF!</v>
      </c>
      <c r="M32" s="82" t="e">
        <f>#REF!</f>
        <v>#REF!</v>
      </c>
      <c r="N32" s="54" t="e">
        <f>#REF!</f>
        <v>#REF!</v>
      </c>
      <c r="O32" s="54" t="e">
        <f>#REF!</f>
        <v>#REF!</v>
      </c>
      <c r="P32" s="54" t="e">
        <f>#REF!</f>
        <v>#REF!</v>
      </c>
      <c r="Q32" s="53" t="e">
        <f>#REF!</f>
        <v>#REF!</v>
      </c>
      <c r="R32" s="53" t="e">
        <f>#REF!</f>
        <v>#REF!</v>
      </c>
      <c r="S32" s="53" t="e">
        <f>#REF!</f>
        <v>#REF!</v>
      </c>
      <c r="T32" s="53" t="e">
        <f>#REF!</f>
        <v>#REF!</v>
      </c>
      <c r="U32" s="53" t="e">
        <f>#REF!</f>
        <v>#REF!</v>
      </c>
      <c r="V32" s="53" t="e">
        <f>#REF!</f>
        <v>#REF!</v>
      </c>
      <c r="W32" s="53" t="e">
        <f>#REF!</f>
        <v>#REF!</v>
      </c>
      <c r="X32" s="53" t="e">
        <f>#REF!</f>
        <v>#REF!</v>
      </c>
      <c r="Y32" s="51" t="e">
        <f>#REF!</f>
        <v>#REF!</v>
      </c>
      <c r="AB32" s="51">
        <v>34059.965944064475</v>
      </c>
      <c r="AC32" s="51">
        <v>27190.026622976613</v>
      </c>
      <c r="AD32" s="51">
        <v>15946.12106804993</v>
      </c>
      <c r="AE32" s="51">
        <v>8145.085525483345</v>
      </c>
      <c r="AF32" s="51">
        <v>922.27230754799928</v>
      </c>
      <c r="AG32" s="51">
        <v>471.08552548334455</v>
      </c>
      <c r="AH32" s="54">
        <v>1</v>
      </c>
      <c r="AI32" s="55">
        <v>1.11537052876835</v>
      </c>
      <c r="AJ32" s="54">
        <v>0.98001623912233393</v>
      </c>
      <c r="AK32" s="55">
        <v>1.11537052876835</v>
      </c>
      <c r="AL32" s="82">
        <v>61250</v>
      </c>
      <c r="AM32" s="82">
        <v>60026</v>
      </c>
      <c r="AN32" s="54">
        <v>0.19290840434860412</v>
      </c>
      <c r="AO32" s="54">
        <v>4.9971408039351711E-2</v>
      </c>
      <c r="AP32" s="54">
        <v>0.24287981238795583</v>
      </c>
      <c r="AQ32" s="53">
        <v>24.910834145579592</v>
      </c>
      <c r="AR32" s="53">
        <v>236.40612258909215</v>
      </c>
      <c r="AS32" s="53">
        <v>261.31695673467175</v>
      </c>
      <c r="AT32" s="53">
        <v>182.51491587164102</v>
      </c>
      <c r="AU32" s="53">
        <v>221.91593630315643</v>
      </c>
      <c r="AV32" s="53">
        <v>90.579201531438542</v>
      </c>
      <c r="AW32" s="51">
        <v>355869.05922256556</v>
      </c>
      <c r="AX32" s="53">
        <v>4833.6513150745886</v>
      </c>
      <c r="AY32" s="51">
        <v>21310</v>
      </c>
    </row>
    <row r="33" spans="2:51" x14ac:dyDescent="0.15">
      <c r="B33" s="51" t="e">
        <f>#REF!</f>
        <v>#REF!</v>
      </c>
      <c r="C33" s="51" t="e">
        <f>#REF!</f>
        <v>#REF!</v>
      </c>
      <c r="D33" s="51" t="e">
        <f>#REF!</f>
        <v>#REF!</v>
      </c>
      <c r="E33" s="51" t="e">
        <f>#REF!</f>
        <v>#REF!</v>
      </c>
      <c r="F33" s="51" t="e">
        <f>#REF!</f>
        <v>#REF!</v>
      </c>
      <c r="G33" s="51" t="e">
        <f>#REF!</f>
        <v>#REF!</v>
      </c>
      <c r="H33" s="54" t="e">
        <f>#REF!</f>
        <v>#REF!</v>
      </c>
      <c r="I33" s="55" t="e">
        <f>#REF!</f>
        <v>#REF!</v>
      </c>
      <c r="J33" s="54" t="e">
        <f>#REF!</f>
        <v>#REF!</v>
      </c>
      <c r="K33" s="55" t="e">
        <f>#REF!</f>
        <v>#REF!</v>
      </c>
      <c r="L33" s="82" t="e">
        <f>#REF!</f>
        <v>#REF!</v>
      </c>
      <c r="M33" s="82" t="e">
        <f>#REF!</f>
        <v>#REF!</v>
      </c>
      <c r="N33" s="54" t="e">
        <f>#REF!</f>
        <v>#REF!</v>
      </c>
      <c r="O33" s="54" t="e">
        <f>#REF!</f>
        <v>#REF!</v>
      </c>
      <c r="P33" s="54" t="e">
        <f>#REF!</f>
        <v>#REF!</v>
      </c>
      <c r="Q33" s="53" t="e">
        <f>#REF!</f>
        <v>#REF!</v>
      </c>
      <c r="R33" s="53" t="e">
        <f>#REF!</f>
        <v>#REF!</v>
      </c>
      <c r="S33" s="53" t="e">
        <f>#REF!</f>
        <v>#REF!</v>
      </c>
      <c r="T33" s="53" t="e">
        <f>#REF!</f>
        <v>#REF!</v>
      </c>
      <c r="U33" s="53" t="e">
        <f>#REF!</f>
        <v>#REF!</v>
      </c>
      <c r="V33" s="53" t="e">
        <f>#REF!</f>
        <v>#REF!</v>
      </c>
      <c r="W33" s="53" t="e">
        <f>#REF!</f>
        <v>#REF!</v>
      </c>
      <c r="X33" s="53" t="e">
        <f>#REF!</f>
        <v>#REF!</v>
      </c>
      <c r="Y33" s="51" t="e">
        <f>#REF!</f>
        <v>#REF!</v>
      </c>
      <c r="AB33" s="51">
        <v>34157.832373718571</v>
      </c>
      <c r="AC33" s="51">
        <v>27271.036772325235</v>
      </c>
      <c r="AD33" s="51">
        <v>16087.338285475538</v>
      </c>
      <c r="AE33" s="51">
        <v>8217.4732102592661</v>
      </c>
      <c r="AF33" s="51">
        <v>924.96028520981326</v>
      </c>
      <c r="AG33" s="51">
        <v>472.4732102592651</v>
      </c>
      <c r="AH33" s="54">
        <v>1</v>
      </c>
      <c r="AI33" s="55">
        <v>1.115956826554054</v>
      </c>
      <c r="AJ33" s="54">
        <v>0.98501217934175056</v>
      </c>
      <c r="AK33" s="55">
        <v>1.115956826554054</v>
      </c>
      <c r="AL33" s="82">
        <v>61429</v>
      </c>
      <c r="AM33" s="82">
        <v>60508</v>
      </c>
      <c r="AN33" s="54">
        <v>0.19047960622472457</v>
      </c>
      <c r="AO33" s="54">
        <v>4.9971408039351711E-2</v>
      </c>
      <c r="AP33" s="54">
        <v>0.24045101426407628</v>
      </c>
      <c r="AQ33" s="53">
        <v>25.246318715869599</v>
      </c>
      <c r="AR33" s="53">
        <v>237.81832141587421</v>
      </c>
      <c r="AS33" s="53">
        <v>263.06464013174383</v>
      </c>
      <c r="AT33" s="53">
        <v>183.79186632645241</v>
      </c>
      <c r="AU33" s="53">
        <v>223.42825322909809</v>
      </c>
      <c r="AV33" s="53">
        <v>91.306963553612434</v>
      </c>
      <c r="AW33" s="51">
        <v>360661.69594099425</v>
      </c>
      <c r="AX33" s="53">
        <v>4792.6367184286937</v>
      </c>
      <c r="AY33" s="51">
        <v>21597</v>
      </c>
    </row>
    <row r="34" spans="2:51" x14ac:dyDescent="0.15">
      <c r="B34" s="51" t="e">
        <f>#REF!</f>
        <v>#REF!</v>
      </c>
      <c r="C34" s="51" t="e">
        <f>#REF!</f>
        <v>#REF!</v>
      </c>
      <c r="D34" s="51" t="e">
        <f>#REF!</f>
        <v>#REF!</v>
      </c>
      <c r="E34" s="51" t="e">
        <f>#REF!</f>
        <v>#REF!</v>
      </c>
      <c r="F34" s="51" t="e">
        <f>#REF!</f>
        <v>#REF!</v>
      </c>
      <c r="G34" s="51" t="e">
        <f>#REF!</f>
        <v>#REF!</v>
      </c>
      <c r="H34" s="54" t="e">
        <f>#REF!</f>
        <v>#REF!</v>
      </c>
      <c r="I34" s="55" t="e">
        <f>#REF!</f>
        <v>#REF!</v>
      </c>
      <c r="J34" s="54" t="e">
        <f>#REF!</f>
        <v>#REF!</v>
      </c>
      <c r="K34" s="55" t="e">
        <f>#REF!</f>
        <v>#REF!</v>
      </c>
      <c r="L34" s="82" t="e">
        <f>#REF!</f>
        <v>#REF!</v>
      </c>
      <c r="M34" s="82" t="e">
        <f>#REF!</f>
        <v>#REF!</v>
      </c>
      <c r="N34" s="54" t="e">
        <f>#REF!</f>
        <v>#REF!</v>
      </c>
      <c r="O34" s="54" t="e">
        <f>#REF!</f>
        <v>#REF!</v>
      </c>
      <c r="P34" s="54" t="e">
        <f>#REF!</f>
        <v>#REF!</v>
      </c>
      <c r="Q34" s="53" t="e">
        <f>#REF!</f>
        <v>#REF!</v>
      </c>
      <c r="R34" s="53" t="e">
        <f>#REF!</f>
        <v>#REF!</v>
      </c>
      <c r="S34" s="53" t="e">
        <f>#REF!</f>
        <v>#REF!</v>
      </c>
      <c r="T34" s="53" t="e">
        <f>#REF!</f>
        <v>#REF!</v>
      </c>
      <c r="U34" s="53" t="e">
        <f>#REF!</f>
        <v>#REF!</v>
      </c>
      <c r="V34" s="53" t="e">
        <f>#REF!</f>
        <v>#REF!</v>
      </c>
      <c r="W34" s="53" t="e">
        <f>#REF!</f>
        <v>#REF!</v>
      </c>
      <c r="X34" s="53" t="e">
        <f>#REF!</f>
        <v>#REF!</v>
      </c>
      <c r="Y34" s="51" t="e">
        <f>#REF!</f>
        <v>#REF!</v>
      </c>
      <c r="AB34" s="51">
        <v>34250.965630331673</v>
      </c>
      <c r="AC34" s="51">
        <v>27348.145970029684</v>
      </c>
      <c r="AD34" s="51">
        <v>16225.817384946453</v>
      </c>
      <c r="AE34" s="51">
        <v>8288.7983345743105</v>
      </c>
      <c r="AF34" s="51">
        <v>927.48851447226377</v>
      </c>
      <c r="AG34" s="51">
        <v>473.79833457430897</v>
      </c>
      <c r="AH34" s="54">
        <v>1</v>
      </c>
      <c r="AI34" s="55">
        <v>1.1165431243397581</v>
      </c>
      <c r="AJ34" s="54">
        <v>0.99000811956116719</v>
      </c>
      <c r="AK34" s="55">
        <v>1.1165431243397581</v>
      </c>
      <c r="AL34" s="82">
        <v>61599</v>
      </c>
      <c r="AM34" s="82">
        <v>60984</v>
      </c>
      <c r="AN34" s="54">
        <v>0.18807509608208381</v>
      </c>
      <c r="AO34" s="54">
        <v>4.9971408039351711E-2</v>
      </c>
      <c r="AP34" s="54">
        <v>0.23804650412143552</v>
      </c>
      <c r="AQ34" s="53">
        <v>25.579993967745555</v>
      </c>
      <c r="AR34" s="53">
        <v>239.20501913175437</v>
      </c>
      <c r="AS34" s="53">
        <v>264.78501309949991</v>
      </c>
      <c r="AT34" s="53">
        <v>185.0500067222485</v>
      </c>
      <c r="AU34" s="53">
        <v>224.9175099108742</v>
      </c>
      <c r="AV34" s="53">
        <v>92.025832615455101</v>
      </c>
      <c r="AW34" s="51">
        <v>365428.48525350791</v>
      </c>
      <c r="AX34" s="53">
        <v>4766.7893125136616</v>
      </c>
      <c r="AY34" s="51">
        <v>21882</v>
      </c>
    </row>
    <row r="35" spans="2:51" x14ac:dyDescent="0.15">
      <c r="B35" s="51" t="e">
        <f>#REF!</f>
        <v>#REF!</v>
      </c>
      <c r="C35" s="51" t="e">
        <f>#REF!</f>
        <v>#REF!</v>
      </c>
      <c r="D35" s="51" t="e">
        <f>#REF!</f>
        <v>#REF!</v>
      </c>
      <c r="E35" s="51" t="e">
        <f>#REF!</f>
        <v>#REF!</v>
      </c>
      <c r="F35" s="51" t="e">
        <f>#REF!</f>
        <v>#REF!</v>
      </c>
      <c r="G35" s="51" t="e">
        <f>#REF!</f>
        <v>#REF!</v>
      </c>
      <c r="H35" s="54" t="e">
        <f>#REF!</f>
        <v>#REF!</v>
      </c>
      <c r="I35" s="55" t="e">
        <f>#REF!</f>
        <v>#REF!</v>
      </c>
      <c r="J35" s="54" t="e">
        <f>#REF!</f>
        <v>#REF!</v>
      </c>
      <c r="K35" s="55" t="e">
        <f>#REF!</f>
        <v>#REF!</v>
      </c>
      <c r="L35" s="82" t="e">
        <f>#REF!</f>
        <v>#REF!</v>
      </c>
      <c r="M35" s="82" t="e">
        <f>#REF!</f>
        <v>#REF!</v>
      </c>
      <c r="N35" s="54" t="e">
        <f>#REF!</f>
        <v>#REF!</v>
      </c>
      <c r="O35" s="54" t="e">
        <f>#REF!</f>
        <v>#REF!</v>
      </c>
      <c r="P35" s="54" t="e">
        <f>#REF!</f>
        <v>#REF!</v>
      </c>
      <c r="Q35" s="53" t="e">
        <f>#REF!</f>
        <v>#REF!</v>
      </c>
      <c r="R35" s="53" t="e">
        <f>#REF!</f>
        <v>#REF!</v>
      </c>
      <c r="S35" s="53" t="e">
        <f>#REF!</f>
        <v>#REF!</v>
      </c>
      <c r="T35" s="53" t="e">
        <f>#REF!</f>
        <v>#REF!</v>
      </c>
      <c r="U35" s="53" t="e">
        <f>#REF!</f>
        <v>#REF!</v>
      </c>
      <c r="V35" s="53" t="e">
        <f>#REF!</f>
        <v>#REF!</v>
      </c>
      <c r="W35" s="53" t="e">
        <f>#REF!</f>
        <v>#REF!</v>
      </c>
      <c r="X35" s="53" t="e">
        <f>#REF!</f>
        <v>#REF!</v>
      </c>
      <c r="Y35" s="51" t="e">
        <f>#REF!</f>
        <v>#REF!</v>
      </c>
      <c r="AB35" s="51">
        <v>34339.580084344969</v>
      </c>
      <c r="AC35" s="51">
        <v>27421.529238009483</v>
      </c>
      <c r="AD35" s="51">
        <v>16361.626371194056</v>
      </c>
      <c r="AE35" s="51">
        <v>8358.0462630105158</v>
      </c>
      <c r="AF35" s="51">
        <v>929.94573370672379</v>
      </c>
      <c r="AG35" s="51">
        <v>475.04626301051655</v>
      </c>
      <c r="AH35" s="54">
        <v>1</v>
      </c>
      <c r="AI35" s="55">
        <v>1.1171294221254622</v>
      </c>
      <c r="AJ35" s="54">
        <v>0.99500405978058382</v>
      </c>
      <c r="AK35" s="55">
        <v>1.1171294221254622</v>
      </c>
      <c r="AL35" s="82">
        <v>61761</v>
      </c>
      <c r="AM35" s="82">
        <v>61452</v>
      </c>
      <c r="AN35" s="54">
        <v>0.18569463104086945</v>
      </c>
      <c r="AO35" s="54">
        <v>4.9971408039351711E-2</v>
      </c>
      <c r="AP35" s="54">
        <v>0.23566603908022116</v>
      </c>
      <c r="AQ35" s="53">
        <v>25.909580749489663</v>
      </c>
      <c r="AR35" s="53">
        <v>240.54764898495719</v>
      </c>
      <c r="AS35" s="53">
        <v>266.45722973444686</v>
      </c>
      <c r="AT35" s="53">
        <v>186.27468007279447</v>
      </c>
      <c r="AU35" s="53">
        <v>226.36595490362069</v>
      </c>
      <c r="AV35" s="53">
        <v>92.728372134200001</v>
      </c>
      <c r="AW35" s="51">
        <v>370136.86784985225</v>
      </c>
      <c r="AX35" s="53">
        <v>4708.3825963443378</v>
      </c>
      <c r="AY35" s="51">
        <v>22164</v>
      </c>
    </row>
    <row r="36" spans="2:51" x14ac:dyDescent="0.15">
      <c r="B36" s="60" t="e">
        <f>#REF!</f>
        <v>#REF!</v>
      </c>
      <c r="C36" s="60" t="e">
        <f>#REF!</f>
        <v>#REF!</v>
      </c>
      <c r="D36" s="60" t="e">
        <f>#REF!</f>
        <v>#REF!</v>
      </c>
      <c r="E36" s="60" t="e">
        <f>#REF!</f>
        <v>#REF!</v>
      </c>
      <c r="F36" s="60" t="e">
        <f>#REF!</f>
        <v>#REF!</v>
      </c>
      <c r="G36" s="60" t="e">
        <f>#REF!</f>
        <v>#REF!</v>
      </c>
      <c r="H36" s="62" t="e">
        <f>#REF!</f>
        <v>#REF!</v>
      </c>
      <c r="I36" s="63" t="e">
        <f>#REF!</f>
        <v>#REF!</v>
      </c>
      <c r="J36" s="62" t="e">
        <f>#REF!</f>
        <v>#REF!</v>
      </c>
      <c r="K36" s="63" t="e">
        <f>#REF!</f>
        <v>#REF!</v>
      </c>
      <c r="L36" s="84" t="e">
        <f>#REF!</f>
        <v>#REF!</v>
      </c>
      <c r="M36" s="84" t="e">
        <f>#REF!</f>
        <v>#REF!</v>
      </c>
      <c r="N36" s="62" t="e">
        <f>#REF!</f>
        <v>#REF!</v>
      </c>
      <c r="O36" s="62" t="e">
        <f>#REF!</f>
        <v>#REF!</v>
      </c>
      <c r="P36" s="62" t="e">
        <f>#REF!</f>
        <v>#REF!</v>
      </c>
      <c r="Q36" s="61" t="e">
        <f>#REF!</f>
        <v>#REF!</v>
      </c>
      <c r="R36" s="61" t="e">
        <f>#REF!</f>
        <v>#REF!</v>
      </c>
      <c r="S36" s="61" t="e">
        <f>#REF!</f>
        <v>#REF!</v>
      </c>
      <c r="T36" s="61" t="e">
        <f>#REF!</f>
        <v>#REF!</v>
      </c>
      <c r="U36" s="61" t="e">
        <f>#REF!</f>
        <v>#REF!</v>
      </c>
      <c r="V36" s="61" t="e">
        <f>#REF!</f>
        <v>#REF!</v>
      </c>
      <c r="W36" s="61" t="e">
        <f>#REF!</f>
        <v>#REF!</v>
      </c>
      <c r="X36" s="61" t="e">
        <f>#REF!</f>
        <v>#REF!</v>
      </c>
      <c r="Y36" s="60" t="e">
        <f>#REF!</f>
        <v>#REF!</v>
      </c>
      <c r="AB36" s="60">
        <v>34423.881799359457</v>
      </c>
      <c r="AC36" s="60">
        <v>27491.354981329172</v>
      </c>
      <c r="AD36" s="60">
        <v>16494.658405394319</v>
      </c>
      <c r="AE36" s="60">
        <v>8426.2324273177965</v>
      </c>
      <c r="AF36" s="60">
        <v>932.24240820987075</v>
      </c>
      <c r="AG36" s="60">
        <v>476.23242731779743</v>
      </c>
      <c r="AH36" s="62">
        <v>1</v>
      </c>
      <c r="AI36" s="63">
        <v>1.1177157199111663</v>
      </c>
      <c r="AJ36" s="62">
        <v>1</v>
      </c>
      <c r="AK36" s="63">
        <v>1.1177157199111663</v>
      </c>
      <c r="AL36" s="84">
        <v>61915</v>
      </c>
      <c r="AM36" s="84">
        <v>61915</v>
      </c>
      <c r="AN36" s="62">
        <v>0.18333797065006724</v>
      </c>
      <c r="AO36" s="62">
        <v>4.9971408039351711E-2</v>
      </c>
      <c r="AP36" s="62">
        <v>0.23330937868941895</v>
      </c>
      <c r="AQ36" s="61">
        <v>26.237190909025234</v>
      </c>
      <c r="AR36" s="61">
        <v>241.86681549907348</v>
      </c>
      <c r="AS36" s="61">
        <v>268.10400640809871</v>
      </c>
      <c r="AT36" s="61">
        <v>187.48173457507423</v>
      </c>
      <c r="AU36" s="61">
        <v>227.79287049158648</v>
      </c>
      <c r="AV36" s="61">
        <v>93.422417436545643</v>
      </c>
      <c r="AW36" s="60">
        <v>374817.01298607473</v>
      </c>
      <c r="AX36" s="61">
        <v>4680.1451362224761</v>
      </c>
      <c r="AY36" s="60">
        <v>22444</v>
      </c>
    </row>
    <row r="37" spans="2:51" x14ac:dyDescent="0.15">
      <c r="B37" s="51" t="e">
        <f>#REF!</f>
        <v>#REF!</v>
      </c>
      <c r="C37" s="51" t="e">
        <f>#REF!</f>
        <v>#REF!</v>
      </c>
      <c r="D37" s="51" t="e">
        <f>#REF!</f>
        <v>#REF!</v>
      </c>
      <c r="E37" s="51" t="e">
        <f>#REF!</f>
        <v>#REF!</v>
      </c>
      <c r="F37" s="51" t="e">
        <f>#REF!</f>
        <v>#REF!</v>
      </c>
      <c r="G37" s="51" t="e">
        <f>#REF!</f>
        <v>#REF!</v>
      </c>
      <c r="H37" s="54" t="e">
        <f>#REF!</f>
        <v>#REF!</v>
      </c>
      <c r="I37" s="55" t="e">
        <f>#REF!</f>
        <v>#REF!</v>
      </c>
      <c r="J37" s="54" t="e">
        <f>#REF!</f>
        <v>#REF!</v>
      </c>
      <c r="K37" s="55" t="e">
        <f>#REF!</f>
        <v>#REF!</v>
      </c>
      <c r="L37" s="82" t="e">
        <f>#REF!</f>
        <v>#REF!</v>
      </c>
      <c r="M37" s="82" t="e">
        <f>#REF!</f>
        <v>#REF!</v>
      </c>
      <c r="N37" s="54" t="e">
        <f>#REF!</f>
        <v>#REF!</v>
      </c>
      <c r="O37" s="54" t="e">
        <f>#REF!</f>
        <v>#REF!</v>
      </c>
      <c r="P37" s="54" t="e">
        <f>#REF!</f>
        <v>#REF!</v>
      </c>
      <c r="Q37" s="53" t="e">
        <f>#REF!</f>
        <v>#REF!</v>
      </c>
      <c r="R37" s="53" t="e">
        <f>#REF!</f>
        <v>#REF!</v>
      </c>
      <c r="S37" s="53" t="e">
        <f>#REF!</f>
        <v>#REF!</v>
      </c>
      <c r="T37" s="53" t="e">
        <f>#REF!</f>
        <v>#REF!</v>
      </c>
      <c r="U37" s="53" t="e">
        <f>#REF!</f>
        <v>#REF!</v>
      </c>
      <c r="V37" s="53" t="e">
        <f>#REF!</f>
        <v>#REF!</v>
      </c>
      <c r="W37" s="53" t="e">
        <f>#REF!</f>
        <v>#REF!</v>
      </c>
      <c r="X37" s="53" t="e">
        <f>#REF!</f>
        <v>#REF!</v>
      </c>
      <c r="Y37" s="51" t="e">
        <f>#REF!</f>
        <v>#REF!</v>
      </c>
      <c r="AB37" s="51">
        <v>34504.068716445523</v>
      </c>
      <c r="AC37" s="51">
        <v>27557.78511681392</v>
      </c>
      <c r="AD37" s="51">
        <v>16625.036998212981</v>
      </c>
      <c r="AE37" s="51">
        <v>8492.3675646577231</v>
      </c>
      <c r="AF37" s="51">
        <v>934.51600672695906</v>
      </c>
      <c r="AG37" s="51">
        <v>477.36756465772373</v>
      </c>
      <c r="AH37" s="54">
        <v>1</v>
      </c>
      <c r="AI37" s="55">
        <v>1.1182017571880594</v>
      </c>
      <c r="AJ37" s="54">
        <v>1</v>
      </c>
      <c r="AK37" s="55">
        <v>1.1182017571880594</v>
      </c>
      <c r="AL37" s="82">
        <v>62062</v>
      </c>
      <c r="AM37" s="82">
        <v>62062</v>
      </c>
      <c r="AN37" s="54">
        <v>0.18100487686317304</v>
      </c>
      <c r="AO37" s="54">
        <v>4.9971408039351711E-2</v>
      </c>
      <c r="AP37" s="54">
        <v>0.23097628490252475</v>
      </c>
      <c r="AQ37" s="53">
        <v>26.433055554696281</v>
      </c>
      <c r="AR37" s="53">
        <v>241.97443592894598</v>
      </c>
      <c r="AS37" s="53">
        <v>268.40749148364227</v>
      </c>
      <c r="AT37" s="53">
        <v>187.74934617399362</v>
      </c>
      <c r="AU37" s="53">
        <v>228.07841882881797</v>
      </c>
      <c r="AV37" s="53">
        <v>93.648176646070169</v>
      </c>
      <c r="AW37" s="51">
        <v>377615.07935280399</v>
      </c>
      <c r="AX37" s="53">
        <v>2798.0663667292683</v>
      </c>
      <c r="AY37" s="51">
        <v>22612</v>
      </c>
    </row>
    <row r="38" spans="2:51" x14ac:dyDescent="0.15">
      <c r="B38" s="51" t="e">
        <f>#REF!</f>
        <v>#REF!</v>
      </c>
      <c r="C38" s="51" t="e">
        <f>#REF!</f>
        <v>#REF!</v>
      </c>
      <c r="D38" s="51" t="e">
        <f>#REF!</f>
        <v>#REF!</v>
      </c>
      <c r="E38" s="51" t="e">
        <f>#REF!</f>
        <v>#REF!</v>
      </c>
      <c r="F38" s="51" t="e">
        <f>#REF!</f>
        <v>#REF!</v>
      </c>
      <c r="G38" s="51" t="e">
        <f>#REF!</f>
        <v>#REF!</v>
      </c>
      <c r="H38" s="54" t="e">
        <f>#REF!</f>
        <v>#REF!</v>
      </c>
      <c r="I38" s="55" t="e">
        <f>#REF!</f>
        <v>#REF!</v>
      </c>
      <c r="J38" s="54" t="e">
        <f>#REF!</f>
        <v>#REF!</v>
      </c>
      <c r="K38" s="55" t="e">
        <f>#REF!</f>
        <v>#REF!</v>
      </c>
      <c r="L38" s="82" t="e">
        <f>#REF!</f>
        <v>#REF!</v>
      </c>
      <c r="M38" s="82" t="e">
        <f>#REF!</f>
        <v>#REF!</v>
      </c>
      <c r="N38" s="54" t="e">
        <f>#REF!</f>
        <v>#REF!</v>
      </c>
      <c r="O38" s="54" t="e">
        <f>#REF!</f>
        <v>#REF!</v>
      </c>
      <c r="P38" s="54" t="e">
        <f>#REF!</f>
        <v>#REF!</v>
      </c>
      <c r="Q38" s="53" t="e">
        <f>#REF!</f>
        <v>#REF!</v>
      </c>
      <c r="R38" s="53" t="e">
        <f>#REF!</f>
        <v>#REF!</v>
      </c>
      <c r="S38" s="53" t="e">
        <f>#REF!</f>
        <v>#REF!</v>
      </c>
      <c r="T38" s="53" t="e">
        <f>#REF!</f>
        <v>#REF!</v>
      </c>
      <c r="U38" s="53" t="e">
        <f>#REF!</f>
        <v>#REF!</v>
      </c>
      <c r="V38" s="53" t="e">
        <f>#REF!</f>
        <v>#REF!</v>
      </c>
      <c r="W38" s="53" t="e">
        <f>#REF!</f>
        <v>#REF!</v>
      </c>
      <c r="X38" s="53" t="e">
        <f>#REF!</f>
        <v>#REF!</v>
      </c>
      <c r="Y38" s="51" t="e">
        <f>#REF!</f>
        <v>#REF!</v>
      </c>
      <c r="AB38" s="51">
        <v>34580.330849165293</v>
      </c>
      <c r="AC38" s="51">
        <v>27620.97521245286</v>
      </c>
      <c r="AD38" s="51">
        <v>16752.564448439396</v>
      </c>
      <c r="AE38" s="51">
        <v>8557.4163655316606</v>
      </c>
      <c r="AF38" s="51">
        <v>936.5795298963842</v>
      </c>
      <c r="AG38" s="51">
        <v>478.41636553165955</v>
      </c>
      <c r="AH38" s="54">
        <v>1</v>
      </c>
      <c r="AI38" s="55">
        <v>1.1186877944649525</v>
      </c>
      <c r="AJ38" s="54">
        <v>1</v>
      </c>
      <c r="AK38" s="55">
        <v>1.1186877944649525</v>
      </c>
      <c r="AL38" s="82">
        <v>62201</v>
      </c>
      <c r="AM38" s="82">
        <v>62201</v>
      </c>
      <c r="AN38" s="54">
        <v>0.17869511401414778</v>
      </c>
      <c r="AO38" s="54">
        <v>4.9971408039351711E-2</v>
      </c>
      <c r="AP38" s="54">
        <v>0.22866652205349949</v>
      </c>
      <c r="AQ38" s="53">
        <v>26.623780246855251</v>
      </c>
      <c r="AR38" s="53">
        <v>242.04022908505488</v>
      </c>
      <c r="AS38" s="53">
        <v>268.66400933191011</v>
      </c>
      <c r="AT38" s="53">
        <v>187.98393297022517</v>
      </c>
      <c r="AU38" s="53">
        <v>228.32397115106764</v>
      </c>
      <c r="AV38" s="53">
        <v>93.85717721492604</v>
      </c>
      <c r="AW38" s="51">
        <v>380339.71781221783</v>
      </c>
      <c r="AX38" s="53">
        <v>2724.6384594138362</v>
      </c>
      <c r="AY38" s="51">
        <v>22775</v>
      </c>
    </row>
    <row r="39" spans="2:51" x14ac:dyDescent="0.15">
      <c r="B39" s="51" t="e">
        <f>#REF!</f>
        <v>#REF!</v>
      </c>
      <c r="C39" s="51" t="e">
        <f>#REF!</f>
        <v>#REF!</v>
      </c>
      <c r="D39" s="51" t="e">
        <f>#REF!</f>
        <v>#REF!</v>
      </c>
      <c r="E39" s="51" t="e">
        <f>#REF!</f>
        <v>#REF!</v>
      </c>
      <c r="F39" s="51" t="e">
        <f>#REF!</f>
        <v>#REF!</v>
      </c>
      <c r="G39" s="51" t="e">
        <f>#REF!</f>
        <v>#REF!</v>
      </c>
      <c r="H39" s="54" t="e">
        <f>#REF!</f>
        <v>#REF!</v>
      </c>
      <c r="I39" s="55" t="e">
        <f>#REF!</f>
        <v>#REF!</v>
      </c>
      <c r="J39" s="54" t="e">
        <f>#REF!</f>
        <v>#REF!</v>
      </c>
      <c r="K39" s="55" t="e">
        <f>#REF!</f>
        <v>#REF!</v>
      </c>
      <c r="L39" s="82" t="e">
        <f>#REF!</f>
        <v>#REF!</v>
      </c>
      <c r="M39" s="82" t="e">
        <f>#REF!</f>
        <v>#REF!</v>
      </c>
      <c r="N39" s="54" t="e">
        <f>#REF!</f>
        <v>#REF!</v>
      </c>
      <c r="O39" s="54" t="e">
        <f>#REF!</f>
        <v>#REF!</v>
      </c>
      <c r="P39" s="54" t="e">
        <f>#REF!</f>
        <v>#REF!</v>
      </c>
      <c r="Q39" s="53" t="e">
        <f>#REF!</f>
        <v>#REF!</v>
      </c>
      <c r="R39" s="53" t="e">
        <f>#REF!</f>
        <v>#REF!</v>
      </c>
      <c r="S39" s="53" t="e">
        <f>#REF!</f>
        <v>#REF!</v>
      </c>
      <c r="T39" s="53" t="e">
        <f>#REF!</f>
        <v>#REF!</v>
      </c>
      <c r="U39" s="53" t="e">
        <f>#REF!</f>
        <v>#REF!</v>
      </c>
      <c r="V39" s="53" t="e">
        <f>#REF!</f>
        <v>#REF!</v>
      </c>
      <c r="W39" s="53" t="e">
        <f>#REF!</f>
        <v>#REF!</v>
      </c>
      <c r="X39" s="53" t="e">
        <f>#REF!</f>
        <v>#REF!</v>
      </c>
      <c r="Y39" s="51" t="e">
        <f>#REF!</f>
        <v>#REF!</v>
      </c>
      <c r="AB39" s="51">
        <v>34652.850487290365</v>
      </c>
      <c r="AC39" s="51">
        <v>27681.074635799727</v>
      </c>
      <c r="AD39" s="51">
        <v>16877.380445975417</v>
      </c>
      <c r="AE39" s="51">
        <v>8621.4539077994013</v>
      </c>
      <c r="AF39" s="51">
        <v>938.58020871859196</v>
      </c>
      <c r="AG39" s="51">
        <v>479.45390779939919</v>
      </c>
      <c r="AH39" s="54">
        <v>1</v>
      </c>
      <c r="AI39" s="55">
        <v>1.1191738317418456</v>
      </c>
      <c r="AJ39" s="54">
        <v>1</v>
      </c>
      <c r="AK39" s="55">
        <v>1.1191738317418456</v>
      </c>
      <c r="AL39" s="82">
        <v>62334</v>
      </c>
      <c r="AM39" s="82">
        <v>62334</v>
      </c>
      <c r="AN39" s="54">
        <v>0.17640844879361278</v>
      </c>
      <c r="AO39" s="54">
        <v>4.9971408039351711E-2</v>
      </c>
      <c r="AP39" s="54">
        <v>0.22637985683296449</v>
      </c>
      <c r="AQ39" s="53">
        <v>26.810531282213454</v>
      </c>
      <c r="AR39" s="53">
        <v>242.08518558229918</v>
      </c>
      <c r="AS39" s="53">
        <v>268.89571686451262</v>
      </c>
      <c r="AT39" s="53">
        <v>188.20065500374622</v>
      </c>
      <c r="AU39" s="53">
        <v>228.54818593412941</v>
      </c>
      <c r="AV39" s="53">
        <v>94.056416166185443</v>
      </c>
      <c r="AW39" s="51">
        <v>383007.58974590647</v>
      </c>
      <c r="AX39" s="53">
        <v>2667.8719336886425</v>
      </c>
      <c r="AY39" s="51">
        <v>22935</v>
      </c>
    </row>
    <row r="40" spans="2:51" x14ac:dyDescent="0.15">
      <c r="B40" s="51" t="e">
        <f>#REF!</f>
        <v>#REF!</v>
      </c>
      <c r="C40" s="51" t="e">
        <f>#REF!</f>
        <v>#REF!</v>
      </c>
      <c r="D40" s="51" t="e">
        <f>#REF!</f>
        <v>#REF!</v>
      </c>
      <c r="E40" s="51" t="e">
        <f>#REF!</f>
        <v>#REF!</v>
      </c>
      <c r="F40" s="51" t="e">
        <f>#REF!</f>
        <v>#REF!</v>
      </c>
      <c r="G40" s="51" t="e">
        <f>#REF!</f>
        <v>#REF!</v>
      </c>
      <c r="H40" s="54" t="e">
        <f>#REF!</f>
        <v>#REF!</v>
      </c>
      <c r="I40" s="55" t="e">
        <f>#REF!</f>
        <v>#REF!</v>
      </c>
      <c r="J40" s="54" t="e">
        <f>#REF!</f>
        <v>#REF!</v>
      </c>
      <c r="K40" s="55" t="e">
        <f>#REF!</f>
        <v>#REF!</v>
      </c>
      <c r="L40" s="82" t="e">
        <f>#REF!</f>
        <v>#REF!</v>
      </c>
      <c r="M40" s="82" t="e">
        <f>#REF!</f>
        <v>#REF!</v>
      </c>
      <c r="N40" s="54" t="e">
        <f>#REF!</f>
        <v>#REF!</v>
      </c>
      <c r="O40" s="54" t="e">
        <f>#REF!</f>
        <v>#REF!</v>
      </c>
      <c r="P40" s="54" t="e">
        <f>#REF!</f>
        <v>#REF!</v>
      </c>
      <c r="Q40" s="53" t="e">
        <f>#REF!</f>
        <v>#REF!</v>
      </c>
      <c r="R40" s="53" t="e">
        <f>#REF!</f>
        <v>#REF!</v>
      </c>
      <c r="S40" s="53" t="e">
        <f>#REF!</f>
        <v>#REF!</v>
      </c>
      <c r="T40" s="53" t="e">
        <f>#REF!</f>
        <v>#REF!</v>
      </c>
      <c r="U40" s="53" t="e">
        <f>#REF!</f>
        <v>#REF!</v>
      </c>
      <c r="V40" s="53" t="e">
        <f>#REF!</f>
        <v>#REF!</v>
      </c>
      <c r="W40" s="53" t="e">
        <f>#REF!</f>
        <v>#REF!</v>
      </c>
      <c r="X40" s="53" t="e">
        <f>#REF!</f>
        <v>#REF!</v>
      </c>
      <c r="Y40" s="51" t="e">
        <f>#REF!</f>
        <v>#REF!</v>
      </c>
      <c r="AB40" s="51">
        <v>34721.802407377349</v>
      </c>
      <c r="AC40" s="51">
        <v>27738.226709731796</v>
      </c>
      <c r="AD40" s="51">
        <v>16999.470363887049</v>
      </c>
      <c r="AE40" s="51">
        <v>8683.4162346017947</v>
      </c>
      <c r="AF40" s="51">
        <v>940.50789709931803</v>
      </c>
      <c r="AG40" s="51">
        <v>480.41623460179443</v>
      </c>
      <c r="AH40" s="54">
        <v>1</v>
      </c>
      <c r="AI40" s="55">
        <v>1.1196598690187387</v>
      </c>
      <c r="AJ40" s="54">
        <v>1</v>
      </c>
      <c r="AK40" s="55">
        <v>1.1196598690187387</v>
      </c>
      <c r="AL40" s="82">
        <v>62460</v>
      </c>
      <c r="AM40" s="82">
        <v>62460</v>
      </c>
      <c r="AN40" s="54">
        <v>0.17414465022528314</v>
      </c>
      <c r="AO40" s="54">
        <v>4.9971408039351711E-2</v>
      </c>
      <c r="AP40" s="54">
        <v>0.22411605826463485</v>
      </c>
      <c r="AQ40" s="53">
        <v>26.992265090220602</v>
      </c>
      <c r="AR40" s="53">
        <v>242.11051566483295</v>
      </c>
      <c r="AS40" s="53">
        <v>269.10278075505357</v>
      </c>
      <c r="AT40" s="53">
        <v>188.39927553344256</v>
      </c>
      <c r="AU40" s="53">
        <v>228.75102814424804</v>
      </c>
      <c r="AV40" s="53">
        <v>94.245186108229746</v>
      </c>
      <c r="AW40" s="51">
        <v>385603.78700315137</v>
      </c>
      <c r="AX40" s="53">
        <v>2596.1972572449013</v>
      </c>
      <c r="AY40" s="51">
        <v>23090</v>
      </c>
    </row>
    <row r="41" spans="2:51" x14ac:dyDescent="0.15">
      <c r="B41" s="56" t="e">
        <f>#REF!</f>
        <v>#REF!</v>
      </c>
      <c r="C41" s="56" t="e">
        <f>#REF!</f>
        <v>#REF!</v>
      </c>
      <c r="D41" s="56" t="e">
        <f>#REF!</f>
        <v>#REF!</v>
      </c>
      <c r="E41" s="56" t="e">
        <f>#REF!</f>
        <v>#REF!</v>
      </c>
      <c r="F41" s="56" t="e">
        <f>#REF!</f>
        <v>#REF!</v>
      </c>
      <c r="G41" s="56" t="e">
        <f>#REF!</f>
        <v>#REF!</v>
      </c>
      <c r="H41" s="58" t="e">
        <f>#REF!</f>
        <v>#REF!</v>
      </c>
      <c r="I41" s="59" t="e">
        <f>#REF!</f>
        <v>#REF!</v>
      </c>
      <c r="J41" s="58" t="e">
        <f>#REF!</f>
        <v>#REF!</v>
      </c>
      <c r="K41" s="59" t="e">
        <f>#REF!</f>
        <v>#REF!</v>
      </c>
      <c r="L41" s="83" t="e">
        <f>#REF!</f>
        <v>#REF!</v>
      </c>
      <c r="M41" s="83" t="e">
        <f>#REF!</f>
        <v>#REF!</v>
      </c>
      <c r="N41" s="58" t="e">
        <f>#REF!</f>
        <v>#REF!</v>
      </c>
      <c r="O41" s="58" t="e">
        <f>#REF!</f>
        <v>#REF!</v>
      </c>
      <c r="P41" s="58" t="e">
        <f>#REF!</f>
        <v>#REF!</v>
      </c>
      <c r="Q41" s="57" t="e">
        <f>#REF!</f>
        <v>#REF!</v>
      </c>
      <c r="R41" s="57" t="e">
        <f>#REF!</f>
        <v>#REF!</v>
      </c>
      <c r="S41" s="57" t="e">
        <f>#REF!</f>
        <v>#REF!</v>
      </c>
      <c r="T41" s="57" t="e">
        <f>#REF!</f>
        <v>#REF!</v>
      </c>
      <c r="U41" s="57" t="e">
        <f>#REF!</f>
        <v>#REF!</v>
      </c>
      <c r="V41" s="57" t="e">
        <f>#REF!</f>
        <v>#REF!</v>
      </c>
      <c r="W41" s="57" t="e">
        <f>#REF!</f>
        <v>#REF!</v>
      </c>
      <c r="X41" s="57" t="e">
        <f>#REF!</f>
        <v>#REF!</v>
      </c>
      <c r="Y41" s="56" t="e">
        <f>#REF!</f>
        <v>#REF!</v>
      </c>
      <c r="AB41" s="56">
        <v>34787.354088533953</v>
      </c>
      <c r="AC41" s="56">
        <v>27792.568874073146</v>
      </c>
      <c r="AD41" s="56">
        <v>17118.793684607281</v>
      </c>
      <c r="AE41" s="56">
        <v>8744.3423380691602</v>
      </c>
      <c r="AF41" s="56">
        <v>942.3236029082459</v>
      </c>
      <c r="AG41" s="56">
        <v>481.34233806916041</v>
      </c>
      <c r="AH41" s="58">
        <v>1</v>
      </c>
      <c r="AI41" s="59">
        <v>1.120145906295632</v>
      </c>
      <c r="AJ41" s="58">
        <v>1</v>
      </c>
      <c r="AK41" s="59">
        <v>1.120145906295632</v>
      </c>
      <c r="AL41" s="83">
        <v>62580</v>
      </c>
      <c r="AM41" s="83">
        <v>62580</v>
      </c>
      <c r="AN41" s="58">
        <v>0.1719034896426368</v>
      </c>
      <c r="AO41" s="58">
        <v>4.9971408039351711E-2</v>
      </c>
      <c r="AP41" s="58">
        <v>0.22187489768198851</v>
      </c>
      <c r="AQ41" s="57">
        <v>27.168861223959333</v>
      </c>
      <c r="AR41" s="57">
        <v>242.09784178090101</v>
      </c>
      <c r="AS41" s="57">
        <v>269.26670300486035</v>
      </c>
      <c r="AT41" s="57">
        <v>188.56742241122666</v>
      </c>
      <c r="AU41" s="57">
        <v>228.91706270804349</v>
      </c>
      <c r="AV41" s="57">
        <v>94.418261718654037</v>
      </c>
      <c r="AW41" s="56">
        <v>388126.58891370468</v>
      </c>
      <c r="AX41" s="57">
        <v>2522.8019105533022</v>
      </c>
      <c r="AY41" s="56">
        <v>23241</v>
      </c>
    </row>
    <row r="43" spans="2:51" ht="12.75" thickBot="1" x14ac:dyDescent="0.2"/>
    <row r="44" spans="2:51" ht="60.75" thickBot="1" x14ac:dyDescent="0.2">
      <c r="S44" s="90" t="s">
        <v>111</v>
      </c>
      <c r="T44" s="90" t="s">
        <v>161</v>
      </c>
      <c r="AA44" s="93" t="s">
        <v>114</v>
      </c>
      <c r="AB44" s="91" t="s">
        <v>20</v>
      </c>
      <c r="AC44" s="91" t="s">
        <v>4</v>
      </c>
      <c r="AD44" s="91" t="s">
        <v>155</v>
      </c>
      <c r="AE44" s="91" t="s">
        <v>156</v>
      </c>
      <c r="AF44" s="91" t="s">
        <v>157</v>
      </c>
      <c r="AG44" s="91" t="s">
        <v>158</v>
      </c>
      <c r="AH44" s="90" t="s">
        <v>50</v>
      </c>
      <c r="AI44" s="90" t="s">
        <v>28</v>
      </c>
      <c r="AJ44" s="90" t="s">
        <v>51</v>
      </c>
      <c r="AK44" s="90" t="s">
        <v>29</v>
      </c>
      <c r="AL44" s="90" t="s">
        <v>110</v>
      </c>
      <c r="AM44" s="90" t="s">
        <v>111</v>
      </c>
      <c r="AN44" s="91" t="s">
        <v>43</v>
      </c>
      <c r="AO44" s="91" t="s">
        <v>44</v>
      </c>
      <c r="AP44" s="91" t="s">
        <v>5</v>
      </c>
      <c r="AQ44" s="46" t="s">
        <v>45</v>
      </c>
      <c r="AR44" s="45" t="s">
        <v>46</v>
      </c>
      <c r="AS44" s="45" t="s">
        <v>93</v>
      </c>
      <c r="AT44" s="45" t="s">
        <v>30</v>
      </c>
      <c r="AU44" s="45" t="s">
        <v>31</v>
      </c>
      <c r="AV44" s="45" t="s">
        <v>32</v>
      </c>
      <c r="AW44" s="94" t="s">
        <v>26</v>
      </c>
      <c r="AX44" s="46" t="s">
        <v>138</v>
      </c>
      <c r="AY44" s="87" t="s">
        <v>152</v>
      </c>
    </row>
    <row r="45" spans="2:51" x14ac:dyDescent="0.15">
      <c r="S45" s="92">
        <v>0</v>
      </c>
      <c r="AB45" s="44" t="s">
        <v>120</v>
      </c>
      <c r="AC45" s="44" t="s">
        <v>120</v>
      </c>
      <c r="AD45" s="44" t="s">
        <v>159</v>
      </c>
      <c r="AE45" s="44" t="s">
        <v>159</v>
      </c>
      <c r="AF45" s="44" t="s">
        <v>159</v>
      </c>
      <c r="AG45" s="44" t="s">
        <v>159</v>
      </c>
      <c r="AH45" s="43" t="s">
        <v>2</v>
      </c>
      <c r="AI45" s="43" t="s">
        <v>2</v>
      </c>
      <c r="AJ45" s="43" t="s">
        <v>2</v>
      </c>
      <c r="AK45" s="43" t="s">
        <v>2</v>
      </c>
      <c r="AL45" s="92">
        <v>0</v>
      </c>
      <c r="AM45" s="92">
        <v>0</v>
      </c>
      <c r="AN45" s="39" t="s">
        <v>2</v>
      </c>
      <c r="AO45" s="39" t="s">
        <v>2</v>
      </c>
      <c r="AP45" s="39" t="s">
        <v>2</v>
      </c>
      <c r="AQ45" s="43" t="s">
        <v>19</v>
      </c>
      <c r="AR45" s="43" t="s">
        <v>19</v>
      </c>
      <c r="AS45" s="43" t="s">
        <v>19</v>
      </c>
      <c r="AT45" s="43" t="s">
        <v>19</v>
      </c>
      <c r="AU45" s="43" t="s">
        <v>19</v>
      </c>
      <c r="AV45" s="43" t="s">
        <v>19</v>
      </c>
      <c r="AW45" s="92" t="s">
        <v>101</v>
      </c>
      <c r="AX45" s="43" t="s">
        <v>101</v>
      </c>
      <c r="AY45" s="43" t="s">
        <v>154</v>
      </c>
    </row>
    <row r="46" spans="2:51" ht="15.75" x14ac:dyDescent="0.15">
      <c r="S46" s="82">
        <f>AM46+AM88+AM130+AM172+AM214+AM256</f>
        <v>1413</v>
      </c>
      <c r="T46" s="54">
        <f>S46/(AB4+AC4)</f>
        <v>2.7883800703653653E-2</v>
      </c>
      <c r="U46" s="86">
        <f>T46-AJ46</f>
        <v>-0.11670921825517949</v>
      </c>
      <c r="AB46" s="76">
        <v>8435.140910765489</v>
      </c>
      <c r="AC46" s="76">
        <v>1333.6715317401463</v>
      </c>
      <c r="AD46" s="76">
        <v>3301.636527759877</v>
      </c>
      <c r="AE46" s="76">
        <v>336.106905330117</v>
      </c>
      <c r="AF46" s="76">
        <v>227.78347796854686</v>
      </c>
      <c r="AG46" s="76">
        <v>23.18837922394928</v>
      </c>
      <c r="AH46" s="54">
        <v>0.73504510649358956</v>
      </c>
      <c r="AI46" s="55">
        <v>1.0934659892767227</v>
      </c>
      <c r="AJ46" s="54">
        <v>0.14459301895883314</v>
      </c>
      <c r="AK46" s="55">
        <v>1.0934659892767227</v>
      </c>
      <c r="AL46" s="82">
        <v>7181</v>
      </c>
      <c r="AM46" s="82">
        <v>1413</v>
      </c>
      <c r="AN46" s="54">
        <v>0.41755321579381505</v>
      </c>
      <c r="AO46" s="54">
        <v>0.27836881052921009</v>
      </c>
      <c r="AP46" s="54">
        <v>0.69592202632302513</v>
      </c>
      <c r="AQ46" s="53">
        <v>8.1833490812469004E-2</v>
      </c>
      <c r="AR46" s="53">
        <v>6.5470264702346812</v>
      </c>
      <c r="AS46" s="53">
        <v>6.6288599610471506</v>
      </c>
      <c r="AT46" s="53">
        <v>4.4465178043022568</v>
      </c>
      <c r="AU46" s="53">
        <v>5.537688882674705</v>
      </c>
      <c r="AV46" s="53">
        <v>1.900451954766547</v>
      </c>
      <c r="AW46" s="51">
        <v>1169.0498687495572</v>
      </c>
      <c r="AX46" s="53">
        <v>0</v>
      </c>
      <c r="AY46" s="53">
        <v>0</v>
      </c>
    </row>
    <row r="47" spans="2:51" ht="15.75" x14ac:dyDescent="0.15">
      <c r="S47" s="82">
        <f t="shared" ref="S47:S83" si="0">AM47+AM89+AM131+AM173+AM215+AM257</f>
        <v>1402</v>
      </c>
      <c r="T47" s="78">
        <f t="shared" ref="T47:T83" si="1">S47/(AB5+AC5)</f>
        <v>2.7322266210376568E-2</v>
      </c>
      <c r="U47" s="86">
        <f t="shared" ref="U47:U83" si="2">T47-AJ47</f>
        <v>-0.11439154475731431</v>
      </c>
      <c r="AB47" s="76">
        <v>8540.1005247258854</v>
      </c>
      <c r="AC47" s="76">
        <v>1355.6630055160865</v>
      </c>
      <c r="AD47" s="76">
        <v>3360.5300206732613</v>
      </c>
      <c r="AE47" s="76">
        <v>343.35181767825986</v>
      </c>
      <c r="AF47" s="76">
        <v>230.65141008277499</v>
      </c>
      <c r="AG47" s="76">
        <v>23.566098328176327</v>
      </c>
      <c r="AH47" s="78">
        <v>0.75550056927092557</v>
      </c>
      <c r="AI47" s="79">
        <v>1.0944786286488752</v>
      </c>
      <c r="AJ47" s="78">
        <v>0.14171381096769087</v>
      </c>
      <c r="AK47" s="79">
        <v>1.0944786286488752</v>
      </c>
      <c r="AL47" s="81">
        <v>7476</v>
      </c>
      <c r="AM47" s="81">
        <v>1402</v>
      </c>
      <c r="AN47" s="78">
        <v>0.41702842080111552</v>
      </c>
      <c r="AO47" s="78">
        <v>0.27801894720074366</v>
      </c>
      <c r="AP47" s="78">
        <v>0.69504736800185918</v>
      </c>
      <c r="AQ47" s="77">
        <v>2.5911658084036371</v>
      </c>
      <c r="AR47" s="77">
        <v>34.017473169605502</v>
      </c>
      <c r="AS47" s="77">
        <v>36.608638978009139</v>
      </c>
      <c r="AT47" s="77">
        <v>25.26948125480731</v>
      </c>
      <c r="AU47" s="77">
        <v>30.939060116408228</v>
      </c>
      <c r="AV47" s="77">
        <v>12.040463911071834</v>
      </c>
      <c r="AW47" s="76">
        <v>8062.7904390424555</v>
      </c>
      <c r="AX47" s="77">
        <v>0</v>
      </c>
      <c r="AY47" s="76">
        <v>483</v>
      </c>
    </row>
    <row r="48" spans="2:51" x14ac:dyDescent="0.15">
      <c r="S48" s="82">
        <f t="shared" si="0"/>
        <v>1391</v>
      </c>
      <c r="T48" s="54">
        <f t="shared" si="1"/>
        <v>2.6787474588542699E-2</v>
      </c>
      <c r="U48" s="86">
        <f t="shared" si="2"/>
        <v>-0.112126758414205</v>
      </c>
      <c r="AB48" s="51">
        <v>8640.9041867545748</v>
      </c>
      <c r="AC48" s="51">
        <v>1372.1599240901753</v>
      </c>
      <c r="AD48" s="51">
        <v>3419.1440360013958</v>
      </c>
      <c r="AE48" s="51">
        <v>349.30623292402379</v>
      </c>
      <c r="AF48" s="51">
        <v>233.41243083064452</v>
      </c>
      <c r="AG48" s="51">
        <v>23.845856177045366</v>
      </c>
      <c r="AH48" s="54">
        <v>0.77614866772091773</v>
      </c>
      <c r="AI48" s="55">
        <v>1.0954740495672763</v>
      </c>
      <c r="AJ48" s="54">
        <v>0.13891423300274769</v>
      </c>
      <c r="AK48" s="55">
        <v>1.0954740495672763</v>
      </c>
      <c r="AL48" s="82">
        <v>7772</v>
      </c>
      <c r="AM48" s="82">
        <v>1391</v>
      </c>
      <c r="AN48" s="54">
        <v>0.4165136742434038</v>
      </c>
      <c r="AO48" s="54">
        <v>0.2776757828289359</v>
      </c>
      <c r="AP48" s="54">
        <v>0.6941894570723397</v>
      </c>
      <c r="AQ48" s="53">
        <v>0.56238842667824163</v>
      </c>
      <c r="AR48" s="53">
        <v>6.4448353075244373</v>
      </c>
      <c r="AS48" s="53">
        <v>7.0072237342026789</v>
      </c>
      <c r="AT48" s="53">
        <v>4.8589452983612</v>
      </c>
      <c r="AU48" s="53">
        <v>5.933084516281939</v>
      </c>
      <c r="AV48" s="53">
        <v>2.3526204565461408</v>
      </c>
      <c r="AW48" s="51">
        <v>8034.1203811177375</v>
      </c>
      <c r="AX48" s="53">
        <v>0</v>
      </c>
      <c r="AY48" s="51">
        <v>481</v>
      </c>
    </row>
    <row r="49" spans="19:51" x14ac:dyDescent="0.15">
      <c r="S49" s="82">
        <f t="shared" si="0"/>
        <v>1719</v>
      </c>
      <c r="T49" s="58">
        <f t="shared" si="1"/>
        <v>3.2732483976711177E-2</v>
      </c>
      <c r="U49" s="86">
        <f t="shared" si="2"/>
        <v>-0.13727637541592613</v>
      </c>
      <c r="AB49" s="56">
        <v>8723.6384573843861</v>
      </c>
      <c r="AC49" s="56">
        <v>1388.2529915112584</v>
      </c>
      <c r="AD49" s="56">
        <v>3471.8626634506145</v>
      </c>
      <c r="AE49" s="56">
        <v>355.31400934237388</v>
      </c>
      <c r="AF49" s="56">
        <v>235.68682679023246</v>
      </c>
      <c r="AG49" s="56">
        <v>24.120433177730828</v>
      </c>
      <c r="AH49" s="58">
        <v>0.79697538358465825</v>
      </c>
      <c r="AI49" s="59">
        <v>1.0964522597533219</v>
      </c>
      <c r="AJ49" s="58">
        <v>0.1700088593926373</v>
      </c>
      <c r="AK49" s="59">
        <v>1.0964522597533219</v>
      </c>
      <c r="AL49" s="83">
        <v>8059</v>
      </c>
      <c r="AM49" s="83">
        <v>1719</v>
      </c>
      <c r="AN49" s="58">
        <v>0.40442584348281335</v>
      </c>
      <c r="AO49" s="58">
        <v>0.23391407945509562</v>
      </c>
      <c r="AP49" s="58">
        <v>0.63833992293790898</v>
      </c>
      <c r="AQ49" s="57">
        <v>0.69828547840479771</v>
      </c>
      <c r="AR49" s="57">
        <v>7.8951962786735557</v>
      </c>
      <c r="AS49" s="57">
        <v>8.5934817570783526</v>
      </c>
      <c r="AT49" s="57">
        <v>5.9617496641871677</v>
      </c>
      <c r="AU49" s="57">
        <v>7.2776157106327615</v>
      </c>
      <c r="AV49" s="57">
        <v>2.8913955558141189</v>
      </c>
      <c r="AW49" s="56">
        <v>9975.5068343542516</v>
      </c>
      <c r="AX49" s="57">
        <v>1941.3864532365142</v>
      </c>
      <c r="AY49" s="56">
        <v>597</v>
      </c>
    </row>
    <row r="50" spans="19:51" x14ac:dyDescent="0.15">
      <c r="S50" s="82">
        <f t="shared" si="0"/>
        <v>6854</v>
      </c>
      <c r="T50" s="54">
        <f t="shared" si="1"/>
        <v>0.12912028225903982</v>
      </c>
      <c r="U50" s="86">
        <f t="shared" si="2"/>
        <v>-0.12199891199864343</v>
      </c>
      <c r="AB50" s="51">
        <v>8809.9572227480585</v>
      </c>
      <c r="AC50" s="51">
        <v>1403.8906563814255</v>
      </c>
      <c r="AD50" s="51">
        <v>3527.1763505017566</v>
      </c>
      <c r="AE50" s="51">
        <v>361.35860180944422</v>
      </c>
      <c r="AF50" s="51">
        <v>238.05572968993602</v>
      </c>
      <c r="AG50" s="51">
        <v>24.388767979022383</v>
      </c>
      <c r="AH50" s="54">
        <v>0.81842266920165019</v>
      </c>
      <c r="AI50" s="55">
        <v>1.0973451375046974</v>
      </c>
      <c r="AJ50" s="54">
        <v>0.25111919425768325</v>
      </c>
      <c r="AK50" s="55">
        <v>1.0973451375046974</v>
      </c>
      <c r="AL50" s="82">
        <v>8359</v>
      </c>
      <c r="AM50" s="82">
        <v>2565</v>
      </c>
      <c r="AN50" s="54">
        <v>0.38993442357891628</v>
      </c>
      <c r="AO50" s="54">
        <v>0.19704922053297255</v>
      </c>
      <c r="AP50" s="54">
        <v>0.58698364411188886</v>
      </c>
      <c r="AQ50" s="53">
        <v>1.0472462169411942</v>
      </c>
      <c r="AR50" s="53">
        <v>11.660170856773716</v>
      </c>
      <c r="AS50" s="53">
        <v>12.707417073714911</v>
      </c>
      <c r="AT50" s="53">
        <v>8.8206934547903391</v>
      </c>
      <c r="AU50" s="53">
        <v>10.764055264252626</v>
      </c>
      <c r="AV50" s="53">
        <v>4.2861825660450048</v>
      </c>
      <c r="AW50" s="51">
        <v>14960.66024201706</v>
      </c>
      <c r="AX50" s="53">
        <v>4985.1534076628086</v>
      </c>
      <c r="AY50" s="51">
        <v>896</v>
      </c>
    </row>
    <row r="51" spans="19:51" x14ac:dyDescent="0.15">
      <c r="S51" s="82">
        <f t="shared" si="0"/>
        <v>12091</v>
      </c>
      <c r="T51" s="54">
        <f t="shared" si="1"/>
        <v>0.22547366230816407</v>
      </c>
      <c r="U51" s="86">
        <f t="shared" si="2"/>
        <v>-0.10675586681456511</v>
      </c>
      <c r="AB51" s="51">
        <v>8899.0214635521024</v>
      </c>
      <c r="AC51" s="51">
        <v>1418.9141704667252</v>
      </c>
      <c r="AD51" s="51">
        <v>3584.7203014472975</v>
      </c>
      <c r="AE51" s="51">
        <v>367.395334636656</v>
      </c>
      <c r="AF51" s="51">
        <v>240.49278722057099</v>
      </c>
      <c r="AG51" s="51">
        <v>24.647928041395836</v>
      </c>
      <c r="AH51" s="54">
        <v>0.83986995481864213</v>
      </c>
      <c r="AI51" s="55">
        <v>1.0982380152560729</v>
      </c>
      <c r="AJ51" s="54">
        <v>0.33222952912272918</v>
      </c>
      <c r="AK51" s="55">
        <v>1.0982380152560729</v>
      </c>
      <c r="AL51" s="82">
        <v>8666</v>
      </c>
      <c r="AM51" s="82">
        <v>3428</v>
      </c>
      <c r="AN51" s="54">
        <v>0.37376486193216862</v>
      </c>
      <c r="AO51" s="54">
        <v>0.16599426337697609</v>
      </c>
      <c r="AP51" s="54">
        <v>0.53975912530914472</v>
      </c>
      <c r="AQ51" s="53">
        <v>1.4067661861111707</v>
      </c>
      <c r="AR51" s="53">
        <v>15.39695150432334</v>
      </c>
      <c r="AS51" s="53">
        <v>16.80371769043451</v>
      </c>
      <c r="AT51" s="53">
        <v>11.67140052232673</v>
      </c>
      <c r="AU51" s="53">
        <v>14.237559106380619</v>
      </c>
      <c r="AV51" s="53">
        <v>5.6836971595343204</v>
      </c>
      <c r="AW51" s="51">
        <v>20096.65980158815</v>
      </c>
      <c r="AX51" s="53">
        <v>5135.9995595710898</v>
      </c>
      <c r="AY51" s="51">
        <v>1203</v>
      </c>
    </row>
    <row r="52" spans="19:51" x14ac:dyDescent="0.15">
      <c r="S52" s="82">
        <f t="shared" si="0"/>
        <v>17419</v>
      </c>
      <c r="T52" s="54">
        <f t="shared" si="1"/>
        <v>0.32170947297908564</v>
      </c>
      <c r="U52" s="86">
        <f t="shared" si="2"/>
        <v>-9.1630391008689471E-2</v>
      </c>
      <c r="AB52" s="51">
        <v>8968.2601778190638</v>
      </c>
      <c r="AC52" s="51">
        <v>1410.3192549960766</v>
      </c>
      <c r="AD52" s="51">
        <v>3635.3145688843424</v>
      </c>
      <c r="AE52" s="51">
        <v>367.36348124174367</v>
      </c>
      <c r="AF52" s="51">
        <v>242.38376752000275</v>
      </c>
      <c r="AG52" s="51">
        <v>24.493876099411242</v>
      </c>
      <c r="AH52" s="54">
        <v>0.86131724043563407</v>
      </c>
      <c r="AI52" s="55">
        <v>1.0991308930074484</v>
      </c>
      <c r="AJ52" s="54">
        <v>0.41333986398777511</v>
      </c>
      <c r="AK52" s="55">
        <v>1.0991308930074484</v>
      </c>
      <c r="AL52" s="82">
        <v>8940</v>
      </c>
      <c r="AM52" s="82">
        <v>4290</v>
      </c>
      <c r="AN52" s="54">
        <v>0.35650038710895227</v>
      </c>
      <c r="AO52" s="54">
        <v>0.13983356746876466</v>
      </c>
      <c r="AP52" s="54">
        <v>0.4963339545777169</v>
      </c>
      <c r="AQ52" s="53">
        <v>1.7713263440227791</v>
      </c>
      <c r="AR52" s="53">
        <v>19.027829084250282</v>
      </c>
      <c r="AS52" s="53">
        <v>20.79915542827306</v>
      </c>
      <c r="AT52" s="53">
        <v>14.456545733522969</v>
      </c>
      <c r="AU52" s="53">
        <v>17.62785058089802</v>
      </c>
      <c r="AV52" s="53">
        <v>7.0568344229811926</v>
      </c>
      <c r="AW52" s="51">
        <v>25304.662057468271</v>
      </c>
      <c r="AX52" s="53">
        <v>5208.0022558801211</v>
      </c>
      <c r="AY52" s="51">
        <v>1515</v>
      </c>
    </row>
    <row r="53" spans="19:51" x14ac:dyDescent="0.15">
      <c r="S53" s="82">
        <f t="shared" si="0"/>
        <v>22853</v>
      </c>
      <c r="T53" s="54">
        <f t="shared" si="1"/>
        <v>0.41821847154350983</v>
      </c>
      <c r="U53" s="86">
        <f t="shared" si="2"/>
        <v>-7.6231727309311215E-2</v>
      </c>
      <c r="AB53" s="51">
        <v>9086.6067588635287</v>
      </c>
      <c r="AC53" s="51">
        <v>1445.1692240688917</v>
      </c>
      <c r="AD53" s="51">
        <v>3706.9057184305861</v>
      </c>
      <c r="AE53" s="51">
        <v>378.72720837948145</v>
      </c>
      <c r="AF53" s="51">
        <v>245.61702612297222</v>
      </c>
      <c r="AG53" s="51">
        <v>25.094204627736424</v>
      </c>
      <c r="AH53" s="54">
        <v>0.88276452605262601</v>
      </c>
      <c r="AI53" s="55">
        <v>1.1000237707588238</v>
      </c>
      <c r="AJ53" s="54">
        <v>0.49445019885282104</v>
      </c>
      <c r="AK53" s="55">
        <v>1.1000237707588238</v>
      </c>
      <c r="AL53" s="82">
        <v>9297</v>
      </c>
      <c r="AM53" s="82">
        <v>5208</v>
      </c>
      <c r="AN53" s="54">
        <v>0.33860666622551072</v>
      </c>
      <c r="AO53" s="54">
        <v>0.11779579723568735</v>
      </c>
      <c r="AP53" s="54">
        <v>0.45640246346119806</v>
      </c>
      <c r="AQ53" s="53">
        <v>2.1606305406797275</v>
      </c>
      <c r="AR53" s="53">
        <v>22.78459447330988</v>
      </c>
      <c r="AS53" s="53">
        <v>24.945225013989607</v>
      </c>
      <c r="AT53" s="53">
        <v>17.35036018955298</v>
      </c>
      <c r="AU53" s="53">
        <v>21.147792601771297</v>
      </c>
      <c r="AV53" s="53">
        <v>8.4896845610435836</v>
      </c>
      <c r="AW53" s="51">
        <v>30866.150581138962</v>
      </c>
      <c r="AX53" s="53">
        <v>5561.4885236706905</v>
      </c>
      <c r="AY53" s="51">
        <v>1848</v>
      </c>
    </row>
    <row r="54" spans="19:51" x14ac:dyDescent="0.15">
      <c r="S54" s="82">
        <f t="shared" si="0"/>
        <v>28363</v>
      </c>
      <c r="T54" s="54">
        <f t="shared" si="1"/>
        <v>0.51455642261400736</v>
      </c>
      <c r="U54" s="86">
        <f t="shared" si="2"/>
        <v>-6.1004111103859615E-2</v>
      </c>
      <c r="AB54" s="51">
        <v>9152.8712915739579</v>
      </c>
      <c r="AC54" s="51">
        <v>1458.0428235542536</v>
      </c>
      <c r="AD54" s="51">
        <v>3758.2835126900036</v>
      </c>
      <c r="AE54" s="51">
        <v>384.44278426479002</v>
      </c>
      <c r="AF54" s="51">
        <v>247.45361251517878</v>
      </c>
      <c r="AG54" s="51">
        <v>25.31255437502238</v>
      </c>
      <c r="AH54" s="54">
        <v>0.90421181166961795</v>
      </c>
      <c r="AI54" s="55">
        <v>1.1009166485101993</v>
      </c>
      <c r="AJ54" s="54">
        <v>0.57556053371786697</v>
      </c>
      <c r="AK54" s="55">
        <v>1.1009166485101993</v>
      </c>
      <c r="AL54" s="82">
        <v>9595</v>
      </c>
      <c r="AM54" s="82">
        <v>6107</v>
      </c>
      <c r="AN54" s="54">
        <v>0.32045239581641949</v>
      </c>
      <c r="AO54" s="54">
        <v>9.9231179591343033E-2</v>
      </c>
      <c r="AP54" s="54">
        <v>0.41968357540776252</v>
      </c>
      <c r="AQ54" s="53">
        <v>2.548826562071044</v>
      </c>
      <c r="AR54" s="53">
        <v>26.371531828994286</v>
      </c>
      <c r="AS54" s="53">
        <v>28.920358391065328</v>
      </c>
      <c r="AT54" s="53">
        <v>20.129847781400571</v>
      </c>
      <c r="AU54" s="53">
        <v>24.525103086232946</v>
      </c>
      <c r="AV54" s="53">
        <v>9.8742520701250118</v>
      </c>
      <c r="AW54" s="51">
        <v>36411.80802958634</v>
      </c>
      <c r="AX54" s="53">
        <v>5545.6574484473786</v>
      </c>
      <c r="AY54" s="51">
        <v>2180</v>
      </c>
    </row>
    <row r="55" spans="19:51" x14ac:dyDescent="0.15">
      <c r="S55" s="82">
        <f t="shared" si="0"/>
        <v>33954</v>
      </c>
      <c r="T55" s="54">
        <f t="shared" si="1"/>
        <v>0.61091932461723741</v>
      </c>
      <c r="U55" s="86">
        <f t="shared" si="2"/>
        <v>-4.575154396567549E-2</v>
      </c>
      <c r="AB55" s="51">
        <v>9222.2031552384415</v>
      </c>
      <c r="AC55" s="51">
        <v>1470.53469972116</v>
      </c>
      <c r="AD55" s="51">
        <v>3811.7472797187297</v>
      </c>
      <c r="AE55" s="51">
        <v>390.19250282715819</v>
      </c>
      <c r="AF55" s="51">
        <v>249.35178206845922</v>
      </c>
      <c r="AG55" s="51">
        <v>25.52509093333272</v>
      </c>
      <c r="AH55" s="54">
        <v>0.92565909728660989</v>
      </c>
      <c r="AI55" s="55">
        <v>1.1018095262615748</v>
      </c>
      <c r="AJ55" s="54">
        <v>0.6566708685829129</v>
      </c>
      <c r="AK55" s="55">
        <v>1.1018095262615748</v>
      </c>
      <c r="AL55" s="82">
        <v>9898</v>
      </c>
      <c r="AM55" s="82">
        <v>7022</v>
      </c>
      <c r="AN55" s="54">
        <v>0.30232648159311698</v>
      </c>
      <c r="AO55" s="54">
        <v>8.3592345687747371E-2</v>
      </c>
      <c r="AP55" s="54">
        <v>0.38591882728086435</v>
      </c>
      <c r="AQ55" s="53">
        <v>2.9471505425553466</v>
      </c>
      <c r="AR55" s="53">
        <v>29.902184534128082</v>
      </c>
      <c r="AS55" s="53">
        <v>32.849335076683431</v>
      </c>
      <c r="AT55" s="53">
        <v>22.88194023197407</v>
      </c>
      <c r="AU55" s="53">
        <v>27.865637654328747</v>
      </c>
      <c r="AV55" s="53">
        <v>11.253312913146484</v>
      </c>
      <c r="AW55" s="51">
        <v>42102.150607933516</v>
      </c>
      <c r="AX55" s="53">
        <v>5690.3425783471757</v>
      </c>
      <c r="AY55" s="51">
        <v>2521</v>
      </c>
    </row>
    <row r="56" spans="19:51" x14ac:dyDescent="0.15">
      <c r="S56" s="82">
        <f t="shared" si="0"/>
        <v>39618</v>
      </c>
      <c r="T56" s="54">
        <f t="shared" si="1"/>
        <v>0.70725996331899144</v>
      </c>
      <c r="U56" s="86">
        <f t="shared" si="2"/>
        <v>-3.0521240128967397E-2</v>
      </c>
      <c r="AB56" s="51">
        <v>9294.5600372626704</v>
      </c>
      <c r="AC56" s="51">
        <v>1482.5017293956082</v>
      </c>
      <c r="AD56" s="51">
        <v>3867.283986362153</v>
      </c>
      <c r="AE56" s="51">
        <v>395.9373175035546</v>
      </c>
      <c r="AF56" s="51">
        <v>251.33616691242952</v>
      </c>
      <c r="AG56" s="51">
        <v>25.732107616059114</v>
      </c>
      <c r="AH56" s="54">
        <v>0.94710638290360183</v>
      </c>
      <c r="AI56" s="55">
        <v>1.1027024040129503</v>
      </c>
      <c r="AJ56" s="54">
        <v>0.73778120344795883</v>
      </c>
      <c r="AK56" s="55">
        <v>1.1027024040129503</v>
      </c>
      <c r="AL56" s="82">
        <v>10207</v>
      </c>
      <c r="AM56" s="82">
        <v>7951</v>
      </c>
      <c r="AN56" s="54">
        <v>0.28445235803771951</v>
      </c>
      <c r="AO56" s="54">
        <v>7.0418192007358382E-2</v>
      </c>
      <c r="AP56" s="54">
        <v>0.35487055004507789</v>
      </c>
      <c r="AQ56" s="53">
        <v>3.3566277006785481</v>
      </c>
      <c r="AR56" s="53">
        <v>33.392892961998669</v>
      </c>
      <c r="AS56" s="53">
        <v>36.74952066267722</v>
      </c>
      <c r="AT56" s="53">
        <v>25.618556342010994</v>
      </c>
      <c r="AU56" s="53">
        <v>31.184038502344102</v>
      </c>
      <c r="AV56" s="53">
        <v>12.632431301233732</v>
      </c>
      <c r="AW56" s="51">
        <v>47951.824295407823</v>
      </c>
      <c r="AX56" s="53">
        <v>5849.6736874743074</v>
      </c>
      <c r="AY56" s="51">
        <v>2871</v>
      </c>
    </row>
    <row r="57" spans="19:51" x14ac:dyDescent="0.15">
      <c r="S57" s="82">
        <f t="shared" si="0"/>
        <v>45354</v>
      </c>
      <c r="T57" s="54">
        <f t="shared" si="1"/>
        <v>0.80365206798224098</v>
      </c>
      <c r="U57" s="86">
        <f t="shared" si="2"/>
        <v>-1.5239470330763782E-2</v>
      </c>
      <c r="AB57" s="51">
        <v>9369.1617784167611</v>
      </c>
      <c r="AC57" s="51">
        <v>1493.9613793051897</v>
      </c>
      <c r="AD57" s="51">
        <v>3924.5417652072238</v>
      </c>
      <c r="AE57" s="51">
        <v>401.54939412083183</v>
      </c>
      <c r="AF57" s="51">
        <v>253.38024559456457</v>
      </c>
      <c r="AG57" s="51">
        <v>25.925239222243988</v>
      </c>
      <c r="AH57" s="54">
        <v>0.96855366852059377</v>
      </c>
      <c r="AI57" s="55">
        <v>1.1035952817643258</v>
      </c>
      <c r="AJ57" s="54">
        <v>0.81889153831300476</v>
      </c>
      <c r="AK57" s="55">
        <v>1.1035952817643258</v>
      </c>
      <c r="AL57" s="82">
        <v>10521</v>
      </c>
      <c r="AM57" s="82">
        <v>8896</v>
      </c>
      <c r="AN57" s="54">
        <v>0.26699991087398522</v>
      </c>
      <c r="AO57" s="54">
        <v>5.9320284946998703E-2</v>
      </c>
      <c r="AP57" s="54">
        <v>0.32632019582098393</v>
      </c>
      <c r="AQ57" s="53">
        <v>3.7773582843667</v>
      </c>
      <c r="AR57" s="53">
        <v>36.84821309055166</v>
      </c>
      <c r="AS57" s="53">
        <v>40.625571374918358</v>
      </c>
      <c r="AT57" s="53">
        <v>28.342833678067805</v>
      </c>
      <c r="AU57" s="53">
        <v>34.484202526493085</v>
      </c>
      <c r="AV57" s="53">
        <v>14.012973031742161</v>
      </c>
      <c r="AW57" s="51">
        <v>53962.261205238567</v>
      </c>
      <c r="AX57" s="53">
        <v>6010.4369098307434</v>
      </c>
      <c r="AY57" s="51">
        <v>3231</v>
      </c>
    </row>
    <row r="58" spans="19:51" x14ac:dyDescent="0.15">
      <c r="S58" s="82">
        <f t="shared" si="0"/>
        <v>51152</v>
      </c>
      <c r="T58" s="62">
        <f t="shared" si="1"/>
        <v>0.900004459684973</v>
      </c>
      <c r="U58" s="86">
        <f t="shared" si="2"/>
        <v>2.5865069223085513E-6</v>
      </c>
      <c r="AB58" s="60">
        <v>9445.6952320771925</v>
      </c>
      <c r="AC58" s="60">
        <v>1504.1975219645465</v>
      </c>
      <c r="AD58" s="60">
        <v>3983.3621892994615</v>
      </c>
      <c r="AE58" s="60">
        <v>406.95831817956065</v>
      </c>
      <c r="AF58" s="60">
        <v>255.47381641239858</v>
      </c>
      <c r="AG58" s="60">
        <v>26.100361886597078</v>
      </c>
      <c r="AH58" s="62">
        <v>0.99000095413758615</v>
      </c>
      <c r="AI58" s="63">
        <v>1.1044881595157015</v>
      </c>
      <c r="AJ58" s="62">
        <v>0.90000187317805069</v>
      </c>
      <c r="AK58" s="63">
        <v>1.1044881595157015</v>
      </c>
      <c r="AL58" s="84">
        <v>10841</v>
      </c>
      <c r="AM58" s="84">
        <v>9855</v>
      </c>
      <c r="AN58" s="62">
        <v>0.25009539149393989</v>
      </c>
      <c r="AO58" s="62">
        <v>4.9971408039351711E-2</v>
      </c>
      <c r="AP58" s="62">
        <v>0.30006679953329157</v>
      </c>
      <c r="AQ58" s="61">
        <v>4.2105609498139556</v>
      </c>
      <c r="AR58" s="61">
        <v>40.290329731045581</v>
      </c>
      <c r="AS58" s="61">
        <v>44.500890680859534</v>
      </c>
      <c r="AT58" s="61">
        <v>31.070780770511011</v>
      </c>
      <c r="AU58" s="61">
        <v>37.785835725685267</v>
      </c>
      <c r="AV58" s="61">
        <v>15.402319208437731</v>
      </c>
      <c r="AW58" s="60">
        <v>60150.870711627933</v>
      </c>
      <c r="AX58" s="61">
        <v>6188.6095063893663</v>
      </c>
      <c r="AY58" s="60">
        <v>3602</v>
      </c>
    </row>
    <row r="59" spans="19:51" x14ac:dyDescent="0.15">
      <c r="S59" s="82">
        <f t="shared" si="0"/>
        <v>51783</v>
      </c>
      <c r="T59" s="54">
        <f t="shared" si="1"/>
        <v>0.90501169716935226</v>
      </c>
      <c r="U59" s="86">
        <f t="shared" si="2"/>
        <v>5.9515285232292214E-6</v>
      </c>
      <c r="AB59" s="51">
        <v>9498.3377784030072</v>
      </c>
      <c r="AC59" s="51">
        <v>1514.9363796193179</v>
      </c>
      <c r="AD59" s="51">
        <v>4032.7657208190285</v>
      </c>
      <c r="AE59" s="51">
        <v>412.56323817349033</v>
      </c>
      <c r="AF59" s="51">
        <v>256.92855577485102</v>
      </c>
      <c r="AG59" s="51">
        <v>26.284511496041727</v>
      </c>
      <c r="AH59" s="54">
        <v>0.99100085872382748</v>
      </c>
      <c r="AI59" s="55">
        <v>1.1052246177695439</v>
      </c>
      <c r="AJ59" s="54">
        <v>0.90500574564082903</v>
      </c>
      <c r="AK59" s="55">
        <v>1.1052246177695439</v>
      </c>
      <c r="AL59" s="82">
        <v>10914</v>
      </c>
      <c r="AM59" s="82">
        <v>9967</v>
      </c>
      <c r="AN59" s="54">
        <v>0.24559438950094051</v>
      </c>
      <c r="AO59" s="54">
        <v>4.9971408039351711E-2</v>
      </c>
      <c r="AP59" s="54">
        <v>0.29556579754029222</v>
      </c>
      <c r="AQ59" s="53">
        <v>4.2834933262919863</v>
      </c>
      <c r="AR59" s="53">
        <v>40.590535110153667</v>
      </c>
      <c r="AS59" s="53">
        <v>44.874028436445656</v>
      </c>
      <c r="AT59" s="53">
        <v>31.343850066394428</v>
      </c>
      <c r="AU59" s="53">
        <v>38.108939251420033</v>
      </c>
      <c r="AV59" s="53">
        <v>15.558641968001336</v>
      </c>
      <c r="AW59" s="51">
        <v>61192.761804171227</v>
      </c>
      <c r="AX59" s="53">
        <v>1041.8910925432938</v>
      </c>
      <c r="AY59" s="51">
        <v>3664</v>
      </c>
    </row>
    <row r="60" spans="19:51" x14ac:dyDescent="0.15">
      <c r="S60" s="82">
        <f t="shared" si="0"/>
        <v>52402</v>
      </c>
      <c r="T60" s="54">
        <f t="shared" si="1"/>
        <v>0.91001244441396489</v>
      </c>
      <c r="U60" s="86">
        <f t="shared" si="2"/>
        <v>2.8263103575287829E-6</v>
      </c>
      <c r="AB60" s="51">
        <v>9553.4253569196571</v>
      </c>
      <c r="AC60" s="51">
        <v>1524.3066385048855</v>
      </c>
      <c r="AD60" s="51">
        <v>4083.7431850362436</v>
      </c>
      <c r="AE60" s="51">
        <v>417.85037003144004</v>
      </c>
      <c r="AF60" s="51">
        <v>258.43859784329328</v>
      </c>
      <c r="AG60" s="51">
        <v>26.443549176873177</v>
      </c>
      <c r="AH60" s="54">
        <v>0.99200076331006892</v>
      </c>
      <c r="AI60" s="55">
        <v>1.1059610760233864</v>
      </c>
      <c r="AJ60" s="54">
        <v>0.91000961810360737</v>
      </c>
      <c r="AK60" s="55">
        <v>1.1059610760233864</v>
      </c>
      <c r="AL60" s="82">
        <v>10989</v>
      </c>
      <c r="AM60" s="82">
        <v>10081</v>
      </c>
      <c r="AN60" s="54">
        <v>0.24116090253783615</v>
      </c>
      <c r="AO60" s="54">
        <v>4.9971408039351711E-2</v>
      </c>
      <c r="AP60" s="54">
        <v>0.29113231057718786</v>
      </c>
      <c r="AQ60" s="53">
        <v>4.3580876490444753</v>
      </c>
      <c r="AR60" s="53">
        <v>40.895185725090244</v>
      </c>
      <c r="AS60" s="53">
        <v>45.253273374134722</v>
      </c>
      <c r="AT60" s="53">
        <v>31.621544799104637</v>
      </c>
      <c r="AU60" s="53">
        <v>38.437409086619688</v>
      </c>
      <c r="AV60" s="53">
        <v>15.717861461569544</v>
      </c>
      <c r="AW60" s="51">
        <v>62258.394986349645</v>
      </c>
      <c r="AX60" s="53">
        <v>1065.6331821784188</v>
      </c>
      <c r="AY60" s="51">
        <v>3728</v>
      </c>
    </row>
    <row r="61" spans="19:51" x14ac:dyDescent="0.15">
      <c r="S61" s="82">
        <f t="shared" si="0"/>
        <v>53009</v>
      </c>
      <c r="T61" s="54">
        <f t="shared" si="1"/>
        <v>0.91500122465171452</v>
      </c>
      <c r="U61" s="86">
        <f t="shared" si="2"/>
        <v>-1.2265914671183431E-5</v>
      </c>
      <c r="AB61" s="51">
        <v>9610.8927317252292</v>
      </c>
      <c r="AC61" s="51">
        <v>1533.2381227977041</v>
      </c>
      <c r="AD61" s="51">
        <v>4136.2566452362862</v>
      </c>
      <c r="AE61" s="51">
        <v>423.06834056410372</v>
      </c>
      <c r="AF61" s="51">
        <v>260.01343397862667</v>
      </c>
      <c r="AG61" s="51">
        <v>26.594929056059026</v>
      </c>
      <c r="AH61" s="54">
        <v>0.99300066789631036</v>
      </c>
      <c r="AI61" s="55">
        <v>1.1066975342772289</v>
      </c>
      <c r="AJ61" s="54">
        <v>0.9150134905663857</v>
      </c>
      <c r="AK61" s="55">
        <v>1.1066975342772289</v>
      </c>
      <c r="AL61" s="82">
        <v>11066</v>
      </c>
      <c r="AM61" s="82">
        <v>10197</v>
      </c>
      <c r="AN61" s="54">
        <v>0.23679391787917833</v>
      </c>
      <c r="AO61" s="54">
        <v>4.9971408039351711E-2</v>
      </c>
      <c r="AP61" s="54">
        <v>0.28676532591853005</v>
      </c>
      <c r="AQ61" s="53">
        <v>4.4366769584518151</v>
      </c>
      <c r="AR61" s="53">
        <v>41.245055034429889</v>
      </c>
      <c r="AS61" s="53">
        <v>45.681731992881701</v>
      </c>
      <c r="AT61" s="53">
        <v>31.933380314738404</v>
      </c>
      <c r="AU61" s="53">
        <v>38.807556153810047</v>
      </c>
      <c r="AV61" s="53">
        <v>15.893636690237898</v>
      </c>
      <c r="AW61" s="51">
        <v>63381.099406454501</v>
      </c>
      <c r="AX61" s="53">
        <v>1122.7044201048557</v>
      </c>
      <c r="AY61" s="51">
        <v>3795</v>
      </c>
    </row>
    <row r="62" spans="19:51" x14ac:dyDescent="0.15">
      <c r="S62" s="82">
        <f t="shared" si="0"/>
        <v>53606</v>
      </c>
      <c r="T62" s="54">
        <f t="shared" si="1"/>
        <v>0.9200069819174973</v>
      </c>
      <c r="U62" s="86">
        <f t="shared" si="2"/>
        <v>-1.0381111666735165E-5</v>
      </c>
      <c r="AB62" s="51">
        <v>9670.2477222014732</v>
      </c>
      <c r="AC62" s="51">
        <v>1541.7476670644246</v>
      </c>
      <c r="AD62" s="51">
        <v>4190.0838588056858</v>
      </c>
      <c r="AE62" s="51">
        <v>428.21884837017581</v>
      </c>
      <c r="AF62" s="51">
        <v>261.65109045769196</v>
      </c>
      <c r="AG62" s="51">
        <v>26.7402592420978</v>
      </c>
      <c r="AH62" s="54">
        <v>0.9940005724825518</v>
      </c>
      <c r="AI62" s="55">
        <v>1.1074339925310714</v>
      </c>
      <c r="AJ62" s="54">
        <v>0.92001736302916404</v>
      </c>
      <c r="AK62" s="55">
        <v>1.1074339925310714</v>
      </c>
      <c r="AL62" s="82">
        <v>11145</v>
      </c>
      <c r="AM62" s="82">
        <v>10315</v>
      </c>
      <c r="AN62" s="54">
        <v>0.2324924379904004</v>
      </c>
      <c r="AO62" s="54">
        <v>4.9971408039351711E-2</v>
      </c>
      <c r="AP62" s="54">
        <v>0.28246384602975211</v>
      </c>
      <c r="AQ62" s="53">
        <v>4.5147991805828278</v>
      </c>
      <c r="AR62" s="53">
        <v>41.56331617761311</v>
      </c>
      <c r="AS62" s="53">
        <v>46.078115358195937</v>
      </c>
      <c r="AT62" s="53">
        <v>32.223676632324903</v>
      </c>
      <c r="AU62" s="53">
        <v>39.15089599526042</v>
      </c>
      <c r="AV62" s="53">
        <v>16.060164785475358</v>
      </c>
      <c r="AW62" s="51">
        <v>64497.131151183246</v>
      </c>
      <c r="AX62" s="53">
        <v>1116.0317447287453</v>
      </c>
      <c r="AY62" s="51">
        <v>3862</v>
      </c>
    </row>
    <row r="63" spans="19:51" x14ac:dyDescent="0.15">
      <c r="S63" s="82">
        <f t="shared" si="0"/>
        <v>54193</v>
      </c>
      <c r="T63" s="54">
        <f t="shared" si="1"/>
        <v>0.92502387373817496</v>
      </c>
      <c r="U63" s="86">
        <f t="shared" si="2"/>
        <v>2.6382462325891254E-6</v>
      </c>
      <c r="AB63" s="51">
        <v>9732.1492175879539</v>
      </c>
      <c r="AC63" s="51">
        <v>1551.3381668109253</v>
      </c>
      <c r="AD63" s="51">
        <v>4245.4563743712188</v>
      </c>
      <c r="AE63" s="51">
        <v>433.71466303129944</v>
      </c>
      <c r="AF63" s="51">
        <v>263.33695651072588</v>
      </c>
      <c r="AG63" s="51">
        <v>26.902431513891877</v>
      </c>
      <c r="AH63" s="54">
        <v>0.99500047706879324</v>
      </c>
      <c r="AI63" s="55">
        <v>1.1081704507849139</v>
      </c>
      <c r="AJ63" s="54">
        <v>0.92502123549194237</v>
      </c>
      <c r="AK63" s="55">
        <v>1.1081704507849139</v>
      </c>
      <c r="AL63" s="82">
        <v>11227</v>
      </c>
      <c r="AM63" s="82">
        <v>10437</v>
      </c>
      <c r="AN63" s="54">
        <v>0.2282554802999541</v>
      </c>
      <c r="AO63" s="54">
        <v>4.9971408039351711E-2</v>
      </c>
      <c r="AP63" s="54">
        <v>0.27822688833930581</v>
      </c>
      <c r="AQ63" s="53">
        <v>4.5962994607172467</v>
      </c>
      <c r="AR63" s="53">
        <v>41.913926514569511</v>
      </c>
      <c r="AS63" s="53">
        <v>46.510225975286758</v>
      </c>
      <c r="AT63" s="53">
        <v>32.538917137096924</v>
      </c>
      <c r="AU63" s="53">
        <v>39.524571556191852</v>
      </c>
      <c r="AV63" s="53">
        <v>16.239056825875448</v>
      </c>
      <c r="AW63" s="51">
        <v>65661.420867389228</v>
      </c>
      <c r="AX63" s="53">
        <v>1164.2897162059817</v>
      </c>
      <c r="AY63" s="51">
        <v>3932</v>
      </c>
    </row>
    <row r="64" spans="19:51" x14ac:dyDescent="0.15">
      <c r="S64" s="82">
        <f t="shared" si="0"/>
        <v>54770</v>
      </c>
      <c r="T64" s="54">
        <f t="shared" si="1"/>
        <v>0.93004622026203321</v>
      </c>
      <c r="U64" s="86">
        <f t="shared" si="2"/>
        <v>2.1112307312498579E-5</v>
      </c>
      <c r="AB64" s="51">
        <v>9773.0000209964528</v>
      </c>
      <c r="AC64" s="51">
        <v>1559.713984984638</v>
      </c>
      <c r="AD64" s="51">
        <v>4292.0352161518049</v>
      </c>
      <c r="AE64" s="51">
        <v>438.91809174225364</v>
      </c>
      <c r="AF64" s="51">
        <v>264.47328036621479</v>
      </c>
      <c r="AG64" s="51">
        <v>27.045935480285053</v>
      </c>
      <c r="AH64" s="54">
        <v>0.99600038165503468</v>
      </c>
      <c r="AI64" s="55">
        <v>1.1089069090387564</v>
      </c>
      <c r="AJ64" s="54">
        <v>0.93002510795472071</v>
      </c>
      <c r="AK64" s="55">
        <v>1.1089069090387564</v>
      </c>
      <c r="AL64" s="82">
        <v>11288</v>
      </c>
      <c r="AM64" s="82">
        <v>10540</v>
      </c>
      <c r="AN64" s="54">
        <v>0.22408207697486451</v>
      </c>
      <c r="AO64" s="54">
        <v>4.9971408039351711E-2</v>
      </c>
      <c r="AP64" s="54">
        <v>0.27405348501421622</v>
      </c>
      <c r="AQ64" s="53">
        <v>4.6689043580933154</v>
      </c>
      <c r="AR64" s="53">
        <v>42.175902842066563</v>
      </c>
      <c r="AS64" s="53">
        <v>46.844807200159877</v>
      </c>
      <c r="AT64" s="53">
        <v>32.786172919471021</v>
      </c>
      <c r="AU64" s="53">
        <v>39.815490059815446</v>
      </c>
      <c r="AV64" s="53">
        <v>16.384432925334028</v>
      </c>
      <c r="AW64" s="51">
        <v>66698.633687047361</v>
      </c>
      <c r="AX64" s="53">
        <v>1037.2128196581325</v>
      </c>
      <c r="AY64" s="51">
        <v>3994</v>
      </c>
    </row>
    <row r="65" spans="19:51" x14ac:dyDescent="0.15">
      <c r="S65" s="82">
        <f t="shared" si="0"/>
        <v>55336</v>
      </c>
      <c r="T65" s="54">
        <f t="shared" si="1"/>
        <v>0.93505160218925554</v>
      </c>
      <c r="U65" s="86">
        <f t="shared" si="2"/>
        <v>2.2621771756492493E-5</v>
      </c>
      <c r="AB65" s="51">
        <v>9816.4853342806564</v>
      </c>
      <c r="AC65" s="51">
        <v>1567.0218111119723</v>
      </c>
      <c r="AD65" s="51">
        <v>4340.0357478980195</v>
      </c>
      <c r="AE65" s="51">
        <v>443.85889271472439</v>
      </c>
      <c r="AF65" s="51">
        <v>265.66866190335674</v>
      </c>
      <c r="AG65" s="51">
        <v>27.170144429924918</v>
      </c>
      <c r="AH65" s="54">
        <v>0.99700028624127612</v>
      </c>
      <c r="AI65" s="55">
        <v>1.1096433672925989</v>
      </c>
      <c r="AJ65" s="54">
        <v>0.93502898041749904</v>
      </c>
      <c r="AK65" s="55">
        <v>1.1096433672925989</v>
      </c>
      <c r="AL65" s="82">
        <v>11350</v>
      </c>
      <c r="AM65" s="82">
        <v>10644</v>
      </c>
      <c r="AN65" s="54">
        <v>0.21997127469965125</v>
      </c>
      <c r="AO65" s="54">
        <v>4.9971408039351711E-2</v>
      </c>
      <c r="AP65" s="54">
        <v>0.26994268273900296</v>
      </c>
      <c r="AQ65" s="53">
        <v>4.7430632869326246</v>
      </c>
      <c r="AR65" s="53">
        <v>42.443891454012906</v>
      </c>
      <c r="AS65" s="53">
        <v>47.186954740945531</v>
      </c>
      <c r="AT65" s="53">
        <v>33.038990922941231</v>
      </c>
      <c r="AU65" s="53">
        <v>40.112972831943374</v>
      </c>
      <c r="AV65" s="53">
        <v>16.533033135269541</v>
      </c>
      <c r="AW65" s="51">
        <v>67758.046956180347</v>
      </c>
      <c r="AX65" s="53">
        <v>1059.4132691329869</v>
      </c>
      <c r="AY65" s="51">
        <v>4057</v>
      </c>
    </row>
    <row r="66" spans="19:51" x14ac:dyDescent="0.15">
      <c r="S66" s="82">
        <f t="shared" si="0"/>
        <v>55892</v>
      </c>
      <c r="T66" s="54">
        <f t="shared" si="1"/>
        <v>0.94005170722504461</v>
      </c>
      <c r="U66" s="86">
        <f t="shared" si="2"/>
        <v>1.885434476722736E-5</v>
      </c>
      <c r="AB66" s="51">
        <v>9861.9480260008095</v>
      </c>
      <c r="AC66" s="51">
        <v>1573.9695525889445</v>
      </c>
      <c r="AD66" s="51">
        <v>4389.1634343480027</v>
      </c>
      <c r="AE66" s="51">
        <v>448.73235362508836</v>
      </c>
      <c r="AF66" s="51">
        <v>266.91708237009976</v>
      </c>
      <c r="AG66" s="51">
        <v>27.288646774318298</v>
      </c>
      <c r="AH66" s="54">
        <v>0.99800019082751756</v>
      </c>
      <c r="AI66" s="55">
        <v>1.1103798255464414</v>
      </c>
      <c r="AJ66" s="54">
        <v>0.94003285288027738</v>
      </c>
      <c r="AK66" s="55">
        <v>1.1103798255464414</v>
      </c>
      <c r="AL66" s="82">
        <v>11413</v>
      </c>
      <c r="AM66" s="82">
        <v>10750</v>
      </c>
      <c r="AN66" s="54">
        <v>0.2159221344585662</v>
      </c>
      <c r="AO66" s="54">
        <v>4.9971408039351711E-2</v>
      </c>
      <c r="AP66" s="54">
        <v>0.26589354249791791</v>
      </c>
      <c r="AQ66" s="53">
        <v>4.8186851551878052</v>
      </c>
      <c r="AR66" s="53">
        <v>42.718308919840325</v>
      </c>
      <c r="AS66" s="53">
        <v>47.536994075028133</v>
      </c>
      <c r="AT66" s="53">
        <v>33.297557768414691</v>
      </c>
      <c r="AU66" s="53">
        <v>40.417275921721412</v>
      </c>
      <c r="AV66" s="53">
        <v>16.684882077365675</v>
      </c>
      <c r="AW66" s="51">
        <v>68838.359359825787</v>
      </c>
      <c r="AX66" s="53">
        <v>1080.3124036454392</v>
      </c>
      <c r="AY66" s="51">
        <v>4122</v>
      </c>
    </row>
    <row r="67" spans="19:51" x14ac:dyDescent="0.15">
      <c r="S67" s="82">
        <f t="shared" si="0"/>
        <v>56438</v>
      </c>
      <c r="T67" s="54">
        <f t="shared" si="1"/>
        <v>0.94504130582695944</v>
      </c>
      <c r="U67" s="86">
        <f t="shared" si="2"/>
        <v>4.5804839037266731E-6</v>
      </c>
      <c r="AB67" s="51">
        <v>9908.883002841003</v>
      </c>
      <c r="AC67" s="51">
        <v>1580.5721383424068</v>
      </c>
      <c r="AD67" s="51">
        <v>4439.1707262995214</v>
      </c>
      <c r="AE67" s="51">
        <v>453.53863604524315</v>
      </c>
      <c r="AF67" s="51">
        <v>268.20209792249574</v>
      </c>
      <c r="AG67" s="51">
        <v>27.401517349984911</v>
      </c>
      <c r="AH67" s="54">
        <v>0.999000095413759</v>
      </c>
      <c r="AI67" s="55">
        <v>1.1111162838002839</v>
      </c>
      <c r="AJ67" s="54">
        <v>0.94503672534305572</v>
      </c>
      <c r="AK67" s="55">
        <v>1.1111162838002839</v>
      </c>
      <c r="AL67" s="82">
        <v>11478</v>
      </c>
      <c r="AM67" s="82">
        <v>10858</v>
      </c>
      <c r="AN67" s="54">
        <v>0.21193373132109741</v>
      </c>
      <c r="AO67" s="54">
        <v>4.9971408039351711E-2</v>
      </c>
      <c r="AP67" s="54">
        <v>0.26190513936044912</v>
      </c>
      <c r="AQ67" s="53">
        <v>4.896658121352262</v>
      </c>
      <c r="AR67" s="53">
        <v>43.016717425937181</v>
      </c>
      <c r="AS67" s="53">
        <v>47.913375547289441</v>
      </c>
      <c r="AT67" s="53">
        <v>33.574469738643714</v>
      </c>
      <c r="AU67" s="53">
        <v>40.743922642966574</v>
      </c>
      <c r="AV67" s="53">
        <v>16.845746295223698</v>
      </c>
      <c r="AW67" s="51">
        <v>69952.258876460881</v>
      </c>
      <c r="AX67" s="53">
        <v>1113.8995166350942</v>
      </c>
      <c r="AY67" s="51">
        <v>4189</v>
      </c>
    </row>
    <row r="68" spans="19:51" x14ac:dyDescent="0.15">
      <c r="S68" s="82">
        <f t="shared" si="0"/>
        <v>56976</v>
      </c>
      <c r="T68" s="62">
        <f t="shared" si="1"/>
        <v>0.95004866593265413</v>
      </c>
      <c r="U68" s="86">
        <f t="shared" si="2"/>
        <v>8.0681268199711553E-6</v>
      </c>
      <c r="AB68" s="60">
        <v>9958.81149568828</v>
      </c>
      <c r="AC68" s="60">
        <v>1588.7957500854693</v>
      </c>
      <c r="AD68" s="60">
        <v>4490.7316534764586</v>
      </c>
      <c r="AE68" s="60">
        <v>458.77930883348012</v>
      </c>
      <c r="AF68" s="60">
        <v>269.57482390824066</v>
      </c>
      <c r="AG68" s="60">
        <v>27.540133977007422</v>
      </c>
      <c r="AH68" s="62">
        <v>1</v>
      </c>
      <c r="AI68" s="63">
        <v>1.1118527420541255</v>
      </c>
      <c r="AJ68" s="62">
        <v>0.95004059780583416</v>
      </c>
      <c r="AK68" s="63">
        <v>1.1118527420541255</v>
      </c>
      <c r="AL68" s="84">
        <v>11548</v>
      </c>
      <c r="AM68" s="84">
        <v>10971</v>
      </c>
      <c r="AN68" s="62">
        <v>0.20800515423069069</v>
      </c>
      <c r="AO68" s="62">
        <v>4.9971408039351711E-2</v>
      </c>
      <c r="AP68" s="62">
        <v>0.2579765622700424</v>
      </c>
      <c r="AQ68" s="61">
        <v>4.9769908884447638</v>
      </c>
      <c r="AR68" s="61">
        <v>43.331945847199478</v>
      </c>
      <c r="AS68" s="61">
        <v>48.308936735644238</v>
      </c>
      <c r="AT68" s="61">
        <v>33.864954786577741</v>
      </c>
      <c r="AU68" s="61">
        <v>41.086945761110997</v>
      </c>
      <c r="AV68" s="61">
        <v>17.013642512666841</v>
      </c>
      <c r="AW68" s="60">
        <v>71099.869834925194</v>
      </c>
      <c r="AX68" s="61">
        <v>1147.6109584643127</v>
      </c>
      <c r="AY68" s="60">
        <v>4257</v>
      </c>
    </row>
    <row r="69" spans="19:51" x14ac:dyDescent="0.15">
      <c r="S69" s="82">
        <f t="shared" si="0"/>
        <v>57504</v>
      </c>
      <c r="T69" s="54">
        <f t="shared" si="1"/>
        <v>0.95503523696227433</v>
      </c>
      <c r="U69" s="86">
        <f t="shared" si="2"/>
        <v>-1.3010629764664827E-6</v>
      </c>
      <c r="AB69" s="51">
        <v>9990.8771484898825</v>
      </c>
      <c r="AC69" s="51">
        <v>1595.6484973754827</v>
      </c>
      <c r="AD69" s="51">
        <v>4534.3576698537272</v>
      </c>
      <c r="AE69" s="51">
        <v>463.65391641974645</v>
      </c>
      <c r="AF69" s="51">
        <v>270.45532643377663</v>
      </c>
      <c r="AG69" s="51">
        <v>27.655002196076584</v>
      </c>
      <c r="AH69" s="54">
        <v>1</v>
      </c>
      <c r="AI69" s="55">
        <v>1.1124390398398296</v>
      </c>
      <c r="AJ69" s="54">
        <v>0.95503653802525079</v>
      </c>
      <c r="AK69" s="55">
        <v>1.1124390398398296</v>
      </c>
      <c r="AL69" s="82">
        <v>11587</v>
      </c>
      <c r="AM69" s="82">
        <v>11066</v>
      </c>
      <c r="AN69" s="54">
        <v>0.20542538860799028</v>
      </c>
      <c r="AO69" s="54">
        <v>4.9971408039351711E-2</v>
      </c>
      <c r="AP69" s="54">
        <v>0.25539679664734199</v>
      </c>
      <c r="AQ69" s="53">
        <v>5.0483770998624129</v>
      </c>
      <c r="AR69" s="53">
        <v>43.594343794736048</v>
      </c>
      <c r="AS69" s="53">
        <v>48.642720894598462</v>
      </c>
      <c r="AT69" s="53">
        <v>34.111272963019772</v>
      </c>
      <c r="AU69" s="53">
        <v>41.37699692880912</v>
      </c>
      <c r="AV69" s="53">
        <v>17.157917042844648</v>
      </c>
      <c r="AW69" s="51">
        <v>72119.672855177327</v>
      </c>
      <c r="AX69" s="53">
        <v>1019.8030202521331</v>
      </c>
      <c r="AY69" s="51">
        <v>4319</v>
      </c>
    </row>
    <row r="70" spans="19:51" x14ac:dyDescent="0.15">
      <c r="S70" s="82">
        <f t="shared" si="0"/>
        <v>58024</v>
      </c>
      <c r="T70" s="54">
        <f t="shared" si="1"/>
        <v>0.96002933763087861</v>
      </c>
      <c r="U70" s="86">
        <f t="shared" si="2"/>
        <v>-3.1406137888101426E-6</v>
      </c>
      <c r="AB70" s="51">
        <v>10025.103601249544</v>
      </c>
      <c r="AC70" s="51">
        <v>1601.9698108323116</v>
      </c>
      <c r="AD70" s="51">
        <v>4579.0205511913264</v>
      </c>
      <c r="AE70" s="51">
        <v>468.46351885645441</v>
      </c>
      <c r="AF70" s="51">
        <v>271.39995958229872</v>
      </c>
      <c r="AG70" s="51">
        <v>27.765977169581568</v>
      </c>
      <c r="AH70" s="54">
        <v>1</v>
      </c>
      <c r="AI70" s="55">
        <v>1.1130253376255337</v>
      </c>
      <c r="AJ70" s="54">
        <v>0.96003247824466742</v>
      </c>
      <c r="AK70" s="55">
        <v>1.1130253376255337</v>
      </c>
      <c r="AL70" s="82">
        <v>11627</v>
      </c>
      <c r="AM70" s="82">
        <v>11162</v>
      </c>
      <c r="AN70" s="54">
        <v>0.20287142064151684</v>
      </c>
      <c r="AO70" s="54">
        <v>4.9971408039351711E-2</v>
      </c>
      <c r="AP70" s="54">
        <v>0.25284282868086855</v>
      </c>
      <c r="AQ70" s="53">
        <v>5.1233522265910088</v>
      </c>
      <c r="AR70" s="53">
        <v>43.901092755681823</v>
      </c>
      <c r="AS70" s="53">
        <v>49.024444982272833</v>
      </c>
      <c r="AT70" s="53">
        <v>34.390747397045558</v>
      </c>
      <c r="AU70" s="53">
        <v>41.707596189659199</v>
      </c>
      <c r="AV70" s="53">
        <v>17.318100214280406</v>
      </c>
      <c r="AW70" s="51">
        <v>73190.746094157264</v>
      </c>
      <c r="AX70" s="53">
        <v>1071.0732389799377</v>
      </c>
      <c r="AY70" s="51">
        <v>4383</v>
      </c>
    </row>
    <row r="71" spans="19:51" x14ac:dyDescent="0.15">
      <c r="S71" s="82">
        <f t="shared" si="0"/>
        <v>58536</v>
      </c>
      <c r="T71" s="54">
        <f t="shared" si="1"/>
        <v>0.96502597737544005</v>
      </c>
      <c r="U71" s="86">
        <f t="shared" si="2"/>
        <v>-2.4410886440007218E-6</v>
      </c>
      <c r="AB71" s="51">
        <v>10061.137536377122</v>
      </c>
      <c r="AC71" s="51">
        <v>1607.9997783228464</v>
      </c>
      <c r="AD71" s="51">
        <v>4624.5368560374127</v>
      </c>
      <c r="AE71" s="51">
        <v>473.0826220686925</v>
      </c>
      <c r="AF71" s="51">
        <v>272.39022990551194</v>
      </c>
      <c r="AG71" s="51">
        <v>27.865078861110295</v>
      </c>
      <c r="AH71" s="54">
        <v>1</v>
      </c>
      <c r="AI71" s="55">
        <v>1.1136116354112378</v>
      </c>
      <c r="AJ71" s="54">
        <v>0.96502841846408405</v>
      </c>
      <c r="AK71" s="55">
        <v>1.1136116354112378</v>
      </c>
      <c r="AL71" s="82">
        <v>11669</v>
      </c>
      <c r="AM71" s="82">
        <v>11261</v>
      </c>
      <c r="AN71" s="54">
        <v>0.20034299235470812</v>
      </c>
      <c r="AO71" s="54">
        <v>4.9971408039351711E-2</v>
      </c>
      <c r="AP71" s="54">
        <v>0.25031440039405983</v>
      </c>
      <c r="AQ71" s="53">
        <v>5.1982930333886097</v>
      </c>
      <c r="AR71" s="53">
        <v>44.194390578216982</v>
      </c>
      <c r="AS71" s="53">
        <v>49.392683611605591</v>
      </c>
      <c r="AT71" s="53">
        <v>34.661220085533266</v>
      </c>
      <c r="AU71" s="53">
        <v>42.026951848569425</v>
      </c>
      <c r="AV71" s="53">
        <v>17.474512638448882</v>
      </c>
      <c r="AW71" s="51">
        <v>74261.329048408705</v>
      </c>
      <c r="AX71" s="53">
        <v>1070.5829542514402</v>
      </c>
      <c r="AY71" s="51">
        <v>4447</v>
      </c>
    </row>
    <row r="72" spans="19:51" x14ac:dyDescent="0.15">
      <c r="S72" s="82">
        <f t="shared" si="0"/>
        <v>59041</v>
      </c>
      <c r="T72" s="54">
        <f t="shared" si="1"/>
        <v>0.97003676911119974</v>
      </c>
      <c r="U72" s="86">
        <f t="shared" si="2"/>
        <v>1.2410427699061088E-5</v>
      </c>
      <c r="AB72" s="51">
        <v>10098.161567153305</v>
      </c>
      <c r="AC72" s="51">
        <v>1613.7508348011927</v>
      </c>
      <c r="AD72" s="51">
        <v>4670.5186838596264</v>
      </c>
      <c r="AE72" s="51">
        <v>477.70237037246238</v>
      </c>
      <c r="AF72" s="51">
        <v>273.40832596933444</v>
      </c>
      <c r="AG72" s="51">
        <v>27.964304231663228</v>
      </c>
      <c r="AH72" s="54">
        <v>1</v>
      </c>
      <c r="AI72" s="55">
        <v>1.1141979331969418</v>
      </c>
      <c r="AJ72" s="54">
        <v>0.97002435868350068</v>
      </c>
      <c r="AK72" s="55">
        <v>1.1141979331969418</v>
      </c>
      <c r="AL72" s="82">
        <v>11712</v>
      </c>
      <c r="AM72" s="82">
        <v>11361</v>
      </c>
      <c r="AN72" s="54">
        <v>0.19783984835076751</v>
      </c>
      <c r="AO72" s="54">
        <v>4.9971408039351711E-2</v>
      </c>
      <c r="AP72" s="54">
        <v>0.24781125639011922</v>
      </c>
      <c r="AQ72" s="53">
        <v>5.2741298335667333</v>
      </c>
      <c r="AR72" s="53">
        <v>44.49085880376893</v>
      </c>
      <c r="AS72" s="53">
        <v>49.764988637335662</v>
      </c>
      <c r="AT72" s="53">
        <v>34.934702369412676</v>
      </c>
      <c r="AU72" s="53">
        <v>42.349845503374169</v>
      </c>
      <c r="AV72" s="53">
        <v>17.632701723502546</v>
      </c>
      <c r="AW72" s="51">
        <v>75344.711908096186</v>
      </c>
      <c r="AX72" s="53">
        <v>1083.382859687481</v>
      </c>
      <c r="AY72" s="51">
        <v>4512</v>
      </c>
    </row>
    <row r="73" spans="19:51" x14ac:dyDescent="0.15">
      <c r="S73" s="82">
        <f t="shared" si="0"/>
        <v>59536</v>
      </c>
      <c r="T73" s="54">
        <f t="shared" si="1"/>
        <v>0.97500777358876345</v>
      </c>
      <c r="U73" s="86">
        <f t="shared" si="2"/>
        <v>-1.2525314153855049E-5</v>
      </c>
      <c r="AB73" s="51">
        <v>10136.98908751357</v>
      </c>
      <c r="AC73" s="51">
        <v>1618.3081652293388</v>
      </c>
      <c r="AD73" s="51">
        <v>4717.332224059136</v>
      </c>
      <c r="AE73" s="51">
        <v>481.92087477667434</v>
      </c>
      <c r="AF73" s="51">
        <v>274.48412668455455</v>
      </c>
      <c r="AG73" s="51">
        <v>28.041194505972069</v>
      </c>
      <c r="AH73" s="54">
        <v>1</v>
      </c>
      <c r="AI73" s="55">
        <v>1.1147842309826459</v>
      </c>
      <c r="AJ73" s="54">
        <v>0.9750202989029173</v>
      </c>
      <c r="AK73" s="55">
        <v>1.1147842309826459</v>
      </c>
      <c r="AL73" s="82">
        <v>11755</v>
      </c>
      <c r="AM73" s="82">
        <v>11461</v>
      </c>
      <c r="AN73" s="54">
        <v>0.1953617357868663</v>
      </c>
      <c r="AO73" s="54">
        <v>4.9971408039351711E-2</v>
      </c>
      <c r="AP73" s="54">
        <v>0.24533314382621801</v>
      </c>
      <c r="AQ73" s="53">
        <v>5.3508240319476581</v>
      </c>
      <c r="AR73" s="53">
        <v>44.789907436385853</v>
      </c>
      <c r="AS73" s="53">
        <v>50.140731468333513</v>
      </c>
      <c r="AT73" s="53">
        <v>35.21076232287156</v>
      </c>
      <c r="AU73" s="53">
        <v>42.675746895602536</v>
      </c>
      <c r="AV73" s="53">
        <v>17.792464986499283</v>
      </c>
      <c r="AW73" s="51">
        <v>76440.34331353796</v>
      </c>
      <c r="AX73" s="53">
        <v>1095.6314054417744</v>
      </c>
      <c r="AY73" s="51">
        <v>4577</v>
      </c>
    </row>
    <row r="74" spans="19:51" x14ac:dyDescent="0.15">
      <c r="S74" s="82">
        <f t="shared" si="0"/>
        <v>60024</v>
      </c>
      <c r="T74" s="54">
        <f t="shared" si="1"/>
        <v>0.97998379239476352</v>
      </c>
      <c r="U74" s="86">
        <f t="shared" si="2"/>
        <v>-3.2446727570412115E-5</v>
      </c>
      <c r="AB74" s="51">
        <v>10162.901160108475</v>
      </c>
      <c r="AC74" s="51">
        <v>1623.4792586671711</v>
      </c>
      <c r="AD74" s="51">
        <v>4758.0450481911403</v>
      </c>
      <c r="AE74" s="51">
        <v>486.33190375467109</v>
      </c>
      <c r="AF74" s="51">
        <v>275.19000810829874</v>
      </c>
      <c r="AG74" s="51">
        <v>28.12787167461806</v>
      </c>
      <c r="AH74" s="54">
        <v>1</v>
      </c>
      <c r="AI74" s="55">
        <v>1.11537052876835</v>
      </c>
      <c r="AJ74" s="54">
        <v>0.98001623912233393</v>
      </c>
      <c r="AK74" s="55">
        <v>1.11537052876835</v>
      </c>
      <c r="AL74" s="82">
        <v>11786</v>
      </c>
      <c r="AM74" s="82">
        <v>11550</v>
      </c>
      <c r="AN74" s="54">
        <v>0.19290840434860412</v>
      </c>
      <c r="AO74" s="54">
        <v>4.9971408039351711E-2</v>
      </c>
      <c r="AP74" s="54">
        <v>0.24287981238795583</v>
      </c>
      <c r="AQ74" s="53">
        <v>5.4211304213510081</v>
      </c>
      <c r="AR74" s="53">
        <v>45.030370825856885</v>
      </c>
      <c r="AS74" s="53">
        <v>50.451501247207894</v>
      </c>
      <c r="AT74" s="53">
        <v>35.441377638588932</v>
      </c>
      <c r="AU74" s="53">
        <v>42.946439442898409</v>
      </c>
      <c r="AV74" s="53">
        <v>17.929566761866809</v>
      </c>
      <c r="AW74" s="51">
        <v>77444.720305014402</v>
      </c>
      <c r="AX74" s="53">
        <v>1004.3769914764416</v>
      </c>
      <c r="AY74" s="51">
        <v>4637</v>
      </c>
    </row>
    <row r="75" spans="19:51" x14ac:dyDescent="0.15">
      <c r="S75" s="82">
        <f t="shared" si="0"/>
        <v>60509</v>
      </c>
      <c r="T75" s="54">
        <f t="shared" si="1"/>
        <v>0.9850254585697017</v>
      </c>
      <c r="U75" s="86">
        <f t="shared" si="2"/>
        <v>1.327922795113512E-5</v>
      </c>
      <c r="AB75" s="51">
        <v>10189.66857049704</v>
      </c>
      <c r="AC75" s="51">
        <v>1628.6591293230185</v>
      </c>
      <c r="AD75" s="51">
        <v>4799.0353578931827</v>
      </c>
      <c r="AE75" s="51">
        <v>490.75738761196203</v>
      </c>
      <c r="AF75" s="51">
        <v>275.92613735092118</v>
      </c>
      <c r="AG75" s="51">
        <v>28.216668609760958</v>
      </c>
      <c r="AH75" s="54">
        <v>1</v>
      </c>
      <c r="AI75" s="55">
        <v>1.115956826554054</v>
      </c>
      <c r="AJ75" s="54">
        <v>0.98501217934175056</v>
      </c>
      <c r="AK75" s="55">
        <v>1.115956826554054</v>
      </c>
      <c r="AL75" s="82">
        <v>11818</v>
      </c>
      <c r="AM75" s="82">
        <v>11641</v>
      </c>
      <c r="AN75" s="54">
        <v>0.19047960622472457</v>
      </c>
      <c r="AO75" s="54">
        <v>4.9971408039351711E-2</v>
      </c>
      <c r="AP75" s="54">
        <v>0.24045101426407628</v>
      </c>
      <c r="AQ75" s="53">
        <v>5.4943995904781753</v>
      </c>
      <c r="AR75" s="53">
        <v>45.313379496343728</v>
      </c>
      <c r="AS75" s="53">
        <v>50.807779086821903</v>
      </c>
      <c r="AT75" s="53">
        <v>35.703319254707324</v>
      </c>
      <c r="AU75" s="53">
        <v>43.255549170764617</v>
      </c>
      <c r="AV75" s="53">
        <v>18.081449450573658</v>
      </c>
      <c r="AW75" s="51">
        <v>78491.422721116774</v>
      </c>
      <c r="AX75" s="53">
        <v>1046.7024161023728</v>
      </c>
      <c r="AY75" s="51">
        <v>4700</v>
      </c>
    </row>
    <row r="76" spans="19:51" x14ac:dyDescent="0.15">
      <c r="S76" s="82">
        <f t="shared" si="0"/>
        <v>60984</v>
      </c>
      <c r="T76" s="54">
        <f t="shared" si="1"/>
        <v>0.9900142780572545</v>
      </c>
      <c r="U76" s="86">
        <f t="shared" si="2"/>
        <v>6.1584960873162231E-6</v>
      </c>
      <c r="AB76" s="51">
        <v>10217.708239671358</v>
      </c>
      <c r="AC76" s="51">
        <v>1633.6060563705637</v>
      </c>
      <c r="AD76" s="51">
        <v>4840.4669748274391</v>
      </c>
      <c r="AE76" s="51">
        <v>495.12062624770817</v>
      </c>
      <c r="AF76" s="51">
        <v>276.68729514975797</v>
      </c>
      <c r="AG76" s="51">
        <v>28.301729473986633</v>
      </c>
      <c r="AH76" s="54">
        <v>1</v>
      </c>
      <c r="AI76" s="55">
        <v>1.1165431243397581</v>
      </c>
      <c r="AJ76" s="54">
        <v>0.99000811956116719</v>
      </c>
      <c r="AK76" s="55">
        <v>1.1165431243397581</v>
      </c>
      <c r="AL76" s="82">
        <v>11851</v>
      </c>
      <c r="AM76" s="82">
        <v>11733</v>
      </c>
      <c r="AN76" s="54">
        <v>0.18807509608208381</v>
      </c>
      <c r="AO76" s="54">
        <v>4.9971408039351711E-2</v>
      </c>
      <c r="AP76" s="54">
        <v>0.23804650412143552</v>
      </c>
      <c r="AQ76" s="53">
        <v>5.5672994389924266</v>
      </c>
      <c r="AR76" s="53">
        <v>45.581011793233245</v>
      </c>
      <c r="AS76" s="53">
        <v>51.148311232225673</v>
      </c>
      <c r="AT76" s="53">
        <v>35.954640634481258</v>
      </c>
      <c r="AU76" s="53">
        <v>43.551475933353458</v>
      </c>
      <c r="AV76" s="53">
        <v>18.228691603779438</v>
      </c>
      <c r="AW76" s="51">
        <v>79532.849128463233</v>
      </c>
      <c r="AX76" s="53">
        <v>1041.4264073464583</v>
      </c>
      <c r="AY76" s="51">
        <v>4762</v>
      </c>
    </row>
    <row r="77" spans="19:51" x14ac:dyDescent="0.15">
      <c r="S77" s="82">
        <f t="shared" si="0"/>
        <v>61454</v>
      </c>
      <c r="T77" s="54">
        <f t="shared" si="1"/>
        <v>0.99502746427769728</v>
      </c>
      <c r="U77" s="86">
        <f t="shared" si="2"/>
        <v>2.3404497113466149E-5</v>
      </c>
      <c r="AB77" s="51">
        <v>10246.785928449401</v>
      </c>
      <c r="AC77" s="51">
        <v>1638.3303505930674</v>
      </c>
      <c r="AD77" s="51">
        <v>4882.2403318591987</v>
      </c>
      <c r="AE77" s="51">
        <v>499.36094903746812</v>
      </c>
      <c r="AF77" s="51">
        <v>277.49188647509862</v>
      </c>
      <c r="AG77" s="51">
        <v>28.382177517187998</v>
      </c>
      <c r="AH77" s="54">
        <v>1</v>
      </c>
      <c r="AI77" s="55">
        <v>1.1171294221254622</v>
      </c>
      <c r="AJ77" s="54">
        <v>0.99500405978058382</v>
      </c>
      <c r="AK77" s="55">
        <v>1.1171294221254622</v>
      </c>
      <c r="AL77" s="82">
        <v>11885</v>
      </c>
      <c r="AM77" s="82">
        <v>11826</v>
      </c>
      <c r="AN77" s="54">
        <v>0.18569463104086945</v>
      </c>
      <c r="AO77" s="54">
        <v>4.9971408039351711E-2</v>
      </c>
      <c r="AP77" s="54">
        <v>0.23566603908022116</v>
      </c>
      <c r="AQ77" s="53">
        <v>5.6396317627217929</v>
      </c>
      <c r="AR77" s="53">
        <v>45.832388046936764</v>
      </c>
      <c r="AS77" s="53">
        <v>51.472019809658555</v>
      </c>
      <c r="AT77" s="53">
        <v>36.194557127346307</v>
      </c>
      <c r="AU77" s="53">
        <v>43.833288468502438</v>
      </c>
      <c r="AV77" s="53">
        <v>18.370850664648671</v>
      </c>
      <c r="AW77" s="51">
        <v>80566.168038882752</v>
      </c>
      <c r="AX77" s="53">
        <v>1033.3189104195189</v>
      </c>
      <c r="AY77" s="51">
        <v>4824</v>
      </c>
    </row>
    <row r="78" spans="19:51" x14ac:dyDescent="0.15">
      <c r="S78" s="82">
        <f t="shared" si="0"/>
        <v>61915</v>
      </c>
      <c r="T78" s="62">
        <f t="shared" si="1"/>
        <v>0.99999617572828692</v>
      </c>
      <c r="U78" s="86">
        <f t="shared" si="2"/>
        <v>-3.8242717130820836E-6</v>
      </c>
      <c r="AB78" s="60">
        <v>10276.321217214105</v>
      </c>
      <c r="AC78" s="60">
        <v>1641.3448444848989</v>
      </c>
      <c r="AD78" s="60">
        <v>4924.0352709207446</v>
      </c>
      <c r="AE78" s="60">
        <v>503.08008326262791</v>
      </c>
      <c r="AF78" s="60">
        <v>278.2958207593</v>
      </c>
      <c r="AG78" s="60">
        <v>28.432997932821568</v>
      </c>
      <c r="AH78" s="62">
        <v>1</v>
      </c>
      <c r="AI78" s="63">
        <v>1.1177157199111663</v>
      </c>
      <c r="AJ78" s="62">
        <v>1</v>
      </c>
      <c r="AK78" s="63">
        <v>1.1177157199111663</v>
      </c>
      <c r="AL78" s="84">
        <v>11918</v>
      </c>
      <c r="AM78" s="84">
        <v>11918</v>
      </c>
      <c r="AN78" s="62">
        <v>0.18333797065006724</v>
      </c>
      <c r="AO78" s="62">
        <v>4.9971408039351711E-2</v>
      </c>
      <c r="AP78" s="62">
        <v>0.23330937868941895</v>
      </c>
      <c r="AQ78" s="61">
        <v>5.7130398251257359</v>
      </c>
      <c r="AR78" s="61">
        <v>46.09948302536479</v>
      </c>
      <c r="AS78" s="61">
        <v>51.812522850490524</v>
      </c>
      <c r="AT78" s="61">
        <v>36.446028508702263</v>
      </c>
      <c r="AU78" s="61">
        <v>44.129275679596397</v>
      </c>
      <c r="AV78" s="61">
        <v>18.518451776615958</v>
      </c>
      <c r="AW78" s="60">
        <v>81614.854644653358</v>
      </c>
      <c r="AX78" s="61">
        <v>1048.6866057706065</v>
      </c>
      <c r="AY78" s="60">
        <v>4887</v>
      </c>
    </row>
    <row r="79" spans="19:51" x14ac:dyDescent="0.15">
      <c r="S79" s="82">
        <f t="shared" si="0"/>
        <v>62062</v>
      </c>
      <c r="T79" s="54">
        <f t="shared" si="1"/>
        <v>1.0000023551784474</v>
      </c>
      <c r="U79" s="86">
        <f t="shared" si="2"/>
        <v>2.3551784473774262E-6</v>
      </c>
      <c r="AB79" s="51">
        <v>10296.528431480367</v>
      </c>
      <c r="AC79" s="51">
        <v>1645.2856863920044</v>
      </c>
      <c r="AD79" s="51">
        <v>4961.1588573298932</v>
      </c>
      <c r="AE79" s="51">
        <v>507.02081965165149</v>
      </c>
      <c r="AF79" s="51">
        <v>278.87350654247365</v>
      </c>
      <c r="AG79" s="51">
        <v>28.500331864477754</v>
      </c>
      <c r="AH79" s="54">
        <v>1</v>
      </c>
      <c r="AI79" s="55">
        <v>1.1182017571880594</v>
      </c>
      <c r="AJ79" s="54">
        <v>1</v>
      </c>
      <c r="AK79" s="55">
        <v>1.1182017571880594</v>
      </c>
      <c r="AL79" s="82">
        <v>11942</v>
      </c>
      <c r="AM79" s="82">
        <v>11942</v>
      </c>
      <c r="AN79" s="54">
        <v>0.18100487686317304</v>
      </c>
      <c r="AO79" s="54">
        <v>4.9971408039351711E-2</v>
      </c>
      <c r="AP79" s="54">
        <v>0.23097628490252475</v>
      </c>
      <c r="AQ79" s="53">
        <v>5.7529675725438612</v>
      </c>
      <c r="AR79" s="53">
        <v>46.089686554077367</v>
      </c>
      <c r="AS79" s="53">
        <v>51.842654126621227</v>
      </c>
      <c r="AT79" s="53">
        <v>36.479425275262109</v>
      </c>
      <c r="AU79" s="53">
        <v>44.161039700941664</v>
      </c>
      <c r="AV79" s="53">
        <v>18.555658282009794</v>
      </c>
      <c r="AW79" s="51">
        <v>82185.251036340866</v>
      </c>
      <c r="AX79" s="53">
        <v>570.39639168750728</v>
      </c>
      <c r="AY79" s="51">
        <v>4921</v>
      </c>
    </row>
    <row r="80" spans="19:51" x14ac:dyDescent="0.15">
      <c r="S80" s="82">
        <f t="shared" si="0"/>
        <v>62201</v>
      </c>
      <c r="T80" s="54">
        <f t="shared" si="1"/>
        <v>0.99999507949852606</v>
      </c>
      <c r="U80" s="86">
        <f t="shared" si="2"/>
        <v>-4.9205014739372999E-6</v>
      </c>
      <c r="AB80" s="51">
        <v>10318.010072090261</v>
      </c>
      <c r="AC80" s="51">
        <v>1649.3568033798576</v>
      </c>
      <c r="AD80" s="51">
        <v>4998.5967302135077</v>
      </c>
      <c r="AE80" s="51">
        <v>510.99690699843228</v>
      </c>
      <c r="AF80" s="51">
        <v>279.45473005842325</v>
      </c>
      <c r="AG80" s="51">
        <v>28.568118296639742</v>
      </c>
      <c r="AH80" s="54">
        <v>1</v>
      </c>
      <c r="AI80" s="55">
        <v>1.1186877944649525</v>
      </c>
      <c r="AJ80" s="54">
        <v>1</v>
      </c>
      <c r="AK80" s="55">
        <v>1.1186877944649525</v>
      </c>
      <c r="AL80" s="82">
        <v>11967</v>
      </c>
      <c r="AM80" s="82">
        <v>11967</v>
      </c>
      <c r="AN80" s="54">
        <v>0.17869511401414778</v>
      </c>
      <c r="AO80" s="54">
        <v>4.9971408039351711E-2</v>
      </c>
      <c r="AP80" s="54">
        <v>0.22866652205349949</v>
      </c>
      <c r="AQ80" s="53">
        <v>5.7943908175157386</v>
      </c>
      <c r="AR80" s="53">
        <v>46.10480365563027</v>
      </c>
      <c r="AS80" s="53">
        <v>51.899194473146011</v>
      </c>
      <c r="AT80" s="53">
        <v>36.530926587935923</v>
      </c>
      <c r="AU80" s="53">
        <v>44.215060530540967</v>
      </c>
      <c r="AV80" s="53">
        <v>18.601280721857481</v>
      </c>
      <c r="AW80" s="51">
        <v>82777.011678796262</v>
      </c>
      <c r="AX80" s="53">
        <v>591.76064245539601</v>
      </c>
      <c r="AY80" s="51">
        <v>4957</v>
      </c>
    </row>
    <row r="81" spans="19:51" x14ac:dyDescent="0.15">
      <c r="S81" s="82">
        <f t="shared" si="0"/>
        <v>62334</v>
      </c>
      <c r="T81" s="54">
        <f t="shared" si="1"/>
        <v>1.0000012012224444</v>
      </c>
      <c r="U81" s="86">
        <f t="shared" si="2"/>
        <v>1.2012224444024611E-6</v>
      </c>
      <c r="AB81" s="51">
        <v>10340.165028984014</v>
      </c>
      <c r="AC81" s="51">
        <v>1653.2433563239133</v>
      </c>
      <c r="AD81" s="51">
        <v>5036.0907288807457</v>
      </c>
      <c r="AE81" s="51">
        <v>514.91358563400695</v>
      </c>
      <c r="AF81" s="51">
        <v>280.06568333095811</v>
      </c>
      <c r="AG81" s="51">
        <v>28.635231766174332</v>
      </c>
      <c r="AH81" s="54">
        <v>1</v>
      </c>
      <c r="AI81" s="55">
        <v>1.1191738317418456</v>
      </c>
      <c r="AJ81" s="54">
        <v>1</v>
      </c>
      <c r="AK81" s="55">
        <v>1.1191738317418456</v>
      </c>
      <c r="AL81" s="82">
        <v>11993</v>
      </c>
      <c r="AM81" s="82">
        <v>11993</v>
      </c>
      <c r="AN81" s="54">
        <v>0.17640844879361278</v>
      </c>
      <c r="AO81" s="54">
        <v>4.9971408039351711E-2</v>
      </c>
      <c r="AP81" s="54">
        <v>0.22637985683296449</v>
      </c>
      <c r="AQ81" s="53">
        <v>5.8369143195814512</v>
      </c>
      <c r="AR81" s="53">
        <v>46.141572593068013</v>
      </c>
      <c r="AS81" s="53">
        <v>51.978486912649466</v>
      </c>
      <c r="AT81" s="53">
        <v>36.597962714960126</v>
      </c>
      <c r="AU81" s="53">
        <v>44.288224813804803</v>
      </c>
      <c r="AV81" s="53">
        <v>18.654017817655898</v>
      </c>
      <c r="AW81" s="51">
        <v>83384.490279735008</v>
      </c>
      <c r="AX81" s="53">
        <v>607.47860093874624</v>
      </c>
      <c r="AY81" s="51">
        <v>4993</v>
      </c>
    </row>
    <row r="82" spans="19:51" x14ac:dyDescent="0.15">
      <c r="S82" s="82">
        <f t="shared" si="0"/>
        <v>62461</v>
      </c>
      <c r="T82" s="54">
        <f t="shared" si="1"/>
        <v>1.0000155440672152</v>
      </c>
      <c r="U82" s="86">
        <f t="shared" si="2"/>
        <v>1.5544067215156332E-5</v>
      </c>
      <c r="AB82" s="51">
        <v>10362.747225423567</v>
      </c>
      <c r="AC82" s="51">
        <v>1657.0732832687597</v>
      </c>
      <c r="AD82" s="51">
        <v>5073.5043152486714</v>
      </c>
      <c r="AE82" s="51">
        <v>518.74466239085598</v>
      </c>
      <c r="AF82" s="51">
        <v>280.69526710641395</v>
      </c>
      <c r="AG82" s="51">
        <v>28.699920710068618</v>
      </c>
      <c r="AH82" s="54">
        <v>1</v>
      </c>
      <c r="AI82" s="55">
        <v>1.1196598690187387</v>
      </c>
      <c r="AJ82" s="54">
        <v>1</v>
      </c>
      <c r="AK82" s="55">
        <v>1.1196598690187387</v>
      </c>
      <c r="AL82" s="82">
        <v>12020</v>
      </c>
      <c r="AM82" s="82">
        <v>12020</v>
      </c>
      <c r="AN82" s="54">
        <v>0.17414465022528314</v>
      </c>
      <c r="AO82" s="54">
        <v>4.9971408039351711E-2</v>
      </c>
      <c r="AP82" s="54">
        <v>0.22411605826463485</v>
      </c>
      <c r="AQ82" s="53">
        <v>5.8768746830380802</v>
      </c>
      <c r="AR82" s="53">
        <v>46.140812760784335</v>
      </c>
      <c r="AS82" s="53">
        <v>52.017687443822417</v>
      </c>
      <c r="AT82" s="53">
        <v>36.637416523560972</v>
      </c>
      <c r="AU82" s="53">
        <v>44.327551983691691</v>
      </c>
      <c r="AV82" s="53">
        <v>18.693767116589285</v>
      </c>
      <c r="AW82" s="51">
        <v>83955.35261482971</v>
      </c>
      <c r="AX82" s="53">
        <v>570.86233509470185</v>
      </c>
      <c r="AY82" s="51">
        <v>5027</v>
      </c>
    </row>
    <row r="83" spans="19:51" x14ac:dyDescent="0.15">
      <c r="S83" s="82">
        <f t="shared" si="0"/>
        <v>62581</v>
      </c>
      <c r="T83" s="58">
        <f t="shared" si="1"/>
        <v>1.000017210589945</v>
      </c>
      <c r="U83" s="86">
        <f t="shared" si="2"/>
        <v>1.7210589944971488E-5</v>
      </c>
      <c r="AB83" s="56">
        <v>10384.826063323086</v>
      </c>
      <c r="AC83" s="56">
        <v>1659.3463052094005</v>
      </c>
      <c r="AD83" s="56">
        <v>5110.3540204903329</v>
      </c>
      <c r="AE83" s="56">
        <v>522.07812152611177</v>
      </c>
      <c r="AF83" s="56">
        <v>281.30528946412528</v>
      </c>
      <c r="AG83" s="56">
        <v>28.738388086212915</v>
      </c>
      <c r="AH83" s="58">
        <v>1</v>
      </c>
      <c r="AI83" s="59">
        <v>1.120145906295632</v>
      </c>
      <c r="AJ83" s="58">
        <v>1</v>
      </c>
      <c r="AK83" s="59">
        <v>1.120145906295632</v>
      </c>
      <c r="AL83" s="83">
        <v>12044</v>
      </c>
      <c r="AM83" s="83">
        <v>12044</v>
      </c>
      <c r="AN83" s="58">
        <v>0.1719034896426368</v>
      </c>
      <c r="AO83" s="58">
        <v>4.9971408039351711E-2</v>
      </c>
      <c r="AP83" s="58">
        <v>0.22187489768198851</v>
      </c>
      <c r="AQ83" s="57">
        <v>5.9157403532303858</v>
      </c>
      <c r="AR83" s="57">
        <v>46.133357832882304</v>
      </c>
      <c r="AS83" s="57">
        <v>52.049098186112687</v>
      </c>
      <c r="AT83" s="57">
        <v>36.67131224181859</v>
      </c>
      <c r="AU83" s="57">
        <v>44.360205213965635</v>
      </c>
      <c r="AV83" s="57">
        <v>18.730561973475471</v>
      </c>
      <c r="AW83" s="56">
        <v>84510.576474719797</v>
      </c>
      <c r="AX83" s="57">
        <v>555.22385989008762</v>
      </c>
      <c r="AY83" s="56">
        <v>5061</v>
      </c>
    </row>
    <row r="84" spans="19:51" x14ac:dyDescent="0.15">
      <c r="AW84"/>
    </row>
    <row r="85" spans="19:51" ht="12.75" thickBot="1" x14ac:dyDescent="0.2">
      <c r="AW85"/>
    </row>
    <row r="86" spans="19:51" ht="60.75" thickBot="1" x14ac:dyDescent="0.2">
      <c r="AA86" s="93" t="s">
        <v>115</v>
      </c>
      <c r="AB86" s="91" t="s">
        <v>20</v>
      </c>
      <c r="AC86" s="91" t="s">
        <v>4</v>
      </c>
      <c r="AD86" s="91" t="s">
        <v>155</v>
      </c>
      <c r="AE86" s="91" t="s">
        <v>156</v>
      </c>
      <c r="AF86" s="91" t="s">
        <v>157</v>
      </c>
      <c r="AG86" s="91" t="s">
        <v>158</v>
      </c>
      <c r="AH86" s="90" t="s">
        <v>50</v>
      </c>
      <c r="AI86" s="90" t="s">
        <v>28</v>
      </c>
      <c r="AJ86" s="90" t="s">
        <v>51</v>
      </c>
      <c r="AK86" s="90" t="s">
        <v>29</v>
      </c>
      <c r="AL86" s="90" t="s">
        <v>110</v>
      </c>
      <c r="AM86" s="90" t="s">
        <v>111</v>
      </c>
      <c r="AN86" s="91" t="s">
        <v>43</v>
      </c>
      <c r="AO86" s="91" t="s">
        <v>44</v>
      </c>
      <c r="AP86" s="91" t="s">
        <v>5</v>
      </c>
      <c r="AQ86" s="46" t="s">
        <v>45</v>
      </c>
      <c r="AR86" s="45" t="s">
        <v>46</v>
      </c>
      <c r="AS86" s="45" t="s">
        <v>93</v>
      </c>
      <c r="AT86" s="45" t="s">
        <v>30</v>
      </c>
      <c r="AU86" s="45" t="s">
        <v>31</v>
      </c>
      <c r="AV86" s="45" t="s">
        <v>32</v>
      </c>
      <c r="AW86" s="45" t="s">
        <v>26</v>
      </c>
      <c r="AX86" s="46" t="s">
        <v>138</v>
      </c>
      <c r="AY86" s="87" t="s">
        <v>152</v>
      </c>
    </row>
    <row r="87" spans="19:51" x14ac:dyDescent="0.15">
      <c r="AB87" s="44" t="s">
        <v>120</v>
      </c>
      <c r="AC87" s="44" t="s">
        <v>120</v>
      </c>
      <c r="AD87" s="44" t="s">
        <v>159</v>
      </c>
      <c r="AE87" s="44" t="s">
        <v>159</v>
      </c>
      <c r="AF87" s="44" t="s">
        <v>159</v>
      </c>
      <c r="AG87" s="44" t="s">
        <v>159</v>
      </c>
      <c r="AH87" s="43" t="s">
        <v>2</v>
      </c>
      <c r="AI87" s="43" t="s">
        <v>2</v>
      </c>
      <c r="AJ87" s="43" t="s">
        <v>2</v>
      </c>
      <c r="AK87" s="43" t="s">
        <v>2</v>
      </c>
      <c r="AL87" s="92">
        <v>0</v>
      </c>
      <c r="AM87" s="92">
        <v>0</v>
      </c>
      <c r="AN87" s="39" t="s">
        <v>2</v>
      </c>
      <c r="AO87" s="39" t="s">
        <v>2</v>
      </c>
      <c r="AP87" s="39" t="s">
        <v>2</v>
      </c>
      <c r="AQ87" s="43" t="s">
        <v>19</v>
      </c>
      <c r="AR87" s="43" t="s">
        <v>19</v>
      </c>
      <c r="AS87" s="43" t="s">
        <v>19</v>
      </c>
      <c r="AT87" s="43" t="s">
        <v>19</v>
      </c>
      <c r="AU87" s="43" t="s">
        <v>19</v>
      </c>
      <c r="AV87" s="43" t="s">
        <v>19</v>
      </c>
      <c r="AW87" s="43" t="s">
        <v>101</v>
      </c>
      <c r="AX87" s="43" t="s">
        <v>101</v>
      </c>
      <c r="AY87" s="43" t="s">
        <v>154</v>
      </c>
    </row>
    <row r="88" spans="19:51" ht="15.75" x14ac:dyDescent="0.15">
      <c r="AB88" s="76">
        <v>3774.1230475025018</v>
      </c>
      <c r="AC88" s="76">
        <v>3986.9977551411043</v>
      </c>
      <c r="AD88" s="76">
        <v>1477.2465149919908</v>
      </c>
      <c r="AE88" s="76">
        <v>1004.7882444413592</v>
      </c>
      <c r="AF88" s="76">
        <v>101.91683614249841</v>
      </c>
      <c r="AG88" s="76">
        <v>69.321428635892815</v>
      </c>
      <c r="AH88" s="54">
        <v>0.73504510649358956</v>
      </c>
      <c r="AI88" s="55">
        <v>1.0934659892767227</v>
      </c>
      <c r="AJ88" s="54">
        <v>0</v>
      </c>
      <c r="AK88" s="55">
        <v>1.0934659892767227</v>
      </c>
      <c r="AL88" s="82">
        <v>5705</v>
      </c>
      <c r="AM88" s="82">
        <v>0</v>
      </c>
      <c r="AN88" s="54">
        <v>0.41755321579381505</v>
      </c>
      <c r="AO88" s="54">
        <v>0.27836881052921009</v>
      </c>
      <c r="AP88" s="54">
        <v>0.69592202632302513</v>
      </c>
      <c r="AQ88" s="53">
        <v>0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</row>
    <row r="89" spans="19:51" ht="15.75" x14ac:dyDescent="0.15">
      <c r="AB89" s="76">
        <v>3821.0849776344953</v>
      </c>
      <c r="AC89" s="76">
        <v>4039.8365560202242</v>
      </c>
      <c r="AD89" s="76">
        <v>1503.5971463926646</v>
      </c>
      <c r="AE89" s="76">
        <v>1023.1784883032761</v>
      </c>
      <c r="AF89" s="76">
        <v>103.20003091132158</v>
      </c>
      <c r="AG89" s="76">
        <v>70.226291579514609</v>
      </c>
      <c r="AH89" s="78">
        <v>0.75550056927092557</v>
      </c>
      <c r="AI89" s="79">
        <v>1.0944786286488752</v>
      </c>
      <c r="AJ89" s="78">
        <v>0</v>
      </c>
      <c r="AK89" s="79">
        <v>1.0944786286488752</v>
      </c>
      <c r="AL89" s="81">
        <v>5939</v>
      </c>
      <c r="AM89" s="81">
        <v>0</v>
      </c>
      <c r="AN89" s="78">
        <v>0.41702842080111552</v>
      </c>
      <c r="AO89" s="78">
        <v>0.27801894720074366</v>
      </c>
      <c r="AP89" s="78">
        <v>0.69504736800185918</v>
      </c>
      <c r="AQ89" s="77">
        <v>2.5911658084036371</v>
      </c>
      <c r="AR89" s="77">
        <v>34.017473169605502</v>
      </c>
      <c r="AS89" s="77">
        <v>36.608638978009139</v>
      </c>
      <c r="AT89" s="77">
        <v>25.26948125480731</v>
      </c>
      <c r="AU89" s="77">
        <v>30.939060116408228</v>
      </c>
      <c r="AV89" s="77">
        <v>12.040463911071834</v>
      </c>
      <c r="AW89" s="77">
        <v>0</v>
      </c>
      <c r="AX89" s="77">
        <v>0</v>
      </c>
      <c r="AY89" s="76">
        <v>0</v>
      </c>
    </row>
    <row r="90" spans="19:51" x14ac:dyDescent="0.15">
      <c r="AB90" s="51">
        <v>3866.1874161307605</v>
      </c>
      <c r="AC90" s="51">
        <v>4088.750894449935</v>
      </c>
      <c r="AD90" s="51">
        <v>1529.8227315366241</v>
      </c>
      <c r="AE90" s="51">
        <v>1040.8598496651471</v>
      </c>
      <c r="AF90" s="51">
        <v>104.43539048022549</v>
      </c>
      <c r="AG90" s="51">
        <v>71.055686776063624</v>
      </c>
      <c r="AH90" s="54">
        <v>0.77614866772091773</v>
      </c>
      <c r="AI90" s="55">
        <v>1.0954740495672763</v>
      </c>
      <c r="AJ90" s="54">
        <v>0</v>
      </c>
      <c r="AK90" s="55">
        <v>1.0954740495672763</v>
      </c>
      <c r="AL90" s="82">
        <v>6174</v>
      </c>
      <c r="AM90" s="82">
        <v>0</v>
      </c>
      <c r="AN90" s="54">
        <v>0.4165136742434038</v>
      </c>
      <c r="AO90" s="54">
        <v>0.2776757828289359</v>
      </c>
      <c r="AP90" s="54">
        <v>0.6941894570723397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1">
        <v>0</v>
      </c>
    </row>
    <row r="91" spans="19:51" x14ac:dyDescent="0.15">
      <c r="AB91" s="56">
        <v>3923.1391275705723</v>
      </c>
      <c r="AC91" s="56">
        <v>4155.7508440913807</v>
      </c>
      <c r="AD91" s="56">
        <v>1561.3439652585464</v>
      </c>
      <c r="AE91" s="56">
        <v>1063.6364576708986</v>
      </c>
      <c r="AF91" s="56">
        <v>105.99157869168987</v>
      </c>
      <c r="AG91" s="56">
        <v>72.204786268160348</v>
      </c>
      <c r="AH91" s="58">
        <v>0.79697538358465825</v>
      </c>
      <c r="AI91" s="59">
        <v>1.0964522597533219</v>
      </c>
      <c r="AJ91" s="58">
        <v>0</v>
      </c>
      <c r="AK91" s="59">
        <v>1.0964522597533219</v>
      </c>
      <c r="AL91" s="83">
        <v>6439</v>
      </c>
      <c r="AM91" s="83">
        <v>0</v>
      </c>
      <c r="AN91" s="58">
        <v>0.40442584348281335</v>
      </c>
      <c r="AO91" s="58">
        <v>0.23391407945509562</v>
      </c>
      <c r="AP91" s="58">
        <v>0.63833992293790898</v>
      </c>
      <c r="AQ91" s="57">
        <v>0</v>
      </c>
      <c r="AR91" s="57">
        <v>0</v>
      </c>
      <c r="AS91" s="57">
        <v>0</v>
      </c>
      <c r="AT91" s="57">
        <v>0</v>
      </c>
      <c r="AU91" s="57">
        <v>0</v>
      </c>
      <c r="AV91" s="57">
        <v>0</v>
      </c>
      <c r="AW91" s="57">
        <v>0</v>
      </c>
      <c r="AX91" s="57">
        <v>0</v>
      </c>
      <c r="AY91" s="56">
        <v>0</v>
      </c>
    </row>
    <row r="92" spans="19:51" x14ac:dyDescent="0.15">
      <c r="AB92" s="51">
        <v>3972.9220858225458</v>
      </c>
      <c r="AC92" s="51">
        <v>4211.6719691442759</v>
      </c>
      <c r="AD92" s="51">
        <v>1590.6089518024137</v>
      </c>
      <c r="AE92" s="51">
        <v>1084.0758054283326</v>
      </c>
      <c r="AF92" s="51">
        <v>107.35317348643559</v>
      </c>
      <c r="AG92" s="51">
        <v>73.166303937067141</v>
      </c>
      <c r="AH92" s="54">
        <v>0.81842266920165019</v>
      </c>
      <c r="AI92" s="55">
        <v>1.0973451375046974</v>
      </c>
      <c r="AJ92" s="54">
        <v>0.10000020813089452</v>
      </c>
      <c r="AK92" s="55">
        <v>1.0973451375046974</v>
      </c>
      <c r="AL92" s="82">
        <v>6699</v>
      </c>
      <c r="AM92" s="82">
        <v>819</v>
      </c>
      <c r="AN92" s="54">
        <v>0.38993442357891628</v>
      </c>
      <c r="AO92" s="54">
        <v>0.19704922053297255</v>
      </c>
      <c r="AP92" s="54">
        <v>0.58698364411188886</v>
      </c>
      <c r="AQ92" s="53">
        <v>0.28686252086855696</v>
      </c>
      <c r="AR92" s="53">
        <v>3.7653368376290928</v>
      </c>
      <c r="AS92" s="53">
        <v>4.0521993584976501</v>
      </c>
      <c r="AT92" s="53">
        <v>2.7970870792879525</v>
      </c>
      <c r="AU92" s="53">
        <v>3.4246432188928013</v>
      </c>
      <c r="AV92" s="53">
        <v>1.3327894202099719</v>
      </c>
      <c r="AW92" s="53">
        <v>4098.0360124079562</v>
      </c>
      <c r="AX92" s="53">
        <v>4098.0360124079562</v>
      </c>
      <c r="AY92" s="51">
        <v>245</v>
      </c>
    </row>
    <row r="93" spans="19:51" x14ac:dyDescent="0.15">
      <c r="AB93" s="51">
        <v>4012.9511920845075</v>
      </c>
      <c r="AC93" s="51">
        <v>4254.7398096775687</v>
      </c>
      <c r="AD93" s="51">
        <v>1616.5044287060839</v>
      </c>
      <c r="AE93" s="51">
        <v>1101.6674501560701</v>
      </c>
      <c r="AF93" s="51">
        <v>108.44853236024177</v>
      </c>
      <c r="AG93" s="51">
        <v>73.908995234926536</v>
      </c>
      <c r="AH93" s="54">
        <v>0.83986995481864213</v>
      </c>
      <c r="AI93" s="55">
        <v>1.0982380152560729</v>
      </c>
      <c r="AJ93" s="54">
        <v>0.20000041626178905</v>
      </c>
      <c r="AK93" s="55">
        <v>1.0982380152560729</v>
      </c>
      <c r="AL93" s="82">
        <v>6944</v>
      </c>
      <c r="AM93" s="82">
        <v>1654</v>
      </c>
      <c r="AN93" s="54">
        <v>0.37376486193216862</v>
      </c>
      <c r="AO93" s="54">
        <v>0.16599426337697609</v>
      </c>
      <c r="AP93" s="54">
        <v>0.53975912530914472</v>
      </c>
      <c r="AQ93" s="53">
        <v>0.58239334496451478</v>
      </c>
      <c r="AR93" s="53">
        <v>7.5147288952943612</v>
      </c>
      <c r="AS93" s="53">
        <v>8.0971222402588765</v>
      </c>
      <c r="AT93" s="53">
        <v>5.5922126084940897</v>
      </c>
      <c r="AU93" s="53">
        <v>6.8446674243764836</v>
      </c>
      <c r="AV93" s="53">
        <v>2.6698180381018379</v>
      </c>
      <c r="AW93" s="53">
        <v>8319.9049280644958</v>
      </c>
      <c r="AX93" s="53">
        <v>4221.8689156565397</v>
      </c>
      <c r="AY93" s="51">
        <v>498</v>
      </c>
    </row>
    <row r="94" spans="19:51" x14ac:dyDescent="0.15">
      <c r="AB94" s="51">
        <v>4054.4051193906776</v>
      </c>
      <c r="AC94" s="51">
        <v>4296.0186248709451</v>
      </c>
      <c r="AD94" s="51">
        <v>1643.4668159086002</v>
      </c>
      <c r="AE94" s="51">
        <v>1119.037658970592</v>
      </c>
      <c r="AF94" s="51">
        <v>109.57777410615681</v>
      </c>
      <c r="AG94" s="51">
        <v>74.61157999905825</v>
      </c>
      <c r="AH94" s="54">
        <v>0.86131724043563407</v>
      </c>
      <c r="AI94" s="55">
        <v>1.0991308930074484</v>
      </c>
      <c r="AJ94" s="54">
        <v>0.3000006243926836</v>
      </c>
      <c r="AK94" s="55">
        <v>1.0991308930074484</v>
      </c>
      <c r="AL94" s="82">
        <v>7192</v>
      </c>
      <c r="AM94" s="82">
        <v>2505</v>
      </c>
      <c r="AN94" s="54">
        <v>0.35650038710895227</v>
      </c>
      <c r="AO94" s="54">
        <v>0.13983356746876466</v>
      </c>
      <c r="AP94" s="54">
        <v>0.4963339545777169</v>
      </c>
      <c r="AQ94" s="53">
        <v>0.88754507056973009</v>
      </c>
      <c r="AR94" s="53">
        <v>11.24953190481903</v>
      </c>
      <c r="AS94" s="53">
        <v>12.13707697538876</v>
      </c>
      <c r="AT94" s="53">
        <v>8.3872330071157499</v>
      </c>
      <c r="AU94" s="53">
        <v>10.262154991252256</v>
      </c>
      <c r="AV94" s="53">
        <v>4.0124150441305719</v>
      </c>
      <c r="AW94" s="53">
        <v>12679.215293853285</v>
      </c>
      <c r="AX94" s="53">
        <v>4359.3103657887896</v>
      </c>
      <c r="AY94" s="51">
        <v>759</v>
      </c>
    </row>
    <row r="95" spans="19:51" x14ac:dyDescent="0.15">
      <c r="AB95" s="51">
        <v>4065.6074812515094</v>
      </c>
      <c r="AC95" s="51">
        <v>4306.0579934591497</v>
      </c>
      <c r="AD95" s="51">
        <v>1658.5755300177991</v>
      </c>
      <c r="AE95" s="51">
        <v>1128.463916766327</v>
      </c>
      <c r="AF95" s="51">
        <v>109.89607511673555</v>
      </c>
      <c r="AG95" s="51">
        <v>74.771243828821596</v>
      </c>
      <c r="AH95" s="54">
        <v>0.88276452605262601</v>
      </c>
      <c r="AI95" s="55">
        <v>1.1000237707588238</v>
      </c>
      <c r="AJ95" s="54">
        <v>0.4000008325235781</v>
      </c>
      <c r="AK95" s="55">
        <v>1.1000237707588238</v>
      </c>
      <c r="AL95" s="82">
        <v>7391</v>
      </c>
      <c r="AM95" s="82">
        <v>3349</v>
      </c>
      <c r="AN95" s="54">
        <v>0.33860666622551072</v>
      </c>
      <c r="AO95" s="54">
        <v>0.11779579723568735</v>
      </c>
      <c r="AP95" s="54">
        <v>0.45640246346119806</v>
      </c>
      <c r="AQ95" s="53">
        <v>1.1927293108591954</v>
      </c>
      <c r="AR95" s="53">
        <v>14.834797709995735</v>
      </c>
      <c r="AS95" s="53">
        <v>16.027527020854929</v>
      </c>
      <c r="AT95" s="53">
        <v>11.082594450856353</v>
      </c>
      <c r="AU95" s="53">
        <v>13.555060735855642</v>
      </c>
      <c r="AV95" s="53">
        <v>5.3135064525246767</v>
      </c>
      <c r="AW95" s="53">
        <v>17038.990155131363</v>
      </c>
      <c r="AX95" s="53">
        <v>4359.7748612780779</v>
      </c>
      <c r="AY95" s="51">
        <v>1020</v>
      </c>
    </row>
    <row r="96" spans="19:51" x14ac:dyDescent="0.15">
      <c r="AB96" s="51">
        <v>4133.6837368366341</v>
      </c>
      <c r="AC96" s="51">
        <v>4382.1341965299089</v>
      </c>
      <c r="AD96" s="51">
        <v>1697.3422809003991</v>
      </c>
      <c r="AE96" s="51">
        <v>1155.4392260092764</v>
      </c>
      <c r="AF96" s="51">
        <v>111.75673087604056</v>
      </c>
      <c r="AG96" s="51">
        <v>76.076647637764594</v>
      </c>
      <c r="AH96" s="54">
        <v>0.90421181166961795</v>
      </c>
      <c r="AI96" s="55">
        <v>1.1009166485101993</v>
      </c>
      <c r="AJ96" s="54">
        <v>0.50000104065447259</v>
      </c>
      <c r="AK96" s="55">
        <v>1.1009166485101993</v>
      </c>
      <c r="AL96" s="82">
        <v>7700</v>
      </c>
      <c r="AM96" s="82">
        <v>4258</v>
      </c>
      <c r="AN96" s="54">
        <v>0.32045239581641949</v>
      </c>
      <c r="AO96" s="54">
        <v>9.9231179591343033E-2</v>
      </c>
      <c r="AP96" s="54">
        <v>0.41968357540776252</v>
      </c>
      <c r="AQ96" s="53">
        <v>1.5247666605100738</v>
      </c>
      <c r="AR96" s="53">
        <v>18.604900031750255</v>
      </c>
      <c r="AS96" s="53">
        <v>20.129666692260329</v>
      </c>
      <c r="AT96" s="53">
        <v>13.928033348343575</v>
      </c>
      <c r="AU96" s="53">
        <v>17.028850020301949</v>
      </c>
      <c r="AV96" s="53">
        <v>6.6927944471073664</v>
      </c>
      <c r="AW96" s="53">
        <v>21782.380864429622</v>
      </c>
      <c r="AX96" s="53">
        <v>4743.390709298259</v>
      </c>
      <c r="AY96" s="51">
        <v>1304</v>
      </c>
    </row>
    <row r="97" spans="28:51" x14ac:dyDescent="0.15">
      <c r="AB97" s="51">
        <v>4185.4614319928305</v>
      </c>
      <c r="AC97" s="51">
        <v>4439.6333514386288</v>
      </c>
      <c r="AD97" s="51">
        <v>1729.9468423338847</v>
      </c>
      <c r="AE97" s="51">
        <v>1178.0148060166418</v>
      </c>
      <c r="AF97" s="51">
        <v>113.16734724645454</v>
      </c>
      <c r="AG97" s="51">
        <v>77.061795976399338</v>
      </c>
      <c r="AH97" s="54">
        <v>0.92565909728660989</v>
      </c>
      <c r="AI97" s="55">
        <v>1.1018095262615748</v>
      </c>
      <c r="AJ97" s="54">
        <v>0.60000124878536709</v>
      </c>
      <c r="AK97" s="55">
        <v>1.1018095262615748</v>
      </c>
      <c r="AL97" s="82">
        <v>7984</v>
      </c>
      <c r="AM97" s="82">
        <v>5175</v>
      </c>
      <c r="AN97" s="54">
        <v>0.30232648159311698</v>
      </c>
      <c r="AO97" s="54">
        <v>8.3592345687747371E-2</v>
      </c>
      <c r="AP97" s="54">
        <v>0.38591882728086435</v>
      </c>
      <c r="AQ97" s="53">
        <v>1.8633489287603171</v>
      </c>
      <c r="AR97" s="53">
        <v>22.296527679426084</v>
      </c>
      <c r="AS97" s="53">
        <v>24.159876608186401</v>
      </c>
      <c r="AT97" s="53">
        <v>16.727700715044378</v>
      </c>
      <c r="AU97" s="53">
        <v>20.44378866161539</v>
      </c>
      <c r="AV97" s="53">
        <v>8.0568288397120078</v>
      </c>
      <c r="AW97" s="53">
        <v>26619.270410861667</v>
      </c>
      <c r="AX97" s="53">
        <v>4836.8895464320449</v>
      </c>
      <c r="AY97" s="51">
        <v>1594</v>
      </c>
    </row>
    <row r="98" spans="28:51" x14ac:dyDescent="0.15">
      <c r="AB98" s="51">
        <v>4217.6239429462194</v>
      </c>
      <c r="AC98" s="51">
        <v>4474.5325661028819</v>
      </c>
      <c r="AD98" s="51">
        <v>1754.8705339104115</v>
      </c>
      <c r="AE98" s="51">
        <v>1195.030256070823</v>
      </c>
      <c r="AF98" s="51">
        <v>114.0496624959541</v>
      </c>
      <c r="AG98" s="51">
        <v>77.66544297352074</v>
      </c>
      <c r="AH98" s="54">
        <v>0.94710638290360183</v>
      </c>
      <c r="AI98" s="55">
        <v>1.1027024040129503</v>
      </c>
      <c r="AJ98" s="54">
        <v>0.70000145691626159</v>
      </c>
      <c r="AK98" s="55">
        <v>1.1027024040129503</v>
      </c>
      <c r="AL98" s="82">
        <v>8232</v>
      </c>
      <c r="AM98" s="82">
        <v>6084</v>
      </c>
      <c r="AN98" s="54">
        <v>0.28445235803771951</v>
      </c>
      <c r="AO98" s="54">
        <v>7.0418192007358382E-2</v>
      </c>
      <c r="AP98" s="54">
        <v>0.35487055004507789</v>
      </c>
      <c r="AQ98" s="53">
        <v>2.2031108267394521</v>
      </c>
      <c r="AR98" s="53">
        <v>25.847781564325615</v>
      </c>
      <c r="AS98" s="53">
        <v>28.050892391065066</v>
      </c>
      <c r="AT98" s="53">
        <v>19.434965202956523</v>
      </c>
      <c r="AU98" s="53">
        <v>23.742928797010791</v>
      </c>
      <c r="AV98" s="53">
        <v>9.3830501501632337</v>
      </c>
      <c r="AW98" s="53">
        <v>31473.011810563599</v>
      </c>
      <c r="AX98" s="53">
        <v>4853.7413997019321</v>
      </c>
      <c r="AY98" s="51">
        <v>1885</v>
      </c>
    </row>
    <row r="99" spans="28:51" x14ac:dyDescent="0.15">
      <c r="AB99" s="51">
        <v>4250.8048905063451</v>
      </c>
      <c r="AC99" s="51">
        <v>4507.9008799530338</v>
      </c>
      <c r="AD99" s="51">
        <v>1780.5713812061363</v>
      </c>
      <c r="AE99" s="51">
        <v>1211.6410050330526</v>
      </c>
      <c r="AF99" s="51">
        <v>114.95905531402634</v>
      </c>
      <c r="AG99" s="51">
        <v>78.227195375893615</v>
      </c>
      <c r="AH99" s="54">
        <v>0.96855366852059377</v>
      </c>
      <c r="AI99" s="55">
        <v>1.1035952817643258</v>
      </c>
      <c r="AJ99" s="54">
        <v>0.80000166504715609</v>
      </c>
      <c r="AK99" s="55">
        <v>1.1035952817643258</v>
      </c>
      <c r="AL99" s="82">
        <v>8484</v>
      </c>
      <c r="AM99" s="82">
        <v>7007</v>
      </c>
      <c r="AN99" s="54">
        <v>0.26699991087398522</v>
      </c>
      <c r="AO99" s="54">
        <v>5.9320284946998703E-2</v>
      </c>
      <c r="AP99" s="54">
        <v>0.32632019582098393</v>
      </c>
      <c r="AQ99" s="53">
        <v>2.5533627418029496</v>
      </c>
      <c r="AR99" s="53">
        <v>29.387515658674257</v>
      </c>
      <c r="AS99" s="53">
        <v>31.940878400477207</v>
      </c>
      <c r="AT99" s="53">
        <v>22.145039847585785</v>
      </c>
      <c r="AU99" s="53">
        <v>27.042959124031494</v>
      </c>
      <c r="AV99" s="53">
        <v>10.716561535879134</v>
      </c>
      <c r="AW99" s="53">
        <v>36476.61059718499</v>
      </c>
      <c r="AX99" s="53">
        <v>5003.5987866213909</v>
      </c>
      <c r="AY99" s="51">
        <v>2184</v>
      </c>
    </row>
    <row r="100" spans="28:51" x14ac:dyDescent="0.15">
      <c r="AB100" s="60">
        <v>4226.2739238379654</v>
      </c>
      <c r="AC100" s="60">
        <v>4482.1114437963879</v>
      </c>
      <c r="AD100" s="60">
        <v>1782.2700538408442</v>
      </c>
      <c r="AE100" s="60">
        <v>1212.6283339959741</v>
      </c>
      <c r="AF100" s="60">
        <v>114.30628471480459</v>
      </c>
      <c r="AG100" s="60">
        <v>77.772186824478197</v>
      </c>
      <c r="AH100" s="62">
        <v>0.99000095413758615</v>
      </c>
      <c r="AI100" s="63">
        <v>1.1044881595157015</v>
      </c>
      <c r="AJ100" s="62">
        <v>0.90000187317805069</v>
      </c>
      <c r="AK100" s="63">
        <v>1.1044881595157015</v>
      </c>
      <c r="AL100" s="84">
        <v>8621</v>
      </c>
      <c r="AM100" s="84">
        <v>7837</v>
      </c>
      <c r="AN100" s="62">
        <v>0.25009539149393989</v>
      </c>
      <c r="AO100" s="62">
        <v>4.9971408039351711E-2</v>
      </c>
      <c r="AP100" s="62">
        <v>0.30006679953329157</v>
      </c>
      <c r="AQ100" s="61">
        <v>2.8718855435572959</v>
      </c>
      <c r="AR100" s="61">
        <v>32.416088390305255</v>
      </c>
      <c r="AS100" s="61">
        <v>35.287973933862553</v>
      </c>
      <c r="AT100" s="61">
        <v>24.482611137094139</v>
      </c>
      <c r="AU100" s="61">
        <v>29.885292535478349</v>
      </c>
      <c r="AV100" s="61">
        <v>11.876354540864313</v>
      </c>
      <c r="AW100" s="61">
        <v>41026.936336532795</v>
      </c>
      <c r="AX100" s="61">
        <v>4550.3257393478052</v>
      </c>
      <c r="AY100" s="60">
        <v>2457</v>
      </c>
    </row>
    <row r="101" spans="28:51" x14ac:dyDescent="0.15">
      <c r="AB101" s="51">
        <v>4249.9139465189501</v>
      </c>
      <c r="AC101" s="51">
        <v>4512.7893474789462</v>
      </c>
      <c r="AD101" s="51">
        <v>1804.4112222374522</v>
      </c>
      <c r="AE101" s="51">
        <v>1228.9697517585478</v>
      </c>
      <c r="AF101" s="51">
        <v>114.95950953958396</v>
      </c>
      <c r="AG101" s="51">
        <v>78.297983386491538</v>
      </c>
      <c r="AH101" s="54">
        <v>0.99100085872382748</v>
      </c>
      <c r="AI101" s="55">
        <v>1.1052246177695439</v>
      </c>
      <c r="AJ101" s="54">
        <v>0.90500574564082903</v>
      </c>
      <c r="AK101" s="55">
        <v>1.1052246177695439</v>
      </c>
      <c r="AL101" s="82">
        <v>8684</v>
      </c>
      <c r="AM101" s="82">
        <v>7931</v>
      </c>
      <c r="AN101" s="54">
        <v>0.24559438950094051</v>
      </c>
      <c r="AO101" s="54">
        <v>4.9971408039351711E-2</v>
      </c>
      <c r="AP101" s="54">
        <v>0.29556579754029222</v>
      </c>
      <c r="AQ101" s="53">
        <v>2.9238877518588238</v>
      </c>
      <c r="AR101" s="53">
        <v>32.697197295926408</v>
      </c>
      <c r="AS101" s="53">
        <v>35.621085047785229</v>
      </c>
      <c r="AT101" s="53">
        <v>24.722019282476431</v>
      </c>
      <c r="AU101" s="53">
        <v>30.17155216513083</v>
      </c>
      <c r="AV101" s="53">
        <v>12.006442556282824</v>
      </c>
      <c r="AW101" s="53">
        <v>41769.825026554623</v>
      </c>
      <c r="AX101" s="53">
        <v>742.88869002182764</v>
      </c>
      <c r="AY101" s="51">
        <v>2501</v>
      </c>
    </row>
    <row r="102" spans="28:51" x14ac:dyDescent="0.15">
      <c r="AB102" s="51">
        <v>4275.0579159939634</v>
      </c>
      <c r="AC102" s="51">
        <v>4541.8933194584179</v>
      </c>
      <c r="AD102" s="51">
        <v>1827.4323583247958</v>
      </c>
      <c r="AE102" s="51">
        <v>1245.0459482617694</v>
      </c>
      <c r="AF102" s="51">
        <v>115.6485692022603</v>
      </c>
      <c r="AG102" s="51">
        <v>78.792400633388368</v>
      </c>
      <c r="AH102" s="54">
        <v>0.99200076331006892</v>
      </c>
      <c r="AI102" s="55">
        <v>1.1059610760233864</v>
      </c>
      <c r="AJ102" s="54">
        <v>0.91000961810360737</v>
      </c>
      <c r="AK102" s="55">
        <v>1.1059610760233864</v>
      </c>
      <c r="AL102" s="82">
        <v>8746</v>
      </c>
      <c r="AM102" s="82">
        <v>8024</v>
      </c>
      <c r="AN102" s="54">
        <v>0.24116090253783615</v>
      </c>
      <c r="AO102" s="54">
        <v>4.9971408039351711E-2</v>
      </c>
      <c r="AP102" s="54">
        <v>0.29113231057718786</v>
      </c>
      <c r="AQ102" s="53">
        <v>2.9757662443703392</v>
      </c>
      <c r="AR102" s="53">
        <v>32.960109896172241</v>
      </c>
      <c r="AS102" s="53">
        <v>35.935876140542582</v>
      </c>
      <c r="AT102" s="53">
        <v>24.949172841818502</v>
      </c>
      <c r="AU102" s="53">
        <v>30.442524491180542</v>
      </c>
      <c r="AV102" s="53">
        <v>12.131352326640407</v>
      </c>
      <c r="AW102" s="53">
        <v>42510.9463481477</v>
      </c>
      <c r="AX102" s="53">
        <v>741.12132159307657</v>
      </c>
      <c r="AY102" s="51">
        <v>2546</v>
      </c>
    </row>
    <row r="103" spans="28:51" x14ac:dyDescent="0.15">
      <c r="AB103" s="51">
        <v>4301.2667481902236</v>
      </c>
      <c r="AC103" s="51">
        <v>4569.6901231686152</v>
      </c>
      <c r="AD103" s="51">
        <v>1851.1436623788052</v>
      </c>
      <c r="AE103" s="51">
        <v>1260.9203936133797</v>
      </c>
      <c r="AF103" s="51">
        <v>116.3666236710002</v>
      </c>
      <c r="AG103" s="51">
        <v>79.263998740186381</v>
      </c>
      <c r="AH103" s="54">
        <v>0.99300066789631036</v>
      </c>
      <c r="AI103" s="55">
        <v>1.1066975342772289</v>
      </c>
      <c r="AJ103" s="54">
        <v>0.9150134905663857</v>
      </c>
      <c r="AK103" s="55">
        <v>1.1066975342772289</v>
      </c>
      <c r="AL103" s="82">
        <v>8809</v>
      </c>
      <c r="AM103" s="82">
        <v>8117</v>
      </c>
      <c r="AN103" s="54">
        <v>0.23679391787917833</v>
      </c>
      <c r="AO103" s="54">
        <v>4.9971408039351711E-2</v>
      </c>
      <c r="AP103" s="54">
        <v>0.28676532591853005</v>
      </c>
      <c r="AQ103" s="53">
        <v>3.0273875563853827</v>
      </c>
      <c r="AR103" s="53">
        <v>33.204257907076787</v>
      </c>
      <c r="AS103" s="53">
        <v>36.231645463462172</v>
      </c>
      <c r="AT103" s="53">
        <v>25.163559494436573</v>
      </c>
      <c r="AU103" s="53">
        <v>30.697602478949367</v>
      </c>
      <c r="AV103" s="53">
        <v>12.25079253057338</v>
      </c>
      <c r="AW103" s="53">
        <v>43248.393662648319</v>
      </c>
      <c r="AX103" s="53">
        <v>737.44731450061954</v>
      </c>
      <c r="AY103" s="51">
        <v>2590</v>
      </c>
    </row>
    <row r="104" spans="28:51" x14ac:dyDescent="0.15">
      <c r="AB104" s="51">
        <v>4328.3205124180668</v>
      </c>
      <c r="AC104" s="51">
        <v>4596.2289308851177</v>
      </c>
      <c r="AD104" s="51">
        <v>1875.4458454236735</v>
      </c>
      <c r="AE104" s="51">
        <v>1276.5979165558647</v>
      </c>
      <c r="AF104" s="51">
        <v>117.1127994295851</v>
      </c>
      <c r="AG104" s="51">
        <v>79.717554158466768</v>
      </c>
      <c r="AH104" s="54">
        <v>0.9940005724825518</v>
      </c>
      <c r="AI104" s="55">
        <v>1.1074339925310714</v>
      </c>
      <c r="AJ104" s="54">
        <v>0.92001736302916404</v>
      </c>
      <c r="AK104" s="55">
        <v>1.1074339925310714</v>
      </c>
      <c r="AL104" s="82">
        <v>8871</v>
      </c>
      <c r="AM104" s="82">
        <v>8211</v>
      </c>
      <c r="AN104" s="54">
        <v>0.2324924379904004</v>
      </c>
      <c r="AO104" s="54">
        <v>4.9971408039351711E-2</v>
      </c>
      <c r="AP104" s="54">
        <v>0.28246384602975211</v>
      </c>
      <c r="AQ104" s="53">
        <v>3.0818711575249096</v>
      </c>
      <c r="AR104" s="53">
        <v>33.4857024243639</v>
      </c>
      <c r="AS104" s="53">
        <v>36.567573581888809</v>
      </c>
      <c r="AT104" s="53">
        <v>25.405672773767513</v>
      </c>
      <c r="AU104" s="53">
        <v>30.986623177828164</v>
      </c>
      <c r="AV104" s="53">
        <v>12.383455164292661</v>
      </c>
      <c r="AW104" s="53">
        <v>44026.730821784418</v>
      </c>
      <c r="AX104" s="53">
        <v>778.33715913609922</v>
      </c>
      <c r="AY104" s="51">
        <v>2636</v>
      </c>
    </row>
    <row r="105" spans="28:51" x14ac:dyDescent="0.15">
      <c r="AB105" s="51">
        <v>4354.4416213550685</v>
      </c>
      <c r="AC105" s="51">
        <v>4623.5227496442922</v>
      </c>
      <c r="AD105" s="51">
        <v>1899.5384806472371</v>
      </c>
      <c r="AE105" s="51">
        <v>1292.6192717231863</v>
      </c>
      <c r="AF105" s="51">
        <v>117.82447825594195</v>
      </c>
      <c r="AG105" s="51">
        <v>80.178523797246555</v>
      </c>
      <c r="AH105" s="54">
        <v>0.99500047706879324</v>
      </c>
      <c r="AI105" s="55">
        <v>1.1081704507849139</v>
      </c>
      <c r="AJ105" s="54">
        <v>0.92502123549194237</v>
      </c>
      <c r="AK105" s="55">
        <v>1.1081704507849139</v>
      </c>
      <c r="AL105" s="82">
        <v>8933</v>
      </c>
      <c r="AM105" s="82">
        <v>8305</v>
      </c>
      <c r="AN105" s="54">
        <v>0.2282554802999541</v>
      </c>
      <c r="AO105" s="54">
        <v>4.9971408039351711E-2</v>
      </c>
      <c r="AP105" s="54">
        <v>0.27822688833930581</v>
      </c>
      <c r="AQ105" s="53">
        <v>3.1357956308029937</v>
      </c>
      <c r="AR105" s="53">
        <v>33.749218974931289</v>
      </c>
      <c r="AS105" s="53">
        <v>36.885014605734284</v>
      </c>
      <c r="AT105" s="53">
        <v>25.635274947423859</v>
      </c>
      <c r="AU105" s="53">
        <v>31.260144776579075</v>
      </c>
      <c r="AV105" s="53">
        <v>12.510578679395021</v>
      </c>
      <c r="AW105" s="53">
        <v>44797.080440042766</v>
      </c>
      <c r="AX105" s="53">
        <v>770.34961825834762</v>
      </c>
      <c r="AY105" s="51">
        <v>2682</v>
      </c>
    </row>
    <row r="106" spans="28:51" x14ac:dyDescent="0.15">
      <c r="AB106" s="51">
        <v>4373.2100942885836</v>
      </c>
      <c r="AC106" s="51">
        <v>4648.1277576899474</v>
      </c>
      <c r="AD106" s="51">
        <v>1920.5946681665284</v>
      </c>
      <c r="AE106" s="51">
        <v>1308.0265902722965</v>
      </c>
      <c r="AF106" s="51">
        <v>118.34617997363094</v>
      </c>
      <c r="AG106" s="51">
        <v>80.600010417834739</v>
      </c>
      <c r="AH106" s="54">
        <v>0.99600038165503468</v>
      </c>
      <c r="AI106" s="55">
        <v>1.1089069090387564</v>
      </c>
      <c r="AJ106" s="54">
        <v>0.93002510795472071</v>
      </c>
      <c r="AK106" s="55">
        <v>1.1089069090387564</v>
      </c>
      <c r="AL106" s="82">
        <v>8985</v>
      </c>
      <c r="AM106" s="82">
        <v>8390</v>
      </c>
      <c r="AN106" s="54">
        <v>0.22408207697486451</v>
      </c>
      <c r="AO106" s="54">
        <v>4.9971408039351711E-2</v>
      </c>
      <c r="AP106" s="54">
        <v>0.27405348501421622</v>
      </c>
      <c r="AQ106" s="53">
        <v>3.1867199230688086</v>
      </c>
      <c r="AR106" s="53">
        <v>33.981190360363662</v>
      </c>
      <c r="AS106" s="53">
        <v>37.167910283432469</v>
      </c>
      <c r="AT106" s="53">
        <v>25.840846829977913</v>
      </c>
      <c r="AU106" s="53">
        <v>31.504378556705191</v>
      </c>
      <c r="AV106" s="53">
        <v>12.625939467614272</v>
      </c>
      <c r="AW106" s="53">
        <v>45524.570329554401</v>
      </c>
      <c r="AX106" s="53">
        <v>727.48988951163483</v>
      </c>
      <c r="AY106" s="51">
        <v>2726</v>
      </c>
    </row>
    <row r="107" spans="28:51" x14ac:dyDescent="0.15">
      <c r="AB107" s="51">
        <v>4392.5323807944906</v>
      </c>
      <c r="AC107" s="51">
        <v>4671.0458584103999</v>
      </c>
      <c r="AD107" s="51">
        <v>1942.0135524345142</v>
      </c>
      <c r="AE107" s="51">
        <v>1323.0736342224352</v>
      </c>
      <c r="AF107" s="51">
        <v>118.87739452914406</v>
      </c>
      <c r="AG107" s="51">
        <v>80.989932438626766</v>
      </c>
      <c r="AH107" s="54">
        <v>0.99700028624127612</v>
      </c>
      <c r="AI107" s="55">
        <v>1.1096433672925989</v>
      </c>
      <c r="AJ107" s="54">
        <v>0.93502898041749904</v>
      </c>
      <c r="AK107" s="55">
        <v>1.1096433672925989</v>
      </c>
      <c r="AL107" s="82">
        <v>9037</v>
      </c>
      <c r="AM107" s="82">
        <v>8475</v>
      </c>
      <c r="AN107" s="54">
        <v>0.21997127469965125</v>
      </c>
      <c r="AO107" s="54">
        <v>4.9971408039351711E-2</v>
      </c>
      <c r="AP107" s="54">
        <v>0.26994268273900296</v>
      </c>
      <c r="AQ107" s="53">
        <v>3.2379899003931079</v>
      </c>
      <c r="AR107" s="53">
        <v>34.210187720266696</v>
      </c>
      <c r="AS107" s="53">
        <v>37.448177620659806</v>
      </c>
      <c r="AT107" s="53">
        <v>26.044781713904239</v>
      </c>
      <c r="AU107" s="53">
        <v>31.746479667282021</v>
      </c>
      <c r="AV107" s="53">
        <v>12.740819822689414</v>
      </c>
      <c r="AW107" s="53">
        <v>46256.998577044389</v>
      </c>
      <c r="AX107" s="53">
        <v>732.42824748998828</v>
      </c>
      <c r="AY107" s="51">
        <v>2770</v>
      </c>
    </row>
    <row r="108" spans="28:51" x14ac:dyDescent="0.15">
      <c r="AB108" s="51">
        <v>4412.7394886787861</v>
      </c>
      <c r="AC108" s="51">
        <v>4692.8907829892878</v>
      </c>
      <c r="AD108" s="51">
        <v>1963.9360051329111</v>
      </c>
      <c r="AE108" s="51">
        <v>1337.9241821371038</v>
      </c>
      <c r="AF108" s="51">
        <v>119.43234201520124</v>
      </c>
      <c r="AG108" s="51">
        <v>81.362843847141008</v>
      </c>
      <c r="AH108" s="54">
        <v>0.99800019082751756</v>
      </c>
      <c r="AI108" s="55">
        <v>1.1103798255464414</v>
      </c>
      <c r="AJ108" s="54">
        <v>0.94003285288027738</v>
      </c>
      <c r="AK108" s="55">
        <v>1.1103798255464414</v>
      </c>
      <c r="AL108" s="82">
        <v>9088</v>
      </c>
      <c r="AM108" s="82">
        <v>8560</v>
      </c>
      <c r="AN108" s="54">
        <v>0.2159221344585662</v>
      </c>
      <c r="AO108" s="54">
        <v>4.9971408039351711E-2</v>
      </c>
      <c r="AP108" s="54">
        <v>0.26589354249791791</v>
      </c>
      <c r="AQ108" s="53">
        <v>3.2898783085993268</v>
      </c>
      <c r="AR108" s="53">
        <v>34.439405701661222</v>
      </c>
      <c r="AS108" s="53">
        <v>37.72928401026055</v>
      </c>
      <c r="AT108" s="53">
        <v>26.249482109706808</v>
      </c>
      <c r="AU108" s="53">
        <v>31.98938305998368</v>
      </c>
      <c r="AV108" s="53">
        <v>12.856379892394111</v>
      </c>
      <c r="AW108" s="53">
        <v>46998.261551418953</v>
      </c>
      <c r="AX108" s="53">
        <v>741.26297437456378</v>
      </c>
      <c r="AY108" s="51">
        <v>2814</v>
      </c>
    </row>
    <row r="109" spans="28:51" x14ac:dyDescent="0.15">
      <c r="AB109" s="51">
        <v>4433.6053387409047</v>
      </c>
      <c r="AC109" s="51">
        <v>4713.7062758667216</v>
      </c>
      <c r="AD109" s="51">
        <v>1986.2512279195298</v>
      </c>
      <c r="AE109" s="51">
        <v>1352.5785145855605</v>
      </c>
      <c r="AF109" s="51">
        <v>120.00366266003518</v>
      </c>
      <c r="AG109" s="51">
        <v>81.71895553995499</v>
      </c>
      <c r="AH109" s="54">
        <v>0.999000095413759</v>
      </c>
      <c r="AI109" s="55">
        <v>1.1111162838002839</v>
      </c>
      <c r="AJ109" s="54">
        <v>0.94503672534305572</v>
      </c>
      <c r="AK109" s="55">
        <v>1.1111162838002839</v>
      </c>
      <c r="AL109" s="82">
        <v>9138</v>
      </c>
      <c r="AM109" s="82">
        <v>8644</v>
      </c>
      <c r="AN109" s="54">
        <v>0.21193373132109741</v>
      </c>
      <c r="AO109" s="54">
        <v>4.9971408039351711E-2</v>
      </c>
      <c r="AP109" s="54">
        <v>0.26190513936044912</v>
      </c>
      <c r="AQ109" s="53">
        <v>3.342285908428686</v>
      </c>
      <c r="AR109" s="53">
        <v>34.668275964761243</v>
      </c>
      <c r="AS109" s="53">
        <v>38.010561873189928</v>
      </c>
      <c r="AT109" s="53">
        <v>26.454469884936181</v>
      </c>
      <c r="AU109" s="53">
        <v>32.232515879063058</v>
      </c>
      <c r="AV109" s="53">
        <v>12.97236256530681</v>
      </c>
      <c r="AW109" s="53">
        <v>47746.941548981224</v>
      </c>
      <c r="AX109" s="53">
        <v>748.67999756227073</v>
      </c>
      <c r="AY109" s="51">
        <v>2859</v>
      </c>
    </row>
    <row r="110" spans="28:51" x14ac:dyDescent="0.15">
      <c r="AB110" s="60">
        <v>4455.8568006422411</v>
      </c>
      <c r="AC110" s="60">
        <v>4734.3434107427556</v>
      </c>
      <c r="AD110" s="60">
        <v>2009.2816483840381</v>
      </c>
      <c r="AE110" s="60">
        <v>1367.0849746696881</v>
      </c>
      <c r="AF110" s="60">
        <v>120.6154783543728</v>
      </c>
      <c r="AG110" s="60">
        <v>82.064955056686003</v>
      </c>
      <c r="AH110" s="62">
        <v>1</v>
      </c>
      <c r="AI110" s="63">
        <v>1.1118527420541255</v>
      </c>
      <c r="AJ110" s="62">
        <v>0.95004059780583416</v>
      </c>
      <c r="AK110" s="63">
        <v>1.1118527420541255</v>
      </c>
      <c r="AL110" s="84">
        <v>9190</v>
      </c>
      <c r="AM110" s="84">
        <v>8731</v>
      </c>
      <c r="AN110" s="62">
        <v>0.20800515423069069</v>
      </c>
      <c r="AO110" s="62">
        <v>4.9971408039351711E-2</v>
      </c>
      <c r="AP110" s="62">
        <v>0.2579765622700424</v>
      </c>
      <c r="AQ110" s="61">
        <v>3.3955543778725894</v>
      </c>
      <c r="AR110" s="61">
        <v>34.902128908738312</v>
      </c>
      <c r="AS110" s="61">
        <v>38.297683286610905</v>
      </c>
      <c r="AT110" s="61">
        <v>26.663640317031469</v>
      </c>
      <c r="AU110" s="61">
        <v>32.480661801821192</v>
      </c>
      <c r="AV110" s="61">
        <v>13.090590185855456</v>
      </c>
      <c r="AW110" s="61">
        <v>48507.919683894135</v>
      </c>
      <c r="AX110" s="61">
        <v>760.97813491291163</v>
      </c>
      <c r="AY110" s="60">
        <v>2905</v>
      </c>
    </row>
    <row r="111" spans="28:51" x14ac:dyDescent="0.15">
      <c r="AB111" s="51">
        <v>4470.6026223781018</v>
      </c>
      <c r="AC111" s="51">
        <v>4753.9320749393692</v>
      </c>
      <c r="AD111" s="51">
        <v>2028.9821392421318</v>
      </c>
      <c r="AE111" s="51">
        <v>1381.3689096091755</v>
      </c>
      <c r="AF111" s="51">
        <v>121.02023412165791</v>
      </c>
      <c r="AG111" s="51">
        <v>82.392834129000576</v>
      </c>
      <c r="AH111" s="54">
        <v>1</v>
      </c>
      <c r="AI111" s="55">
        <v>1.1124390398398296</v>
      </c>
      <c r="AJ111" s="54">
        <v>0.95503653802525079</v>
      </c>
      <c r="AK111" s="55">
        <v>1.1124390398398296</v>
      </c>
      <c r="AL111" s="82">
        <v>9225</v>
      </c>
      <c r="AM111" s="82">
        <v>8810</v>
      </c>
      <c r="AN111" s="54">
        <v>0.20542538860799028</v>
      </c>
      <c r="AO111" s="54">
        <v>4.9971408039351711E-2</v>
      </c>
      <c r="AP111" s="54">
        <v>0.25539679664734199</v>
      </c>
      <c r="AQ111" s="53">
        <v>3.4462186442757621</v>
      </c>
      <c r="AR111" s="53">
        <v>35.146615353301868</v>
      </c>
      <c r="AS111" s="53">
        <v>38.592833997577628</v>
      </c>
      <c r="AT111" s="53">
        <v>26.877295546477008</v>
      </c>
      <c r="AU111" s="53">
        <v>32.735064772027314</v>
      </c>
      <c r="AV111" s="53">
        <v>13.209167353526281</v>
      </c>
      <c r="AW111" s="53">
        <v>49231.69491822517</v>
      </c>
      <c r="AX111" s="53">
        <v>723.77523433103488</v>
      </c>
      <c r="AY111" s="51">
        <v>2948</v>
      </c>
    </row>
    <row r="112" spans="28:51" x14ac:dyDescent="0.15">
      <c r="AB112" s="51">
        <v>4485.8090690336949</v>
      </c>
      <c r="AC112" s="51">
        <v>4772.8894426421775</v>
      </c>
      <c r="AD112" s="51">
        <v>2048.9176703635767</v>
      </c>
      <c r="AE112" s="51">
        <v>1395.7345315086118</v>
      </c>
      <c r="AF112" s="51">
        <v>121.43998191479132</v>
      </c>
      <c r="AG112" s="51">
        <v>82.725615926860769</v>
      </c>
      <c r="AH112" s="54">
        <v>1</v>
      </c>
      <c r="AI112" s="55">
        <v>1.1130253376255337</v>
      </c>
      <c r="AJ112" s="54">
        <v>0.96003247824466742</v>
      </c>
      <c r="AK112" s="55">
        <v>1.1130253376255337</v>
      </c>
      <c r="AL112" s="82">
        <v>9259</v>
      </c>
      <c r="AM112" s="82">
        <v>8889</v>
      </c>
      <c r="AN112" s="54">
        <v>0.20287142064151684</v>
      </c>
      <c r="AO112" s="54">
        <v>4.9971408039351711E-2</v>
      </c>
      <c r="AP112" s="54">
        <v>0.25284282868086855</v>
      </c>
      <c r="AQ112" s="53">
        <v>3.4963696194719862</v>
      </c>
      <c r="AR112" s="53">
        <v>35.371921017703094</v>
      </c>
      <c r="AS112" s="53">
        <v>38.868290637175079</v>
      </c>
      <c r="AT112" s="53">
        <v>27.077650297940714</v>
      </c>
      <c r="AU112" s="53">
        <v>32.9729704675579</v>
      </c>
      <c r="AV112" s="53">
        <v>13.321903235500624</v>
      </c>
      <c r="AW112" s="53">
        <v>49948.137421028376</v>
      </c>
      <c r="AX112" s="53">
        <v>716.44250280320557</v>
      </c>
      <c r="AY112" s="51">
        <v>2991</v>
      </c>
    </row>
    <row r="113" spans="27:51" x14ac:dyDescent="0.15">
      <c r="AB113" s="51">
        <v>4501.8243059648885</v>
      </c>
      <c r="AC113" s="51">
        <v>4790.9788043620347</v>
      </c>
      <c r="AD113" s="51">
        <v>2069.2344525722742</v>
      </c>
      <c r="AE113" s="51">
        <v>1409.5330394927814</v>
      </c>
      <c r="AF113" s="51">
        <v>121.88015055577451</v>
      </c>
      <c r="AG113" s="51">
        <v>83.023022767265772</v>
      </c>
      <c r="AH113" s="54">
        <v>1</v>
      </c>
      <c r="AI113" s="55">
        <v>1.1136116354112378</v>
      </c>
      <c r="AJ113" s="54">
        <v>0.96502841846408405</v>
      </c>
      <c r="AK113" s="55">
        <v>1.1136116354112378</v>
      </c>
      <c r="AL113" s="82">
        <v>9293</v>
      </c>
      <c r="AM113" s="82">
        <v>8968</v>
      </c>
      <c r="AN113" s="54">
        <v>0.20034299235470812</v>
      </c>
      <c r="AO113" s="54">
        <v>4.9971408039351711E-2</v>
      </c>
      <c r="AP113" s="54">
        <v>0.25031440039405983</v>
      </c>
      <c r="AQ113" s="53">
        <v>3.5477759116013261</v>
      </c>
      <c r="AR113" s="53">
        <v>35.616764936612434</v>
      </c>
      <c r="AS113" s="53">
        <v>39.164540848213761</v>
      </c>
      <c r="AT113" s="53">
        <v>27.292285869342948</v>
      </c>
      <c r="AU113" s="53">
        <v>33.228413358778347</v>
      </c>
      <c r="AV113" s="53">
        <v>13.441321727327001</v>
      </c>
      <c r="AW113" s="53">
        <v>50682.513022876083</v>
      </c>
      <c r="AX113" s="53">
        <v>734.375601847707</v>
      </c>
      <c r="AY113" s="51">
        <v>3035</v>
      </c>
    </row>
    <row r="114" spans="27:51" x14ac:dyDescent="0.15">
      <c r="AB114" s="51">
        <v>4518.2825463802164</v>
      </c>
      <c r="AC114" s="51">
        <v>4808.2371432452155</v>
      </c>
      <c r="AD114" s="51">
        <v>2089.7589042808868</v>
      </c>
      <c r="AE114" s="51">
        <v>1423.3339070118132</v>
      </c>
      <c r="AF114" s="51">
        <v>122.33276909338664</v>
      </c>
      <c r="AG114" s="51">
        <v>83.320797357330136</v>
      </c>
      <c r="AH114" s="54">
        <v>1</v>
      </c>
      <c r="AI114" s="55">
        <v>1.1141979331969418</v>
      </c>
      <c r="AJ114" s="54">
        <v>0.97002435868350068</v>
      </c>
      <c r="AK114" s="55">
        <v>1.1141979331969418</v>
      </c>
      <c r="AL114" s="82">
        <v>9327</v>
      </c>
      <c r="AM114" s="82">
        <v>9047</v>
      </c>
      <c r="AN114" s="54">
        <v>0.19783984835076751</v>
      </c>
      <c r="AO114" s="54">
        <v>4.9971408039351711E-2</v>
      </c>
      <c r="AP114" s="54">
        <v>0.24781125639011922</v>
      </c>
      <c r="AQ114" s="53">
        <v>3.5985588849345924</v>
      </c>
      <c r="AR114" s="53">
        <v>35.841535790230459</v>
      </c>
      <c r="AS114" s="53">
        <v>39.440094675165049</v>
      </c>
      <c r="AT114" s="53">
        <v>27.492916078421562</v>
      </c>
      <c r="AU114" s="53">
        <v>33.466505376793307</v>
      </c>
      <c r="AV114" s="53">
        <v>13.554541048887497</v>
      </c>
      <c r="AW114" s="53">
        <v>51407.984070494167</v>
      </c>
      <c r="AX114" s="53">
        <v>725.47104761808441</v>
      </c>
      <c r="AY114" s="51">
        <v>3078</v>
      </c>
    </row>
    <row r="115" spans="27:51" x14ac:dyDescent="0.15">
      <c r="AB115" s="51">
        <v>4535.5785460132129</v>
      </c>
      <c r="AC115" s="51">
        <v>4822.4005300367244</v>
      </c>
      <c r="AD115" s="51">
        <v>2110.6692179647443</v>
      </c>
      <c r="AE115" s="51">
        <v>1436.0772143972024</v>
      </c>
      <c r="AF115" s="51">
        <v>122.81204068228925</v>
      </c>
      <c r="AG115" s="51">
        <v>83.560025311556799</v>
      </c>
      <c r="AH115" s="54">
        <v>1</v>
      </c>
      <c r="AI115" s="55">
        <v>1.1147842309826459</v>
      </c>
      <c r="AJ115" s="54">
        <v>0.9750202989029173</v>
      </c>
      <c r="AK115" s="55">
        <v>1.1147842309826459</v>
      </c>
      <c r="AL115" s="82">
        <v>9358</v>
      </c>
      <c r="AM115" s="82">
        <v>9124</v>
      </c>
      <c r="AN115" s="54">
        <v>0.1953617357868663</v>
      </c>
      <c r="AO115" s="54">
        <v>4.9971408039351711E-2</v>
      </c>
      <c r="AP115" s="54">
        <v>0.24533314382621801</v>
      </c>
      <c r="AQ115" s="53">
        <v>3.6512669295091835</v>
      </c>
      <c r="AR115" s="53">
        <v>36.097516610679143</v>
      </c>
      <c r="AS115" s="53">
        <v>39.748783540188327</v>
      </c>
      <c r="AT115" s="53">
        <v>27.71627800329528</v>
      </c>
      <c r="AU115" s="53">
        <v>33.7325307717418</v>
      </c>
      <c r="AV115" s="53">
        <v>13.678354876920057</v>
      </c>
      <c r="AW115" s="53">
        <v>52160.956135845474</v>
      </c>
      <c r="AX115" s="53">
        <v>752.97206535130681</v>
      </c>
      <c r="AY115" s="51">
        <v>3123</v>
      </c>
    </row>
    <row r="116" spans="27:51" x14ac:dyDescent="0.15">
      <c r="AB116" s="51">
        <v>4547.060942073128</v>
      </c>
      <c r="AC116" s="51">
        <v>4837.4280313705722</v>
      </c>
      <c r="AD116" s="51">
        <v>2128.8331410893556</v>
      </c>
      <c r="AE116" s="51">
        <v>1449.1072622043064</v>
      </c>
      <c r="AF116" s="51">
        <v>123.1248555707371</v>
      </c>
      <c r="AG116" s="51">
        <v>83.811698963926645</v>
      </c>
      <c r="AH116" s="54">
        <v>1</v>
      </c>
      <c r="AI116" s="55">
        <v>1.11537052876835</v>
      </c>
      <c r="AJ116" s="54">
        <v>0.98001623912233393</v>
      </c>
      <c r="AK116" s="55">
        <v>1.11537052876835</v>
      </c>
      <c r="AL116" s="82">
        <v>9384</v>
      </c>
      <c r="AM116" s="82">
        <v>9196</v>
      </c>
      <c r="AN116" s="54">
        <v>0.19290840434860412</v>
      </c>
      <c r="AO116" s="54">
        <v>4.9971408039351711E-2</v>
      </c>
      <c r="AP116" s="54">
        <v>0.24287981238795583</v>
      </c>
      <c r="AQ116" s="53">
        <v>3.6996319983623982</v>
      </c>
      <c r="AR116" s="53">
        <v>36.299474861260101</v>
      </c>
      <c r="AS116" s="53">
        <v>39.999106859622501</v>
      </c>
      <c r="AT116" s="53">
        <v>27.899281905869138</v>
      </c>
      <c r="AU116" s="53">
        <v>33.949194382745823</v>
      </c>
      <c r="AV116" s="53">
        <v>13.782819459823539</v>
      </c>
      <c r="AW116" s="53">
        <v>52851.885690891395</v>
      </c>
      <c r="AX116" s="53">
        <v>690.92955504592101</v>
      </c>
      <c r="AY116" s="51">
        <v>3165</v>
      </c>
    </row>
    <row r="117" spans="27:51" x14ac:dyDescent="0.15">
      <c r="AB117" s="51">
        <v>4558.5096322443351</v>
      </c>
      <c r="AC117" s="51">
        <v>4851.9636223689431</v>
      </c>
      <c r="AD117" s="51">
        <v>2146.924480721369</v>
      </c>
      <c r="AE117" s="51">
        <v>1462.0229299250709</v>
      </c>
      <c r="AF117" s="51">
        <v>123.4399280212107</v>
      </c>
      <c r="AG117" s="51">
        <v>84.060714224410702</v>
      </c>
      <c r="AH117" s="54">
        <v>1</v>
      </c>
      <c r="AI117" s="55">
        <v>1.115956826554054</v>
      </c>
      <c r="AJ117" s="54">
        <v>0.98501217934175056</v>
      </c>
      <c r="AK117" s="55">
        <v>1.115956826554054</v>
      </c>
      <c r="AL117" s="82">
        <v>9410</v>
      </c>
      <c r="AM117" s="82">
        <v>9269</v>
      </c>
      <c r="AN117" s="54">
        <v>0.19047960622472457</v>
      </c>
      <c r="AO117" s="54">
        <v>4.9971408039351711E-2</v>
      </c>
      <c r="AP117" s="54">
        <v>0.24045101426407628</v>
      </c>
      <c r="AQ117" s="53">
        <v>3.7492270886607555</v>
      </c>
      <c r="AR117" s="53">
        <v>36.51964484381584</v>
      </c>
      <c r="AS117" s="53">
        <v>40.268871932476593</v>
      </c>
      <c r="AT117" s="53">
        <v>28.095656984537978</v>
      </c>
      <c r="AU117" s="53">
        <v>34.182264458507284</v>
      </c>
      <c r="AV117" s="53">
        <v>13.8935728786096</v>
      </c>
      <c r="AW117" s="53">
        <v>53560.38698086793</v>
      </c>
      <c r="AX117" s="53">
        <v>708.50128997653519</v>
      </c>
      <c r="AY117" s="51">
        <v>3207</v>
      </c>
    </row>
    <row r="118" spans="27:51" x14ac:dyDescent="0.15">
      <c r="AB118" s="51">
        <v>4570.5275483590103</v>
      </c>
      <c r="AC118" s="51">
        <v>4865.8051795385318</v>
      </c>
      <c r="AD118" s="51">
        <v>2165.2103521094855</v>
      </c>
      <c r="AE118" s="51">
        <v>1474.7499853452864</v>
      </c>
      <c r="AF118" s="51">
        <v>123.76619835874116</v>
      </c>
      <c r="AG118" s="51">
        <v>84.298598996614203</v>
      </c>
      <c r="AH118" s="54">
        <v>1</v>
      </c>
      <c r="AI118" s="55">
        <v>1.1165431243397581</v>
      </c>
      <c r="AJ118" s="54">
        <v>0.99000811956116719</v>
      </c>
      <c r="AK118" s="55">
        <v>1.1165431243397581</v>
      </c>
      <c r="AL118" s="82">
        <v>9436</v>
      </c>
      <c r="AM118" s="82">
        <v>9342</v>
      </c>
      <c r="AN118" s="54">
        <v>0.18807509608208381</v>
      </c>
      <c r="AO118" s="54">
        <v>4.9971408039351711E-2</v>
      </c>
      <c r="AP118" s="54">
        <v>0.23804650412143552</v>
      </c>
      <c r="AQ118" s="53">
        <v>3.7979514727492627</v>
      </c>
      <c r="AR118" s="53">
        <v>36.72024138683549</v>
      </c>
      <c r="AS118" s="53">
        <v>40.518192859584751</v>
      </c>
      <c r="AT118" s="53">
        <v>28.278112397306256</v>
      </c>
      <c r="AU118" s="53">
        <v>34.398152628445509</v>
      </c>
      <c r="AV118" s="53">
        <v>13.998018524648012</v>
      </c>
      <c r="AW118" s="53">
        <v>54256.449610703748</v>
      </c>
      <c r="AX118" s="53">
        <v>696.06262983581837</v>
      </c>
      <c r="AY118" s="51">
        <v>3249</v>
      </c>
    </row>
    <row r="119" spans="27:51" x14ac:dyDescent="0.15">
      <c r="AB119" s="51">
        <v>4583.0097273892143</v>
      </c>
      <c r="AC119" s="51">
        <v>4878.9837913266074</v>
      </c>
      <c r="AD119" s="51">
        <v>2183.6461782849615</v>
      </c>
      <c r="AE119" s="51">
        <v>1487.107881199493</v>
      </c>
      <c r="AF119" s="51">
        <v>124.11189458501826</v>
      </c>
      <c r="AG119" s="51">
        <v>84.522748430307118</v>
      </c>
      <c r="AH119" s="54">
        <v>1</v>
      </c>
      <c r="AI119" s="55">
        <v>1.1171294221254622</v>
      </c>
      <c r="AJ119" s="54">
        <v>0.99500405978058382</v>
      </c>
      <c r="AK119" s="55">
        <v>1.1171294221254622</v>
      </c>
      <c r="AL119" s="82">
        <v>9462</v>
      </c>
      <c r="AM119" s="82">
        <v>9415</v>
      </c>
      <c r="AN119" s="54">
        <v>0.18569463104086945</v>
      </c>
      <c r="AO119" s="54">
        <v>4.9971408039351711E-2</v>
      </c>
      <c r="AP119" s="54">
        <v>0.23566603908022116</v>
      </c>
      <c r="AQ119" s="53">
        <v>3.84787335313806</v>
      </c>
      <c r="AR119" s="53">
        <v>36.94017563771223</v>
      </c>
      <c r="AS119" s="53">
        <v>40.788048990850292</v>
      </c>
      <c r="AT119" s="53">
        <v>28.474657111612881</v>
      </c>
      <c r="AU119" s="53">
        <v>34.631353051231592</v>
      </c>
      <c r="AV119" s="53">
        <v>14.10903325250257</v>
      </c>
      <c r="AW119" s="53">
        <v>54969.619330543705</v>
      </c>
      <c r="AX119" s="53">
        <v>713.16971983995609</v>
      </c>
      <c r="AY119" s="51">
        <v>3292</v>
      </c>
    </row>
    <row r="120" spans="27:51" x14ac:dyDescent="0.15">
      <c r="AB120" s="60">
        <v>4597.9197217592236</v>
      </c>
      <c r="AC120" s="60">
        <v>4891.9112788342236</v>
      </c>
      <c r="AD120" s="60">
        <v>2203.1540669319666</v>
      </c>
      <c r="AE120" s="60">
        <v>1499.394317859907</v>
      </c>
      <c r="AF120" s="60">
        <v>124.51750151687533</v>
      </c>
      <c r="AG120" s="60">
        <v>84.742523026775018</v>
      </c>
      <c r="AH120" s="62">
        <v>1</v>
      </c>
      <c r="AI120" s="63">
        <v>1.1177157199111663</v>
      </c>
      <c r="AJ120" s="62">
        <v>1</v>
      </c>
      <c r="AK120" s="63">
        <v>1.1177157199111663</v>
      </c>
      <c r="AL120" s="84">
        <v>9490</v>
      </c>
      <c r="AM120" s="84">
        <v>9490</v>
      </c>
      <c r="AN120" s="62">
        <v>0.18333797065006724</v>
      </c>
      <c r="AO120" s="62">
        <v>4.9971408039351711E-2</v>
      </c>
      <c r="AP120" s="62">
        <v>0.23330937868941895</v>
      </c>
      <c r="AQ120" s="61">
        <v>3.8978923154814837</v>
      </c>
      <c r="AR120" s="61">
        <v>37.148177630083801</v>
      </c>
      <c r="AS120" s="61">
        <v>41.046069945565286</v>
      </c>
      <c r="AT120" s="61">
        <v>28.663344068870686</v>
      </c>
      <c r="AU120" s="61">
        <v>34.854707007217989</v>
      </c>
      <c r="AV120" s="61">
        <v>14.216830546060319</v>
      </c>
      <c r="AW120" s="61">
        <v>55684.175935449763</v>
      </c>
      <c r="AX120" s="61">
        <v>714.55660490605806</v>
      </c>
      <c r="AY120" s="60">
        <v>3334</v>
      </c>
    </row>
    <row r="121" spans="27:51" x14ac:dyDescent="0.15">
      <c r="AB121" s="51">
        <v>4607.3415238164243</v>
      </c>
      <c r="AC121" s="51">
        <v>4903.8515017507589</v>
      </c>
      <c r="AD121" s="51">
        <v>2219.9475640489563</v>
      </c>
      <c r="AE121" s="51">
        <v>1511.1994399708497</v>
      </c>
      <c r="AF121" s="51">
        <v>124.78628065136131</v>
      </c>
      <c r="AG121" s="51">
        <v>84.946581842878075</v>
      </c>
      <c r="AH121" s="54">
        <v>1</v>
      </c>
      <c r="AI121" s="55">
        <v>1.1182017571880594</v>
      </c>
      <c r="AJ121" s="54">
        <v>1</v>
      </c>
      <c r="AK121" s="55">
        <v>1.1182017571880594</v>
      </c>
      <c r="AL121" s="82">
        <v>9511</v>
      </c>
      <c r="AM121" s="82">
        <v>9511</v>
      </c>
      <c r="AN121" s="54">
        <v>0.18100487686317304</v>
      </c>
      <c r="AO121" s="54">
        <v>4.9971408039351711E-2</v>
      </c>
      <c r="AP121" s="54">
        <v>0.23097628490252475</v>
      </c>
      <c r="AQ121" s="53">
        <v>3.9257077488414871</v>
      </c>
      <c r="AR121" s="53">
        <v>37.149336135046099</v>
      </c>
      <c r="AS121" s="53">
        <v>41.075043883887588</v>
      </c>
      <c r="AT121" s="53">
        <v>28.691931838872218</v>
      </c>
      <c r="AU121" s="53">
        <v>34.883487861379905</v>
      </c>
      <c r="AV121" s="53">
        <v>14.244967786354293</v>
      </c>
      <c r="AW121" s="53">
        <v>56081.539269164095</v>
      </c>
      <c r="AX121" s="53">
        <v>397.36333371433284</v>
      </c>
      <c r="AY121" s="51">
        <v>3358</v>
      </c>
    </row>
    <row r="122" spans="27:51" x14ac:dyDescent="0.15">
      <c r="AB122" s="51">
        <v>4617.1095458248856</v>
      </c>
      <c r="AC122" s="51">
        <v>4915.0632697444635</v>
      </c>
      <c r="AD122" s="51">
        <v>2236.7751647408891</v>
      </c>
      <c r="AE122" s="51">
        <v>1522.7645851972688</v>
      </c>
      <c r="AF122" s="51">
        <v>125.05057591180218</v>
      </c>
      <c r="AG122" s="51">
        <v>85.132646033770598</v>
      </c>
      <c r="AH122" s="54">
        <v>1</v>
      </c>
      <c r="AI122" s="55">
        <v>1.1186877944649525</v>
      </c>
      <c r="AJ122" s="54">
        <v>1</v>
      </c>
      <c r="AK122" s="55">
        <v>1.1186877944649525</v>
      </c>
      <c r="AL122" s="82">
        <v>9532</v>
      </c>
      <c r="AM122" s="82">
        <v>9532</v>
      </c>
      <c r="AN122" s="54">
        <v>0.17869511401414778</v>
      </c>
      <c r="AO122" s="54">
        <v>4.9971408039351711E-2</v>
      </c>
      <c r="AP122" s="54">
        <v>0.22866652205349949</v>
      </c>
      <c r="AQ122" s="53">
        <v>3.9544763693451808</v>
      </c>
      <c r="AR122" s="53">
        <v>37.169090485368393</v>
      </c>
      <c r="AS122" s="53">
        <v>41.123566854713573</v>
      </c>
      <c r="AT122" s="53">
        <v>28.733870026257442</v>
      </c>
      <c r="AU122" s="53">
        <v>34.928718440485511</v>
      </c>
      <c r="AV122" s="53">
        <v>14.279223726391955</v>
      </c>
      <c r="AW122" s="53">
        <v>56492.519562074005</v>
      </c>
      <c r="AX122" s="53">
        <v>410.98029290990962</v>
      </c>
      <c r="AY122" s="51">
        <v>3383</v>
      </c>
    </row>
    <row r="123" spans="27:51" x14ac:dyDescent="0.15">
      <c r="AB123" s="51">
        <v>4627.178858454653</v>
      </c>
      <c r="AC123" s="51">
        <v>4925.7250634575157</v>
      </c>
      <c r="AD123" s="51">
        <v>2253.6286881899141</v>
      </c>
      <c r="AE123" s="51">
        <v>1534.1496728659915</v>
      </c>
      <c r="AF123" s="51">
        <v>125.32817467179214</v>
      </c>
      <c r="AG123" s="51">
        <v>85.316706865340947</v>
      </c>
      <c r="AH123" s="54">
        <v>1</v>
      </c>
      <c r="AI123" s="55">
        <v>1.1191738317418456</v>
      </c>
      <c r="AJ123" s="54">
        <v>1</v>
      </c>
      <c r="AK123" s="55">
        <v>1.1191738317418456</v>
      </c>
      <c r="AL123" s="82">
        <v>9553</v>
      </c>
      <c r="AM123" s="82">
        <v>9553</v>
      </c>
      <c r="AN123" s="54">
        <v>0.17640844879361278</v>
      </c>
      <c r="AO123" s="54">
        <v>4.9971408039351711E-2</v>
      </c>
      <c r="AP123" s="54">
        <v>0.22637985683296449</v>
      </c>
      <c r="AQ123" s="53">
        <v>3.9830482176153117</v>
      </c>
      <c r="AR123" s="53">
        <v>37.188221157410013</v>
      </c>
      <c r="AS123" s="53">
        <v>41.171269375025325</v>
      </c>
      <c r="AT123" s="53">
        <v>28.775195655888652</v>
      </c>
      <c r="AU123" s="53">
        <v>34.973232515456992</v>
      </c>
      <c r="AV123" s="53">
        <v>14.313109650229205</v>
      </c>
      <c r="AW123" s="53">
        <v>56900.688823075878</v>
      </c>
      <c r="AX123" s="53">
        <v>408.16926100187266</v>
      </c>
      <c r="AY123" s="51">
        <v>3407</v>
      </c>
    </row>
    <row r="124" spans="27:51" x14ac:dyDescent="0.15">
      <c r="AB124" s="51">
        <v>4637.4393700805203</v>
      </c>
      <c r="AC124" s="51">
        <v>4936.2183018796604</v>
      </c>
      <c r="AD124" s="51">
        <v>2270.4470295371807</v>
      </c>
      <c r="AE124" s="51">
        <v>1545.2767975626223</v>
      </c>
      <c r="AF124" s="51">
        <v>125.61411123500078</v>
      </c>
      <c r="AG124" s="51">
        <v>85.493547751900238</v>
      </c>
      <c r="AH124" s="54">
        <v>1</v>
      </c>
      <c r="AI124" s="55">
        <v>1.1196598690187387</v>
      </c>
      <c r="AJ124" s="54">
        <v>1</v>
      </c>
      <c r="AK124" s="55">
        <v>1.1196598690187387</v>
      </c>
      <c r="AL124" s="82">
        <v>9574</v>
      </c>
      <c r="AM124" s="82">
        <v>9574</v>
      </c>
      <c r="AN124" s="54">
        <v>0.17414465022528314</v>
      </c>
      <c r="AO124" s="54">
        <v>4.9971408039351711E-2</v>
      </c>
      <c r="AP124" s="54">
        <v>0.22411605826463485</v>
      </c>
      <c r="AQ124" s="53">
        <v>4.0112890448411633</v>
      </c>
      <c r="AR124" s="53">
        <v>37.207743430339278</v>
      </c>
      <c r="AS124" s="53">
        <v>41.219032475180441</v>
      </c>
      <c r="AT124" s="53">
        <v>28.816451331734015</v>
      </c>
      <c r="AU124" s="53">
        <v>35.017741903457228</v>
      </c>
      <c r="AV124" s="53">
        <v>14.346773331046519</v>
      </c>
      <c r="AW124" s="53">
        <v>57304.129212016618</v>
      </c>
      <c r="AX124" s="53">
        <v>403.44038894074038</v>
      </c>
      <c r="AY124" s="51">
        <v>3431</v>
      </c>
    </row>
    <row r="125" spans="27:51" x14ac:dyDescent="0.15">
      <c r="AB125" s="56">
        <v>4646.4678900468434</v>
      </c>
      <c r="AC125" s="56">
        <v>4945.19620279832</v>
      </c>
      <c r="AD125" s="56">
        <v>2286.5183988822464</v>
      </c>
      <c r="AE125" s="56">
        <v>1555.9011015540852</v>
      </c>
      <c r="AF125" s="56">
        <v>125.86402380023435</v>
      </c>
      <c r="AG125" s="56">
        <v>85.646357961757829</v>
      </c>
      <c r="AH125" s="58">
        <v>1</v>
      </c>
      <c r="AI125" s="59">
        <v>1.120145906295632</v>
      </c>
      <c r="AJ125" s="58">
        <v>1</v>
      </c>
      <c r="AK125" s="59">
        <v>1.120145906295632</v>
      </c>
      <c r="AL125" s="83">
        <v>9592</v>
      </c>
      <c r="AM125" s="83">
        <v>9592</v>
      </c>
      <c r="AN125" s="58">
        <v>0.1719034896426368</v>
      </c>
      <c r="AO125" s="58">
        <v>4.9971408039351711E-2</v>
      </c>
      <c r="AP125" s="58">
        <v>0.22187489768198851</v>
      </c>
      <c r="AQ125" s="57">
        <v>4.0370957515263566</v>
      </c>
      <c r="AR125" s="57">
        <v>37.19861343754453</v>
      </c>
      <c r="AS125" s="57">
        <v>41.235709189070889</v>
      </c>
      <c r="AT125" s="57">
        <v>28.836171376556045</v>
      </c>
      <c r="AU125" s="57">
        <v>35.035940282813463</v>
      </c>
      <c r="AV125" s="57">
        <v>14.370043928622058</v>
      </c>
      <c r="AW125" s="57">
        <v>57672.796450376518</v>
      </c>
      <c r="AX125" s="57">
        <v>368.66723835989978</v>
      </c>
      <c r="AY125" s="56">
        <v>3453</v>
      </c>
    </row>
    <row r="127" spans="27:51" ht="12.75" thickBot="1" x14ac:dyDescent="0.2"/>
    <row r="128" spans="27:51" ht="60.75" thickBot="1" x14ac:dyDescent="0.2">
      <c r="AA128" s="93" t="s">
        <v>116</v>
      </c>
      <c r="AB128" s="91" t="s">
        <v>20</v>
      </c>
      <c r="AC128" s="91" t="s">
        <v>4</v>
      </c>
      <c r="AD128" s="91" t="s">
        <v>155</v>
      </c>
      <c r="AE128" s="91" t="s">
        <v>156</v>
      </c>
      <c r="AF128" s="91" t="s">
        <v>157</v>
      </c>
      <c r="AG128" s="91" t="s">
        <v>158</v>
      </c>
      <c r="AH128" s="90" t="s">
        <v>50</v>
      </c>
      <c r="AI128" s="90" t="s">
        <v>28</v>
      </c>
      <c r="AJ128" s="90" t="s">
        <v>51</v>
      </c>
      <c r="AK128" s="90" t="s">
        <v>29</v>
      </c>
      <c r="AL128" s="90" t="s">
        <v>110</v>
      </c>
      <c r="AM128" s="90" t="s">
        <v>111</v>
      </c>
      <c r="AN128" s="91" t="s">
        <v>43</v>
      </c>
      <c r="AO128" s="91" t="s">
        <v>44</v>
      </c>
      <c r="AP128" s="91" t="s">
        <v>5</v>
      </c>
      <c r="AQ128" s="46" t="s">
        <v>45</v>
      </c>
      <c r="AR128" s="45" t="s">
        <v>46</v>
      </c>
      <c r="AS128" s="45" t="s">
        <v>93</v>
      </c>
      <c r="AT128" s="45" t="s">
        <v>30</v>
      </c>
      <c r="AU128" s="45" t="s">
        <v>31</v>
      </c>
      <c r="AV128" s="45" t="s">
        <v>32</v>
      </c>
      <c r="AW128" s="45" t="s">
        <v>26</v>
      </c>
      <c r="AX128" s="46" t="s">
        <v>138</v>
      </c>
      <c r="AY128" s="87" t="s">
        <v>152</v>
      </c>
    </row>
    <row r="129" spans="28:51" x14ac:dyDescent="0.15">
      <c r="AB129" s="44" t="s">
        <v>120</v>
      </c>
      <c r="AC129" s="44" t="s">
        <v>120</v>
      </c>
      <c r="AD129" s="44" t="s">
        <v>159</v>
      </c>
      <c r="AE129" s="44" t="s">
        <v>159</v>
      </c>
      <c r="AF129" s="44" t="s">
        <v>159</v>
      </c>
      <c r="AG129" s="44" t="s">
        <v>159</v>
      </c>
      <c r="AH129" s="43" t="s">
        <v>2</v>
      </c>
      <c r="AI129" s="43" t="s">
        <v>2</v>
      </c>
      <c r="AJ129" s="43" t="s">
        <v>2</v>
      </c>
      <c r="AK129" s="43" t="s">
        <v>2</v>
      </c>
      <c r="AL129" s="92">
        <v>0</v>
      </c>
      <c r="AM129" s="92">
        <v>0</v>
      </c>
      <c r="AN129" s="39" t="s">
        <v>2</v>
      </c>
      <c r="AO129" s="39" t="s">
        <v>2</v>
      </c>
      <c r="AP129" s="39" t="s">
        <v>2</v>
      </c>
      <c r="AQ129" s="43" t="s">
        <v>19</v>
      </c>
      <c r="AR129" s="43" t="s">
        <v>19</v>
      </c>
      <c r="AS129" s="43" t="s">
        <v>19</v>
      </c>
      <c r="AT129" s="43" t="s">
        <v>19</v>
      </c>
      <c r="AU129" s="43" t="s">
        <v>19</v>
      </c>
      <c r="AV129" s="43" t="s">
        <v>19</v>
      </c>
      <c r="AW129" s="43" t="s">
        <v>101</v>
      </c>
      <c r="AX129" s="43" t="s">
        <v>101</v>
      </c>
      <c r="AY129" s="43" t="s">
        <v>154</v>
      </c>
    </row>
    <row r="130" spans="28:51" ht="15.75" x14ac:dyDescent="0.15">
      <c r="AB130" s="76">
        <v>6324.4745127598826</v>
      </c>
      <c r="AC130" s="76">
        <v>10402.311506172253</v>
      </c>
      <c r="AD130" s="76">
        <v>2475.4910784672852</v>
      </c>
      <c r="AE130" s="76">
        <v>2621.5515930354609</v>
      </c>
      <c r="AF130" s="76">
        <v>170.7868091452122</v>
      </c>
      <c r="AG130" s="76">
        <v>180.8636821512145</v>
      </c>
      <c r="AH130" s="54">
        <v>0.73504510649358956</v>
      </c>
      <c r="AI130" s="55">
        <v>1.0934659892767227</v>
      </c>
      <c r="AJ130" s="54">
        <v>0</v>
      </c>
      <c r="AK130" s="55">
        <v>1.0934659892767227</v>
      </c>
      <c r="AL130" s="82">
        <v>12295</v>
      </c>
      <c r="AM130" s="82">
        <v>0</v>
      </c>
      <c r="AN130" s="54">
        <v>0.41755321579381505</v>
      </c>
      <c r="AO130" s="54">
        <v>0.27836881052921009</v>
      </c>
      <c r="AP130" s="54">
        <v>0.69592202632302513</v>
      </c>
      <c r="AQ130" s="53">
        <v>0</v>
      </c>
      <c r="AR130" s="53">
        <v>0</v>
      </c>
      <c r="AS130" s="53">
        <v>0</v>
      </c>
      <c r="AT130" s="53">
        <v>0</v>
      </c>
      <c r="AU130" s="53">
        <v>0</v>
      </c>
      <c r="AV130" s="53">
        <v>0</v>
      </c>
      <c r="AW130" s="53">
        <v>0</v>
      </c>
      <c r="AX130" s="53">
        <v>0</v>
      </c>
      <c r="AY130" s="53">
        <v>0</v>
      </c>
    </row>
    <row r="131" spans="28:51" ht="15.75" x14ac:dyDescent="0.15">
      <c r="AB131" s="76">
        <v>6403.1708155702408</v>
      </c>
      <c r="AC131" s="76">
        <v>10504.357841864827</v>
      </c>
      <c r="AD131" s="76">
        <v>2519.648063968586</v>
      </c>
      <c r="AE131" s="76">
        <v>2660.4623301453466</v>
      </c>
      <c r="AF131" s="76">
        <v>172.93711863649906</v>
      </c>
      <c r="AG131" s="76">
        <v>182.60196580454607</v>
      </c>
      <c r="AH131" s="78">
        <v>0.75550056927092557</v>
      </c>
      <c r="AI131" s="79">
        <v>1.0944786286488752</v>
      </c>
      <c r="AJ131" s="78">
        <v>0</v>
      </c>
      <c r="AK131" s="79">
        <v>1.0944786286488752</v>
      </c>
      <c r="AL131" s="81">
        <v>12774</v>
      </c>
      <c r="AM131" s="81">
        <v>0</v>
      </c>
      <c r="AN131" s="78">
        <v>0.41702842080111552</v>
      </c>
      <c r="AO131" s="78">
        <v>0.27801894720074366</v>
      </c>
      <c r="AP131" s="78">
        <v>0.69504736800185918</v>
      </c>
      <c r="AQ131" s="77">
        <v>2.5911658084036371</v>
      </c>
      <c r="AR131" s="77">
        <v>34.017473169605502</v>
      </c>
      <c r="AS131" s="77">
        <v>36.608638978009139</v>
      </c>
      <c r="AT131" s="77">
        <v>25.26948125480731</v>
      </c>
      <c r="AU131" s="77">
        <v>30.939060116408228</v>
      </c>
      <c r="AV131" s="77">
        <v>12.040463911071834</v>
      </c>
      <c r="AW131" s="77">
        <v>0</v>
      </c>
      <c r="AX131" s="77">
        <v>0</v>
      </c>
      <c r="AY131" s="76">
        <v>0</v>
      </c>
    </row>
    <row r="132" spans="28:51" x14ac:dyDescent="0.15">
      <c r="AB132" s="51">
        <v>6478.751081275067</v>
      </c>
      <c r="AC132" s="51">
        <v>10632.248029200273</v>
      </c>
      <c r="AD132" s="51">
        <v>2563.5955036088872</v>
      </c>
      <c r="AE132" s="51">
        <v>2706.6163654767643</v>
      </c>
      <c r="AF132" s="51">
        <v>175.00726844594868</v>
      </c>
      <c r="AG132" s="51">
        <v>184.77077845797947</v>
      </c>
      <c r="AH132" s="54">
        <v>0.77614866772091773</v>
      </c>
      <c r="AI132" s="55">
        <v>1.0954740495672763</v>
      </c>
      <c r="AJ132" s="54">
        <v>0</v>
      </c>
      <c r="AK132" s="55">
        <v>1.0954740495672763</v>
      </c>
      <c r="AL132" s="82">
        <v>13281</v>
      </c>
      <c r="AM132" s="82">
        <v>0</v>
      </c>
      <c r="AN132" s="54">
        <v>0.4165136742434038</v>
      </c>
      <c r="AO132" s="54">
        <v>0.2776757828289359</v>
      </c>
      <c r="AP132" s="54">
        <v>0.6941894570723397</v>
      </c>
      <c r="AQ132" s="53">
        <v>0</v>
      </c>
      <c r="AR132" s="53">
        <v>0</v>
      </c>
      <c r="AS132" s="53">
        <v>0</v>
      </c>
      <c r="AT132" s="53">
        <v>0</v>
      </c>
      <c r="AU132" s="53">
        <v>0</v>
      </c>
      <c r="AV132" s="53">
        <v>0</v>
      </c>
      <c r="AW132" s="53">
        <v>0</v>
      </c>
      <c r="AX132" s="53">
        <v>0</v>
      </c>
      <c r="AY132" s="51">
        <v>0</v>
      </c>
    </row>
    <row r="133" spans="28:51" x14ac:dyDescent="0.15">
      <c r="AB133" s="56">
        <v>6568.2102612127801</v>
      </c>
      <c r="AC133" s="56">
        <v>10734.688777186911</v>
      </c>
      <c r="AD133" s="56">
        <v>2614.0381771891052</v>
      </c>
      <c r="AE133" s="56">
        <v>2747.4713411657967</v>
      </c>
      <c r="AF133" s="56">
        <v>177.45355240460461</v>
      </c>
      <c r="AG133" s="56">
        <v>186.51164082996621</v>
      </c>
      <c r="AH133" s="58">
        <v>0.79697538358465825</v>
      </c>
      <c r="AI133" s="59">
        <v>1.0964522597533219</v>
      </c>
      <c r="AJ133" s="58">
        <v>0</v>
      </c>
      <c r="AK133" s="59">
        <v>1.0964522597533219</v>
      </c>
      <c r="AL133" s="83">
        <v>13790</v>
      </c>
      <c r="AM133" s="83">
        <v>0</v>
      </c>
      <c r="AN133" s="58">
        <v>0.40442584348281335</v>
      </c>
      <c r="AO133" s="58">
        <v>0.23391407945509562</v>
      </c>
      <c r="AP133" s="58">
        <v>0.63833992293790898</v>
      </c>
      <c r="AQ133" s="57">
        <v>0</v>
      </c>
      <c r="AR133" s="57">
        <v>0</v>
      </c>
      <c r="AS133" s="57">
        <v>0</v>
      </c>
      <c r="AT133" s="57">
        <v>0</v>
      </c>
      <c r="AU133" s="57">
        <v>0</v>
      </c>
      <c r="AV133" s="57">
        <v>0</v>
      </c>
      <c r="AW133" s="57">
        <v>0</v>
      </c>
      <c r="AX133" s="57">
        <v>0</v>
      </c>
      <c r="AY133" s="56">
        <v>0</v>
      </c>
    </row>
    <row r="134" spans="28:51" x14ac:dyDescent="0.15">
      <c r="AB134" s="51">
        <v>6643.1812599245477</v>
      </c>
      <c r="AC134" s="51">
        <v>10841.600668075387</v>
      </c>
      <c r="AD134" s="51">
        <v>2659.6805455081849</v>
      </c>
      <c r="AE134" s="51">
        <v>2790.6059784528193</v>
      </c>
      <c r="AF134" s="51">
        <v>179.50681510807058</v>
      </c>
      <c r="AG134" s="51">
        <v>188.34321748136614</v>
      </c>
      <c r="AH134" s="54">
        <v>0.81842266920165019</v>
      </c>
      <c r="AI134" s="55">
        <v>1.0973451375046974</v>
      </c>
      <c r="AJ134" s="54">
        <v>0.10000020813089452</v>
      </c>
      <c r="AK134" s="55">
        <v>1.0973451375046974</v>
      </c>
      <c r="AL134" s="82">
        <v>14310</v>
      </c>
      <c r="AM134" s="82">
        <v>1749</v>
      </c>
      <c r="AN134" s="54">
        <v>0.38993442357891628</v>
      </c>
      <c r="AO134" s="54">
        <v>0.19704922053297255</v>
      </c>
      <c r="AP134" s="54">
        <v>0.58698364411188886</v>
      </c>
      <c r="AQ134" s="53">
        <v>0.5844515537504601</v>
      </c>
      <c r="AR134" s="53">
        <v>8.068375256045023</v>
      </c>
      <c r="AS134" s="53">
        <v>8.6528268097954832</v>
      </c>
      <c r="AT134" s="53">
        <v>5.9633683911138089</v>
      </c>
      <c r="AU134" s="53">
        <v>7.308097600454647</v>
      </c>
      <c r="AV134" s="53">
        <v>2.8256669026518555</v>
      </c>
      <c r="AW134" s="53">
        <v>8349.3079107208578</v>
      </c>
      <c r="AX134" s="53">
        <v>8349.3079107208578</v>
      </c>
      <c r="AY134" s="51">
        <v>500</v>
      </c>
    </row>
    <row r="135" spans="28:51" x14ac:dyDescent="0.15">
      <c r="AB135" s="51">
        <v>6709.2308205226664</v>
      </c>
      <c r="AC135" s="51">
        <v>10954.77842265771</v>
      </c>
      <c r="AD135" s="51">
        <v>2702.6247804804725</v>
      </c>
      <c r="AE135" s="51">
        <v>2836.4890338214659</v>
      </c>
      <c r="AF135" s="51">
        <v>181.31449921119832</v>
      </c>
      <c r="AG135" s="51">
        <v>190.29522425749505</v>
      </c>
      <c r="AH135" s="54">
        <v>0.83986995481864213</v>
      </c>
      <c r="AI135" s="55">
        <v>1.0982380152560729</v>
      </c>
      <c r="AJ135" s="54">
        <v>0.20000041626178905</v>
      </c>
      <c r="AK135" s="55">
        <v>1.0982380152560729</v>
      </c>
      <c r="AL135" s="82">
        <v>14835</v>
      </c>
      <c r="AM135" s="82">
        <v>3533</v>
      </c>
      <c r="AN135" s="54">
        <v>0.37376486193216862</v>
      </c>
      <c r="AO135" s="54">
        <v>0.16599426337697609</v>
      </c>
      <c r="AP135" s="54">
        <v>0.53975912530914472</v>
      </c>
      <c r="AQ135" s="53">
        <v>1.1868339075436136</v>
      </c>
      <c r="AR135" s="53">
        <v>16.108937709988272</v>
      </c>
      <c r="AS135" s="53">
        <v>17.295771617531884</v>
      </c>
      <c r="AT135" s="53">
        <v>11.926125714202461</v>
      </c>
      <c r="AU135" s="53">
        <v>14.610948665867175</v>
      </c>
      <c r="AV135" s="53">
        <v>5.6615388269847999</v>
      </c>
      <c r="AW135" s="53">
        <v>16954.770107765908</v>
      </c>
      <c r="AX135" s="53">
        <v>8605.4621970450498</v>
      </c>
      <c r="AY135" s="51">
        <v>1015</v>
      </c>
    </row>
    <row r="136" spans="28:51" x14ac:dyDescent="0.15">
      <c r="AB136" s="51">
        <v>6777.6621936671372</v>
      </c>
      <c r="AC136" s="51">
        <v>11086.370524014581</v>
      </c>
      <c r="AD136" s="51">
        <v>2747.3482734759982</v>
      </c>
      <c r="AE136" s="51">
        <v>2887.8054778094765</v>
      </c>
      <c r="AF136" s="51">
        <v>183.17881784272996</v>
      </c>
      <c r="AG136" s="51">
        <v>192.54376982049604</v>
      </c>
      <c r="AH136" s="54">
        <v>0.86131724043563407</v>
      </c>
      <c r="AI136" s="55">
        <v>1.0991308930074484</v>
      </c>
      <c r="AJ136" s="54">
        <v>0.3000006243926836</v>
      </c>
      <c r="AK136" s="55">
        <v>1.0991308930074484</v>
      </c>
      <c r="AL136" s="82">
        <v>15387</v>
      </c>
      <c r="AM136" s="82">
        <v>5359</v>
      </c>
      <c r="AN136" s="54">
        <v>0.35650038710895227</v>
      </c>
      <c r="AO136" s="54">
        <v>0.13983356746876466</v>
      </c>
      <c r="AP136" s="54">
        <v>0.4963339545777169</v>
      </c>
      <c r="AQ136" s="53">
        <v>1.8099951326106027</v>
      </c>
      <c r="AR136" s="53">
        <v>24.135850771525575</v>
      </c>
      <c r="AS136" s="53">
        <v>25.945845904136178</v>
      </c>
      <c r="AT136" s="53">
        <v>17.900562313627653</v>
      </c>
      <c r="AU136" s="53">
        <v>21.923204108881912</v>
      </c>
      <c r="AV136" s="53">
        <v>8.5143981247010405</v>
      </c>
      <c r="AW136" s="53">
        <v>25857.073323008608</v>
      </c>
      <c r="AX136" s="53">
        <v>8902.3032152427004</v>
      </c>
      <c r="AY136" s="51">
        <v>1548</v>
      </c>
    </row>
    <row r="137" spans="28:51" x14ac:dyDescent="0.15">
      <c r="AB137" s="51">
        <v>6812.9286116085568</v>
      </c>
      <c r="AC137" s="51">
        <v>11198.816140570325</v>
      </c>
      <c r="AD137" s="51">
        <v>2779.3525900079526</v>
      </c>
      <c r="AE137" s="51">
        <v>2934.8095042681962</v>
      </c>
      <c r="AF137" s="51">
        <v>184.15799309672053</v>
      </c>
      <c r="AG137" s="51">
        <v>194.45846143100033</v>
      </c>
      <c r="AH137" s="54">
        <v>0.88276452605262601</v>
      </c>
      <c r="AI137" s="55">
        <v>1.1000237707588238</v>
      </c>
      <c r="AJ137" s="54">
        <v>0.4000008325235781</v>
      </c>
      <c r="AK137" s="55">
        <v>1.1000237707588238</v>
      </c>
      <c r="AL137" s="82">
        <v>15900</v>
      </c>
      <c r="AM137" s="82">
        <v>7205</v>
      </c>
      <c r="AN137" s="54">
        <v>0.33860666622551072</v>
      </c>
      <c r="AO137" s="54">
        <v>0.11779579723568735</v>
      </c>
      <c r="AP137" s="54">
        <v>0.45640246346119806</v>
      </c>
      <c r="AQ137" s="53">
        <v>2.4452684239346016</v>
      </c>
      <c r="AR137" s="53">
        <v>32.020913980355893</v>
      </c>
      <c r="AS137" s="53">
        <v>34.466182404290493</v>
      </c>
      <c r="AT137" s="53">
        <v>23.792544410838531</v>
      </c>
      <c r="AU137" s="53">
        <v>29.129363407564512</v>
      </c>
      <c r="AV137" s="53">
        <v>11.339966751811238</v>
      </c>
      <c r="AW137" s="53">
        <v>34932.406056208594</v>
      </c>
      <c r="AX137" s="53">
        <v>9075.3327331999863</v>
      </c>
      <c r="AY137" s="51">
        <v>2092</v>
      </c>
    </row>
    <row r="138" spans="28:51" x14ac:dyDescent="0.15">
      <c r="AB138" s="51">
        <v>6864.1537486929401</v>
      </c>
      <c r="AC138" s="51">
        <v>11260.053432143077</v>
      </c>
      <c r="AD138" s="51">
        <v>2818.5074432359629</v>
      </c>
      <c r="AE138" s="51">
        <v>2968.9431767655578</v>
      </c>
      <c r="AF138" s="51">
        <v>185.5766991432898</v>
      </c>
      <c r="AG138" s="51">
        <v>195.48171710895804</v>
      </c>
      <c r="AH138" s="54">
        <v>0.90421181166961795</v>
      </c>
      <c r="AI138" s="55">
        <v>1.1009166485101993</v>
      </c>
      <c r="AJ138" s="54">
        <v>0.50000104065447259</v>
      </c>
      <c r="AK138" s="55">
        <v>1.1009166485101993</v>
      </c>
      <c r="AL138" s="82">
        <v>16388</v>
      </c>
      <c r="AM138" s="82">
        <v>9062</v>
      </c>
      <c r="AN138" s="54">
        <v>0.32045239581641949</v>
      </c>
      <c r="AO138" s="54">
        <v>9.9231179591343033E-2</v>
      </c>
      <c r="AP138" s="54">
        <v>0.41968357540776252</v>
      </c>
      <c r="AQ138" s="53">
        <v>3.0930692324104507</v>
      </c>
      <c r="AR138" s="53">
        <v>39.723996630405658</v>
      </c>
      <c r="AS138" s="53">
        <v>42.817065862816108</v>
      </c>
      <c r="AT138" s="53">
        <v>29.575733652680888</v>
      </c>
      <c r="AU138" s="53">
        <v>36.196399757748502</v>
      </c>
      <c r="AV138" s="53">
        <v>14.127512740856467</v>
      </c>
      <c r="AW138" s="53">
        <v>44186.703320149289</v>
      </c>
      <c r="AX138" s="53">
        <v>9254.2972639406944</v>
      </c>
      <c r="AY138" s="51">
        <v>2646</v>
      </c>
    </row>
    <row r="139" spans="28:51" x14ac:dyDescent="0.15">
      <c r="AB139" s="51">
        <v>6915.1536335216952</v>
      </c>
      <c r="AC139" s="51">
        <v>11334.829411125047</v>
      </c>
      <c r="AD139" s="51">
        <v>2858.1909992343794</v>
      </c>
      <c r="AE139" s="51">
        <v>3007.5899996677413</v>
      </c>
      <c r="AF139" s="51">
        <v>186.97331350983814</v>
      </c>
      <c r="AG139" s="51">
        <v>196.74649737108669</v>
      </c>
      <c r="AH139" s="54">
        <v>0.92565909728660989</v>
      </c>
      <c r="AI139" s="55">
        <v>1.1018095262615748</v>
      </c>
      <c r="AJ139" s="54">
        <v>0.60000124878536709</v>
      </c>
      <c r="AK139" s="55">
        <v>1.1018095262615748</v>
      </c>
      <c r="AL139" s="82">
        <v>16893</v>
      </c>
      <c r="AM139" s="82">
        <v>10950</v>
      </c>
      <c r="AN139" s="54">
        <v>0.30232648159311698</v>
      </c>
      <c r="AO139" s="54">
        <v>8.3592345687747371E-2</v>
      </c>
      <c r="AP139" s="54">
        <v>0.38591882728086435</v>
      </c>
      <c r="AQ139" s="53">
        <v>3.7591661467262538</v>
      </c>
      <c r="AR139" s="53">
        <v>47.34428187636901</v>
      </c>
      <c r="AS139" s="53">
        <v>51.103448023095261</v>
      </c>
      <c r="AT139" s="53">
        <v>35.322020730972255</v>
      </c>
      <c r="AU139" s="53">
        <v>43.212734377033769</v>
      </c>
      <c r="AV139" s="53">
        <v>16.910355556828758</v>
      </c>
      <c r="AW139" s="53">
        <v>53702.373524660761</v>
      </c>
      <c r="AX139" s="53">
        <v>9515.6702045114725</v>
      </c>
      <c r="AY139" s="51">
        <v>3216</v>
      </c>
    </row>
    <row r="140" spans="28:51" x14ac:dyDescent="0.15">
      <c r="AB140" s="51">
        <v>6968.4220275069729</v>
      </c>
      <c r="AC140" s="51">
        <v>11426.574774511053</v>
      </c>
      <c r="AD140" s="51">
        <v>2899.4236208223665</v>
      </c>
      <c r="AE140" s="51">
        <v>3051.7383384895852</v>
      </c>
      <c r="AF140" s="51">
        <v>188.43457622525085</v>
      </c>
      <c r="AG140" s="51">
        <v>198.33356410352113</v>
      </c>
      <c r="AH140" s="54">
        <v>0.94710638290360183</v>
      </c>
      <c r="AI140" s="55">
        <v>1.1027024040129503</v>
      </c>
      <c r="AJ140" s="54">
        <v>0.70000145691626159</v>
      </c>
      <c r="AK140" s="55">
        <v>1.1027024040129503</v>
      </c>
      <c r="AL140" s="82">
        <v>17422</v>
      </c>
      <c r="AM140" s="82">
        <v>12877</v>
      </c>
      <c r="AN140" s="54">
        <v>0.28445235803771951</v>
      </c>
      <c r="AO140" s="54">
        <v>7.0418192007358382E-2</v>
      </c>
      <c r="AP140" s="54">
        <v>0.35487055004507789</v>
      </c>
      <c r="AQ140" s="53">
        <v>4.4459500232616831</v>
      </c>
      <c r="AR140" s="53">
        <v>54.908938248804809</v>
      </c>
      <c r="AS140" s="53">
        <v>59.354888272066489</v>
      </c>
      <c r="AT140" s="53">
        <v>41.051908855798217</v>
      </c>
      <c r="AU140" s="53">
        <v>50.203398563932353</v>
      </c>
      <c r="AV140" s="53">
        <v>19.698432870151908</v>
      </c>
      <c r="AW140" s="53">
        <v>63513.571760881183</v>
      </c>
      <c r="AX140" s="53">
        <v>9811.1982362204217</v>
      </c>
      <c r="AY140" s="51">
        <v>3803</v>
      </c>
    </row>
    <row r="141" spans="28:51" x14ac:dyDescent="0.15">
      <c r="AB141" s="51">
        <v>7005.3824306510642</v>
      </c>
      <c r="AC141" s="51">
        <v>11514.409639427206</v>
      </c>
      <c r="AD141" s="51">
        <v>2934.4050813246672</v>
      </c>
      <c r="AE141" s="51">
        <v>3094.8619411576774</v>
      </c>
      <c r="AF141" s="51">
        <v>189.45403684364231</v>
      </c>
      <c r="AG141" s="51">
        <v>199.81361535858107</v>
      </c>
      <c r="AH141" s="54">
        <v>0.96855366852059377</v>
      </c>
      <c r="AI141" s="55">
        <v>1.1035952817643258</v>
      </c>
      <c r="AJ141" s="54">
        <v>0.80000166504715609</v>
      </c>
      <c r="AK141" s="55">
        <v>1.1035952817643258</v>
      </c>
      <c r="AL141" s="82">
        <v>17938</v>
      </c>
      <c r="AM141" s="82">
        <v>14816</v>
      </c>
      <c r="AN141" s="54">
        <v>0.26699991087398522</v>
      </c>
      <c r="AO141" s="54">
        <v>5.9320284946998703E-2</v>
      </c>
      <c r="AP141" s="54">
        <v>0.32632019582098393</v>
      </c>
      <c r="AQ141" s="53">
        <v>5.1432072391217032</v>
      </c>
      <c r="AR141" s="53">
        <v>62.312124948283582</v>
      </c>
      <c r="AS141" s="53">
        <v>67.45533218740529</v>
      </c>
      <c r="AT141" s="53">
        <v>46.684623871310755</v>
      </c>
      <c r="AU141" s="53">
        <v>57.069978029358012</v>
      </c>
      <c r="AV141" s="53">
        <v>22.452130835867145</v>
      </c>
      <c r="AW141" s="53">
        <v>73474.389130310039</v>
      </c>
      <c r="AX141" s="53">
        <v>9960.8173694288562</v>
      </c>
      <c r="AY141" s="51">
        <v>4400</v>
      </c>
    </row>
    <row r="142" spans="28:51" x14ac:dyDescent="0.15">
      <c r="AB142" s="60">
        <v>7082.1648840894622</v>
      </c>
      <c r="AC142" s="60">
        <v>11656.099508679583</v>
      </c>
      <c r="AD142" s="60">
        <v>2986.6332889784076</v>
      </c>
      <c r="AE142" s="60">
        <v>3153.5397335255352</v>
      </c>
      <c r="AF142" s="60">
        <v>191.54838759309879</v>
      </c>
      <c r="AG142" s="60">
        <v>202.25296938754968</v>
      </c>
      <c r="AH142" s="62">
        <v>0.99000095413758615</v>
      </c>
      <c r="AI142" s="63">
        <v>1.1044881595157015</v>
      </c>
      <c r="AJ142" s="62">
        <v>0.90000187317805069</v>
      </c>
      <c r="AK142" s="63">
        <v>1.1044881595157015</v>
      </c>
      <c r="AL142" s="84">
        <v>18551</v>
      </c>
      <c r="AM142" s="84">
        <v>16864</v>
      </c>
      <c r="AN142" s="62">
        <v>0.25009539149393989</v>
      </c>
      <c r="AO142" s="62">
        <v>4.9971408039351711E-2</v>
      </c>
      <c r="AP142" s="62">
        <v>0.30006679953329157</v>
      </c>
      <c r="AQ142" s="61">
        <v>5.8883490188258687</v>
      </c>
      <c r="AR142" s="61">
        <v>69.990349129547027</v>
      </c>
      <c r="AS142" s="61">
        <v>75.878698148372891</v>
      </c>
      <c r="AT142" s="61">
        <v>52.548581771857222</v>
      </c>
      <c r="AU142" s="61">
        <v>64.21363996011506</v>
      </c>
      <c r="AV142" s="61">
        <v>25.330112665922265</v>
      </c>
      <c r="AW142" s="61">
        <v>84119.271697512391</v>
      </c>
      <c r="AX142" s="61">
        <v>10644.882567202352</v>
      </c>
      <c r="AY142" s="60">
        <v>5037</v>
      </c>
    </row>
    <row r="143" spans="28:51" x14ac:dyDescent="0.15">
      <c r="AB143" s="51">
        <v>7154.4882476911216</v>
      </c>
      <c r="AC143" s="51">
        <v>11736.254158887041</v>
      </c>
      <c r="AD143" s="51">
        <v>3037.6235956669061</v>
      </c>
      <c r="AE143" s="51">
        <v>3196.1388510811548</v>
      </c>
      <c r="AF143" s="51">
        <v>193.52779145915855</v>
      </c>
      <c r="AG143" s="51">
        <v>203.62683972065616</v>
      </c>
      <c r="AH143" s="54">
        <v>0.99100085872382748</v>
      </c>
      <c r="AI143" s="55">
        <v>1.1052246177695439</v>
      </c>
      <c r="AJ143" s="54">
        <v>0.90500574564082903</v>
      </c>
      <c r="AK143" s="55">
        <v>1.1052246177695439</v>
      </c>
      <c r="AL143" s="82">
        <v>18721</v>
      </c>
      <c r="AM143" s="82">
        <v>17096</v>
      </c>
      <c r="AN143" s="54">
        <v>0.24559438950094051</v>
      </c>
      <c r="AO143" s="54">
        <v>4.9971408039351711E-2</v>
      </c>
      <c r="AP143" s="54">
        <v>0.29556579754029222</v>
      </c>
      <c r="AQ143" s="53">
        <v>6.0069700231014762</v>
      </c>
      <c r="AR143" s="53">
        <v>70.687814868320046</v>
      </c>
      <c r="AS143" s="53">
        <v>76.69478489142152</v>
      </c>
      <c r="AT143" s="53">
        <v>53.132179935314838</v>
      </c>
      <c r="AU143" s="53">
        <v>64.913482413368172</v>
      </c>
      <c r="AV143" s="53">
        <v>25.642474153190381</v>
      </c>
      <c r="AW143" s="53">
        <v>85813.857472878211</v>
      </c>
      <c r="AX143" s="53">
        <v>1694.5857753658202</v>
      </c>
      <c r="AY143" s="51">
        <v>5139</v>
      </c>
    </row>
    <row r="144" spans="28:51" x14ac:dyDescent="0.15">
      <c r="AB144" s="51">
        <v>7211.03738237785</v>
      </c>
      <c r="AC144" s="51">
        <v>11813.126233928537</v>
      </c>
      <c r="AD144" s="51">
        <v>3082.4571990817508</v>
      </c>
      <c r="AE144" s="51">
        <v>3238.2717777288813</v>
      </c>
      <c r="AF144" s="51">
        <v>195.07248138464482</v>
      </c>
      <c r="AG144" s="51">
        <v>204.93316541998297</v>
      </c>
      <c r="AH144" s="54">
        <v>0.99200076331006892</v>
      </c>
      <c r="AI144" s="55">
        <v>1.1059610760233864</v>
      </c>
      <c r="AJ144" s="54">
        <v>0.91000961810360737</v>
      </c>
      <c r="AK144" s="55">
        <v>1.1059610760233864</v>
      </c>
      <c r="AL144" s="82">
        <v>18872</v>
      </c>
      <c r="AM144" s="82">
        <v>17312</v>
      </c>
      <c r="AN144" s="54">
        <v>0.24116090253783615</v>
      </c>
      <c r="AO144" s="54">
        <v>4.9971408039351711E-2</v>
      </c>
      <c r="AP144" s="54">
        <v>0.29113231057718786</v>
      </c>
      <c r="AQ144" s="53">
        <v>6.1205426621296759</v>
      </c>
      <c r="AR144" s="53">
        <v>71.327235303959483</v>
      </c>
      <c r="AS144" s="53">
        <v>77.447777966089163</v>
      </c>
      <c r="AT144" s="53">
        <v>53.672032864769335</v>
      </c>
      <c r="AU144" s="53">
        <v>65.559905415429256</v>
      </c>
      <c r="AV144" s="53">
        <v>25.933663579896201</v>
      </c>
      <c r="AW144" s="53">
        <v>87436.323744709647</v>
      </c>
      <c r="AX144" s="53">
        <v>1622.4662718314357</v>
      </c>
      <c r="AY144" s="51">
        <v>5236</v>
      </c>
    </row>
    <row r="145" spans="28:51" x14ac:dyDescent="0.15">
      <c r="AB145" s="51">
        <v>7252.3914478662764</v>
      </c>
      <c r="AC145" s="51">
        <v>11886.598684378807</v>
      </c>
      <c r="AD145" s="51">
        <v>3121.2243396568288</v>
      </c>
      <c r="AE145" s="51">
        <v>3279.8842564489946</v>
      </c>
      <c r="AF145" s="51">
        <v>196.20645631515998</v>
      </c>
      <c r="AG145" s="51">
        <v>206.18013864152289</v>
      </c>
      <c r="AH145" s="54">
        <v>0.99300066789631036</v>
      </c>
      <c r="AI145" s="55">
        <v>1.1066975342772289</v>
      </c>
      <c r="AJ145" s="54">
        <v>0.9150134905663857</v>
      </c>
      <c r="AK145" s="55">
        <v>1.1066975342772289</v>
      </c>
      <c r="AL145" s="82">
        <v>19005</v>
      </c>
      <c r="AM145" s="82">
        <v>17512</v>
      </c>
      <c r="AN145" s="54">
        <v>0.23679391787917833</v>
      </c>
      <c r="AO145" s="54">
        <v>4.9971408039351711E-2</v>
      </c>
      <c r="AP145" s="54">
        <v>0.28676532591853005</v>
      </c>
      <c r="AQ145" s="53">
        <v>6.2279140458252007</v>
      </c>
      <c r="AR145" s="53">
        <v>71.890847715253344</v>
      </c>
      <c r="AS145" s="53">
        <v>78.118761761078545</v>
      </c>
      <c r="AT145" s="53">
        <v>54.1551458559941</v>
      </c>
      <c r="AU145" s="53">
        <v>66.136953808536305</v>
      </c>
      <c r="AV145" s="53">
        <v>26.19759396672891</v>
      </c>
      <c r="AW145" s="53">
        <v>88970.200654645712</v>
      </c>
      <c r="AX145" s="53">
        <v>1533.8769099360652</v>
      </c>
      <c r="AY145" s="51">
        <v>5328</v>
      </c>
    </row>
    <row r="146" spans="28:51" x14ac:dyDescent="0.15">
      <c r="AB146" s="51">
        <v>7280.1751251595342</v>
      </c>
      <c r="AC146" s="51">
        <v>11956.79842250937</v>
      </c>
      <c r="AD146" s="51">
        <v>3154.4739243003728</v>
      </c>
      <c r="AE146" s="51">
        <v>3320.9886157507926</v>
      </c>
      <c r="AF146" s="51">
        <v>196.98210583040836</v>
      </c>
      <c r="AG146" s="51">
        <v>207.38016755503622</v>
      </c>
      <c r="AH146" s="54">
        <v>0.9940005724825518</v>
      </c>
      <c r="AI146" s="55">
        <v>1.1074339925310714</v>
      </c>
      <c r="AJ146" s="54">
        <v>0.92001736302916404</v>
      </c>
      <c r="AK146" s="55">
        <v>1.1074339925310714</v>
      </c>
      <c r="AL146" s="82">
        <v>19122</v>
      </c>
      <c r="AM146" s="82">
        <v>17698</v>
      </c>
      <c r="AN146" s="54">
        <v>0.2324924379904004</v>
      </c>
      <c r="AO146" s="54">
        <v>4.9971408039351711E-2</v>
      </c>
      <c r="AP146" s="54">
        <v>0.28246384602975211</v>
      </c>
      <c r="AQ146" s="53">
        <v>6.3305376276904788</v>
      </c>
      <c r="AR146" s="53">
        <v>72.402711249738047</v>
      </c>
      <c r="AS146" s="53">
        <v>78.733248877428522</v>
      </c>
      <c r="AT146" s="53">
        <v>54.599011794182516</v>
      </c>
      <c r="AU146" s="53">
        <v>66.666130335805533</v>
      </c>
      <c r="AV146" s="53">
        <v>26.442401863728833</v>
      </c>
      <c r="AW146" s="53">
        <v>90436.251824149687</v>
      </c>
      <c r="AX146" s="53">
        <v>1466.051169503975</v>
      </c>
      <c r="AY146" s="51">
        <v>5415</v>
      </c>
    </row>
    <row r="147" spans="28:51" x14ac:dyDescent="0.15">
      <c r="AB147" s="51">
        <v>7296.9414894368747</v>
      </c>
      <c r="AC147" s="51">
        <v>12021.560316351919</v>
      </c>
      <c r="AD147" s="51">
        <v>3183.1454766187289</v>
      </c>
      <c r="AE147" s="51">
        <v>3360.9222626393871</v>
      </c>
      <c r="AF147" s="51">
        <v>197.44398906179057</v>
      </c>
      <c r="AG147" s="51">
        <v>208.47111868949105</v>
      </c>
      <c r="AH147" s="54">
        <v>0.99500047706879324</v>
      </c>
      <c r="AI147" s="55">
        <v>1.1081704507849139</v>
      </c>
      <c r="AJ147" s="54">
        <v>0.92502123549194237</v>
      </c>
      <c r="AK147" s="55">
        <v>1.1081704507849139</v>
      </c>
      <c r="AL147" s="82">
        <v>19222</v>
      </c>
      <c r="AM147" s="82">
        <v>17870</v>
      </c>
      <c r="AN147" s="54">
        <v>0.2282554802999541</v>
      </c>
      <c r="AO147" s="54">
        <v>4.9971408039351711E-2</v>
      </c>
      <c r="AP147" s="54">
        <v>0.27822688833930581</v>
      </c>
      <c r="AQ147" s="53">
        <v>6.428621294611335</v>
      </c>
      <c r="AR147" s="53">
        <v>72.863103526202735</v>
      </c>
      <c r="AS147" s="53">
        <v>79.291724820814068</v>
      </c>
      <c r="AT147" s="53">
        <v>55.004023645413156</v>
      </c>
      <c r="AU147" s="53">
        <v>67.147874233113612</v>
      </c>
      <c r="AV147" s="53">
        <v>26.668372274112098</v>
      </c>
      <c r="AW147" s="53">
        <v>91837.4470658762</v>
      </c>
      <c r="AX147" s="53">
        <v>1401.1952417265129</v>
      </c>
      <c r="AY147" s="51">
        <v>5499</v>
      </c>
    </row>
    <row r="148" spans="28:51" x14ac:dyDescent="0.15">
      <c r="AB148" s="51">
        <v>7355.9892763130711</v>
      </c>
      <c r="AC148" s="51">
        <v>12083.531437231853</v>
      </c>
      <c r="AD148" s="51">
        <v>3230.549980122853</v>
      </c>
      <c r="AE148" s="51">
        <v>3400.4186735490312</v>
      </c>
      <c r="AF148" s="51">
        <v>199.06503735450289</v>
      </c>
      <c r="AG148" s="51">
        <v>209.53226987227896</v>
      </c>
      <c r="AH148" s="54">
        <v>0.99600038165503468</v>
      </c>
      <c r="AI148" s="55">
        <v>1.1089069090387564</v>
      </c>
      <c r="AJ148" s="54">
        <v>0.93002510795472071</v>
      </c>
      <c r="AK148" s="55">
        <v>1.1089069090387564</v>
      </c>
      <c r="AL148" s="82">
        <v>19362</v>
      </c>
      <c r="AM148" s="82">
        <v>18080</v>
      </c>
      <c r="AN148" s="54">
        <v>0.22408207697486451</v>
      </c>
      <c r="AO148" s="54">
        <v>4.9971408039351711E-2</v>
      </c>
      <c r="AP148" s="54">
        <v>0.27405348501421622</v>
      </c>
      <c r="AQ148" s="53">
        <v>6.5441418061508161</v>
      </c>
      <c r="AR148" s="53">
        <v>73.450858588559441</v>
      </c>
      <c r="AS148" s="53">
        <v>79.99500039471026</v>
      </c>
      <c r="AT148" s="53">
        <v>55.511380865190446</v>
      </c>
      <c r="AU148" s="53">
        <v>67.753190629950353</v>
      </c>
      <c r="AV148" s="53">
        <v>26.947158080750661</v>
      </c>
      <c r="AW148" s="53">
        <v>93487.740087868791</v>
      </c>
      <c r="AX148" s="53">
        <v>1650.2930219925911</v>
      </c>
      <c r="AY148" s="51">
        <v>5598</v>
      </c>
    </row>
    <row r="149" spans="28:51" x14ac:dyDescent="0.15">
      <c r="AB149" s="51">
        <v>7401.8418230179741</v>
      </c>
      <c r="AC149" s="51">
        <v>12145.920014864061</v>
      </c>
      <c r="AD149" s="51">
        <v>3272.4806301092176</v>
      </c>
      <c r="AE149" s="51">
        <v>3440.3315707352008</v>
      </c>
      <c r="AF149" s="51">
        <v>200.31990532032785</v>
      </c>
      <c r="AG149" s="51">
        <v>210.59464437447551</v>
      </c>
      <c r="AH149" s="54">
        <v>0.99700028624127612</v>
      </c>
      <c r="AI149" s="55">
        <v>1.1096433672925989</v>
      </c>
      <c r="AJ149" s="54">
        <v>0.93502898041749904</v>
      </c>
      <c r="AK149" s="55">
        <v>1.1096433672925989</v>
      </c>
      <c r="AL149" s="82">
        <v>19489</v>
      </c>
      <c r="AM149" s="82">
        <v>18278</v>
      </c>
      <c r="AN149" s="54">
        <v>0.21997127469965125</v>
      </c>
      <c r="AO149" s="54">
        <v>4.9971408039351711E-2</v>
      </c>
      <c r="AP149" s="54">
        <v>0.26994268273900296</v>
      </c>
      <c r="AQ149" s="53">
        <v>6.6568971519798952</v>
      </c>
      <c r="AR149" s="53">
        <v>74.01978936164727</v>
      </c>
      <c r="AS149" s="53">
        <v>80.67668651362716</v>
      </c>
      <c r="AT149" s="53">
        <v>56.003423393078087</v>
      </c>
      <c r="AU149" s="53">
        <v>68.340054953352634</v>
      </c>
      <c r="AV149" s="53">
        <v>27.217949752437473</v>
      </c>
      <c r="AW149" s="53">
        <v>95098.530742569928</v>
      </c>
      <c r="AX149" s="53">
        <v>1610.7906547011371</v>
      </c>
      <c r="AY149" s="51">
        <v>5695</v>
      </c>
    </row>
    <row r="150" spans="28:51" x14ac:dyDescent="0.15">
      <c r="AB150" s="51">
        <v>7435.1911792257042</v>
      </c>
      <c r="AC150" s="51">
        <v>12205.518501258706</v>
      </c>
      <c r="AD150" s="51">
        <v>3309.1098396792127</v>
      </c>
      <c r="AE150" s="51">
        <v>3479.7439602789746</v>
      </c>
      <c r="AF150" s="51">
        <v>201.23605713501289</v>
      </c>
      <c r="AG150" s="51">
        <v>211.61278661992026</v>
      </c>
      <c r="AH150" s="54">
        <v>0.99800019082751756</v>
      </c>
      <c r="AI150" s="55">
        <v>1.1103798255464414</v>
      </c>
      <c r="AJ150" s="54">
        <v>0.94003285288027738</v>
      </c>
      <c r="AK150" s="55">
        <v>1.1103798255464414</v>
      </c>
      <c r="AL150" s="82">
        <v>19602</v>
      </c>
      <c r="AM150" s="82">
        <v>18463</v>
      </c>
      <c r="AN150" s="54">
        <v>0.2159221344585662</v>
      </c>
      <c r="AO150" s="54">
        <v>4.9971408039351711E-2</v>
      </c>
      <c r="AP150" s="54">
        <v>0.26589354249791791</v>
      </c>
      <c r="AQ150" s="53">
        <v>6.763921571439937</v>
      </c>
      <c r="AR150" s="53">
        <v>74.522659583834297</v>
      </c>
      <c r="AS150" s="53">
        <v>81.286581155274234</v>
      </c>
      <c r="AT150" s="53">
        <v>56.445694627329466</v>
      </c>
      <c r="AU150" s="53">
        <v>68.866137891301861</v>
      </c>
      <c r="AV150" s="53">
        <v>27.464660344727243</v>
      </c>
      <c r="AW150" s="53">
        <v>96627.451020570516</v>
      </c>
      <c r="AX150" s="53">
        <v>1528.9202780005871</v>
      </c>
      <c r="AY150" s="51">
        <v>5786</v>
      </c>
    </row>
    <row r="151" spans="28:51" x14ac:dyDescent="0.15">
      <c r="AB151" s="51">
        <v>7457.6540759880827</v>
      </c>
      <c r="AC151" s="51">
        <v>12262.438779621025</v>
      </c>
      <c r="AD151" s="51">
        <v>3341.0223585749022</v>
      </c>
      <c r="AE151" s="51">
        <v>3518.6560763560697</v>
      </c>
      <c r="AF151" s="51">
        <v>201.85508984078066</v>
      </c>
      <c r="AG151" s="51">
        <v>212.58721498488291</v>
      </c>
      <c r="AH151" s="54">
        <v>0.999000095413759</v>
      </c>
      <c r="AI151" s="55">
        <v>1.1111162838002839</v>
      </c>
      <c r="AJ151" s="54">
        <v>0.94503672534305572</v>
      </c>
      <c r="AK151" s="55">
        <v>1.1111162838002839</v>
      </c>
      <c r="AL151" s="82">
        <v>19700</v>
      </c>
      <c r="AM151" s="82">
        <v>18636</v>
      </c>
      <c r="AN151" s="54">
        <v>0.21193373132109741</v>
      </c>
      <c r="AO151" s="54">
        <v>4.9971408039351711E-2</v>
      </c>
      <c r="AP151" s="54">
        <v>0.26190513936044912</v>
      </c>
      <c r="AQ151" s="53">
        <v>6.8667657153993531</v>
      </c>
      <c r="AR151" s="53">
        <v>74.983739329549039</v>
      </c>
      <c r="AS151" s="53">
        <v>81.850505044948392</v>
      </c>
      <c r="AT151" s="53">
        <v>56.855925268432046</v>
      </c>
      <c r="AU151" s="53">
        <v>69.353215156690226</v>
      </c>
      <c r="AV151" s="53">
        <v>27.695582195829644</v>
      </c>
      <c r="AW151" s="53">
        <v>98096.653077133611</v>
      </c>
      <c r="AX151" s="53">
        <v>1469.2020565630955</v>
      </c>
      <c r="AY151" s="51">
        <v>5874</v>
      </c>
    </row>
    <row r="152" spans="28:51" x14ac:dyDescent="0.15">
      <c r="AB152" s="60">
        <v>7466.8876487262878</v>
      </c>
      <c r="AC152" s="60">
        <v>12312.106569638532</v>
      </c>
      <c r="AD152" s="60">
        <v>3367.0472356671594</v>
      </c>
      <c r="AE152" s="60">
        <v>3555.2334162519328</v>
      </c>
      <c r="AF152" s="60">
        <v>202.1209984664832</v>
      </c>
      <c r="AG152" s="60">
        <v>213.41765576147708</v>
      </c>
      <c r="AH152" s="62">
        <v>1</v>
      </c>
      <c r="AI152" s="63">
        <v>1.1118527420541255</v>
      </c>
      <c r="AJ152" s="62">
        <v>0.95004059780583416</v>
      </c>
      <c r="AK152" s="63">
        <v>1.1118527420541255</v>
      </c>
      <c r="AL152" s="84">
        <v>19779</v>
      </c>
      <c r="AM152" s="84">
        <v>18791</v>
      </c>
      <c r="AN152" s="62">
        <v>0.20800515423069069</v>
      </c>
      <c r="AO152" s="62">
        <v>4.9971408039351711E-2</v>
      </c>
      <c r="AP152" s="62">
        <v>0.2579765622700424</v>
      </c>
      <c r="AQ152" s="61">
        <v>6.9614044202289636</v>
      </c>
      <c r="AR152" s="61">
        <v>75.360021339849212</v>
      </c>
      <c r="AS152" s="61">
        <v>82.321425760078171</v>
      </c>
      <c r="AT152" s="61">
        <v>57.201418646795105</v>
      </c>
      <c r="AU152" s="61">
        <v>69.761422203436638</v>
      </c>
      <c r="AV152" s="61">
        <v>27.894743681298188</v>
      </c>
      <c r="AW152" s="61">
        <v>99448.634574699463</v>
      </c>
      <c r="AX152" s="61">
        <v>1351.9814975658519</v>
      </c>
      <c r="AY152" s="60">
        <v>5955</v>
      </c>
    </row>
    <row r="153" spans="28:51" x14ac:dyDescent="0.15">
      <c r="AB153" s="51">
        <v>7513.6514556784032</v>
      </c>
      <c r="AC153" s="51">
        <v>12361.023720107503</v>
      </c>
      <c r="AD153" s="51">
        <v>3410.0692662217944</v>
      </c>
      <c r="AE153" s="51">
        <v>3591.7917186723434</v>
      </c>
      <c r="AF153" s="51">
        <v>203.3962611042891</v>
      </c>
      <c r="AG153" s="51">
        <v>214.235239582898</v>
      </c>
      <c r="AH153" s="54">
        <v>1</v>
      </c>
      <c r="AI153" s="55">
        <v>1.1124390398398296</v>
      </c>
      <c r="AJ153" s="54">
        <v>0.95503653802525079</v>
      </c>
      <c r="AK153" s="55">
        <v>1.1124390398398296</v>
      </c>
      <c r="AL153" s="82">
        <v>19875</v>
      </c>
      <c r="AM153" s="82">
        <v>18981</v>
      </c>
      <c r="AN153" s="54">
        <v>0.20542538860799028</v>
      </c>
      <c r="AO153" s="54">
        <v>4.9971408039351711E-2</v>
      </c>
      <c r="AP153" s="54">
        <v>0.25539679664734199</v>
      </c>
      <c r="AQ153" s="53">
        <v>7.0734510883940676</v>
      </c>
      <c r="AR153" s="53">
        <v>75.937157288393024</v>
      </c>
      <c r="AS153" s="53">
        <v>83.01060837678709</v>
      </c>
      <c r="AT153" s="53">
        <v>57.698222613989415</v>
      </c>
      <c r="AU153" s="53">
        <v>70.354415495388267</v>
      </c>
      <c r="AV153" s="53">
        <v>28.167105890725466</v>
      </c>
      <c r="AW153" s="53">
        <v>101049.30126277238</v>
      </c>
      <c r="AX153" s="53">
        <v>1600.6666880729172</v>
      </c>
      <c r="AY153" s="51">
        <v>6051</v>
      </c>
    </row>
    <row r="154" spans="28:51" x14ac:dyDescent="0.15">
      <c r="AB154" s="51">
        <v>7550.3123234136647</v>
      </c>
      <c r="AC154" s="51">
        <v>12408.511945116488</v>
      </c>
      <c r="AD154" s="51">
        <v>3448.6461858124903</v>
      </c>
      <c r="AE154" s="51">
        <v>3628.617175102368</v>
      </c>
      <c r="AF154" s="51">
        <v>204.40232250096557</v>
      </c>
      <c r="AG154" s="51">
        <v>215.06925851341728</v>
      </c>
      <c r="AH154" s="54">
        <v>1</v>
      </c>
      <c r="AI154" s="55">
        <v>1.1130253376255337</v>
      </c>
      <c r="AJ154" s="54">
        <v>0.96003247824466742</v>
      </c>
      <c r="AK154" s="55">
        <v>1.1130253376255337</v>
      </c>
      <c r="AL154" s="82">
        <v>19959</v>
      </c>
      <c r="AM154" s="82">
        <v>19161</v>
      </c>
      <c r="AN154" s="54">
        <v>0.20287142064151684</v>
      </c>
      <c r="AO154" s="54">
        <v>4.9971408039351711E-2</v>
      </c>
      <c r="AP154" s="54">
        <v>0.25284282868086855</v>
      </c>
      <c r="AQ154" s="53">
        <v>7.1844950470889888</v>
      </c>
      <c r="AR154" s="53">
        <v>76.517117807885796</v>
      </c>
      <c r="AS154" s="53">
        <v>83.701612854974783</v>
      </c>
      <c r="AT154" s="53">
        <v>58.195906919012849</v>
      </c>
      <c r="AU154" s="53">
        <v>70.948759886993827</v>
      </c>
      <c r="AV154" s="53">
        <v>28.439249993723934</v>
      </c>
      <c r="AW154" s="53">
        <v>102635.64352984269</v>
      </c>
      <c r="AX154" s="53">
        <v>1586.3422670703148</v>
      </c>
      <c r="AY154" s="51">
        <v>6146</v>
      </c>
    </row>
    <row r="155" spans="28:51" x14ac:dyDescent="0.15">
      <c r="AB155" s="51">
        <v>7576.3384190084043</v>
      </c>
      <c r="AC155" s="51">
        <v>12453.743149350434</v>
      </c>
      <c r="AD155" s="51">
        <v>3482.4149978902838</v>
      </c>
      <c r="AE155" s="51">
        <v>3663.9616143540429</v>
      </c>
      <c r="AF155" s="51">
        <v>205.1180153669562</v>
      </c>
      <c r="AG155" s="51">
        <v>215.81130771958851</v>
      </c>
      <c r="AH155" s="54">
        <v>1</v>
      </c>
      <c r="AI155" s="55">
        <v>1.1136116354112378</v>
      </c>
      <c r="AJ155" s="54">
        <v>0.96502841846408405</v>
      </c>
      <c r="AK155" s="55">
        <v>1.1136116354112378</v>
      </c>
      <c r="AL155" s="82">
        <v>20030</v>
      </c>
      <c r="AM155" s="82">
        <v>19330</v>
      </c>
      <c r="AN155" s="54">
        <v>0.20034299235470812</v>
      </c>
      <c r="AO155" s="54">
        <v>4.9971408039351711E-2</v>
      </c>
      <c r="AP155" s="54">
        <v>0.25031440039405983</v>
      </c>
      <c r="AQ155" s="53">
        <v>7.2879948470831426</v>
      </c>
      <c r="AR155" s="53">
        <v>77.018027303503175</v>
      </c>
      <c r="AS155" s="53">
        <v>84.306022150586315</v>
      </c>
      <c r="AT155" s="53">
        <v>58.633346382751917</v>
      </c>
      <c r="AU155" s="53">
        <v>71.46968426666912</v>
      </c>
      <c r="AV155" s="53">
        <v>28.681891320278467</v>
      </c>
      <c r="AW155" s="53">
        <v>104114.21210118773</v>
      </c>
      <c r="AX155" s="53">
        <v>1478.5685713450366</v>
      </c>
      <c r="AY155" s="51">
        <v>6234</v>
      </c>
    </row>
    <row r="156" spans="28:51" x14ac:dyDescent="0.15">
      <c r="AB156" s="51">
        <v>7594.1133860288719</v>
      </c>
      <c r="AC156" s="51">
        <v>12496.814431185181</v>
      </c>
      <c r="AD156" s="51">
        <v>3512.3669017305074</v>
      </c>
      <c r="AE156" s="51">
        <v>3699.3058328099364</v>
      </c>
      <c r="AF156" s="51">
        <v>205.61107230142883</v>
      </c>
      <c r="AG156" s="51">
        <v>216.55432371835423</v>
      </c>
      <c r="AH156" s="54">
        <v>1</v>
      </c>
      <c r="AI156" s="55">
        <v>1.1141979331969418</v>
      </c>
      <c r="AJ156" s="54">
        <v>0.97002435868350068</v>
      </c>
      <c r="AK156" s="55">
        <v>1.1141979331969418</v>
      </c>
      <c r="AL156" s="82">
        <v>20091</v>
      </c>
      <c r="AM156" s="82">
        <v>19489</v>
      </c>
      <c r="AN156" s="54">
        <v>0.19783984835076751</v>
      </c>
      <c r="AO156" s="54">
        <v>4.9971408039351711E-2</v>
      </c>
      <c r="AP156" s="54">
        <v>0.24781125639011922</v>
      </c>
      <c r="AQ156" s="53">
        <v>7.3884512009345995</v>
      </c>
      <c r="AR156" s="53">
        <v>77.485976340446371</v>
      </c>
      <c r="AS156" s="53">
        <v>84.874427541380967</v>
      </c>
      <c r="AT156" s="53">
        <v>59.045768761232175</v>
      </c>
      <c r="AU156" s="53">
        <v>71.960098151306568</v>
      </c>
      <c r="AV156" s="53">
        <v>28.912333517725259</v>
      </c>
      <c r="AW156" s="53">
        <v>105549.30287049427</v>
      </c>
      <c r="AX156" s="53">
        <v>1435.0907693065383</v>
      </c>
      <c r="AY156" s="51">
        <v>6320</v>
      </c>
    </row>
    <row r="157" spans="28:51" x14ac:dyDescent="0.15">
      <c r="AB157" s="51">
        <v>7600.4811061640621</v>
      </c>
      <c r="AC157" s="51">
        <v>12539.926349285044</v>
      </c>
      <c r="AD157" s="51">
        <v>3536.9471280800931</v>
      </c>
      <c r="AE157" s="51">
        <v>3734.302530090798</v>
      </c>
      <c r="AF157" s="51">
        <v>205.80188069627411</v>
      </c>
      <c r="AG157" s="51">
        <v>217.28526210645069</v>
      </c>
      <c r="AH157" s="54">
        <v>1</v>
      </c>
      <c r="AI157" s="55">
        <v>1.1147842309826459</v>
      </c>
      <c r="AJ157" s="54">
        <v>0.9750202989029173</v>
      </c>
      <c r="AK157" s="55">
        <v>1.1147842309826459</v>
      </c>
      <c r="AL157" s="82">
        <v>20140</v>
      </c>
      <c r="AM157" s="82">
        <v>19637</v>
      </c>
      <c r="AN157" s="54">
        <v>0.1953617357868663</v>
      </c>
      <c r="AO157" s="54">
        <v>4.9971408039351711E-2</v>
      </c>
      <c r="AP157" s="54">
        <v>0.24533314382621801</v>
      </c>
      <c r="AQ157" s="53">
        <v>7.4839624063194474</v>
      </c>
      <c r="AR157" s="53">
        <v>77.918220627253788</v>
      </c>
      <c r="AS157" s="53">
        <v>85.402183033573237</v>
      </c>
      <c r="AT157" s="53">
        <v>59.429442824488639</v>
      </c>
      <c r="AU157" s="53">
        <v>72.415812929030935</v>
      </c>
      <c r="AV157" s="53">
        <v>29.127912580556611</v>
      </c>
      <c r="AW157" s="53">
        <v>106913.74866170638</v>
      </c>
      <c r="AX157" s="53">
        <v>1364.4457912121143</v>
      </c>
      <c r="AY157" s="51">
        <v>6402</v>
      </c>
    </row>
    <row r="158" spans="28:51" x14ac:dyDescent="0.15">
      <c r="AB158" s="51">
        <v>7636.4229277824425</v>
      </c>
      <c r="AC158" s="51">
        <v>12579.71359026392</v>
      </c>
      <c r="AD158" s="51">
        <v>3575.203942752968</v>
      </c>
      <c r="AE158" s="51">
        <v>3768.3980416628115</v>
      </c>
      <c r="AF158" s="51">
        <v>206.77828646642257</v>
      </c>
      <c r="AG158" s="51">
        <v>217.95201120147672</v>
      </c>
      <c r="AH158" s="54">
        <v>1</v>
      </c>
      <c r="AI158" s="55">
        <v>1.11537052876835</v>
      </c>
      <c r="AJ158" s="54">
        <v>0.98001623912233393</v>
      </c>
      <c r="AK158" s="55">
        <v>1.11537052876835</v>
      </c>
      <c r="AL158" s="82">
        <v>20216</v>
      </c>
      <c r="AM158" s="82">
        <v>19812</v>
      </c>
      <c r="AN158" s="54">
        <v>0.19290840434860412</v>
      </c>
      <c r="AO158" s="54">
        <v>4.9971408039351711E-2</v>
      </c>
      <c r="AP158" s="54">
        <v>0.24287981238795583</v>
      </c>
      <c r="AQ158" s="53">
        <v>7.5935296750833805</v>
      </c>
      <c r="AR158" s="53">
        <v>78.455995480951785</v>
      </c>
      <c r="AS158" s="53">
        <v>86.049525156035159</v>
      </c>
      <c r="AT158" s="53">
        <v>59.897526662384557</v>
      </c>
      <c r="AU158" s="53">
        <v>72.973525909209854</v>
      </c>
      <c r="AV158" s="53">
        <v>29.386861753125544</v>
      </c>
      <c r="AW158" s="53">
        <v>108478.995358334</v>
      </c>
      <c r="AX158" s="53">
        <v>1565.2466966276115</v>
      </c>
      <c r="AY158" s="51">
        <v>6496</v>
      </c>
    </row>
    <row r="159" spans="28:51" x14ac:dyDescent="0.15">
      <c r="AB159" s="51">
        <v>7665.4938289582378</v>
      </c>
      <c r="AC159" s="51">
        <v>12617.106227900436</v>
      </c>
      <c r="AD159" s="51">
        <v>3610.2230083709342</v>
      </c>
      <c r="AE159" s="51">
        <v>3801.8625138587627</v>
      </c>
      <c r="AF159" s="51">
        <v>207.57398422514117</v>
      </c>
      <c r="AG159" s="51">
        <v>218.59252119551917</v>
      </c>
      <c r="AH159" s="54">
        <v>1</v>
      </c>
      <c r="AI159" s="55">
        <v>1.115956826554054</v>
      </c>
      <c r="AJ159" s="54">
        <v>0.98501217934175056</v>
      </c>
      <c r="AK159" s="55">
        <v>1.115956826554054</v>
      </c>
      <c r="AL159" s="82">
        <v>20283</v>
      </c>
      <c r="AM159" s="82">
        <v>19979</v>
      </c>
      <c r="AN159" s="54">
        <v>0.19047960622472457</v>
      </c>
      <c r="AO159" s="54">
        <v>4.9971408039351711E-2</v>
      </c>
      <c r="AP159" s="54">
        <v>0.24045101426407628</v>
      </c>
      <c r="AQ159" s="53">
        <v>7.6988203976159877</v>
      </c>
      <c r="AR159" s="53">
        <v>78.944858418760305</v>
      </c>
      <c r="AS159" s="53">
        <v>86.643678816376294</v>
      </c>
      <c r="AT159" s="53">
        <v>60.328726010122857</v>
      </c>
      <c r="AU159" s="53">
        <v>73.486202413249586</v>
      </c>
      <c r="AV159" s="53">
        <v>29.627947736160522</v>
      </c>
      <c r="AW159" s="53">
        <v>109983.14853737123</v>
      </c>
      <c r="AX159" s="53">
        <v>1504.1531790372392</v>
      </c>
      <c r="AY159" s="51">
        <v>6586</v>
      </c>
    </row>
    <row r="160" spans="28:51" x14ac:dyDescent="0.15">
      <c r="AB160" s="51">
        <v>7686.5236918924829</v>
      </c>
      <c r="AC160" s="51">
        <v>12652.694060609241</v>
      </c>
      <c r="AD160" s="51">
        <v>3641.3609793022383</v>
      </c>
      <c r="AE160" s="51">
        <v>3834.8350770245029</v>
      </c>
      <c r="AF160" s="51">
        <v>208.14485983822416</v>
      </c>
      <c r="AG160" s="51">
        <v>219.20408719349842</v>
      </c>
      <c r="AH160" s="54">
        <v>1</v>
      </c>
      <c r="AI160" s="55">
        <v>1.1165431243397581</v>
      </c>
      <c r="AJ160" s="54">
        <v>0.99000811956116719</v>
      </c>
      <c r="AK160" s="55">
        <v>1.1165431243397581</v>
      </c>
      <c r="AL160" s="82">
        <v>20339</v>
      </c>
      <c r="AM160" s="82">
        <v>20136</v>
      </c>
      <c r="AN160" s="54">
        <v>0.18807509608208381</v>
      </c>
      <c r="AO160" s="54">
        <v>4.9971408039351711E-2</v>
      </c>
      <c r="AP160" s="54">
        <v>0.23804650412143552</v>
      </c>
      <c r="AQ160" s="53">
        <v>7.8004477704108917</v>
      </c>
      <c r="AR160" s="53">
        <v>79.402231984975842</v>
      </c>
      <c r="AS160" s="53">
        <v>87.20267975538674</v>
      </c>
      <c r="AT160" s="53">
        <v>60.735269093728121</v>
      </c>
      <c r="AU160" s="53">
        <v>73.96897442455743</v>
      </c>
      <c r="AV160" s="53">
        <v>29.856623321793069</v>
      </c>
      <c r="AW160" s="53">
        <v>111434.96814872701</v>
      </c>
      <c r="AX160" s="53">
        <v>1451.8196113557788</v>
      </c>
      <c r="AY160" s="51">
        <v>6673</v>
      </c>
    </row>
    <row r="161" spans="27:51" x14ac:dyDescent="0.15">
      <c r="AB161" s="51">
        <v>7700.3361519091904</v>
      </c>
      <c r="AC161" s="51">
        <v>12686.558099464264</v>
      </c>
      <c r="AD161" s="51">
        <v>3668.944778610552</v>
      </c>
      <c r="AE161" s="51">
        <v>3866.846323315779</v>
      </c>
      <c r="AF161" s="51">
        <v>208.53180892098837</v>
      </c>
      <c r="AG161" s="51">
        <v>219.7799387228404</v>
      </c>
      <c r="AH161" s="54">
        <v>1</v>
      </c>
      <c r="AI161" s="55">
        <v>1.1171294221254622</v>
      </c>
      <c r="AJ161" s="54">
        <v>0.99500405978058382</v>
      </c>
      <c r="AK161" s="55">
        <v>1.1171294221254622</v>
      </c>
      <c r="AL161" s="82">
        <v>20387</v>
      </c>
      <c r="AM161" s="82">
        <v>20285</v>
      </c>
      <c r="AN161" s="54">
        <v>0.18569463104086945</v>
      </c>
      <c r="AO161" s="54">
        <v>4.9971408039351711E-2</v>
      </c>
      <c r="AP161" s="54">
        <v>0.23566603908022116</v>
      </c>
      <c r="AQ161" s="53">
        <v>7.8993322474499985</v>
      </c>
      <c r="AR161" s="53">
        <v>79.850500876887281</v>
      </c>
      <c r="AS161" s="53">
        <v>87.749833124337286</v>
      </c>
      <c r="AT161" s="53">
        <v>61.13299949870818</v>
      </c>
      <c r="AU161" s="53">
        <v>74.441416311522744</v>
      </c>
      <c r="AV161" s="53">
        <v>30.080026935474244</v>
      </c>
      <c r="AW161" s="53">
        <v>112847.60353499996</v>
      </c>
      <c r="AX161" s="53">
        <v>1412.6353862729447</v>
      </c>
      <c r="AY161" s="51">
        <v>6757</v>
      </c>
    </row>
    <row r="162" spans="27:51" x14ac:dyDescent="0.15">
      <c r="AB162" s="60">
        <v>7704.9491301629187</v>
      </c>
      <c r="AC162" s="60">
        <v>12718.150429031131</v>
      </c>
      <c r="AD162" s="60">
        <v>3691.9283151658474</v>
      </c>
      <c r="AE162" s="60">
        <v>3898.1742308951311</v>
      </c>
      <c r="AF162" s="60">
        <v>208.65980118405139</v>
      </c>
      <c r="AG162" s="60">
        <v>220.31637414466741</v>
      </c>
      <c r="AH162" s="62">
        <v>1</v>
      </c>
      <c r="AI162" s="63">
        <v>1.1177157199111663</v>
      </c>
      <c r="AJ162" s="62">
        <v>1</v>
      </c>
      <c r="AK162" s="63">
        <v>1.1177157199111663</v>
      </c>
      <c r="AL162" s="84">
        <v>20423</v>
      </c>
      <c r="AM162" s="84">
        <v>20423</v>
      </c>
      <c r="AN162" s="62">
        <v>0.18333797065006724</v>
      </c>
      <c r="AO162" s="62">
        <v>4.9971408039351711E-2</v>
      </c>
      <c r="AP162" s="62">
        <v>0.23330937868941895</v>
      </c>
      <c r="AQ162" s="61">
        <v>7.9912021630572312</v>
      </c>
      <c r="AR162" s="61">
        <v>80.22185616288526</v>
      </c>
      <c r="AS162" s="61">
        <v>88.213058325942484</v>
      </c>
      <c r="AT162" s="61">
        <v>61.472439604980728</v>
      </c>
      <c r="AU162" s="61">
        <v>74.842748965461595</v>
      </c>
      <c r="AV162" s="61">
        <v>30.275051097192023</v>
      </c>
      <c r="AW162" s="61">
        <v>114160.03090081757</v>
      </c>
      <c r="AX162" s="61">
        <v>1312.4273658176098</v>
      </c>
      <c r="AY162" s="60">
        <v>6836</v>
      </c>
    </row>
    <row r="163" spans="27:51" x14ac:dyDescent="0.15">
      <c r="AB163" s="51">
        <v>7732.8948231762633</v>
      </c>
      <c r="AC163" s="51">
        <v>12749.213765616341</v>
      </c>
      <c r="AD163" s="51">
        <v>3725.9276172644586</v>
      </c>
      <c r="AE163" s="51">
        <v>3928.8719684496064</v>
      </c>
      <c r="AF163" s="51">
        <v>209.43947364531863</v>
      </c>
      <c r="AG163" s="51">
        <v>220.84725244771911</v>
      </c>
      <c r="AH163" s="54">
        <v>1</v>
      </c>
      <c r="AI163" s="55">
        <v>1.1182017571880594</v>
      </c>
      <c r="AJ163" s="54">
        <v>1</v>
      </c>
      <c r="AK163" s="55">
        <v>1.1182017571880594</v>
      </c>
      <c r="AL163" s="82">
        <v>20482</v>
      </c>
      <c r="AM163" s="82">
        <v>20482</v>
      </c>
      <c r="AN163" s="54">
        <v>0.18100487686317304</v>
      </c>
      <c r="AO163" s="54">
        <v>4.9971408039351711E-2</v>
      </c>
      <c r="AP163" s="54">
        <v>0.23097628490252475</v>
      </c>
      <c r="AQ163" s="53">
        <v>8.0553817343606742</v>
      </c>
      <c r="AR163" s="53">
        <v>80.2882872805951</v>
      </c>
      <c r="AS163" s="53">
        <v>88.343669014955779</v>
      </c>
      <c r="AT163" s="53">
        <v>61.580906588090741</v>
      </c>
      <c r="AU163" s="53">
        <v>74.96228780152326</v>
      </c>
      <c r="AV163" s="53">
        <v>30.357683756748202</v>
      </c>
      <c r="AW163" s="53">
        <v>115076.88191943819</v>
      </c>
      <c r="AX163" s="53">
        <v>916.85101862062584</v>
      </c>
      <c r="AY163" s="51">
        <v>6891</v>
      </c>
    </row>
    <row r="164" spans="27:51" x14ac:dyDescent="0.15">
      <c r="AB164" s="51">
        <v>7753.504661730617</v>
      </c>
      <c r="AC164" s="51">
        <v>12777.764198409752</v>
      </c>
      <c r="AD164" s="51">
        <v>3756.2129498842778</v>
      </c>
      <c r="AE164" s="51">
        <v>3958.7540854487402</v>
      </c>
      <c r="AF164" s="51">
        <v>209.99723174448374</v>
      </c>
      <c r="AG164" s="51">
        <v>221.32062537269422</v>
      </c>
      <c r="AH164" s="54">
        <v>1</v>
      </c>
      <c r="AI164" s="55">
        <v>1.1186877944649525</v>
      </c>
      <c r="AJ164" s="54">
        <v>1</v>
      </c>
      <c r="AK164" s="55">
        <v>1.1186877944649525</v>
      </c>
      <c r="AL164" s="82">
        <v>20531</v>
      </c>
      <c r="AM164" s="82">
        <v>20531</v>
      </c>
      <c r="AN164" s="54">
        <v>0.17869511401414778</v>
      </c>
      <c r="AO164" s="54">
        <v>4.9971408039351711E-2</v>
      </c>
      <c r="AP164" s="54">
        <v>0.22866652205349949</v>
      </c>
      <c r="AQ164" s="53">
        <v>8.1150652343996388</v>
      </c>
      <c r="AR164" s="53">
        <v>80.322127382803188</v>
      </c>
      <c r="AS164" s="53">
        <v>88.437192617202825</v>
      </c>
      <c r="AT164" s="53">
        <v>61.663150156268429</v>
      </c>
      <c r="AU164" s="53">
        <v>75.050171386735627</v>
      </c>
      <c r="AV164" s="53">
        <v>30.426767285178308</v>
      </c>
      <c r="AW164" s="53">
        <v>115929.50334856626</v>
      </c>
      <c r="AX164" s="53">
        <v>852.62142912806303</v>
      </c>
      <c r="AY164" s="51">
        <v>6942</v>
      </c>
    </row>
    <row r="165" spans="27:51" x14ac:dyDescent="0.15">
      <c r="AB165" s="51">
        <v>7768.6213764461218</v>
      </c>
      <c r="AC165" s="51">
        <v>12804.884870547527</v>
      </c>
      <c r="AD165" s="51">
        <v>3783.6419419264548</v>
      </c>
      <c r="AE165" s="51">
        <v>3988.1661445082818</v>
      </c>
      <c r="AF165" s="51">
        <v>210.41484814170806</v>
      </c>
      <c r="AG165" s="51">
        <v>221.78879147146395</v>
      </c>
      <c r="AH165" s="54">
        <v>1</v>
      </c>
      <c r="AI165" s="55">
        <v>1.1191738317418456</v>
      </c>
      <c r="AJ165" s="54">
        <v>1</v>
      </c>
      <c r="AK165" s="55">
        <v>1.1191738317418456</v>
      </c>
      <c r="AL165" s="82">
        <v>20574</v>
      </c>
      <c r="AM165" s="82">
        <v>20574</v>
      </c>
      <c r="AN165" s="54">
        <v>0.17640844879361278</v>
      </c>
      <c r="AO165" s="54">
        <v>4.9971408039351711E-2</v>
      </c>
      <c r="AP165" s="54">
        <v>0.22637985683296449</v>
      </c>
      <c r="AQ165" s="53">
        <v>8.1713752389308656</v>
      </c>
      <c r="AR165" s="53">
        <v>80.333545057338213</v>
      </c>
      <c r="AS165" s="53">
        <v>88.504920296269077</v>
      </c>
      <c r="AT165" s="53">
        <v>61.727071943823006</v>
      </c>
      <c r="AU165" s="53">
        <v>75.115996120046049</v>
      </c>
      <c r="AV165" s="53">
        <v>30.486248865969259</v>
      </c>
      <c r="AW165" s="53">
        <v>116733.93198472665</v>
      </c>
      <c r="AX165" s="53">
        <v>804.42863616038812</v>
      </c>
      <c r="AY165" s="51">
        <v>6990</v>
      </c>
    </row>
    <row r="166" spans="27:51" x14ac:dyDescent="0.15">
      <c r="AB166" s="51">
        <v>7779.0595729250645</v>
      </c>
      <c r="AC166" s="51">
        <v>12829.567381445333</v>
      </c>
      <c r="AD166" s="51">
        <v>3808.5549568346842</v>
      </c>
      <c r="AE166" s="51">
        <v>4016.2795858855106</v>
      </c>
      <c r="AF166" s="51">
        <v>210.71103609493446</v>
      </c>
      <c r="AG166" s="51">
        <v>222.20355026522046</v>
      </c>
      <c r="AH166" s="54">
        <v>1</v>
      </c>
      <c r="AI166" s="55">
        <v>1.1196598690187387</v>
      </c>
      <c r="AJ166" s="54">
        <v>1</v>
      </c>
      <c r="AK166" s="55">
        <v>1.1196598690187387</v>
      </c>
      <c r="AL166" s="82">
        <v>20609</v>
      </c>
      <c r="AM166" s="82">
        <v>20609</v>
      </c>
      <c r="AN166" s="54">
        <v>0.17414465022528314</v>
      </c>
      <c r="AO166" s="54">
        <v>4.9971408039351711E-2</v>
      </c>
      <c r="AP166" s="54">
        <v>0.22411605826463485</v>
      </c>
      <c r="AQ166" s="53">
        <v>8.2238372181499368</v>
      </c>
      <c r="AR166" s="53">
        <v>80.321717087470361</v>
      </c>
      <c r="AS166" s="53">
        <v>88.5455543056203</v>
      </c>
      <c r="AT166" s="53">
        <v>61.771648609796848</v>
      </c>
      <c r="AU166" s="53">
        <v>75.158601457708585</v>
      </c>
      <c r="AV166" s="53">
        <v>30.535425298002821</v>
      </c>
      <c r="AW166" s="53">
        <v>117483.38883071336</v>
      </c>
      <c r="AX166" s="53">
        <v>749.45684598671505</v>
      </c>
      <c r="AY166" s="51">
        <v>7035</v>
      </c>
    </row>
    <row r="167" spans="27:51" x14ac:dyDescent="0.15">
      <c r="AB167" s="56">
        <v>7786.3035664416739</v>
      </c>
      <c r="AC167" s="56">
        <v>12857.706246753065</v>
      </c>
      <c r="AD167" s="56">
        <v>3831.6258253044452</v>
      </c>
      <c r="AE167" s="56">
        <v>4045.4045688746592</v>
      </c>
      <c r="AF167" s="56">
        <v>210.91623155337987</v>
      </c>
      <c r="AG167" s="56">
        <v>222.68392731382465</v>
      </c>
      <c r="AH167" s="58">
        <v>1</v>
      </c>
      <c r="AI167" s="59">
        <v>1.120145906295632</v>
      </c>
      <c r="AJ167" s="58">
        <v>1</v>
      </c>
      <c r="AK167" s="59">
        <v>1.120145906295632</v>
      </c>
      <c r="AL167" s="83">
        <v>20644</v>
      </c>
      <c r="AM167" s="83">
        <v>20644</v>
      </c>
      <c r="AN167" s="58">
        <v>0.1719034896426368</v>
      </c>
      <c r="AO167" s="58">
        <v>4.9971408039351711E-2</v>
      </c>
      <c r="AP167" s="58">
        <v>0.22187489768198851</v>
      </c>
      <c r="AQ167" s="57">
        <v>8.2754143348255891</v>
      </c>
      <c r="AR167" s="57">
        <v>80.312830352395849</v>
      </c>
      <c r="AS167" s="57">
        <v>88.588244687221433</v>
      </c>
      <c r="AT167" s="57">
        <v>61.817301236422821</v>
      </c>
      <c r="AU167" s="57">
        <v>75.20277296182212</v>
      </c>
      <c r="AV167" s="57">
        <v>30.584533877157767</v>
      </c>
      <c r="AW167" s="57">
        <v>118220.2047832227</v>
      </c>
      <c r="AX167" s="57">
        <v>736.81595250933606</v>
      </c>
      <c r="AY167" s="56">
        <v>7079</v>
      </c>
    </row>
    <row r="169" spans="27:51" ht="12.75" thickBot="1" x14ac:dyDescent="0.2"/>
    <row r="170" spans="27:51" ht="60.75" thickBot="1" x14ac:dyDescent="0.2">
      <c r="AA170" s="93" t="s">
        <v>117</v>
      </c>
      <c r="AB170" s="91" t="s">
        <v>20</v>
      </c>
      <c r="AC170" s="91" t="s">
        <v>4</v>
      </c>
      <c r="AD170" s="91" t="s">
        <v>155</v>
      </c>
      <c r="AE170" s="91" t="s">
        <v>156</v>
      </c>
      <c r="AF170" s="91" t="s">
        <v>157</v>
      </c>
      <c r="AG170" s="91" t="s">
        <v>158</v>
      </c>
      <c r="AH170" s="90" t="s">
        <v>50</v>
      </c>
      <c r="AI170" s="90" t="s">
        <v>28</v>
      </c>
      <c r="AJ170" s="90" t="s">
        <v>51</v>
      </c>
      <c r="AK170" s="90" t="s">
        <v>29</v>
      </c>
      <c r="AL170" s="90" t="s">
        <v>110</v>
      </c>
      <c r="AM170" s="90" t="s">
        <v>111</v>
      </c>
      <c r="AN170" s="91" t="s">
        <v>43</v>
      </c>
      <c r="AO170" s="91" t="s">
        <v>44</v>
      </c>
      <c r="AP170" s="91" t="s">
        <v>5</v>
      </c>
      <c r="AQ170" s="46" t="s">
        <v>45</v>
      </c>
      <c r="AR170" s="45" t="s">
        <v>46</v>
      </c>
      <c r="AS170" s="45" t="s">
        <v>93</v>
      </c>
      <c r="AT170" s="45" t="s">
        <v>30</v>
      </c>
      <c r="AU170" s="45" t="s">
        <v>31</v>
      </c>
      <c r="AV170" s="45" t="s">
        <v>32</v>
      </c>
      <c r="AW170" s="45" t="s">
        <v>26</v>
      </c>
      <c r="AX170" s="46" t="s">
        <v>138</v>
      </c>
      <c r="AY170" s="87" t="s">
        <v>152</v>
      </c>
    </row>
    <row r="171" spans="27:51" x14ac:dyDescent="0.15">
      <c r="AB171" s="44" t="s">
        <v>120</v>
      </c>
      <c r="AC171" s="44" t="s">
        <v>120</v>
      </c>
      <c r="AD171" s="44" t="s">
        <v>159</v>
      </c>
      <c r="AE171" s="44" t="s">
        <v>159</v>
      </c>
      <c r="AF171" s="44" t="s">
        <v>159</v>
      </c>
      <c r="AG171" s="44" t="s">
        <v>159</v>
      </c>
      <c r="AH171" s="43" t="s">
        <v>2</v>
      </c>
      <c r="AI171" s="43" t="s">
        <v>2</v>
      </c>
      <c r="AJ171" s="43" t="s">
        <v>2</v>
      </c>
      <c r="AK171" s="43" t="s">
        <v>2</v>
      </c>
      <c r="AL171" s="92">
        <v>0</v>
      </c>
      <c r="AM171" s="92">
        <v>0</v>
      </c>
      <c r="AN171" s="39" t="s">
        <v>2</v>
      </c>
      <c r="AO171" s="39" t="s">
        <v>2</v>
      </c>
      <c r="AP171" s="39" t="s">
        <v>2</v>
      </c>
      <c r="AQ171" s="43" t="s">
        <v>19</v>
      </c>
      <c r="AR171" s="43" t="s">
        <v>19</v>
      </c>
      <c r="AS171" s="43" t="s">
        <v>19</v>
      </c>
      <c r="AT171" s="43" t="s">
        <v>19</v>
      </c>
      <c r="AU171" s="43" t="s">
        <v>19</v>
      </c>
      <c r="AV171" s="43" t="s">
        <v>19</v>
      </c>
      <c r="AW171" s="43" t="s">
        <v>101</v>
      </c>
      <c r="AX171" s="43" t="s">
        <v>101</v>
      </c>
      <c r="AY171" s="43" t="s">
        <v>154</v>
      </c>
    </row>
    <row r="172" spans="27:51" ht="15.75" x14ac:dyDescent="0.15">
      <c r="AB172" s="76">
        <v>1176.0996469867309</v>
      </c>
      <c r="AC172" s="76">
        <v>929.75958212741625</v>
      </c>
      <c r="AD172" s="76">
        <v>460.34246444194849</v>
      </c>
      <c r="AE172" s="76">
        <v>234.31452828728155</v>
      </c>
      <c r="AF172" s="76">
        <v>31.759524928185957</v>
      </c>
      <c r="AG172" s="76">
        <v>16.165612944696068</v>
      </c>
      <c r="AH172" s="54">
        <v>0.73504510649358956</v>
      </c>
      <c r="AI172" s="55">
        <v>1.0934659892767227</v>
      </c>
      <c r="AJ172" s="54">
        <v>0</v>
      </c>
      <c r="AK172" s="55">
        <v>1.0934659892767227</v>
      </c>
      <c r="AL172" s="82">
        <v>1548</v>
      </c>
      <c r="AM172" s="82">
        <v>0</v>
      </c>
      <c r="AN172" s="54">
        <v>0.41755321579381505</v>
      </c>
      <c r="AO172" s="54">
        <v>0.27836881052921009</v>
      </c>
      <c r="AP172" s="54">
        <v>0.69592202632302513</v>
      </c>
      <c r="AQ172" s="53">
        <v>0</v>
      </c>
      <c r="AR172" s="53">
        <v>0</v>
      </c>
      <c r="AS172" s="53">
        <v>0</v>
      </c>
      <c r="AT172" s="53">
        <v>0</v>
      </c>
      <c r="AU172" s="53">
        <v>0</v>
      </c>
      <c r="AV172" s="53">
        <v>0</v>
      </c>
      <c r="AW172" s="53">
        <v>0</v>
      </c>
      <c r="AX172" s="53">
        <v>0</v>
      </c>
      <c r="AY172" s="53">
        <v>0</v>
      </c>
    </row>
    <row r="173" spans="27:51" ht="15.75" x14ac:dyDescent="0.15">
      <c r="AB173" s="76">
        <v>1190.7340160189233</v>
      </c>
      <c r="AC173" s="76">
        <v>945.09078098835721</v>
      </c>
      <c r="AD173" s="76">
        <v>468.55390002530038</v>
      </c>
      <c r="AE173" s="76">
        <v>239.36526718141536</v>
      </c>
      <c r="AF173" s="76">
        <v>32.159396605826906</v>
      </c>
      <c r="AG173" s="76">
        <v>16.42893712021435</v>
      </c>
      <c r="AH173" s="78">
        <v>0.75550056927092557</v>
      </c>
      <c r="AI173" s="79">
        <v>1.0944786286488752</v>
      </c>
      <c r="AJ173" s="78">
        <v>0</v>
      </c>
      <c r="AK173" s="79">
        <v>1.0944786286488752</v>
      </c>
      <c r="AL173" s="81">
        <v>1614</v>
      </c>
      <c r="AM173" s="81">
        <v>0</v>
      </c>
      <c r="AN173" s="78">
        <v>0.41702842080111552</v>
      </c>
      <c r="AO173" s="78">
        <v>0.27801894720074366</v>
      </c>
      <c r="AP173" s="78">
        <v>0.69504736800185918</v>
      </c>
      <c r="AQ173" s="77">
        <v>2.5911658084036371</v>
      </c>
      <c r="AR173" s="77">
        <v>34.017473169605502</v>
      </c>
      <c r="AS173" s="77">
        <v>36.608638978009139</v>
      </c>
      <c r="AT173" s="77">
        <v>25.26948125480731</v>
      </c>
      <c r="AU173" s="77">
        <v>30.939060116408228</v>
      </c>
      <c r="AV173" s="77">
        <v>12.040463911071834</v>
      </c>
      <c r="AW173" s="77">
        <v>0</v>
      </c>
      <c r="AX173" s="77">
        <v>0</v>
      </c>
      <c r="AY173" s="76">
        <v>0</v>
      </c>
    </row>
    <row r="174" spans="27:51" x14ac:dyDescent="0.15">
      <c r="AB174" s="51">
        <v>1204.7889266103521</v>
      </c>
      <c r="AC174" s="51">
        <v>956.59148993715064</v>
      </c>
      <c r="AD174" s="51">
        <v>476.72636844819459</v>
      </c>
      <c r="AE174" s="51">
        <v>243.51634523846224</v>
      </c>
      <c r="AF174" s="51">
        <v>32.544361784387007</v>
      </c>
      <c r="AG174" s="51">
        <v>16.62396830628305</v>
      </c>
      <c r="AH174" s="54">
        <v>0.77614866772091773</v>
      </c>
      <c r="AI174" s="55">
        <v>1.0954740495672763</v>
      </c>
      <c r="AJ174" s="54">
        <v>0</v>
      </c>
      <c r="AK174" s="55">
        <v>1.0954740495672763</v>
      </c>
      <c r="AL174" s="82">
        <v>1677</v>
      </c>
      <c r="AM174" s="82">
        <v>0</v>
      </c>
      <c r="AN174" s="54">
        <v>0.4165136742434038</v>
      </c>
      <c r="AO174" s="54">
        <v>0.2776757828289359</v>
      </c>
      <c r="AP174" s="54">
        <v>0.6941894570723397</v>
      </c>
      <c r="AQ174" s="53">
        <v>0</v>
      </c>
      <c r="AR174" s="53">
        <v>0</v>
      </c>
      <c r="AS174" s="53">
        <v>0</v>
      </c>
      <c r="AT174" s="53">
        <v>0</v>
      </c>
      <c r="AU174" s="53">
        <v>0</v>
      </c>
      <c r="AV174" s="53">
        <v>0</v>
      </c>
      <c r="AW174" s="53">
        <v>0</v>
      </c>
      <c r="AX174" s="53">
        <v>0</v>
      </c>
      <c r="AY174" s="51">
        <v>0</v>
      </c>
    </row>
    <row r="175" spans="27:51" x14ac:dyDescent="0.15">
      <c r="AB175" s="56">
        <v>1216.1131732688198</v>
      </c>
      <c r="AC175" s="56">
        <v>967.87357086617646</v>
      </c>
      <c r="AD175" s="56">
        <v>483.99276763108787</v>
      </c>
      <c r="AE175" s="56">
        <v>247.72072605196504</v>
      </c>
      <c r="AF175" s="56">
        <v>32.855769553689903</v>
      </c>
      <c r="AG175" s="56">
        <v>16.816480809564318</v>
      </c>
      <c r="AH175" s="58">
        <v>0.79697538358465825</v>
      </c>
      <c r="AI175" s="59">
        <v>1.0964522597533219</v>
      </c>
      <c r="AJ175" s="58">
        <v>0</v>
      </c>
      <c r="AK175" s="59">
        <v>1.0964522597533219</v>
      </c>
      <c r="AL175" s="83">
        <v>1741</v>
      </c>
      <c r="AM175" s="83">
        <v>0</v>
      </c>
      <c r="AN175" s="58">
        <v>0.40442584348281335</v>
      </c>
      <c r="AO175" s="58">
        <v>0.23391407945509562</v>
      </c>
      <c r="AP175" s="58">
        <v>0.63833992293790898</v>
      </c>
      <c r="AQ175" s="57">
        <v>0</v>
      </c>
      <c r="AR175" s="57">
        <v>0</v>
      </c>
      <c r="AS175" s="57">
        <v>0</v>
      </c>
      <c r="AT175" s="57">
        <v>0</v>
      </c>
      <c r="AU175" s="57">
        <v>0</v>
      </c>
      <c r="AV175" s="57">
        <v>0</v>
      </c>
      <c r="AW175" s="57">
        <v>0</v>
      </c>
      <c r="AX175" s="57">
        <v>0</v>
      </c>
      <c r="AY175" s="56">
        <v>0</v>
      </c>
    </row>
    <row r="176" spans="27:51" x14ac:dyDescent="0.15">
      <c r="AB176" s="51">
        <v>1227.7398148041007</v>
      </c>
      <c r="AC176" s="51">
        <v>978.31752588063671</v>
      </c>
      <c r="AD176" s="51">
        <v>491.540960966851</v>
      </c>
      <c r="AE176" s="51">
        <v>251.81694291571111</v>
      </c>
      <c r="AF176" s="51">
        <v>33.175018912453943</v>
      </c>
      <c r="AG176" s="51">
        <v>16.995596516051972</v>
      </c>
      <c r="AH176" s="54">
        <v>0.81842266920165019</v>
      </c>
      <c r="AI176" s="55">
        <v>1.0973451375046974</v>
      </c>
      <c r="AJ176" s="54">
        <v>0.10000020813089452</v>
      </c>
      <c r="AK176" s="55">
        <v>1.0973451375046974</v>
      </c>
      <c r="AL176" s="82">
        <v>1805</v>
      </c>
      <c r="AM176" s="82">
        <v>221</v>
      </c>
      <c r="AN176" s="54">
        <v>0.38993442357891628</v>
      </c>
      <c r="AO176" s="54">
        <v>0.19704922053297255</v>
      </c>
      <c r="AP176" s="54">
        <v>0.58698364411188886</v>
      </c>
      <c r="AQ176" s="53">
        <v>7.9807195817283141E-2</v>
      </c>
      <c r="AR176" s="53">
        <v>1.0152813660221545</v>
      </c>
      <c r="AS176" s="53">
        <v>1.0950885618394377</v>
      </c>
      <c r="AT176" s="53">
        <v>0.75666143983205292</v>
      </c>
      <c r="AU176" s="53">
        <v>0.92587500083574537</v>
      </c>
      <c r="AV176" s="53">
        <v>0.36182979749010391</v>
      </c>
      <c r="AW176" s="53">
        <v>1140.1027973897592</v>
      </c>
      <c r="AX176" s="53">
        <v>1140.1027973897592</v>
      </c>
      <c r="AY176" s="51">
        <v>68</v>
      </c>
    </row>
    <row r="177" spans="28:51" x14ac:dyDescent="0.15">
      <c r="AB177" s="51">
        <v>1239.7491733574491</v>
      </c>
      <c r="AC177" s="51">
        <v>988.33330010632176</v>
      </c>
      <c r="AD177" s="51">
        <v>499.398057262696</v>
      </c>
      <c r="AE177" s="51">
        <v>255.90627754860938</v>
      </c>
      <c r="AF177" s="51">
        <v>33.503766158590992</v>
      </c>
      <c r="AG177" s="51">
        <v>17.168316850287717</v>
      </c>
      <c r="AH177" s="54">
        <v>0.83986995481864213</v>
      </c>
      <c r="AI177" s="55">
        <v>1.0982380152560729</v>
      </c>
      <c r="AJ177" s="54">
        <v>0.20000041626178905</v>
      </c>
      <c r="AK177" s="55">
        <v>1.0982380152560729</v>
      </c>
      <c r="AL177" s="82">
        <v>1871</v>
      </c>
      <c r="AM177" s="82">
        <v>446</v>
      </c>
      <c r="AN177" s="54">
        <v>0.37376486193216862</v>
      </c>
      <c r="AO177" s="54">
        <v>0.16599426337697609</v>
      </c>
      <c r="AP177" s="54">
        <v>0.53975912530914472</v>
      </c>
      <c r="AQ177" s="53">
        <v>0.16193080059468642</v>
      </c>
      <c r="AR177" s="53">
        <v>2.024618516883764</v>
      </c>
      <c r="AS177" s="53">
        <v>2.1865493174784505</v>
      </c>
      <c r="AT177" s="53">
        <v>1.5116764785171961</v>
      </c>
      <c r="AU177" s="53">
        <v>1.8491128979978235</v>
      </c>
      <c r="AV177" s="53">
        <v>0.7243248330623987</v>
      </c>
      <c r="AW177" s="53">
        <v>2313.2971513526627</v>
      </c>
      <c r="AX177" s="53">
        <v>1173.1943539629035</v>
      </c>
      <c r="AY177" s="51">
        <v>139</v>
      </c>
    </row>
    <row r="178" spans="28:51" x14ac:dyDescent="0.15">
      <c r="AB178" s="51">
        <v>1252.1985739700567</v>
      </c>
      <c r="AC178" s="51">
        <v>997.93349697025428</v>
      </c>
      <c r="AD178" s="51">
        <v>507.582923424569</v>
      </c>
      <c r="AE178" s="51">
        <v>259.94420922499529</v>
      </c>
      <c r="AF178" s="51">
        <v>33.8429753401564</v>
      </c>
      <c r="AG178" s="51">
        <v>17.331720703415904</v>
      </c>
      <c r="AH178" s="54">
        <v>0.86131724043563407</v>
      </c>
      <c r="AI178" s="55">
        <v>1.0991308930074484</v>
      </c>
      <c r="AJ178" s="54">
        <v>0.3000006243926836</v>
      </c>
      <c r="AK178" s="55">
        <v>1.0991308930074484</v>
      </c>
      <c r="AL178" s="82">
        <v>1938</v>
      </c>
      <c r="AM178" s="82">
        <v>675</v>
      </c>
      <c r="AN178" s="54">
        <v>0.35650038710895227</v>
      </c>
      <c r="AO178" s="54">
        <v>0.13983356746876466</v>
      </c>
      <c r="AP178" s="54">
        <v>0.4963339545777169</v>
      </c>
      <c r="AQ178" s="53">
        <v>0.2468036850345357</v>
      </c>
      <c r="AR178" s="53">
        <v>3.0317109077262145</v>
      </c>
      <c r="AS178" s="53">
        <v>3.2785145927607502</v>
      </c>
      <c r="AT178" s="53">
        <v>2.2679442901853455</v>
      </c>
      <c r="AU178" s="53">
        <v>2.7732294414730481</v>
      </c>
      <c r="AV178" s="53">
        <v>1.0889456038473733</v>
      </c>
      <c r="AW178" s="53">
        <v>3525.7669290647955</v>
      </c>
      <c r="AX178" s="53">
        <v>1212.4697777121328</v>
      </c>
      <c r="AY178" s="51">
        <v>211</v>
      </c>
    </row>
    <row r="179" spans="28:51" x14ac:dyDescent="0.15">
      <c r="AB179" s="51">
        <v>1266.9325995215434</v>
      </c>
      <c r="AC179" s="51">
        <v>1007.489401922313</v>
      </c>
      <c r="AD179" s="51">
        <v>516.84856874117884</v>
      </c>
      <c r="AE179" s="51">
        <v>264.02696812740993</v>
      </c>
      <c r="AF179" s="51">
        <v>34.246031070860127</v>
      </c>
      <c r="AG179" s="51">
        <v>17.494245511907682</v>
      </c>
      <c r="AH179" s="54">
        <v>0.88276452605262601</v>
      </c>
      <c r="AI179" s="55">
        <v>1.1000237707588238</v>
      </c>
      <c r="AJ179" s="54">
        <v>0.4000008325235781</v>
      </c>
      <c r="AK179" s="55">
        <v>1.1000237707588238</v>
      </c>
      <c r="AL179" s="82">
        <v>2007</v>
      </c>
      <c r="AM179" s="82">
        <v>910</v>
      </c>
      <c r="AN179" s="54">
        <v>0.33860666622551072</v>
      </c>
      <c r="AO179" s="54">
        <v>0.11779579723568735</v>
      </c>
      <c r="AP179" s="54">
        <v>0.45640246346119806</v>
      </c>
      <c r="AQ179" s="53">
        <v>0.33425796855754891</v>
      </c>
      <c r="AR179" s="53">
        <v>4.0267400467217316</v>
      </c>
      <c r="AS179" s="53">
        <v>4.3609980152792804</v>
      </c>
      <c r="AT179" s="53">
        <v>3.0187513330387032</v>
      </c>
      <c r="AU179" s="53">
        <v>3.6898746741589923</v>
      </c>
      <c r="AV179" s="53">
        <v>1.4527968704246965</v>
      </c>
      <c r="AW179" s="53">
        <v>4775.1138365364122</v>
      </c>
      <c r="AX179" s="53">
        <v>1249.3469074716168</v>
      </c>
      <c r="AY179" s="51">
        <v>286</v>
      </c>
    </row>
    <row r="180" spans="28:51" x14ac:dyDescent="0.15">
      <c r="AB180" s="51">
        <v>1276.2848481480612</v>
      </c>
      <c r="AC180" s="51">
        <v>1016.727185127743</v>
      </c>
      <c r="AD180" s="51">
        <v>524.05853305362905</v>
      </c>
      <c r="AE180" s="51">
        <v>268.08089829308625</v>
      </c>
      <c r="AF180" s="51">
        <v>34.505160862839411</v>
      </c>
      <c r="AG180" s="51">
        <v>17.651033112575661</v>
      </c>
      <c r="AH180" s="54">
        <v>0.90421181166961795</v>
      </c>
      <c r="AI180" s="55">
        <v>1.1009166485101993</v>
      </c>
      <c r="AJ180" s="54">
        <v>0.50000104065447259</v>
      </c>
      <c r="AK180" s="55">
        <v>1.1009166485101993</v>
      </c>
      <c r="AL180" s="82">
        <v>2073</v>
      </c>
      <c r="AM180" s="82">
        <v>1147</v>
      </c>
      <c r="AN180" s="54">
        <v>0.32045239581641949</v>
      </c>
      <c r="AO180" s="54">
        <v>9.9231179591343033E-2</v>
      </c>
      <c r="AP180" s="54">
        <v>0.41968357540776252</v>
      </c>
      <c r="AQ180" s="53">
        <v>0.42326767729447584</v>
      </c>
      <c r="AR180" s="53">
        <v>5.0011540562412904</v>
      </c>
      <c r="AS180" s="53">
        <v>5.4244217335357661</v>
      </c>
      <c r="AT180" s="53">
        <v>3.7573703814553365</v>
      </c>
      <c r="AU180" s="53">
        <v>4.5908960574955513</v>
      </c>
      <c r="AV180" s="53">
        <v>1.8124771373615014</v>
      </c>
      <c r="AW180" s="53">
        <v>6046.6811042067975</v>
      </c>
      <c r="AX180" s="53">
        <v>1271.5672676703853</v>
      </c>
      <c r="AY180" s="51">
        <v>362</v>
      </c>
    </row>
    <row r="181" spans="28:51" x14ac:dyDescent="0.15">
      <c r="AB181" s="51">
        <v>1285.9128343219795</v>
      </c>
      <c r="AC181" s="51">
        <v>1025.0697974911286</v>
      </c>
      <c r="AD181" s="51">
        <v>531.49715590444237</v>
      </c>
      <c r="AE181" s="51">
        <v>271.99259557182438</v>
      </c>
      <c r="AF181" s="51">
        <v>34.768769612362611</v>
      </c>
      <c r="AG181" s="51">
        <v>17.792847594099868</v>
      </c>
      <c r="AH181" s="54">
        <v>0.92565909728660989</v>
      </c>
      <c r="AI181" s="55">
        <v>1.1018095262615748</v>
      </c>
      <c r="AJ181" s="54">
        <v>0.60000124878536709</v>
      </c>
      <c r="AK181" s="55">
        <v>1.1018095262615748</v>
      </c>
      <c r="AL181" s="82">
        <v>2139</v>
      </c>
      <c r="AM181" s="82">
        <v>1387</v>
      </c>
      <c r="AN181" s="54">
        <v>0.30232648159311698</v>
      </c>
      <c r="AO181" s="54">
        <v>8.3592345687747371E-2</v>
      </c>
      <c r="AP181" s="54">
        <v>0.38591882728086435</v>
      </c>
      <c r="AQ181" s="53">
        <v>0.51520798197275397</v>
      </c>
      <c r="AR181" s="53">
        <v>5.97308333695893</v>
      </c>
      <c r="AS181" s="53">
        <v>6.488291318931684</v>
      </c>
      <c r="AT181" s="53">
        <v>4.497263539945374</v>
      </c>
      <c r="AU181" s="53">
        <v>5.4927774294385294</v>
      </c>
      <c r="AV181" s="53">
        <v>2.1743977977946791</v>
      </c>
      <c r="AW181" s="53">
        <v>7360.114028182199</v>
      </c>
      <c r="AX181" s="53">
        <v>1313.4329239754015</v>
      </c>
      <c r="AY181" s="51">
        <v>441</v>
      </c>
    </row>
    <row r="182" spans="28:51" x14ac:dyDescent="0.15">
      <c r="AB182" s="51">
        <v>1295.962628287431</v>
      </c>
      <c r="AC182" s="51">
        <v>1033.0464447915381</v>
      </c>
      <c r="AD182" s="51">
        <v>539.22461086988949</v>
      </c>
      <c r="AE182" s="51">
        <v>275.89960274386789</v>
      </c>
      <c r="AF182" s="51">
        <v>35.044399966181587</v>
      </c>
      <c r="AG182" s="51">
        <v>17.93081367979271</v>
      </c>
      <c r="AH182" s="54">
        <v>0.94710638290360183</v>
      </c>
      <c r="AI182" s="55">
        <v>1.1027024040129503</v>
      </c>
      <c r="AJ182" s="54">
        <v>0.70000145691626159</v>
      </c>
      <c r="AK182" s="55">
        <v>1.1027024040129503</v>
      </c>
      <c r="AL182" s="82">
        <v>2206</v>
      </c>
      <c r="AM182" s="82">
        <v>1630</v>
      </c>
      <c r="AN182" s="54">
        <v>0.28445235803771951</v>
      </c>
      <c r="AO182" s="54">
        <v>7.0418192007358382E-2</v>
      </c>
      <c r="AP182" s="54">
        <v>0.35487055004507789</v>
      </c>
      <c r="AQ182" s="53">
        <v>0.60895125901710245</v>
      </c>
      <c r="AR182" s="53">
        <v>6.9202495349957873</v>
      </c>
      <c r="AS182" s="53">
        <v>7.5292007940128896</v>
      </c>
      <c r="AT182" s="53">
        <v>5.2224509490142941</v>
      </c>
      <c r="AU182" s="53">
        <v>6.3758258715135936</v>
      </c>
      <c r="AV182" s="53">
        <v>2.5312427965159325</v>
      </c>
      <c r="AW182" s="53">
        <v>8699.3037002443198</v>
      </c>
      <c r="AX182" s="53">
        <v>1339.1896720621207</v>
      </c>
      <c r="AY182" s="51">
        <v>521</v>
      </c>
    </row>
    <row r="183" spans="28:51" x14ac:dyDescent="0.15">
      <c r="AB183" s="51">
        <v>1306.3254154459894</v>
      </c>
      <c r="AC183" s="51">
        <v>1040.6696814985917</v>
      </c>
      <c r="AD183" s="51">
        <v>547.19181642050785</v>
      </c>
      <c r="AE183" s="51">
        <v>279.71290682228073</v>
      </c>
      <c r="AF183" s="51">
        <v>35.328352996809883</v>
      </c>
      <c r="AG183" s="51">
        <v>18.059108366466006</v>
      </c>
      <c r="AH183" s="54">
        <v>0.96855366852059377</v>
      </c>
      <c r="AI183" s="55">
        <v>1.1035952817643258</v>
      </c>
      <c r="AJ183" s="54">
        <v>0.80000166504715609</v>
      </c>
      <c r="AK183" s="55">
        <v>1.1035952817643258</v>
      </c>
      <c r="AL183" s="82">
        <v>2273</v>
      </c>
      <c r="AM183" s="82">
        <v>1878</v>
      </c>
      <c r="AN183" s="54">
        <v>0.26699991087398522</v>
      </c>
      <c r="AO183" s="54">
        <v>5.9320284946998703E-2</v>
      </c>
      <c r="AP183" s="54">
        <v>0.32632019582098393</v>
      </c>
      <c r="AQ183" s="53">
        <v>0.70599015997143377</v>
      </c>
      <c r="AR183" s="53">
        <v>7.8713950842465668</v>
      </c>
      <c r="AS183" s="53">
        <v>8.5773852442180001</v>
      </c>
      <c r="AT183" s="53">
        <v>5.9535868828024778</v>
      </c>
      <c r="AU183" s="53">
        <v>7.2654860635102381</v>
      </c>
      <c r="AV183" s="53">
        <v>2.8924887944843687</v>
      </c>
      <c r="AW183" s="53">
        <v>10085.573713877624</v>
      </c>
      <c r="AX183" s="53">
        <v>1386.2700136333042</v>
      </c>
      <c r="AY183" s="51">
        <v>604</v>
      </c>
    </row>
    <row r="184" spans="28:51" x14ac:dyDescent="0.15">
      <c r="AB184" s="60">
        <v>1316.9997923581911</v>
      </c>
      <c r="AC184" s="60">
        <v>1048.6405581695694</v>
      </c>
      <c r="AD184" s="60">
        <v>555.39449953661051</v>
      </c>
      <c r="AE184" s="60">
        <v>283.70808467375082</v>
      </c>
      <c r="AF184" s="60">
        <v>35.620349259785847</v>
      </c>
      <c r="AG184" s="60">
        <v>18.195680858084817</v>
      </c>
      <c r="AH184" s="62">
        <v>0.99000095413758615</v>
      </c>
      <c r="AI184" s="63">
        <v>1.1044881595157015</v>
      </c>
      <c r="AJ184" s="62">
        <v>0.90000187317805069</v>
      </c>
      <c r="AK184" s="63">
        <v>1.1044881595157015</v>
      </c>
      <c r="AL184" s="84">
        <v>2342</v>
      </c>
      <c r="AM184" s="84">
        <v>2129</v>
      </c>
      <c r="AN184" s="62">
        <v>0.25009539149393989</v>
      </c>
      <c r="AO184" s="62">
        <v>4.9971408039351711E-2</v>
      </c>
      <c r="AP184" s="62">
        <v>0.30006679953329157</v>
      </c>
      <c r="AQ184" s="61">
        <v>0.8059059647529383</v>
      </c>
      <c r="AR184" s="61">
        <v>8.8170504271266719</v>
      </c>
      <c r="AS184" s="61">
        <v>9.6229563918796099</v>
      </c>
      <c r="AT184" s="61">
        <v>6.683939582837386</v>
      </c>
      <c r="AU184" s="61">
        <v>8.1534479873584971</v>
      </c>
      <c r="AV184" s="61">
        <v>3.2550866389547917</v>
      </c>
      <c r="AW184" s="61">
        <v>11512.942353613404</v>
      </c>
      <c r="AX184" s="61">
        <v>1427.3686397357797</v>
      </c>
      <c r="AY184" s="60">
        <v>689</v>
      </c>
    </row>
    <row r="185" spans="28:51" x14ac:dyDescent="0.15">
      <c r="AB185" s="51">
        <v>1324.3499480568223</v>
      </c>
      <c r="AC185" s="51">
        <v>1055.6524970266714</v>
      </c>
      <c r="AD185" s="51">
        <v>562.28712828424841</v>
      </c>
      <c r="AE185" s="51">
        <v>287.48627230715476</v>
      </c>
      <c r="AF185" s="51">
        <v>35.823459581361419</v>
      </c>
      <c r="AG185" s="51">
        <v>18.315825381984165</v>
      </c>
      <c r="AH185" s="54">
        <v>0.99100085872382748</v>
      </c>
      <c r="AI185" s="55">
        <v>1.1052246177695439</v>
      </c>
      <c r="AJ185" s="54">
        <v>0.90500574564082903</v>
      </c>
      <c r="AK185" s="55">
        <v>1.1052246177695439</v>
      </c>
      <c r="AL185" s="82">
        <v>2359</v>
      </c>
      <c r="AM185" s="82">
        <v>2154</v>
      </c>
      <c r="AN185" s="54">
        <v>0.24559438950094051</v>
      </c>
      <c r="AO185" s="54">
        <v>4.9971408039351711E-2</v>
      </c>
      <c r="AP185" s="54">
        <v>0.29556579754029222</v>
      </c>
      <c r="AQ185" s="53">
        <v>0.81979042936717494</v>
      </c>
      <c r="AR185" s="53">
        <v>8.8815890592644653</v>
      </c>
      <c r="AS185" s="53">
        <v>9.7013794886316411</v>
      </c>
      <c r="AT185" s="53">
        <v>6.7408498022101524</v>
      </c>
      <c r="AU185" s="53">
        <v>8.2211146454208972</v>
      </c>
      <c r="AV185" s="53">
        <v>3.2868985013850822</v>
      </c>
      <c r="AW185" s="53">
        <v>11711.291848102499</v>
      </c>
      <c r="AX185" s="53">
        <v>198.34949448909538</v>
      </c>
      <c r="AY185" s="51">
        <v>701</v>
      </c>
    </row>
    <row r="186" spans="28:51" x14ac:dyDescent="0.15">
      <c r="AB186" s="51">
        <v>1332.0832636792784</v>
      </c>
      <c r="AC186" s="51">
        <v>1062.9111294104978</v>
      </c>
      <c r="AD186" s="51">
        <v>569.41732904323351</v>
      </c>
      <c r="AE186" s="51">
        <v>291.37038277963836</v>
      </c>
      <c r="AF186" s="51">
        <v>36.035423736936181</v>
      </c>
      <c r="AG186" s="51">
        <v>18.439296930951613</v>
      </c>
      <c r="AH186" s="54">
        <v>0.99200076331006892</v>
      </c>
      <c r="AI186" s="55">
        <v>1.1059610760233864</v>
      </c>
      <c r="AJ186" s="54">
        <v>0.91000961810360737</v>
      </c>
      <c r="AK186" s="55">
        <v>1.1059610760233864</v>
      </c>
      <c r="AL186" s="82">
        <v>2376</v>
      </c>
      <c r="AM186" s="82">
        <v>2179</v>
      </c>
      <c r="AN186" s="54">
        <v>0.24116090253783615</v>
      </c>
      <c r="AO186" s="54">
        <v>4.9971408039351711E-2</v>
      </c>
      <c r="AP186" s="54">
        <v>0.29113231057718786</v>
      </c>
      <c r="AQ186" s="53">
        <v>0.83408497363120293</v>
      </c>
      <c r="AR186" s="53">
        <v>8.9485074150905461</v>
      </c>
      <c r="AS186" s="53">
        <v>9.7825923887217492</v>
      </c>
      <c r="AT186" s="53">
        <v>6.7997565836915674</v>
      </c>
      <c r="AU186" s="53">
        <v>8.291174486206657</v>
      </c>
      <c r="AV186" s="53">
        <v>3.3197814778230215</v>
      </c>
      <c r="AW186" s="53">
        <v>11915.499623302898</v>
      </c>
      <c r="AX186" s="53">
        <v>204.20777520039883</v>
      </c>
      <c r="AY186" s="51">
        <v>714</v>
      </c>
    </row>
    <row r="187" spans="28:51" x14ac:dyDescent="0.15">
      <c r="AB187" s="51">
        <v>1340.1483990062943</v>
      </c>
      <c r="AC187" s="51">
        <v>1069.8639381662831</v>
      </c>
      <c r="AD187" s="51">
        <v>576.76200075510644</v>
      </c>
      <c r="AE187" s="51">
        <v>295.20891387926036</v>
      </c>
      <c r="AF187" s="51">
        <v>36.25642247741898</v>
      </c>
      <c r="AG187" s="51">
        <v>18.557427650735704</v>
      </c>
      <c r="AH187" s="54">
        <v>0.99300066789631036</v>
      </c>
      <c r="AI187" s="55">
        <v>1.1066975342772289</v>
      </c>
      <c r="AJ187" s="54">
        <v>0.9150134905663857</v>
      </c>
      <c r="AK187" s="55">
        <v>1.1066975342772289</v>
      </c>
      <c r="AL187" s="82">
        <v>2393</v>
      </c>
      <c r="AM187" s="82">
        <v>2205</v>
      </c>
      <c r="AN187" s="54">
        <v>0.23679391787917833</v>
      </c>
      <c r="AO187" s="54">
        <v>4.9971408039351711E-2</v>
      </c>
      <c r="AP187" s="54">
        <v>0.28676532591853005</v>
      </c>
      <c r="AQ187" s="53">
        <v>0.84863347700617942</v>
      </c>
      <c r="AR187" s="53">
        <v>9.0157402205366317</v>
      </c>
      <c r="AS187" s="53">
        <v>9.8643736975428116</v>
      </c>
      <c r="AT187" s="53">
        <v>6.8591269573639337</v>
      </c>
      <c r="AU187" s="53">
        <v>8.3617503274533735</v>
      </c>
      <c r="AV187" s="53">
        <v>3.3530057604885775</v>
      </c>
      <c r="AW187" s="53">
        <v>12123.335385802562</v>
      </c>
      <c r="AX187" s="53">
        <v>207.83576249966427</v>
      </c>
      <c r="AY187" s="51">
        <v>726</v>
      </c>
    </row>
    <row r="188" spans="28:51" x14ac:dyDescent="0.15">
      <c r="AB188" s="51">
        <v>1348.4767601043816</v>
      </c>
      <c r="AC188" s="51">
        <v>1076.5220569508897</v>
      </c>
      <c r="AD188" s="51">
        <v>584.29017216548175</v>
      </c>
      <c r="AE188" s="51">
        <v>299.00290775230968</v>
      </c>
      <c r="AF188" s="51">
        <v>36.486181623674433</v>
      </c>
      <c r="AG188" s="51">
        <v>18.67132962005012</v>
      </c>
      <c r="AH188" s="54">
        <v>0.9940005724825518</v>
      </c>
      <c r="AI188" s="55">
        <v>1.1074339925310714</v>
      </c>
      <c r="AJ188" s="54">
        <v>0.92001736302916404</v>
      </c>
      <c r="AK188" s="55">
        <v>1.1074339925310714</v>
      </c>
      <c r="AL188" s="82">
        <v>2410</v>
      </c>
      <c r="AM188" s="82">
        <v>2231</v>
      </c>
      <c r="AN188" s="54">
        <v>0.2324924379904004</v>
      </c>
      <c r="AO188" s="54">
        <v>4.9971408039351711E-2</v>
      </c>
      <c r="AP188" s="54">
        <v>0.28246384602975211</v>
      </c>
      <c r="AQ188" s="53">
        <v>0.86448367106502377</v>
      </c>
      <c r="AR188" s="53">
        <v>9.1020097399930329</v>
      </c>
      <c r="AS188" s="53">
        <v>9.9664934110580568</v>
      </c>
      <c r="AT188" s="53">
        <v>6.9324901643937125</v>
      </c>
      <c r="AU188" s="53">
        <v>8.4494917877258828</v>
      </c>
      <c r="AV188" s="53">
        <v>3.3928197099519775</v>
      </c>
      <c r="AW188" s="53">
        <v>12349.766729500339</v>
      </c>
      <c r="AX188" s="53">
        <v>226.43134369777727</v>
      </c>
      <c r="AY188" s="51">
        <v>740</v>
      </c>
    </row>
    <row r="189" spans="28:51" x14ac:dyDescent="0.15">
      <c r="AB189" s="51">
        <v>1356.9396623379776</v>
      </c>
      <c r="AC189" s="51">
        <v>1081.5043220053308</v>
      </c>
      <c r="AD189" s="51">
        <v>591.93791734090132</v>
      </c>
      <c r="AE189" s="51">
        <v>302.36107937039162</v>
      </c>
      <c r="AF189" s="51">
        <v>36.71669565063835</v>
      </c>
      <c r="AG189" s="51">
        <v>18.754837969684623</v>
      </c>
      <c r="AH189" s="54">
        <v>0.99500047706879324</v>
      </c>
      <c r="AI189" s="55">
        <v>1.1081704507849139</v>
      </c>
      <c r="AJ189" s="54">
        <v>0.92502123549194237</v>
      </c>
      <c r="AK189" s="55">
        <v>1.1081704507849139</v>
      </c>
      <c r="AL189" s="82">
        <v>2426</v>
      </c>
      <c r="AM189" s="82">
        <v>2255</v>
      </c>
      <c r="AN189" s="54">
        <v>0.2282554802999541</v>
      </c>
      <c r="AO189" s="54">
        <v>4.9971408039351711E-2</v>
      </c>
      <c r="AP189" s="54">
        <v>0.27822688833930581</v>
      </c>
      <c r="AQ189" s="53">
        <v>0.8790812322946675</v>
      </c>
      <c r="AR189" s="53">
        <v>9.1643362754935236</v>
      </c>
      <c r="AS189" s="53">
        <v>10.043417507788192</v>
      </c>
      <c r="AT189" s="53">
        <v>6.9886387492903497</v>
      </c>
      <c r="AU189" s="53">
        <v>8.5160281285392703</v>
      </c>
      <c r="AV189" s="53">
        <v>3.4247301977095352</v>
      </c>
      <c r="AW189" s="53">
        <v>12558.303318495249</v>
      </c>
      <c r="AX189" s="53">
        <v>208.53658899490983</v>
      </c>
      <c r="AY189" s="51">
        <v>752</v>
      </c>
    </row>
    <row r="190" spans="28:51" x14ac:dyDescent="0.15">
      <c r="AB190" s="51">
        <v>1362.4423676606491</v>
      </c>
      <c r="AC190" s="51">
        <v>1087.4978201913416</v>
      </c>
      <c r="AD190" s="51">
        <v>598.34755033393787</v>
      </c>
      <c r="AE190" s="51">
        <v>306.03204985492607</v>
      </c>
      <c r="AF190" s="51">
        <v>36.869907040927771</v>
      </c>
      <c r="AG190" s="51">
        <v>18.857557323328962</v>
      </c>
      <c r="AH190" s="54">
        <v>0.99600038165503468</v>
      </c>
      <c r="AI190" s="55">
        <v>1.1089069090387564</v>
      </c>
      <c r="AJ190" s="54">
        <v>0.93002510795472071</v>
      </c>
      <c r="AK190" s="55">
        <v>1.1089069090387564</v>
      </c>
      <c r="AL190" s="82">
        <v>2440</v>
      </c>
      <c r="AM190" s="82">
        <v>2279</v>
      </c>
      <c r="AN190" s="54">
        <v>0.22408207697486451</v>
      </c>
      <c r="AO190" s="54">
        <v>4.9971408039351711E-2</v>
      </c>
      <c r="AP190" s="54">
        <v>0.27405348501421622</v>
      </c>
      <c r="AQ190" s="53">
        <v>0.89292239431998011</v>
      </c>
      <c r="AR190" s="53">
        <v>9.2210679141519432</v>
      </c>
      <c r="AS190" s="53">
        <v>10.113990308471923</v>
      </c>
      <c r="AT190" s="53">
        <v>7.0403010037546077</v>
      </c>
      <c r="AU190" s="53">
        <v>8.5771456561132666</v>
      </c>
      <c r="AV190" s="53">
        <v>3.4543301482510755</v>
      </c>
      <c r="AW190" s="53">
        <v>12756.034204571142</v>
      </c>
      <c r="AX190" s="53">
        <v>197.73088607589307</v>
      </c>
      <c r="AY190" s="51">
        <v>764</v>
      </c>
    </row>
    <row r="191" spans="28:51" x14ac:dyDescent="0.15">
      <c r="AB191" s="51">
        <v>1368.2313604795581</v>
      </c>
      <c r="AC191" s="51">
        <v>1092.7125272888081</v>
      </c>
      <c r="AD191" s="51">
        <v>604.91844215764513</v>
      </c>
      <c r="AE191" s="51">
        <v>309.51079875126374</v>
      </c>
      <c r="AF191" s="51">
        <v>37.029158841956367</v>
      </c>
      <c r="AG191" s="51">
        <v>18.946230981786723</v>
      </c>
      <c r="AH191" s="54">
        <v>0.99700028624127612</v>
      </c>
      <c r="AI191" s="55">
        <v>1.1096433672925989</v>
      </c>
      <c r="AJ191" s="54">
        <v>0.93502898041749904</v>
      </c>
      <c r="AK191" s="55">
        <v>1.1096433672925989</v>
      </c>
      <c r="AL191" s="82">
        <v>2454</v>
      </c>
      <c r="AM191" s="82">
        <v>2301</v>
      </c>
      <c r="AN191" s="54">
        <v>0.21997127469965125</v>
      </c>
      <c r="AO191" s="54">
        <v>4.9971408039351711E-2</v>
      </c>
      <c r="AP191" s="54">
        <v>0.26994268273900296</v>
      </c>
      <c r="AQ191" s="53">
        <v>0.90682658681915129</v>
      </c>
      <c r="AR191" s="53">
        <v>9.276279019945429</v>
      </c>
      <c r="AS191" s="53">
        <v>10.183105606764581</v>
      </c>
      <c r="AT191" s="53">
        <v>7.0910126001161036</v>
      </c>
      <c r="AU191" s="53">
        <v>8.6370591034403432</v>
      </c>
      <c r="AV191" s="53">
        <v>3.483570759026215</v>
      </c>
      <c r="AW191" s="53">
        <v>12954.665525987875</v>
      </c>
      <c r="AX191" s="53">
        <v>198.63132141673304</v>
      </c>
      <c r="AY191" s="51">
        <v>776</v>
      </c>
    </row>
    <row r="192" spans="28:51" x14ac:dyDescent="0.15">
      <c r="AB192" s="51">
        <v>1374.2959902453747</v>
      </c>
      <c r="AC192" s="51">
        <v>1097.6761596885392</v>
      </c>
      <c r="AD192" s="51">
        <v>611.64484871070272</v>
      </c>
      <c r="AE192" s="51">
        <v>312.94303364699425</v>
      </c>
      <c r="AF192" s="51">
        <v>37.195803005866743</v>
      </c>
      <c r="AG192" s="51">
        <v>19.030925309235329</v>
      </c>
      <c r="AH192" s="54">
        <v>0.99800019082751756</v>
      </c>
      <c r="AI192" s="55">
        <v>1.1103798255464414</v>
      </c>
      <c r="AJ192" s="54">
        <v>0.94003285288027738</v>
      </c>
      <c r="AK192" s="55">
        <v>1.1103798255464414</v>
      </c>
      <c r="AL192" s="82">
        <v>2467</v>
      </c>
      <c r="AM192" s="82">
        <v>2324</v>
      </c>
      <c r="AN192" s="54">
        <v>0.2159221344585662</v>
      </c>
      <c r="AO192" s="54">
        <v>4.9971408039351711E-2</v>
      </c>
      <c r="AP192" s="54">
        <v>0.26589354249791791</v>
      </c>
      <c r="AQ192" s="53">
        <v>0.92201943596186531</v>
      </c>
      <c r="AR192" s="53">
        <v>9.3508266072261996</v>
      </c>
      <c r="AS192" s="53">
        <v>10.272846043188064</v>
      </c>
      <c r="AT192" s="53">
        <v>7.1559038407793318</v>
      </c>
      <c r="AU192" s="53">
        <v>8.7143749419836976</v>
      </c>
      <c r="AV192" s="53">
        <v>3.5194712713024763</v>
      </c>
      <c r="AW192" s="53">
        <v>13171.706228026645</v>
      </c>
      <c r="AX192" s="53">
        <v>217.04070203877018</v>
      </c>
      <c r="AY192" s="51">
        <v>789</v>
      </c>
    </row>
    <row r="193" spans="28:51" x14ac:dyDescent="0.15">
      <c r="AB193" s="51">
        <v>1380.5657210374723</v>
      </c>
      <c r="AC193" s="51">
        <v>1102.3990483881848</v>
      </c>
      <c r="AD193" s="51">
        <v>618.49220873886588</v>
      </c>
      <c r="AE193" s="51">
        <v>316.32884615307466</v>
      </c>
      <c r="AF193" s="51">
        <v>37.367544111275883</v>
      </c>
      <c r="AG193" s="51">
        <v>19.111691214989474</v>
      </c>
      <c r="AH193" s="54">
        <v>0.999000095413759</v>
      </c>
      <c r="AI193" s="55">
        <v>1.1111162838002839</v>
      </c>
      <c r="AJ193" s="54">
        <v>0.94503672534305572</v>
      </c>
      <c r="AK193" s="55">
        <v>1.1111162838002839</v>
      </c>
      <c r="AL193" s="82">
        <v>2481</v>
      </c>
      <c r="AM193" s="82">
        <v>2347</v>
      </c>
      <c r="AN193" s="54">
        <v>0.21193373132109741</v>
      </c>
      <c r="AO193" s="54">
        <v>4.9971408039351711E-2</v>
      </c>
      <c r="AP193" s="54">
        <v>0.26190513936044912</v>
      </c>
      <c r="AQ193" s="53">
        <v>0.93627824432623175</v>
      </c>
      <c r="AR193" s="53">
        <v>9.4064611809631256</v>
      </c>
      <c r="AS193" s="53">
        <v>10.342739425289357</v>
      </c>
      <c r="AT193" s="53">
        <v>7.2072523649683156</v>
      </c>
      <c r="AU193" s="53">
        <v>8.7749958951288356</v>
      </c>
      <c r="AV193" s="53">
        <v>3.5491841279271004</v>
      </c>
      <c r="AW193" s="53">
        <v>13375.403490374738</v>
      </c>
      <c r="AX193" s="53">
        <v>203.69726234809241</v>
      </c>
      <c r="AY193" s="51">
        <v>801</v>
      </c>
    </row>
    <row r="194" spans="28:51" x14ac:dyDescent="0.15">
      <c r="AB194" s="60">
        <v>1388.5428599702514</v>
      </c>
      <c r="AC194" s="60">
        <v>1107.6176086310129</v>
      </c>
      <c r="AD194" s="60">
        <v>626.13629911328894</v>
      </c>
      <c r="AE194" s="60">
        <v>319.83471815819752</v>
      </c>
      <c r="AF194" s="60">
        <v>37.586432590634686</v>
      </c>
      <c r="AG194" s="60">
        <v>19.199407686828032</v>
      </c>
      <c r="AH194" s="62">
        <v>1</v>
      </c>
      <c r="AI194" s="63">
        <v>1.1118527420541255</v>
      </c>
      <c r="AJ194" s="62">
        <v>0.95004059780583416</v>
      </c>
      <c r="AK194" s="63">
        <v>1.1118527420541255</v>
      </c>
      <c r="AL194" s="84">
        <v>2496</v>
      </c>
      <c r="AM194" s="84">
        <v>2371</v>
      </c>
      <c r="AN194" s="62">
        <v>0.20800515423069069</v>
      </c>
      <c r="AO194" s="62">
        <v>4.9971408039351711E-2</v>
      </c>
      <c r="AP194" s="62">
        <v>0.2579765622700424</v>
      </c>
      <c r="AQ194" s="61">
        <v>0.95148534090452619</v>
      </c>
      <c r="AR194" s="61">
        <v>9.4696147667448258</v>
      </c>
      <c r="AS194" s="61">
        <v>10.421100107649352</v>
      </c>
      <c r="AT194" s="61">
        <v>7.2645618520677431</v>
      </c>
      <c r="AU194" s="61">
        <v>8.8428309798585474</v>
      </c>
      <c r="AV194" s="61">
        <v>3.5819338872225339</v>
      </c>
      <c r="AW194" s="61">
        <v>13592.647727207515</v>
      </c>
      <c r="AX194" s="61">
        <v>217.24423683277746</v>
      </c>
      <c r="AY194" s="60">
        <v>814</v>
      </c>
    </row>
    <row r="195" spans="28:51" x14ac:dyDescent="0.15">
      <c r="AB195" s="51">
        <v>1393.5644131473782</v>
      </c>
      <c r="AC195" s="51">
        <v>1112.452118546418</v>
      </c>
      <c r="AD195" s="51">
        <v>632.46894054193478</v>
      </c>
      <c r="AE195" s="51">
        <v>323.24962699608653</v>
      </c>
      <c r="AF195" s="51">
        <v>37.724106969049899</v>
      </c>
      <c r="AG195" s="51">
        <v>19.280478020085994</v>
      </c>
      <c r="AH195" s="54">
        <v>1</v>
      </c>
      <c r="AI195" s="55">
        <v>1.1124390398398296</v>
      </c>
      <c r="AJ195" s="54">
        <v>0.95503653802525079</v>
      </c>
      <c r="AK195" s="55">
        <v>1.1124390398398296</v>
      </c>
      <c r="AL195" s="82">
        <v>2506</v>
      </c>
      <c r="AM195" s="82">
        <v>2393</v>
      </c>
      <c r="AN195" s="54">
        <v>0.20542538860799028</v>
      </c>
      <c r="AO195" s="54">
        <v>4.9971408039351711E-2</v>
      </c>
      <c r="AP195" s="54">
        <v>0.25539679664734199</v>
      </c>
      <c r="AQ195" s="53">
        <v>0.96558136847029519</v>
      </c>
      <c r="AR195" s="53">
        <v>9.5323374872525815</v>
      </c>
      <c r="AS195" s="53">
        <v>10.497918855722876</v>
      </c>
      <c r="AT195" s="53">
        <v>7.320473026638683</v>
      </c>
      <c r="AU195" s="53">
        <v>8.90919594118078</v>
      </c>
      <c r="AV195" s="53">
        <v>3.6134528927071239</v>
      </c>
      <c r="AW195" s="53">
        <v>13794.019549575643</v>
      </c>
      <c r="AX195" s="53">
        <v>201.37182236812805</v>
      </c>
      <c r="AY195" s="51">
        <v>826</v>
      </c>
    </row>
    <row r="196" spans="28:51" x14ac:dyDescent="0.15">
      <c r="AB196" s="51">
        <v>1398.3170426867512</v>
      </c>
      <c r="AC196" s="51">
        <v>1116.6760205426983</v>
      </c>
      <c r="AD196" s="51">
        <v>638.68890838650714</v>
      </c>
      <c r="AE196" s="51">
        <v>326.54921114541111</v>
      </c>
      <c r="AF196" s="51">
        <v>37.855288480123228</v>
      </c>
      <c r="AG196" s="51">
        <v>19.354672405529691</v>
      </c>
      <c r="AH196" s="54">
        <v>1</v>
      </c>
      <c r="AI196" s="55">
        <v>1.1130253376255337</v>
      </c>
      <c r="AJ196" s="54">
        <v>0.96003247824466742</v>
      </c>
      <c r="AK196" s="55">
        <v>1.1130253376255337</v>
      </c>
      <c r="AL196" s="82">
        <v>2515</v>
      </c>
      <c r="AM196" s="82">
        <v>2414</v>
      </c>
      <c r="AN196" s="54">
        <v>0.20287142064151684</v>
      </c>
      <c r="AO196" s="54">
        <v>4.9971408039351711E-2</v>
      </c>
      <c r="AP196" s="54">
        <v>0.25284282868086855</v>
      </c>
      <c r="AQ196" s="53">
        <v>0.97954648148860912</v>
      </c>
      <c r="AR196" s="53">
        <v>9.5922262042617188</v>
      </c>
      <c r="AS196" s="53">
        <v>10.571772685750329</v>
      </c>
      <c r="AT196" s="53">
        <v>7.3743639509964218</v>
      </c>
      <c r="AU196" s="53">
        <v>8.9730683183733753</v>
      </c>
      <c r="AV196" s="53">
        <v>3.6440537604501975</v>
      </c>
      <c r="AW196" s="53">
        <v>13993.521164122987</v>
      </c>
      <c r="AX196" s="53">
        <v>199.50161454734371</v>
      </c>
      <c r="AY196" s="51">
        <v>838</v>
      </c>
    </row>
    <row r="197" spans="28:51" x14ac:dyDescent="0.15">
      <c r="AB197" s="51">
        <v>1403.3217863176517</v>
      </c>
      <c r="AC197" s="51">
        <v>1120.6967963419963</v>
      </c>
      <c r="AD197" s="51">
        <v>645.02779116595764</v>
      </c>
      <c r="AE197" s="51">
        <v>329.71533087550438</v>
      </c>
      <c r="AF197" s="51">
        <v>37.992835564011415</v>
      </c>
      <c r="AG197" s="51">
        <v>19.42059012099784</v>
      </c>
      <c r="AH197" s="54">
        <v>1</v>
      </c>
      <c r="AI197" s="55">
        <v>1.1136116354112378</v>
      </c>
      <c r="AJ197" s="54">
        <v>0.96502841846408405</v>
      </c>
      <c r="AK197" s="55">
        <v>1.1136116354112378</v>
      </c>
      <c r="AL197" s="82">
        <v>2524</v>
      </c>
      <c r="AM197" s="82">
        <v>2436</v>
      </c>
      <c r="AN197" s="54">
        <v>0.20034299235470812</v>
      </c>
      <c r="AO197" s="54">
        <v>4.9971408039351711E-2</v>
      </c>
      <c r="AP197" s="54">
        <v>0.25031440039405983</v>
      </c>
      <c r="AQ197" s="53">
        <v>0.99358213223671321</v>
      </c>
      <c r="AR197" s="53">
        <v>9.6523913139373416</v>
      </c>
      <c r="AS197" s="53">
        <v>10.645973446174056</v>
      </c>
      <c r="AT197" s="53">
        <v>7.4285096748616084</v>
      </c>
      <c r="AU197" s="53">
        <v>9.0372415605178329</v>
      </c>
      <c r="AV197" s="53">
        <v>3.6748019416637527</v>
      </c>
      <c r="AW197" s="53">
        <v>14194.030460524473</v>
      </c>
      <c r="AX197" s="53">
        <v>200.5092964014857</v>
      </c>
      <c r="AY197" s="51">
        <v>850</v>
      </c>
    </row>
    <row r="198" spans="28:51" x14ac:dyDescent="0.15">
      <c r="AB198" s="51">
        <v>1408.46462563047</v>
      </c>
      <c r="AC198" s="51">
        <v>1124.5232103636333</v>
      </c>
      <c r="AD198" s="51">
        <v>651.43148144508154</v>
      </c>
      <c r="AE198" s="51">
        <v>332.88125498986221</v>
      </c>
      <c r="AF198" s="51">
        <v>38.134263639951719</v>
      </c>
      <c r="AG198" s="51">
        <v>19.486595137253236</v>
      </c>
      <c r="AH198" s="54">
        <v>1</v>
      </c>
      <c r="AI198" s="55">
        <v>1.1141979331969418</v>
      </c>
      <c r="AJ198" s="54">
        <v>0.97002435868350068</v>
      </c>
      <c r="AK198" s="55">
        <v>1.1141979331969418</v>
      </c>
      <c r="AL198" s="82">
        <v>2533</v>
      </c>
      <c r="AM198" s="82">
        <v>2457</v>
      </c>
      <c r="AN198" s="54">
        <v>0.19783984835076751</v>
      </c>
      <c r="AO198" s="54">
        <v>4.9971408039351711E-2</v>
      </c>
      <c r="AP198" s="54">
        <v>0.24781125639011922</v>
      </c>
      <c r="AQ198" s="53">
        <v>1.0088965507491905</v>
      </c>
      <c r="AR198" s="53">
        <v>9.7318606095801776</v>
      </c>
      <c r="AS198" s="53">
        <v>10.740757160329368</v>
      </c>
      <c r="AT198" s="53">
        <v>7.4968036238026432</v>
      </c>
      <c r="AU198" s="53">
        <v>9.1187803920660055</v>
      </c>
      <c r="AV198" s="53">
        <v>3.712191164521462</v>
      </c>
      <c r="AW198" s="53">
        <v>14412.807867845575</v>
      </c>
      <c r="AX198" s="53">
        <v>218.77740732110215</v>
      </c>
      <c r="AY198" s="51">
        <v>863</v>
      </c>
    </row>
    <row r="199" spans="28:51" x14ac:dyDescent="0.15">
      <c r="AB199" s="51">
        <v>1413.3859070590345</v>
      </c>
      <c r="AC199" s="51">
        <v>1128.1919780455962</v>
      </c>
      <c r="AD199" s="51">
        <v>657.73089295453087</v>
      </c>
      <c r="AE199" s="51">
        <v>335.96769555859584</v>
      </c>
      <c r="AF199" s="51">
        <v>38.270929663446459</v>
      </c>
      <c r="AG199" s="51">
        <v>19.548718455591956</v>
      </c>
      <c r="AH199" s="54">
        <v>1</v>
      </c>
      <c r="AI199" s="55">
        <v>1.1147842309826459</v>
      </c>
      <c r="AJ199" s="54">
        <v>0.9750202989029173</v>
      </c>
      <c r="AK199" s="55">
        <v>1.1147842309826459</v>
      </c>
      <c r="AL199" s="82">
        <v>2542</v>
      </c>
      <c r="AM199" s="82">
        <v>2479</v>
      </c>
      <c r="AN199" s="54">
        <v>0.1953617357868663</v>
      </c>
      <c r="AO199" s="54">
        <v>4.9971408039351711E-2</v>
      </c>
      <c r="AP199" s="54">
        <v>0.24533314382621801</v>
      </c>
      <c r="AQ199" s="53">
        <v>1.0229873325776933</v>
      </c>
      <c r="AR199" s="53">
        <v>9.7909187763680467</v>
      </c>
      <c r="AS199" s="53">
        <v>10.813906108945741</v>
      </c>
      <c r="AT199" s="53">
        <v>7.5502665168230578</v>
      </c>
      <c r="AU199" s="53">
        <v>9.182086312884401</v>
      </c>
      <c r="AV199" s="53">
        <v>3.7426869926799293</v>
      </c>
      <c r="AW199" s="53">
        <v>14614.104751109904</v>
      </c>
      <c r="AX199" s="53">
        <v>201.29688326432915</v>
      </c>
      <c r="AY199" s="51">
        <v>875</v>
      </c>
    </row>
    <row r="200" spans="28:51" x14ac:dyDescent="0.15">
      <c r="AB200" s="51">
        <v>1416.7074219255985</v>
      </c>
      <c r="AC200" s="51">
        <v>1131.3339750786017</v>
      </c>
      <c r="AD200" s="51">
        <v>663.27101163667919</v>
      </c>
      <c r="AE200" s="51">
        <v>338.90411777358781</v>
      </c>
      <c r="AF200" s="51">
        <v>38.361460057989106</v>
      </c>
      <c r="AG200" s="51">
        <v>19.601123144789298</v>
      </c>
      <c r="AH200" s="54">
        <v>1</v>
      </c>
      <c r="AI200" s="55">
        <v>1.11537052876835</v>
      </c>
      <c r="AJ200" s="54">
        <v>0.98001623912233393</v>
      </c>
      <c r="AK200" s="55">
        <v>1.11537052876835</v>
      </c>
      <c r="AL200" s="82">
        <v>2548</v>
      </c>
      <c r="AM200" s="82">
        <v>2497</v>
      </c>
      <c r="AN200" s="54">
        <v>0.19290840434860412</v>
      </c>
      <c r="AO200" s="54">
        <v>4.9971408039351711E-2</v>
      </c>
      <c r="AP200" s="54">
        <v>0.24287981238795583</v>
      </c>
      <c r="AQ200" s="53">
        <v>1.0374288878930933</v>
      </c>
      <c r="AR200" s="53">
        <v>9.8625108395920265</v>
      </c>
      <c r="AS200" s="53">
        <v>10.899939727485119</v>
      </c>
      <c r="AT200" s="53">
        <v>7.612436114287779</v>
      </c>
      <c r="AU200" s="53">
        <v>9.2561879208864521</v>
      </c>
      <c r="AV200" s="53">
        <v>3.7770152322242128</v>
      </c>
      <c r="AW200" s="53">
        <v>14820.412684187047</v>
      </c>
      <c r="AX200" s="53">
        <v>206.30793307714339</v>
      </c>
      <c r="AY200" s="51">
        <v>887</v>
      </c>
    </row>
    <row r="201" spans="28:51" x14ac:dyDescent="0.15">
      <c r="AB201" s="51">
        <v>1420.5355674164914</v>
      </c>
      <c r="AC201" s="51">
        <v>1134.4591232508003</v>
      </c>
      <c r="AD201" s="51">
        <v>669.03063313707582</v>
      </c>
      <c r="AE201" s="51">
        <v>341.84206237835684</v>
      </c>
      <c r="AF201" s="51">
        <v>38.466696868013251</v>
      </c>
      <c r="AG201" s="51">
        <v>19.654608233089018</v>
      </c>
      <c r="AH201" s="54">
        <v>1</v>
      </c>
      <c r="AI201" s="55">
        <v>1.115956826554054</v>
      </c>
      <c r="AJ201" s="54">
        <v>0.98501217934175056</v>
      </c>
      <c r="AK201" s="55">
        <v>1.115956826554054</v>
      </c>
      <c r="AL201" s="82">
        <v>2555</v>
      </c>
      <c r="AM201" s="82">
        <v>2517</v>
      </c>
      <c r="AN201" s="54">
        <v>0.19047960622472457</v>
      </c>
      <c r="AO201" s="54">
        <v>4.9971408039351711E-2</v>
      </c>
      <c r="AP201" s="54">
        <v>0.24045101426407628</v>
      </c>
      <c r="AQ201" s="53">
        <v>1.0510160273530356</v>
      </c>
      <c r="AR201" s="53">
        <v>9.9164129141969326</v>
      </c>
      <c r="AS201" s="53">
        <v>10.967428941549969</v>
      </c>
      <c r="AT201" s="53">
        <v>7.6619579701509899</v>
      </c>
      <c r="AU201" s="53">
        <v>9.314693455850481</v>
      </c>
      <c r="AV201" s="53">
        <v>3.8055751701855174</v>
      </c>
      <c r="AW201" s="53">
        <v>15014.514676471936</v>
      </c>
      <c r="AX201" s="53">
        <v>194.10199228488818</v>
      </c>
      <c r="AY201" s="51">
        <v>899</v>
      </c>
    </row>
    <row r="202" spans="28:51" x14ac:dyDescent="0.15">
      <c r="AB202" s="51">
        <v>1424.5410665817126</v>
      </c>
      <c r="AC202" s="51">
        <v>1137.4219755623583</v>
      </c>
      <c r="AD202" s="51">
        <v>674.85230790814023</v>
      </c>
      <c r="AE202" s="51">
        <v>344.73493695262965</v>
      </c>
      <c r="AF202" s="51">
        <v>38.575422716799252</v>
      </c>
      <c r="AG202" s="51">
        <v>19.705490760516106</v>
      </c>
      <c r="AH202" s="54">
        <v>1</v>
      </c>
      <c r="AI202" s="55">
        <v>1.1165431243397581</v>
      </c>
      <c r="AJ202" s="54">
        <v>0.99000811956116719</v>
      </c>
      <c r="AK202" s="55">
        <v>1.1165431243397581</v>
      </c>
      <c r="AL202" s="82">
        <v>2562</v>
      </c>
      <c r="AM202" s="82">
        <v>2536</v>
      </c>
      <c r="AN202" s="54">
        <v>0.18807509608208381</v>
      </c>
      <c r="AO202" s="54">
        <v>4.9971408039351711E-2</v>
      </c>
      <c r="AP202" s="54">
        <v>0.23804650412143552</v>
      </c>
      <c r="AQ202" s="53">
        <v>1.0646952715979263</v>
      </c>
      <c r="AR202" s="53">
        <v>9.9704566359866202</v>
      </c>
      <c r="AS202" s="53">
        <v>11.035151907584547</v>
      </c>
      <c r="AT202" s="53">
        <v>7.7116663622556736</v>
      </c>
      <c r="AU202" s="53">
        <v>9.3734091349201094</v>
      </c>
      <c r="AV202" s="53">
        <v>3.8342665593719873</v>
      </c>
      <c r="AW202" s="53">
        <v>15209.932451398949</v>
      </c>
      <c r="AX202" s="53">
        <v>195.41777492701294</v>
      </c>
      <c r="AY202" s="51">
        <v>911</v>
      </c>
    </row>
    <row r="203" spans="28:51" x14ac:dyDescent="0.15">
      <c r="AB203" s="51">
        <v>1428.691295907327</v>
      </c>
      <c r="AC203" s="51">
        <v>1140.2299143321713</v>
      </c>
      <c r="AD203" s="51">
        <v>680.72216159886761</v>
      </c>
      <c r="AE203" s="51">
        <v>347.54058724219391</v>
      </c>
      <c r="AF203" s="51">
        <v>38.690204485600148</v>
      </c>
      <c r="AG203" s="51">
        <v>19.753163839801168</v>
      </c>
      <c r="AH203" s="54">
        <v>1</v>
      </c>
      <c r="AI203" s="55">
        <v>1.1171294221254622</v>
      </c>
      <c r="AJ203" s="54">
        <v>0.99500405978058382</v>
      </c>
      <c r="AK203" s="55">
        <v>1.1171294221254622</v>
      </c>
      <c r="AL203" s="82">
        <v>2569</v>
      </c>
      <c r="AM203" s="82">
        <v>2556</v>
      </c>
      <c r="AN203" s="54">
        <v>0.18569463104086945</v>
      </c>
      <c r="AO203" s="54">
        <v>4.9971408039351711E-2</v>
      </c>
      <c r="AP203" s="54">
        <v>0.23566603908022116</v>
      </c>
      <c r="AQ203" s="53">
        <v>1.0784063501005343</v>
      </c>
      <c r="AR203" s="53">
        <v>10.024561960910429</v>
      </c>
      <c r="AS203" s="53">
        <v>11.102968311010963</v>
      </c>
      <c r="AT203" s="53">
        <v>7.7614476573741529</v>
      </c>
      <c r="AU203" s="53">
        <v>9.4322079841925586</v>
      </c>
      <c r="AV203" s="53">
        <v>3.8630068947978753</v>
      </c>
      <c r="AW203" s="53">
        <v>15405.805001436205</v>
      </c>
      <c r="AX203" s="53">
        <v>195.87255003725659</v>
      </c>
      <c r="AY203" s="51">
        <v>923</v>
      </c>
    </row>
    <row r="204" spans="28:51" x14ac:dyDescent="0.15">
      <c r="AB204" s="60">
        <v>1432.8127868572806</v>
      </c>
      <c r="AC204" s="60">
        <v>1144.2518344409007</v>
      </c>
      <c r="AD204" s="60">
        <v>686.55120348837795</v>
      </c>
      <c r="AE204" s="60">
        <v>350.71868661737483</v>
      </c>
      <c r="AF204" s="60">
        <v>38.802388723010964</v>
      </c>
      <c r="AG204" s="60">
        <v>19.821861416024177</v>
      </c>
      <c r="AH204" s="62">
        <v>1</v>
      </c>
      <c r="AI204" s="63">
        <v>1.1177157199111663</v>
      </c>
      <c r="AJ204" s="62">
        <v>1</v>
      </c>
      <c r="AK204" s="63">
        <v>1.1177157199111663</v>
      </c>
      <c r="AL204" s="84">
        <v>2577</v>
      </c>
      <c r="AM204" s="84">
        <v>2577</v>
      </c>
      <c r="AN204" s="62">
        <v>0.18333797065006724</v>
      </c>
      <c r="AO204" s="62">
        <v>4.9971408039351711E-2</v>
      </c>
      <c r="AP204" s="62">
        <v>0.23330937868941895</v>
      </c>
      <c r="AQ204" s="61">
        <v>1.0925199514382231</v>
      </c>
      <c r="AR204" s="61">
        <v>10.083121982727716</v>
      </c>
      <c r="AS204" s="61">
        <v>11.17564193416594</v>
      </c>
      <c r="AT204" s="61">
        <v>7.8146012732567005</v>
      </c>
      <c r="AU204" s="61">
        <v>9.4951216037113202</v>
      </c>
      <c r="AV204" s="61">
        <v>3.893387168862589</v>
      </c>
      <c r="AW204" s="61">
        <v>15607.4278776889</v>
      </c>
      <c r="AX204" s="61">
        <v>201.62287625269528</v>
      </c>
      <c r="AY204" s="60">
        <v>935</v>
      </c>
    </row>
    <row r="205" spans="28:51" x14ac:dyDescent="0.15">
      <c r="AB205" s="51">
        <v>1435.7947977865417</v>
      </c>
      <c r="AC205" s="51">
        <v>1147.1991989614767</v>
      </c>
      <c r="AD205" s="51">
        <v>691.80657594928391</v>
      </c>
      <c r="AE205" s="51">
        <v>353.52758671151628</v>
      </c>
      <c r="AF205" s="51">
        <v>38.887391279373873</v>
      </c>
      <c r="AG205" s="51">
        <v>19.872267871462604</v>
      </c>
      <c r="AH205" s="54">
        <v>1</v>
      </c>
      <c r="AI205" s="55">
        <v>1.1182017571880594</v>
      </c>
      <c r="AJ205" s="54">
        <v>1</v>
      </c>
      <c r="AK205" s="55">
        <v>1.1182017571880594</v>
      </c>
      <c r="AL205" s="82">
        <v>2583</v>
      </c>
      <c r="AM205" s="82">
        <v>2583</v>
      </c>
      <c r="AN205" s="54">
        <v>0.18100487686317304</v>
      </c>
      <c r="AO205" s="54">
        <v>4.9971408039351711E-2</v>
      </c>
      <c r="AP205" s="54">
        <v>0.23097628490252475</v>
      </c>
      <c r="AQ205" s="53">
        <v>1.1003641159465924</v>
      </c>
      <c r="AR205" s="53">
        <v>10.083777456307963</v>
      </c>
      <c r="AS205" s="53">
        <v>11.184141572254555</v>
      </c>
      <c r="AT205" s="53">
        <v>7.8228824201519016</v>
      </c>
      <c r="AU205" s="53">
        <v>9.5035119962032297</v>
      </c>
      <c r="AV205" s="53">
        <v>3.901413409365472</v>
      </c>
      <c r="AW205" s="53">
        <v>15719.487370665605</v>
      </c>
      <c r="AX205" s="53">
        <v>112.05949297670486</v>
      </c>
      <c r="AY205" s="51">
        <v>941</v>
      </c>
    </row>
    <row r="206" spans="28:51" x14ac:dyDescent="0.15">
      <c r="AB206" s="51">
        <v>1438.7225284629733</v>
      </c>
      <c r="AC206" s="51">
        <v>1150.24883195078</v>
      </c>
      <c r="AD206" s="51">
        <v>696.99425336988725</v>
      </c>
      <c r="AE206" s="51">
        <v>356.36533841612919</v>
      </c>
      <c r="AF206" s="51">
        <v>38.966604317254941</v>
      </c>
      <c r="AG206" s="51">
        <v>19.923187411240573</v>
      </c>
      <c r="AH206" s="54">
        <v>1</v>
      </c>
      <c r="AI206" s="55">
        <v>1.1186877944649525</v>
      </c>
      <c r="AJ206" s="54">
        <v>1</v>
      </c>
      <c r="AK206" s="55">
        <v>1.1186877944649525</v>
      </c>
      <c r="AL206" s="82">
        <v>2589</v>
      </c>
      <c r="AM206" s="82">
        <v>2589</v>
      </c>
      <c r="AN206" s="54">
        <v>0.17869511401414778</v>
      </c>
      <c r="AO206" s="54">
        <v>4.9971408039351711E-2</v>
      </c>
      <c r="AP206" s="54">
        <v>0.22866652205349949</v>
      </c>
      <c r="AQ206" s="53">
        <v>1.1093353876847838</v>
      </c>
      <c r="AR206" s="53">
        <v>10.104386846704921</v>
      </c>
      <c r="AS206" s="53">
        <v>11.213722234389705</v>
      </c>
      <c r="AT206" s="53">
        <v>7.8455932854880643</v>
      </c>
      <c r="AU206" s="53">
        <v>9.5296577599388836</v>
      </c>
      <c r="AV206" s="53">
        <v>3.9161095117694842</v>
      </c>
      <c r="AW206" s="53">
        <v>15847.64839549691</v>
      </c>
      <c r="AX206" s="53">
        <v>128.16102483130453</v>
      </c>
      <c r="AY206" s="51">
        <v>949</v>
      </c>
    </row>
    <row r="207" spans="28:51" x14ac:dyDescent="0.15">
      <c r="AB207" s="51">
        <v>1441.7441473404515</v>
      </c>
      <c r="AC207" s="51">
        <v>1153.1697458206122</v>
      </c>
      <c r="AD207" s="51">
        <v>702.18940543860344</v>
      </c>
      <c r="AE207" s="51">
        <v>359.16234981004834</v>
      </c>
      <c r="AF207" s="51">
        <v>39.049962808280959</v>
      </c>
      <c r="AG207" s="51">
        <v>19.97363716055596</v>
      </c>
      <c r="AH207" s="54">
        <v>1</v>
      </c>
      <c r="AI207" s="55">
        <v>1.1191738317418456</v>
      </c>
      <c r="AJ207" s="54">
        <v>1</v>
      </c>
      <c r="AK207" s="55">
        <v>1.1191738317418456</v>
      </c>
      <c r="AL207" s="82">
        <v>2595</v>
      </c>
      <c r="AM207" s="82">
        <v>2595</v>
      </c>
      <c r="AN207" s="54">
        <v>0.17640844879361278</v>
      </c>
      <c r="AO207" s="54">
        <v>4.9971408039351711E-2</v>
      </c>
      <c r="AP207" s="54">
        <v>0.22637985683296449</v>
      </c>
      <c r="AQ207" s="53">
        <v>1.1170922966762673</v>
      </c>
      <c r="AR207" s="53">
        <v>10.105275049299072</v>
      </c>
      <c r="AS207" s="53">
        <v>11.222367345975339</v>
      </c>
      <c r="AT207" s="53">
        <v>7.8539423295423152</v>
      </c>
      <c r="AU207" s="53">
        <v>9.5381548377588281</v>
      </c>
      <c r="AV207" s="53">
        <v>3.9241131437037868</v>
      </c>
      <c r="AW207" s="53">
        <v>15958.461381089532</v>
      </c>
      <c r="AX207" s="53">
        <v>110.81298559262177</v>
      </c>
      <c r="AY207" s="51">
        <v>956</v>
      </c>
    </row>
    <row r="208" spans="28:51" x14ac:dyDescent="0.15">
      <c r="AB208" s="51">
        <v>1444.8253319892954</v>
      </c>
      <c r="AC208" s="51">
        <v>1156.05112580488</v>
      </c>
      <c r="AD208" s="51">
        <v>707.37299648150633</v>
      </c>
      <c r="AE208" s="51">
        <v>361.90031968849098</v>
      </c>
      <c r="AF208" s="51">
        <v>39.135918657735253</v>
      </c>
      <c r="AG208" s="51">
        <v>20.022394894893978</v>
      </c>
      <c r="AH208" s="54">
        <v>1</v>
      </c>
      <c r="AI208" s="55">
        <v>1.1196598690187387</v>
      </c>
      <c r="AJ208" s="54">
        <v>1</v>
      </c>
      <c r="AK208" s="55">
        <v>1.1196598690187387</v>
      </c>
      <c r="AL208" s="82">
        <v>2601</v>
      </c>
      <c r="AM208" s="82">
        <v>2601</v>
      </c>
      <c r="AN208" s="54">
        <v>0.17414465022528314</v>
      </c>
      <c r="AO208" s="54">
        <v>4.9971408039351711E-2</v>
      </c>
      <c r="AP208" s="54">
        <v>0.22411605826463485</v>
      </c>
      <c r="AQ208" s="53">
        <v>1.1247678121895794</v>
      </c>
      <c r="AR208" s="53">
        <v>10.106333893680457</v>
      </c>
      <c r="AS208" s="53">
        <v>11.231101705870037</v>
      </c>
      <c r="AT208" s="53">
        <v>7.8623237413098845</v>
      </c>
      <c r="AU208" s="53">
        <v>9.5467127235899607</v>
      </c>
      <c r="AV208" s="53">
        <v>3.9320827826563733</v>
      </c>
      <c r="AW208" s="53">
        <v>16068.111602708275</v>
      </c>
      <c r="AX208" s="53">
        <v>109.65022161874367</v>
      </c>
      <c r="AY208" s="51">
        <v>962</v>
      </c>
    </row>
    <row r="209" spans="27:51" x14ac:dyDescent="0.15">
      <c r="AB209" s="56">
        <v>1447.941462543333</v>
      </c>
      <c r="AC209" s="56">
        <v>1156.801424203125</v>
      </c>
      <c r="AD209" s="56">
        <v>712.52936057122361</v>
      </c>
      <c r="AE209" s="56">
        <v>363.96303329248934</v>
      </c>
      <c r="AF209" s="56">
        <v>39.221994645283758</v>
      </c>
      <c r="AG209" s="56">
        <v>20.034761980102719</v>
      </c>
      <c r="AH209" s="58">
        <v>1</v>
      </c>
      <c r="AI209" s="59">
        <v>1.120145906295632</v>
      </c>
      <c r="AJ209" s="58">
        <v>1</v>
      </c>
      <c r="AK209" s="59">
        <v>1.120145906295632</v>
      </c>
      <c r="AL209" s="83">
        <v>2605</v>
      </c>
      <c r="AM209" s="83">
        <v>2605</v>
      </c>
      <c r="AN209" s="58">
        <v>0.1719034896426368</v>
      </c>
      <c r="AO209" s="58">
        <v>4.9971408039351711E-2</v>
      </c>
      <c r="AP209" s="58">
        <v>0.22187489768198851</v>
      </c>
      <c r="AQ209" s="57">
        <v>1.1317413978608966</v>
      </c>
      <c r="AR209" s="57">
        <v>10.0999648281093</v>
      </c>
      <c r="AS209" s="57">
        <v>11.231706225970196</v>
      </c>
      <c r="AT209" s="57">
        <v>7.8650512832670962</v>
      </c>
      <c r="AU209" s="57">
        <v>9.5483787546186445</v>
      </c>
      <c r="AV209" s="57">
        <v>3.9372871834468128</v>
      </c>
      <c r="AW209" s="57">
        <v>16167.734255155663</v>
      </c>
      <c r="AX209" s="57">
        <v>99.622652447387736</v>
      </c>
      <c r="AY209" s="56">
        <v>968</v>
      </c>
    </row>
    <row r="211" spans="27:51" ht="12.75" thickBot="1" x14ac:dyDescent="0.2"/>
    <row r="212" spans="27:51" ht="60.75" thickBot="1" x14ac:dyDescent="0.2">
      <c r="AA212" s="93" t="s">
        <v>118</v>
      </c>
      <c r="AB212" s="91" t="s">
        <v>20</v>
      </c>
      <c r="AC212" s="91" t="s">
        <v>4</v>
      </c>
      <c r="AD212" s="91" t="s">
        <v>155</v>
      </c>
      <c r="AE212" s="91" t="s">
        <v>156</v>
      </c>
      <c r="AF212" s="91" t="s">
        <v>157</v>
      </c>
      <c r="AG212" s="91" t="s">
        <v>158</v>
      </c>
      <c r="AH212" s="90" t="s">
        <v>50</v>
      </c>
      <c r="AI212" s="90" t="s">
        <v>28</v>
      </c>
      <c r="AJ212" s="90" t="s">
        <v>51</v>
      </c>
      <c r="AK212" s="90" t="s">
        <v>29</v>
      </c>
      <c r="AL212" s="90" t="s">
        <v>110</v>
      </c>
      <c r="AM212" s="90" t="s">
        <v>111</v>
      </c>
      <c r="AN212" s="91" t="s">
        <v>43</v>
      </c>
      <c r="AO212" s="91" t="s">
        <v>44</v>
      </c>
      <c r="AP212" s="91" t="s">
        <v>5</v>
      </c>
      <c r="AQ212" s="46" t="s">
        <v>45</v>
      </c>
      <c r="AR212" s="45" t="s">
        <v>46</v>
      </c>
      <c r="AS212" s="45" t="s">
        <v>93</v>
      </c>
      <c r="AT212" s="45" t="s">
        <v>30</v>
      </c>
      <c r="AU212" s="45" t="s">
        <v>31</v>
      </c>
      <c r="AV212" s="45" t="s">
        <v>32</v>
      </c>
      <c r="AW212" s="45" t="s">
        <v>26</v>
      </c>
      <c r="AX212" s="46" t="s">
        <v>138</v>
      </c>
      <c r="AY212" s="87" t="s">
        <v>152</v>
      </c>
    </row>
    <row r="213" spans="27:51" x14ac:dyDescent="0.15">
      <c r="AB213" s="44" t="s">
        <v>120</v>
      </c>
      <c r="AC213" s="44" t="s">
        <v>120</v>
      </c>
      <c r="AD213" s="44" t="s">
        <v>159</v>
      </c>
      <c r="AE213" s="44" t="s">
        <v>159</v>
      </c>
      <c r="AF213" s="44" t="s">
        <v>159</v>
      </c>
      <c r="AG213" s="44" t="s">
        <v>159</v>
      </c>
      <c r="AH213" s="43" t="s">
        <v>2</v>
      </c>
      <c r="AI213" s="43" t="s">
        <v>2</v>
      </c>
      <c r="AJ213" s="43" t="s">
        <v>2</v>
      </c>
      <c r="AK213" s="43" t="s">
        <v>2</v>
      </c>
      <c r="AL213" s="92">
        <v>0</v>
      </c>
      <c r="AM213" s="92">
        <v>0</v>
      </c>
      <c r="AN213" s="39" t="s">
        <v>2</v>
      </c>
      <c r="AO213" s="39" t="s">
        <v>2</v>
      </c>
      <c r="AP213" s="39" t="s">
        <v>2</v>
      </c>
      <c r="AQ213" s="43" t="s">
        <v>19</v>
      </c>
      <c r="AR213" s="43" t="s">
        <v>19</v>
      </c>
      <c r="AS213" s="43" t="s">
        <v>19</v>
      </c>
      <c r="AT213" s="43" t="s">
        <v>19</v>
      </c>
      <c r="AU213" s="43" t="s">
        <v>19</v>
      </c>
      <c r="AV213" s="43" t="s">
        <v>19</v>
      </c>
      <c r="AW213" s="43" t="s">
        <v>101</v>
      </c>
      <c r="AX213" s="43" t="s">
        <v>101</v>
      </c>
      <c r="AY213" s="43" t="s">
        <v>154</v>
      </c>
    </row>
    <row r="214" spans="27:51" ht="15.75" x14ac:dyDescent="0.15">
      <c r="AB214" s="76">
        <v>6979.8849615263562</v>
      </c>
      <c r="AC214" s="76">
        <v>5517.9124845017477</v>
      </c>
      <c r="AD214" s="76">
        <v>2732.0282366742254</v>
      </c>
      <c r="AE214" s="76">
        <v>1390.6036418340923</v>
      </c>
      <c r="AF214" s="76">
        <v>188.48558538336815</v>
      </c>
      <c r="AG214" s="76">
        <v>95.939250535131663</v>
      </c>
      <c r="AH214" s="54">
        <v>0.73504510649358956</v>
      </c>
      <c r="AI214" s="55">
        <v>1.0934659892767227</v>
      </c>
      <c r="AJ214" s="54">
        <v>0</v>
      </c>
      <c r="AK214" s="55">
        <v>1.0934659892767227</v>
      </c>
      <c r="AL214" s="82">
        <v>9187</v>
      </c>
      <c r="AM214" s="82">
        <v>0</v>
      </c>
      <c r="AN214" s="54">
        <v>0.41755321579381505</v>
      </c>
      <c r="AO214" s="54">
        <v>0.27836881052921009</v>
      </c>
      <c r="AP214" s="54">
        <v>0.69592202632302513</v>
      </c>
      <c r="AQ214" s="53">
        <v>0</v>
      </c>
      <c r="AR214" s="53">
        <v>0</v>
      </c>
      <c r="AS214" s="53">
        <v>0</v>
      </c>
      <c r="AT214" s="53">
        <v>0</v>
      </c>
      <c r="AU214" s="53">
        <v>0</v>
      </c>
      <c r="AV214" s="53">
        <v>0</v>
      </c>
      <c r="AW214" s="53">
        <v>0</v>
      </c>
      <c r="AX214" s="53">
        <v>0</v>
      </c>
      <c r="AY214" s="53">
        <v>0</v>
      </c>
    </row>
    <row r="215" spans="27:51" ht="15.75" x14ac:dyDescent="0.15">
      <c r="AB215" s="76">
        <v>7066.7366263414369</v>
      </c>
      <c r="AC215" s="76">
        <v>5608.8996764848598</v>
      </c>
      <c r="AD215" s="76">
        <v>2780.7612465748971</v>
      </c>
      <c r="AE215" s="76">
        <v>1420.5786329346199</v>
      </c>
      <c r="AF215" s="76">
        <v>190.85873319993055</v>
      </c>
      <c r="AG215" s="76">
        <v>97.502019861196345</v>
      </c>
      <c r="AH215" s="78">
        <v>0.75550056927092557</v>
      </c>
      <c r="AI215" s="79">
        <v>1.0944786286488752</v>
      </c>
      <c r="AJ215" s="78">
        <v>0</v>
      </c>
      <c r="AK215" s="79">
        <v>1.0944786286488752</v>
      </c>
      <c r="AL215" s="81">
        <v>9577</v>
      </c>
      <c r="AM215" s="81">
        <v>0</v>
      </c>
      <c r="AN215" s="78">
        <v>0.41702842080111552</v>
      </c>
      <c r="AO215" s="78">
        <v>0.27801894720074366</v>
      </c>
      <c r="AP215" s="78">
        <v>0.69504736800185918</v>
      </c>
      <c r="AQ215" s="77">
        <v>2.5911658084036371</v>
      </c>
      <c r="AR215" s="77">
        <v>34.017473169605502</v>
      </c>
      <c r="AS215" s="77">
        <v>36.608638978009139</v>
      </c>
      <c r="AT215" s="77">
        <v>25.26948125480731</v>
      </c>
      <c r="AU215" s="77">
        <v>30.939060116408228</v>
      </c>
      <c r="AV215" s="77">
        <v>12.040463911071834</v>
      </c>
      <c r="AW215" s="77">
        <v>0</v>
      </c>
      <c r="AX215" s="77">
        <v>0</v>
      </c>
      <c r="AY215" s="76">
        <v>0</v>
      </c>
    </row>
    <row r="216" spans="27:51" x14ac:dyDescent="0.15">
      <c r="AB216" s="51">
        <v>7150.1493365858923</v>
      </c>
      <c r="AC216" s="51">
        <v>5677.153778630237</v>
      </c>
      <c r="AD216" s="51">
        <v>2829.2629952061939</v>
      </c>
      <c r="AE216" s="51">
        <v>1445.214340783642</v>
      </c>
      <c r="AF216" s="51">
        <v>193.14341432148964</v>
      </c>
      <c r="AG216" s="51">
        <v>98.659485766536349</v>
      </c>
      <c r="AH216" s="54">
        <v>0.77614866772091773</v>
      </c>
      <c r="AI216" s="55">
        <v>1.0954740495672763</v>
      </c>
      <c r="AJ216" s="54">
        <v>0</v>
      </c>
      <c r="AK216" s="55">
        <v>1.0954740495672763</v>
      </c>
      <c r="AL216" s="82">
        <v>9956</v>
      </c>
      <c r="AM216" s="82">
        <v>0</v>
      </c>
      <c r="AN216" s="54">
        <v>0.4165136742434038</v>
      </c>
      <c r="AO216" s="54">
        <v>0.2776757828289359</v>
      </c>
      <c r="AP216" s="54">
        <v>0.6941894570723397</v>
      </c>
      <c r="AQ216" s="53">
        <v>0</v>
      </c>
      <c r="AR216" s="53">
        <v>0</v>
      </c>
      <c r="AS216" s="53">
        <v>0</v>
      </c>
      <c r="AT216" s="53">
        <v>0</v>
      </c>
      <c r="AU216" s="53">
        <v>0</v>
      </c>
      <c r="AV216" s="53">
        <v>0</v>
      </c>
      <c r="AW216" s="53">
        <v>0</v>
      </c>
      <c r="AX216" s="53">
        <v>0</v>
      </c>
      <c r="AY216" s="51">
        <v>0</v>
      </c>
    </row>
    <row r="217" spans="27:51" x14ac:dyDescent="0.15">
      <c r="AB217" s="56">
        <v>7218.7358781380071</v>
      </c>
      <c r="AC217" s="56">
        <v>5742.1827053353209</v>
      </c>
      <c r="AD217" s="56">
        <v>2872.9365270065564</v>
      </c>
      <c r="AE217" s="56">
        <v>1469.6730148501797</v>
      </c>
      <c r="AF217" s="56">
        <v>195.0288243679999</v>
      </c>
      <c r="AG217" s="56">
        <v>99.768511276598261</v>
      </c>
      <c r="AH217" s="58">
        <v>0.79697538358465825</v>
      </c>
      <c r="AI217" s="59">
        <v>1.0964522597533219</v>
      </c>
      <c r="AJ217" s="58">
        <v>0</v>
      </c>
      <c r="AK217" s="59">
        <v>1.0964522597533219</v>
      </c>
      <c r="AL217" s="83">
        <v>10330</v>
      </c>
      <c r="AM217" s="83">
        <v>0</v>
      </c>
      <c r="AN217" s="58">
        <v>0.40442584348281335</v>
      </c>
      <c r="AO217" s="58">
        <v>0.23391407945509562</v>
      </c>
      <c r="AP217" s="58">
        <v>0.63833992293790898</v>
      </c>
      <c r="AQ217" s="57">
        <v>0</v>
      </c>
      <c r="AR217" s="57">
        <v>0</v>
      </c>
      <c r="AS217" s="57">
        <v>0</v>
      </c>
      <c r="AT217" s="57">
        <v>0</v>
      </c>
      <c r="AU217" s="57">
        <v>0</v>
      </c>
      <c r="AV217" s="57">
        <v>0</v>
      </c>
      <c r="AW217" s="57">
        <v>0</v>
      </c>
      <c r="AX217" s="57">
        <v>0</v>
      </c>
      <c r="AY217" s="56">
        <v>0</v>
      </c>
    </row>
    <row r="218" spans="27:51" x14ac:dyDescent="0.15">
      <c r="AB218" s="51">
        <v>7290.5168172826088</v>
      </c>
      <c r="AC218" s="51">
        <v>5804.8175000307583</v>
      </c>
      <c r="AD218" s="51">
        <v>2918.8494167095837</v>
      </c>
      <c r="AE218" s="51">
        <v>1494.1482273105194</v>
      </c>
      <c r="AF218" s="51">
        <v>196.99860701634572</v>
      </c>
      <c r="AG218" s="51">
        <v>100.84285875491636</v>
      </c>
      <c r="AH218" s="54">
        <v>0.81842266920165019</v>
      </c>
      <c r="AI218" s="55">
        <v>1.0973451375046974</v>
      </c>
      <c r="AJ218" s="54">
        <v>0.10000020813089452</v>
      </c>
      <c r="AK218" s="55">
        <v>1.0973451375046974</v>
      </c>
      <c r="AL218" s="82">
        <v>10717</v>
      </c>
      <c r="AM218" s="82">
        <v>1310</v>
      </c>
      <c r="AN218" s="54">
        <v>0.38993442357891628</v>
      </c>
      <c r="AO218" s="54">
        <v>0.19704922053297255</v>
      </c>
      <c r="AP218" s="54">
        <v>0.58698364411188886</v>
      </c>
      <c r="AQ218" s="53">
        <v>0.47322410695535605</v>
      </c>
      <c r="AR218" s="53">
        <v>6.00891502762257</v>
      </c>
      <c r="AS218" s="53">
        <v>6.4821391345779258</v>
      </c>
      <c r="AT218" s="53">
        <v>4.4791674587037367</v>
      </c>
      <c r="AU218" s="53">
        <v>5.4806532966408312</v>
      </c>
      <c r="AV218" s="53">
        <v>2.142367170183848</v>
      </c>
      <c r="AW218" s="53">
        <v>6760.3443850765143</v>
      </c>
      <c r="AX218" s="53">
        <v>6760.3443850765143</v>
      </c>
      <c r="AY218" s="51">
        <v>405</v>
      </c>
    </row>
    <row r="219" spans="27:51" x14ac:dyDescent="0.15">
      <c r="AB219" s="51">
        <v>7364.5696261008188</v>
      </c>
      <c r="AC219" s="51">
        <v>5864.9119946532182</v>
      </c>
      <c r="AD219" s="51">
        <v>2966.609571426749</v>
      </c>
      <c r="AE219" s="51">
        <v>1518.5846682899748</v>
      </c>
      <c r="AF219" s="51">
        <v>199.02478978334636</v>
      </c>
      <c r="AG219" s="51">
        <v>101.87926220074485</v>
      </c>
      <c r="AH219" s="54">
        <v>0.83986995481864213</v>
      </c>
      <c r="AI219" s="55">
        <v>1.0982380152560729</v>
      </c>
      <c r="AJ219" s="54">
        <v>0.20000041626178905</v>
      </c>
      <c r="AK219" s="55">
        <v>1.0982380152560729</v>
      </c>
      <c r="AL219" s="82">
        <v>11111</v>
      </c>
      <c r="AM219" s="82">
        <v>2646</v>
      </c>
      <c r="AN219" s="54">
        <v>0.37376486193216862</v>
      </c>
      <c r="AO219" s="54">
        <v>0.16599426337697609</v>
      </c>
      <c r="AP219" s="54">
        <v>0.53975912530914472</v>
      </c>
      <c r="AQ219" s="53">
        <v>0.96115451354128867</v>
      </c>
      <c r="AR219" s="53">
        <v>11.999364217589081</v>
      </c>
      <c r="AS219" s="53">
        <v>12.960518731130369</v>
      </c>
      <c r="AT219" s="53">
        <v>8.9607306586006743</v>
      </c>
      <c r="AU219" s="53">
        <v>10.960624694865523</v>
      </c>
      <c r="AV219" s="53">
        <v>4.2943112406493658</v>
      </c>
      <c r="AW219" s="53">
        <v>13730.778764875551</v>
      </c>
      <c r="AX219" s="53">
        <v>6970.4343797990368</v>
      </c>
      <c r="AY219" s="51">
        <v>822</v>
      </c>
    </row>
    <row r="220" spans="27:51" x14ac:dyDescent="0.15">
      <c r="AB220" s="51">
        <v>7441.2374954357874</v>
      </c>
      <c r="AC220" s="51">
        <v>5922.5401219388114</v>
      </c>
      <c r="AD220" s="51">
        <v>3016.3307644208621</v>
      </c>
      <c r="AE220" s="51">
        <v>1542.7180401046112</v>
      </c>
      <c r="AF220" s="51">
        <v>201.11316391285277</v>
      </c>
      <c r="AG220" s="51">
        <v>102.86037251967092</v>
      </c>
      <c r="AH220" s="54">
        <v>0.86131724043563407</v>
      </c>
      <c r="AI220" s="55">
        <v>1.0991308930074484</v>
      </c>
      <c r="AJ220" s="54">
        <v>0.3000006243926836</v>
      </c>
      <c r="AK220" s="55">
        <v>1.0991308930074484</v>
      </c>
      <c r="AL220" s="82">
        <v>11511</v>
      </c>
      <c r="AM220" s="82">
        <v>4009</v>
      </c>
      <c r="AN220" s="54">
        <v>0.35650038710895227</v>
      </c>
      <c r="AO220" s="54">
        <v>0.13983356746876466</v>
      </c>
      <c r="AP220" s="54">
        <v>0.4963339545777169</v>
      </c>
      <c r="AQ220" s="53">
        <v>1.464283897908347</v>
      </c>
      <c r="AR220" s="53">
        <v>17.952474085639185</v>
      </c>
      <c r="AS220" s="53">
        <v>19.416757983547534</v>
      </c>
      <c r="AT220" s="53">
        <v>13.432599955001136</v>
      </c>
      <c r="AU220" s="53">
        <v>16.424678969274336</v>
      </c>
      <c r="AV220" s="53">
        <v>6.4510822550303422</v>
      </c>
      <c r="AW220" s="53">
        <v>20918.341398690667</v>
      </c>
      <c r="AX220" s="53">
        <v>7187.562633815116</v>
      </c>
      <c r="AY220" s="51">
        <v>1253</v>
      </c>
    </row>
    <row r="221" spans="27:51" x14ac:dyDescent="0.15">
      <c r="AB221" s="51">
        <v>7518.9579567722485</v>
      </c>
      <c r="AC221" s="51">
        <v>5979.2213554282898</v>
      </c>
      <c r="AD221" s="51">
        <v>3067.3791643300074</v>
      </c>
      <c r="AE221" s="51">
        <v>1566.9402409834231</v>
      </c>
      <c r="AF221" s="51">
        <v>203.24243602647536</v>
      </c>
      <c r="AG221" s="51">
        <v>103.82438382212354</v>
      </c>
      <c r="AH221" s="54">
        <v>0.88276452605262601</v>
      </c>
      <c r="AI221" s="55">
        <v>1.1000237707588238</v>
      </c>
      <c r="AJ221" s="54">
        <v>0.4000008325235781</v>
      </c>
      <c r="AK221" s="55">
        <v>1.1000237707588238</v>
      </c>
      <c r="AL221" s="82">
        <v>11916</v>
      </c>
      <c r="AM221" s="82">
        <v>5399</v>
      </c>
      <c r="AN221" s="54">
        <v>0.33860666622551072</v>
      </c>
      <c r="AO221" s="54">
        <v>0.11779579723568735</v>
      </c>
      <c r="AP221" s="54">
        <v>0.45640246346119806</v>
      </c>
      <c r="AQ221" s="53">
        <v>1.9829933128260118</v>
      </c>
      <c r="AR221" s="53">
        <v>23.857247971014363</v>
      </c>
      <c r="AS221" s="53">
        <v>25.840241283840374</v>
      </c>
      <c r="AT221" s="53">
        <v>17.887825293502253</v>
      </c>
      <c r="AU221" s="53">
        <v>21.864033288671319</v>
      </c>
      <c r="AV221" s="53">
        <v>8.6100066381077802</v>
      </c>
      <c r="AW221" s="53">
        <v>28328.47589751445</v>
      </c>
      <c r="AX221" s="53">
        <v>7410.1344988237834</v>
      </c>
      <c r="AY221" s="51">
        <v>1696</v>
      </c>
    </row>
    <row r="222" spans="27:51" x14ac:dyDescent="0.15">
      <c r="AB222" s="51">
        <v>7573.756130983561</v>
      </c>
      <c r="AC222" s="51">
        <v>6032.3144408957041</v>
      </c>
      <c r="AD222" s="51">
        <v>3109.8790630230233</v>
      </c>
      <c r="AE222" s="51">
        <v>1590.542967431815</v>
      </c>
      <c r="AF222" s="51">
        <v>204.76124433719423</v>
      </c>
      <c r="AG222" s="51">
        <v>104.72483031752567</v>
      </c>
      <c r="AH222" s="54">
        <v>0.90421181166961795</v>
      </c>
      <c r="AI222" s="55">
        <v>1.1009166485101993</v>
      </c>
      <c r="AJ222" s="54">
        <v>0.50000104065447259</v>
      </c>
      <c r="AK222" s="55">
        <v>1.1009166485101993</v>
      </c>
      <c r="AL222" s="82">
        <v>12303</v>
      </c>
      <c r="AM222" s="82">
        <v>6803</v>
      </c>
      <c r="AN222" s="54">
        <v>0.32045239581641949</v>
      </c>
      <c r="AO222" s="54">
        <v>9.9231179591343033E-2</v>
      </c>
      <c r="AP222" s="54">
        <v>0.41968357540776252</v>
      </c>
      <c r="AQ222" s="53">
        <v>2.5124412632867896</v>
      </c>
      <c r="AR222" s="53">
        <v>29.658928813792386</v>
      </c>
      <c r="AS222" s="53">
        <v>32.171370077079175</v>
      </c>
      <c r="AT222" s="53">
        <v>22.285060472481714</v>
      </c>
      <c r="AU222" s="53">
        <v>27.228215274780446</v>
      </c>
      <c r="AV222" s="53">
        <v>10.751032600451342</v>
      </c>
      <c r="AW222" s="53">
        <v>35892.018046954137</v>
      </c>
      <c r="AX222" s="53">
        <v>7563.5421494396869</v>
      </c>
      <c r="AY222" s="51">
        <v>2149</v>
      </c>
    </row>
    <row r="223" spans="27:51" x14ac:dyDescent="0.15">
      <c r="AB223" s="51">
        <v>7630.5488078608842</v>
      </c>
      <c r="AC223" s="51">
        <v>6083.348788431239</v>
      </c>
      <c r="AD223" s="51">
        <v>3153.8801706621807</v>
      </c>
      <c r="AE223" s="51">
        <v>1614.1591829003678</v>
      </c>
      <c r="AF223" s="51">
        <v>206.3163119888215</v>
      </c>
      <c r="AG223" s="51">
        <v>105.59290510678213</v>
      </c>
      <c r="AH223" s="54">
        <v>0.92565909728660989</v>
      </c>
      <c r="AI223" s="55">
        <v>1.1018095262615748</v>
      </c>
      <c r="AJ223" s="54">
        <v>0.60000124878536709</v>
      </c>
      <c r="AK223" s="55">
        <v>1.1018095262615748</v>
      </c>
      <c r="AL223" s="82">
        <v>12694</v>
      </c>
      <c r="AM223" s="82">
        <v>8228</v>
      </c>
      <c r="AN223" s="54">
        <v>0.30232648159311698</v>
      </c>
      <c r="AO223" s="54">
        <v>8.3592345687747371E-2</v>
      </c>
      <c r="AP223" s="54">
        <v>0.38591882728086435</v>
      </c>
      <c r="AQ223" s="53">
        <v>3.0555672967434475</v>
      </c>
      <c r="AR223" s="53">
        <v>35.374756007744296</v>
      </c>
      <c r="AS223" s="53">
        <v>38.430323304487743</v>
      </c>
      <c r="AT223" s="53">
        <v>26.638737968572979</v>
      </c>
      <c r="AU223" s="53">
        <v>32.534530636530363</v>
      </c>
      <c r="AV223" s="53">
        <v>12.881888410005752</v>
      </c>
      <c r="AW223" s="53">
        <v>43650.961382049245</v>
      </c>
      <c r="AX223" s="53">
        <v>7758.9433350951076</v>
      </c>
      <c r="AY223" s="51">
        <v>2614</v>
      </c>
    </row>
    <row r="224" spans="27:51" x14ac:dyDescent="0.15">
      <c r="AB224" s="51">
        <v>7689.8445545875629</v>
      </c>
      <c r="AC224" s="51">
        <v>6132.2117449544203</v>
      </c>
      <c r="AD224" s="51">
        <v>3199.5933733652041</v>
      </c>
      <c r="AE224" s="51">
        <v>1637.7528744272622</v>
      </c>
      <c r="AF224" s="51">
        <v>207.94271560503736</v>
      </c>
      <c r="AG224" s="51">
        <v>106.43814399458347</v>
      </c>
      <c r="AH224" s="54">
        <v>0.94710638290360183</v>
      </c>
      <c r="AI224" s="55">
        <v>1.1027024040129503</v>
      </c>
      <c r="AJ224" s="54">
        <v>0.70000145691626159</v>
      </c>
      <c r="AK224" s="55">
        <v>1.1027024040129503</v>
      </c>
      <c r="AL224" s="82">
        <v>13091</v>
      </c>
      <c r="AM224" s="82">
        <v>9675</v>
      </c>
      <c r="AN224" s="54">
        <v>0.28445235803771951</v>
      </c>
      <c r="AO224" s="54">
        <v>7.0418192007358382E-2</v>
      </c>
      <c r="AP224" s="54">
        <v>0.35487055004507789</v>
      </c>
      <c r="AQ224" s="53">
        <v>3.6133829472295464</v>
      </c>
      <c r="AR224" s="53">
        <v>41.018099359462234</v>
      </c>
      <c r="AS224" s="53">
        <v>44.63148230669178</v>
      </c>
      <c r="AT224" s="53">
        <v>30.958782520204362</v>
      </c>
      <c r="AU224" s="53">
        <v>37.795132413448073</v>
      </c>
      <c r="AV224" s="53">
        <v>15.007299435969054</v>
      </c>
      <c r="AW224" s="53">
        <v>51619.756388993519</v>
      </c>
      <c r="AX224" s="53">
        <v>7968.7950069442741</v>
      </c>
      <c r="AY224" s="51">
        <v>3091</v>
      </c>
    </row>
    <row r="225" spans="28:51" x14ac:dyDescent="0.15">
      <c r="AB225" s="51">
        <v>7750.9973961619344</v>
      </c>
      <c r="AC225" s="51">
        <v>6178.9762338978881</v>
      </c>
      <c r="AD225" s="51">
        <v>3246.727265754429</v>
      </c>
      <c r="AE225" s="51">
        <v>1660.795384257292</v>
      </c>
      <c r="AF225" s="51">
        <v>209.61849846232644</v>
      </c>
      <c r="AG225" s="51">
        <v>107.22595592589191</v>
      </c>
      <c r="AH225" s="54">
        <v>0.96855366852059377</v>
      </c>
      <c r="AI225" s="55">
        <v>1.1035952817643258</v>
      </c>
      <c r="AJ225" s="54">
        <v>0.80000166504715609</v>
      </c>
      <c r="AK225" s="55">
        <v>1.1035952817643258</v>
      </c>
      <c r="AL225" s="82">
        <v>13492</v>
      </c>
      <c r="AM225" s="82">
        <v>11144</v>
      </c>
      <c r="AN225" s="54">
        <v>0.26699991087398522</v>
      </c>
      <c r="AO225" s="54">
        <v>5.9320284946998703E-2</v>
      </c>
      <c r="AP225" s="54">
        <v>0.32632019582098393</v>
      </c>
      <c r="AQ225" s="53">
        <v>4.1857281816285106</v>
      </c>
      <c r="AR225" s="53">
        <v>46.593582674041272</v>
      </c>
      <c r="AS225" s="53">
        <v>50.779310855669785</v>
      </c>
      <c r="AT225" s="53">
        <v>35.248116630989351</v>
      </c>
      <c r="AU225" s="53">
        <v>43.013713743329575</v>
      </c>
      <c r="AV225" s="53">
        <v>17.128390035528859</v>
      </c>
      <c r="AW225" s="53">
        <v>59796.11688040728</v>
      </c>
      <c r="AX225" s="53">
        <v>8176.3604914137613</v>
      </c>
      <c r="AY225" s="51">
        <v>3581</v>
      </c>
    </row>
    <row r="226" spans="28:51" x14ac:dyDescent="0.15">
      <c r="AB226" s="60">
        <v>7816.0954036218545</v>
      </c>
      <c r="AC226" s="60">
        <v>6223.4441450325166</v>
      </c>
      <c r="AD226" s="60">
        <v>3296.1405310869736</v>
      </c>
      <c r="AE226" s="60">
        <v>1683.7432089630588</v>
      </c>
      <c r="AF226" s="60">
        <v>211.39870312834202</v>
      </c>
      <c r="AG226" s="60">
        <v>107.98724369272094</v>
      </c>
      <c r="AH226" s="62">
        <v>0.99000095413758615</v>
      </c>
      <c r="AI226" s="63">
        <v>1.1044881595157015</v>
      </c>
      <c r="AJ226" s="62">
        <v>0.90000187317805069</v>
      </c>
      <c r="AK226" s="63">
        <v>1.1044881595157015</v>
      </c>
      <c r="AL226" s="84">
        <v>13900</v>
      </c>
      <c r="AM226" s="84">
        <v>12636</v>
      </c>
      <c r="AN226" s="62">
        <v>0.25009539149393989</v>
      </c>
      <c r="AO226" s="62">
        <v>4.9971408039351711E-2</v>
      </c>
      <c r="AP226" s="62">
        <v>0.30006679953329157</v>
      </c>
      <c r="AQ226" s="61">
        <v>4.7750705748042419</v>
      </c>
      <c r="AR226" s="61">
        <v>52.133169463647597</v>
      </c>
      <c r="AS226" s="61">
        <v>56.908240038451837</v>
      </c>
      <c r="AT226" s="61">
        <v>39.530516883902635</v>
      </c>
      <c r="AU226" s="61">
        <v>48.219378461177243</v>
      </c>
      <c r="AV226" s="61">
        <v>19.256506536928576</v>
      </c>
      <c r="AW226" s="61">
        <v>68215.29392577488</v>
      </c>
      <c r="AX226" s="61">
        <v>8419.1770453675999</v>
      </c>
      <c r="AY226" s="60">
        <v>4085</v>
      </c>
    </row>
    <row r="227" spans="28:51" x14ac:dyDescent="0.15">
      <c r="AB227" s="51">
        <v>7860.1418803915858</v>
      </c>
      <c r="AC227" s="51">
        <v>6265.8729254796363</v>
      </c>
      <c r="AD227" s="51">
        <v>3337.2271523225127</v>
      </c>
      <c r="AE227" s="51">
        <v>1706.3877129738419</v>
      </c>
      <c r="AF227" s="51">
        <v>212.61561218703864</v>
      </c>
      <c r="AG227" s="51">
        <v>108.7144062009335</v>
      </c>
      <c r="AH227" s="54">
        <v>0.99100085872382748</v>
      </c>
      <c r="AI227" s="55">
        <v>1.1052246177695439</v>
      </c>
      <c r="AJ227" s="54">
        <v>0.90500574564082903</v>
      </c>
      <c r="AK227" s="55">
        <v>1.1052246177695439</v>
      </c>
      <c r="AL227" s="82">
        <v>13999</v>
      </c>
      <c r="AM227" s="82">
        <v>12784</v>
      </c>
      <c r="AN227" s="54">
        <v>0.24559438950094051</v>
      </c>
      <c r="AO227" s="54">
        <v>4.9971408039351711E-2</v>
      </c>
      <c r="AP227" s="54">
        <v>0.29556579754029222</v>
      </c>
      <c r="AQ227" s="53">
        <v>4.8599047816799699</v>
      </c>
      <c r="AR227" s="53">
        <v>52.557548102282773</v>
      </c>
      <c r="AS227" s="53">
        <v>57.417452883962746</v>
      </c>
      <c r="AT227" s="53">
        <v>39.898270183201824</v>
      </c>
      <c r="AU227" s="53">
        <v>48.657861533582285</v>
      </c>
      <c r="AV227" s="53">
        <v>19.459223698980743</v>
      </c>
      <c r="AW227" s="53">
        <v>69427.211166856709</v>
      </c>
      <c r="AX227" s="53">
        <v>1211.9172410818283</v>
      </c>
      <c r="AY227" s="51">
        <v>4157</v>
      </c>
    </row>
    <row r="228" spans="28:51" x14ac:dyDescent="0.15">
      <c r="AB228" s="51">
        <v>7905.5594140785988</v>
      </c>
      <c r="AC228" s="51">
        <v>6306.4058629148285</v>
      </c>
      <c r="AD228" s="51">
        <v>3379.3402025964142</v>
      </c>
      <c r="AE228" s="51">
        <v>1728.7427324806984</v>
      </c>
      <c r="AF228" s="51">
        <v>213.86064304793859</v>
      </c>
      <c r="AG228" s="51">
        <v>109.40302256301896</v>
      </c>
      <c r="AH228" s="54">
        <v>0.99200076331006892</v>
      </c>
      <c r="AI228" s="55">
        <v>1.1059610760233864</v>
      </c>
      <c r="AJ228" s="54">
        <v>0.91000961810360737</v>
      </c>
      <c r="AK228" s="55">
        <v>1.1059610760233864</v>
      </c>
      <c r="AL228" s="82">
        <v>14098</v>
      </c>
      <c r="AM228" s="82">
        <v>12933</v>
      </c>
      <c r="AN228" s="54">
        <v>0.24116090253783615</v>
      </c>
      <c r="AO228" s="54">
        <v>4.9971408039351711E-2</v>
      </c>
      <c r="AP228" s="54">
        <v>0.29113231057718786</v>
      </c>
      <c r="AQ228" s="53">
        <v>4.9460271810082723</v>
      </c>
      <c r="AR228" s="53">
        <v>52.981716594093406</v>
      </c>
      <c r="AS228" s="53">
        <v>57.927743775101675</v>
      </c>
      <c r="AT228" s="53">
        <v>40.267171577070542</v>
      </c>
      <c r="AU228" s="53">
        <v>49.097457676086108</v>
      </c>
      <c r="AV228" s="53">
        <v>19.66317067936755</v>
      </c>
      <c r="AW228" s="53">
        <v>70657.531157261023</v>
      </c>
      <c r="AX228" s="53">
        <v>1230.319990404314</v>
      </c>
      <c r="AY228" s="51">
        <v>4231</v>
      </c>
    </row>
    <row r="229" spans="28:51" x14ac:dyDescent="0.15">
      <c r="AB229" s="51">
        <v>7952.9462783684476</v>
      </c>
      <c r="AC229" s="51">
        <v>6345.1238241106039</v>
      </c>
      <c r="AD229" s="51">
        <v>3422.7233422886925</v>
      </c>
      <c r="AE229" s="51">
        <v>1750.8180673475313</v>
      </c>
      <c r="AF229" s="51">
        <v>215.15929162960492</v>
      </c>
      <c r="AG229" s="51">
        <v>110.05995444870381</v>
      </c>
      <c r="AH229" s="54">
        <v>0.99300066789631036</v>
      </c>
      <c r="AI229" s="55">
        <v>1.1066975342772289</v>
      </c>
      <c r="AJ229" s="54">
        <v>0.9150134905663857</v>
      </c>
      <c r="AK229" s="55">
        <v>1.1066975342772289</v>
      </c>
      <c r="AL229" s="82">
        <v>14198</v>
      </c>
      <c r="AM229" s="82">
        <v>13083</v>
      </c>
      <c r="AN229" s="54">
        <v>0.23679391787917833</v>
      </c>
      <c r="AO229" s="54">
        <v>4.9971408039351711E-2</v>
      </c>
      <c r="AP229" s="54">
        <v>0.28676532591853005</v>
      </c>
      <c r="AQ229" s="53">
        <v>5.0336607998373628</v>
      </c>
      <c r="AR229" s="53">
        <v>53.407856425975751</v>
      </c>
      <c r="AS229" s="53">
        <v>58.441517225813115</v>
      </c>
      <c r="AT229" s="53">
        <v>40.638898417154529</v>
      </c>
      <c r="AU229" s="53">
        <v>49.540207821483826</v>
      </c>
      <c r="AV229" s="53">
        <v>19.869176473719513</v>
      </c>
      <c r="AW229" s="53">
        <v>71909.4399976766</v>
      </c>
      <c r="AX229" s="53">
        <v>1251.9088404155773</v>
      </c>
      <c r="AY229" s="51">
        <v>4306</v>
      </c>
    </row>
    <row r="230" spans="28:51" x14ac:dyDescent="0.15">
      <c r="AB230" s="51">
        <v>8001.8950812717385</v>
      </c>
      <c r="AC230" s="51">
        <v>6382.0949826112683</v>
      </c>
      <c r="AD230" s="51">
        <v>3467.1926079945747</v>
      </c>
      <c r="AE230" s="51">
        <v>1772.6203982825125</v>
      </c>
      <c r="AF230" s="51">
        <v>216.50992134730456</v>
      </c>
      <c r="AG230" s="51">
        <v>110.6918323850369</v>
      </c>
      <c r="AH230" s="54">
        <v>0.9940005724825518</v>
      </c>
      <c r="AI230" s="55">
        <v>1.1074339925310714</v>
      </c>
      <c r="AJ230" s="54">
        <v>0.92001736302916404</v>
      </c>
      <c r="AK230" s="55">
        <v>1.1074339925310714</v>
      </c>
      <c r="AL230" s="82">
        <v>14298</v>
      </c>
      <c r="AM230" s="82">
        <v>13234</v>
      </c>
      <c r="AN230" s="54">
        <v>0.2324924379904004</v>
      </c>
      <c r="AO230" s="54">
        <v>4.9971408039351711E-2</v>
      </c>
      <c r="AP230" s="54">
        <v>0.28246384602975211</v>
      </c>
      <c r="AQ230" s="53">
        <v>5.1226409959088928</v>
      </c>
      <c r="AR230" s="53">
        <v>53.834928766691476</v>
      </c>
      <c r="AS230" s="53">
        <v>58.957569762600372</v>
      </c>
      <c r="AT230" s="53">
        <v>41.012593507036549</v>
      </c>
      <c r="AU230" s="53">
        <v>49.985081634818457</v>
      </c>
      <c r="AV230" s="53">
        <v>20.076787875545413</v>
      </c>
      <c r="AW230" s="53">
        <v>73180.585655841307</v>
      </c>
      <c r="AX230" s="53">
        <v>1271.1456581647071</v>
      </c>
      <c r="AY230" s="51">
        <v>4382</v>
      </c>
    </row>
    <row r="231" spans="28:51" x14ac:dyDescent="0.15">
      <c r="AB231" s="51">
        <v>8053.1294836434545</v>
      </c>
      <c r="AC231" s="51">
        <v>6418.483138168931</v>
      </c>
      <c r="AD231" s="51">
        <v>3513.0174369073707</v>
      </c>
      <c r="AE231" s="51">
        <v>1794.4445066839505</v>
      </c>
      <c r="AF231" s="51">
        <v>217.90527058267386</v>
      </c>
      <c r="AG231" s="51">
        <v>111.30571447398971</v>
      </c>
      <c r="AH231" s="54">
        <v>0.99500047706879324</v>
      </c>
      <c r="AI231" s="55">
        <v>1.1081704507849139</v>
      </c>
      <c r="AJ231" s="54">
        <v>0.92502123549194237</v>
      </c>
      <c r="AK231" s="55">
        <v>1.1081704507849139</v>
      </c>
      <c r="AL231" s="82">
        <v>14400</v>
      </c>
      <c r="AM231" s="82">
        <v>13387</v>
      </c>
      <c r="AN231" s="54">
        <v>0.2282554802999541</v>
      </c>
      <c r="AO231" s="54">
        <v>4.9971408039351711E-2</v>
      </c>
      <c r="AP231" s="54">
        <v>0.27822688833930581</v>
      </c>
      <c r="AQ231" s="53">
        <v>5.2135283426913936</v>
      </c>
      <c r="AR231" s="53">
        <v>54.269301784375742</v>
      </c>
      <c r="AS231" s="53">
        <v>59.482830127067132</v>
      </c>
      <c r="AT231" s="53">
        <v>41.393062865608556</v>
      </c>
      <c r="AU231" s="53">
        <v>50.437946496337844</v>
      </c>
      <c r="AV231" s="53">
        <v>20.288334393906879</v>
      </c>
      <c r="AW231" s="53">
        <v>74478.976324162766</v>
      </c>
      <c r="AX231" s="53">
        <v>1298.3906683214591</v>
      </c>
      <c r="AY231" s="51">
        <v>4460</v>
      </c>
    </row>
    <row r="232" spans="28:51" x14ac:dyDescent="0.15">
      <c r="AB232" s="51">
        <v>8087.6897995174704</v>
      </c>
      <c r="AC232" s="51">
        <v>6452.9539468575476</v>
      </c>
      <c r="AD232" s="51">
        <v>3551.8929051738019</v>
      </c>
      <c r="AE232" s="51">
        <v>1815.9215469772521</v>
      </c>
      <c r="AF232" s="51">
        <v>218.86604392380528</v>
      </c>
      <c r="AG232" s="51">
        <v>111.89626930586184</v>
      </c>
      <c r="AH232" s="54">
        <v>0.99600038165503468</v>
      </c>
      <c r="AI232" s="55">
        <v>1.1089069090387564</v>
      </c>
      <c r="AJ232" s="54">
        <v>0.93002510795472071</v>
      </c>
      <c r="AK232" s="55">
        <v>1.1089069090387564</v>
      </c>
      <c r="AL232" s="82">
        <v>14483</v>
      </c>
      <c r="AM232" s="82">
        <v>13523</v>
      </c>
      <c r="AN232" s="54">
        <v>0.22408207697486451</v>
      </c>
      <c r="AO232" s="54">
        <v>4.9971408039351711E-2</v>
      </c>
      <c r="AP232" s="54">
        <v>0.27405348501421622</v>
      </c>
      <c r="AQ232" s="53">
        <v>5.2972244264026438</v>
      </c>
      <c r="AR232" s="53">
        <v>54.626956234492638</v>
      </c>
      <c r="AS232" s="53">
        <v>59.924180660895281</v>
      </c>
      <c r="AT232" s="53">
        <v>41.715195249397738</v>
      </c>
      <c r="AU232" s="53">
        <v>50.819687955146513</v>
      </c>
      <c r="AV232" s="53">
        <v>20.471378935983935</v>
      </c>
      <c r="AW232" s="53">
        <v>75674.63466289491</v>
      </c>
      <c r="AX232" s="53">
        <v>1195.6583387321443</v>
      </c>
      <c r="AY232" s="51">
        <v>4531</v>
      </c>
    </row>
    <row r="233" spans="28:51" x14ac:dyDescent="0.15">
      <c r="AB233" s="51">
        <v>8124.4358870258056</v>
      </c>
      <c r="AC233" s="51">
        <v>6485.2288364091264</v>
      </c>
      <c r="AD233" s="51">
        <v>3591.9518015335984</v>
      </c>
      <c r="AE233" s="51">
        <v>1836.9409218928024</v>
      </c>
      <c r="AF233" s="51">
        <v>219.87584530771605</v>
      </c>
      <c r="AG233" s="51">
        <v>112.44553387633677</v>
      </c>
      <c r="AH233" s="54">
        <v>0.99700028624127612</v>
      </c>
      <c r="AI233" s="55">
        <v>1.1096433672925989</v>
      </c>
      <c r="AJ233" s="54">
        <v>0.93502898041749904</v>
      </c>
      <c r="AK233" s="55">
        <v>1.1096433672925989</v>
      </c>
      <c r="AL233" s="82">
        <v>14566</v>
      </c>
      <c r="AM233" s="82">
        <v>13661</v>
      </c>
      <c r="AN233" s="54">
        <v>0.21997127469965125</v>
      </c>
      <c r="AO233" s="54">
        <v>4.9971408039351711E-2</v>
      </c>
      <c r="AP233" s="54">
        <v>0.26994268273900296</v>
      </c>
      <c r="AQ233" s="53">
        <v>5.3832453916425012</v>
      </c>
      <c r="AR233" s="53">
        <v>55.004722945096901</v>
      </c>
      <c r="AS233" s="53">
        <v>60.387968336739405</v>
      </c>
      <c r="AT233" s="53">
        <v>42.053060688373769</v>
      </c>
      <c r="AU233" s="53">
        <v>51.220514512556583</v>
      </c>
      <c r="AV233" s="53">
        <v>20.662335098613863</v>
      </c>
      <c r="AW233" s="53">
        <v>76903.505594892864</v>
      </c>
      <c r="AX233" s="53">
        <v>1228.8709319979534</v>
      </c>
      <c r="AY233" s="51">
        <v>4605</v>
      </c>
    </row>
    <row r="234" spans="28:51" x14ac:dyDescent="0.15">
      <c r="AB234" s="51">
        <v>8162.8184380610737</v>
      </c>
      <c r="AC234" s="51">
        <v>6516.0138121164691</v>
      </c>
      <c r="AD234" s="51">
        <v>3632.9479850329521</v>
      </c>
      <c r="AE234" s="51">
        <v>1857.6891842381278</v>
      </c>
      <c r="AF234" s="51">
        <v>220.92954410830089</v>
      </c>
      <c r="AG234" s="51">
        <v>112.97118105172329</v>
      </c>
      <c r="AH234" s="54">
        <v>0.99800019082751756</v>
      </c>
      <c r="AI234" s="55">
        <v>1.1103798255464414</v>
      </c>
      <c r="AJ234" s="54">
        <v>0.94003285288027738</v>
      </c>
      <c r="AK234" s="55">
        <v>1.1103798255464414</v>
      </c>
      <c r="AL234" s="82">
        <v>14650</v>
      </c>
      <c r="AM234" s="82">
        <v>13799</v>
      </c>
      <c r="AN234" s="54">
        <v>0.2159221344585662</v>
      </c>
      <c r="AO234" s="54">
        <v>4.9971408039351711E-2</v>
      </c>
      <c r="AP234" s="54">
        <v>0.26589354249791791</v>
      </c>
      <c r="AQ234" s="53">
        <v>5.4704474240327272</v>
      </c>
      <c r="AR234" s="53">
        <v>55.384392956888668</v>
      </c>
      <c r="AS234" s="53">
        <v>60.854840380921395</v>
      </c>
      <c r="AT234" s="53">
        <v>42.393376061958513</v>
      </c>
      <c r="AU234" s="53">
        <v>51.624108221439961</v>
      </c>
      <c r="AV234" s="53">
        <v>20.855001023168469</v>
      </c>
      <c r="AW234" s="53">
        <v>78149.248914753232</v>
      </c>
      <c r="AX234" s="53">
        <v>1245.7433198603685</v>
      </c>
      <c r="AY234" s="51">
        <v>4680</v>
      </c>
    </row>
    <row r="235" spans="28:51" x14ac:dyDescent="0.15">
      <c r="AB235" s="51">
        <v>8202.4197980539175</v>
      </c>
      <c r="AC235" s="51">
        <v>6545.3693045407381</v>
      </c>
      <c r="AD235" s="51">
        <v>3674.6767362073824</v>
      </c>
      <c r="AE235" s="51">
        <v>1878.1666428126744</v>
      </c>
      <c r="AF235" s="51">
        <v>222.0135405018238</v>
      </c>
      <c r="AG235" s="51">
        <v>113.4734987474375</v>
      </c>
      <c r="AH235" s="54">
        <v>0.999000095413759</v>
      </c>
      <c r="AI235" s="55">
        <v>1.1111162838002839</v>
      </c>
      <c r="AJ235" s="54">
        <v>0.94503672534305572</v>
      </c>
      <c r="AK235" s="55">
        <v>1.1111162838002839</v>
      </c>
      <c r="AL235" s="82">
        <v>14733</v>
      </c>
      <c r="AM235" s="82">
        <v>13937</v>
      </c>
      <c r="AN235" s="54">
        <v>0.21193373132109741</v>
      </c>
      <c r="AO235" s="54">
        <v>4.9971408039351711E-2</v>
      </c>
      <c r="AP235" s="54">
        <v>0.26190513936044912</v>
      </c>
      <c r="AQ235" s="53">
        <v>5.5575436712555817</v>
      </c>
      <c r="AR235" s="53">
        <v>55.745764918240084</v>
      </c>
      <c r="AS235" s="53">
        <v>61.303308589495664</v>
      </c>
      <c r="AT235" s="53">
        <v>42.721386950082305</v>
      </c>
      <c r="AU235" s="53">
        <v>52.012347769788988</v>
      </c>
      <c r="AV235" s="53">
        <v>21.042478370766716</v>
      </c>
      <c r="AW235" s="53">
        <v>79393.48101793688</v>
      </c>
      <c r="AX235" s="53">
        <v>1244.2321031836473</v>
      </c>
      <c r="AY235" s="51">
        <v>4754</v>
      </c>
    </row>
    <row r="236" spans="28:51" x14ac:dyDescent="0.15">
      <c r="AB236" s="60">
        <v>8240.6873019412615</v>
      </c>
      <c r="AC236" s="60">
        <v>6573.4595783724544</v>
      </c>
      <c r="AD236" s="60">
        <v>3715.9770851422777</v>
      </c>
      <c r="AE236" s="60">
        <v>1898.1465942669477</v>
      </c>
      <c r="AF236" s="60">
        <v>223.06696228415336</v>
      </c>
      <c r="AG236" s="60">
        <v>113.94413502873569</v>
      </c>
      <c r="AH236" s="62">
        <v>1</v>
      </c>
      <c r="AI236" s="63">
        <v>1.1118527420541255</v>
      </c>
      <c r="AJ236" s="62">
        <v>0.95004059780583416</v>
      </c>
      <c r="AK236" s="63">
        <v>1.1118527420541255</v>
      </c>
      <c r="AL236" s="84">
        <v>14814</v>
      </c>
      <c r="AM236" s="84">
        <v>14074</v>
      </c>
      <c r="AN236" s="62">
        <v>0.20800515423069069</v>
      </c>
      <c r="AO236" s="62">
        <v>4.9971408039351711E-2</v>
      </c>
      <c r="AP236" s="62">
        <v>0.2579765622700424</v>
      </c>
      <c r="AQ236" s="61">
        <v>5.6454260586258007</v>
      </c>
      <c r="AR236" s="61">
        <v>56.119360045480704</v>
      </c>
      <c r="AS236" s="61">
        <v>61.764786104106506</v>
      </c>
      <c r="AT236" s="61">
        <v>43.05833275561293</v>
      </c>
      <c r="AU236" s="61">
        <v>52.411559429859714</v>
      </c>
      <c r="AV236" s="61">
        <v>21.234137182370439</v>
      </c>
      <c r="AW236" s="61">
        <v>80648.943694654285</v>
      </c>
      <c r="AX236" s="61">
        <v>1255.462676717405</v>
      </c>
      <c r="AY236" s="60">
        <v>4829</v>
      </c>
    </row>
    <row r="237" spans="28:51" x14ac:dyDescent="0.15">
      <c r="AB237" s="51">
        <v>8267.4158513119201</v>
      </c>
      <c r="AC237" s="51">
        <v>6600.6826242529378</v>
      </c>
      <c r="AD237" s="51">
        <v>3752.1650920242469</v>
      </c>
      <c r="AE237" s="51">
        <v>1917.9865457915282</v>
      </c>
      <c r="AF237" s="51">
        <v>223.8008354620105</v>
      </c>
      <c r="AG237" s="51">
        <v>114.39981472709299</v>
      </c>
      <c r="AH237" s="54">
        <v>1</v>
      </c>
      <c r="AI237" s="55">
        <v>1.1124390398398296</v>
      </c>
      <c r="AJ237" s="54">
        <v>0.95503653802525079</v>
      </c>
      <c r="AK237" s="55">
        <v>1.1124390398398296</v>
      </c>
      <c r="AL237" s="82">
        <v>14868</v>
      </c>
      <c r="AM237" s="82">
        <v>14199</v>
      </c>
      <c r="AN237" s="54">
        <v>0.20542538860799028</v>
      </c>
      <c r="AO237" s="54">
        <v>4.9971408039351711E-2</v>
      </c>
      <c r="AP237" s="54">
        <v>0.25539679664734199</v>
      </c>
      <c r="AQ237" s="53">
        <v>5.728472685071055</v>
      </c>
      <c r="AR237" s="53">
        <v>56.495449877577698</v>
      </c>
      <c r="AS237" s="53">
        <v>62.223922562648752</v>
      </c>
      <c r="AT237" s="53">
        <v>43.39210593678952</v>
      </c>
      <c r="AU237" s="53">
        <v>52.808014249719136</v>
      </c>
      <c r="AV237" s="53">
        <v>21.421653206620416</v>
      </c>
      <c r="AW237" s="53">
        <v>81835.324072443633</v>
      </c>
      <c r="AX237" s="53">
        <v>1186.3803777893481</v>
      </c>
      <c r="AY237" s="51">
        <v>4900</v>
      </c>
    </row>
    <row r="238" spans="28:51" x14ac:dyDescent="0.15">
      <c r="AB238" s="51">
        <v>8294.9486327786617</v>
      </c>
      <c r="AC238" s="51">
        <v>6626.0112975212787</v>
      </c>
      <c r="AD238" s="51">
        <v>3788.7628668331827</v>
      </c>
      <c r="AE238" s="51">
        <v>1937.6423621907813</v>
      </c>
      <c r="AF238" s="51">
        <v>224.56114302826498</v>
      </c>
      <c r="AG238" s="51">
        <v>114.84466009804443</v>
      </c>
      <c r="AH238" s="54">
        <v>1</v>
      </c>
      <c r="AI238" s="55">
        <v>1.1130253376255337</v>
      </c>
      <c r="AJ238" s="54">
        <v>0.96003247824466742</v>
      </c>
      <c r="AK238" s="55">
        <v>1.1130253376255337</v>
      </c>
      <c r="AL238" s="82">
        <v>14921</v>
      </c>
      <c r="AM238" s="82">
        <v>14325</v>
      </c>
      <c r="AN238" s="54">
        <v>0.20287142064151684</v>
      </c>
      <c r="AO238" s="54">
        <v>4.9971408039351711E-2</v>
      </c>
      <c r="AP238" s="54">
        <v>0.25284282868086855</v>
      </c>
      <c r="AQ238" s="53">
        <v>5.8122340240435433</v>
      </c>
      <c r="AR238" s="53">
        <v>56.868631613696436</v>
      </c>
      <c r="AS238" s="53">
        <v>62.680865637739977</v>
      </c>
      <c r="AT238" s="53">
        <v>43.724655099841165</v>
      </c>
      <c r="AU238" s="53">
        <v>53.202760368790571</v>
      </c>
      <c r="AV238" s="53">
        <v>21.609076138959221</v>
      </c>
      <c r="AW238" s="53">
        <v>83031.914629193474</v>
      </c>
      <c r="AX238" s="53">
        <v>1196.5905567498412</v>
      </c>
      <c r="AY238" s="51">
        <v>4972</v>
      </c>
    </row>
    <row r="239" spans="28:51" x14ac:dyDescent="0.15">
      <c r="AB239" s="51">
        <v>8323.9770914910277</v>
      </c>
      <c r="AC239" s="51">
        <v>6650.1347397222389</v>
      </c>
      <c r="AD239" s="51">
        <v>3826.0622826425174</v>
      </c>
      <c r="AE239" s="51">
        <v>1956.5072223201807</v>
      </c>
      <c r="AF239" s="51">
        <v>225.3592126617429</v>
      </c>
      <c r="AG239" s="51">
        <v>115.24039459299254</v>
      </c>
      <c r="AH239" s="54">
        <v>1</v>
      </c>
      <c r="AI239" s="55">
        <v>1.1136116354112378</v>
      </c>
      <c r="AJ239" s="54">
        <v>0.96502841846408405</v>
      </c>
      <c r="AK239" s="55">
        <v>1.1136116354112378</v>
      </c>
      <c r="AL239" s="82">
        <v>14974</v>
      </c>
      <c r="AM239" s="82">
        <v>14450</v>
      </c>
      <c r="AN239" s="54">
        <v>0.20034299235470812</v>
      </c>
      <c r="AO239" s="54">
        <v>4.9971408039351711E-2</v>
      </c>
      <c r="AP239" s="54">
        <v>0.25031440039405983</v>
      </c>
      <c r="AQ239" s="53">
        <v>5.8975486370096046</v>
      </c>
      <c r="AR239" s="53">
        <v>57.262870217906588</v>
      </c>
      <c r="AS239" s="53">
        <v>63.160418854916195</v>
      </c>
      <c r="AT239" s="53">
        <v>44.072795448947332</v>
      </c>
      <c r="AU239" s="53">
        <v>53.616607151931767</v>
      </c>
      <c r="AV239" s="53">
        <v>21.803901475316991</v>
      </c>
      <c r="AW239" s="53">
        <v>84250.694814422925</v>
      </c>
      <c r="AX239" s="53">
        <v>1218.7801852294506</v>
      </c>
      <c r="AY239" s="51">
        <v>5045</v>
      </c>
    </row>
    <row r="240" spans="28:51" x14ac:dyDescent="0.15">
      <c r="AB240" s="51">
        <v>8353.8246106414754</v>
      </c>
      <c r="AC240" s="51">
        <v>6673.1048159478951</v>
      </c>
      <c r="AD240" s="51">
        <v>3863.7422927157895</v>
      </c>
      <c r="AE240" s="51">
        <v>1975.3718601266733</v>
      </c>
      <c r="AF240" s="51">
        <v>226.18029896314872</v>
      </c>
      <c r="AG240" s="51">
        <v>115.63664552088886</v>
      </c>
      <c r="AH240" s="54">
        <v>1</v>
      </c>
      <c r="AI240" s="55">
        <v>1.1141979331969418</v>
      </c>
      <c r="AJ240" s="54">
        <v>0.97002435868350068</v>
      </c>
      <c r="AK240" s="55">
        <v>1.1141979331969418</v>
      </c>
      <c r="AL240" s="82">
        <v>15027</v>
      </c>
      <c r="AM240" s="82">
        <v>14577</v>
      </c>
      <c r="AN240" s="54">
        <v>0.19783984835076751</v>
      </c>
      <c r="AO240" s="54">
        <v>4.9971408039351711E-2</v>
      </c>
      <c r="AP240" s="54">
        <v>0.24781125639011922</v>
      </c>
      <c r="AQ240" s="53">
        <v>5.9826067657059223</v>
      </c>
      <c r="AR240" s="53">
        <v>57.63760800677332</v>
      </c>
      <c r="AS240" s="53">
        <v>63.620214772479244</v>
      </c>
      <c r="AT240" s="53">
        <v>44.407678770221466</v>
      </c>
      <c r="AU240" s="53">
        <v>54.013946771350355</v>
      </c>
      <c r="AV240" s="53">
        <v>21.993053434254065</v>
      </c>
      <c r="AW240" s="53">
        <v>85465.810938656025</v>
      </c>
      <c r="AX240" s="53">
        <v>1215.1161242331</v>
      </c>
      <c r="AY240" s="51">
        <v>5118</v>
      </c>
    </row>
    <row r="241" spans="27:51" x14ac:dyDescent="0.15">
      <c r="AB241" s="51">
        <v>8388.1251582638597</v>
      </c>
      <c r="AC241" s="51">
        <v>6695.5637997602189</v>
      </c>
      <c r="AD241" s="51">
        <v>3903.4838418894842</v>
      </c>
      <c r="AE241" s="51">
        <v>1993.8921602401986</v>
      </c>
      <c r="AF241" s="51">
        <v>227.12929733966379</v>
      </c>
      <c r="AG241" s="51">
        <v>116.01721530559939</v>
      </c>
      <c r="AH241" s="54">
        <v>1</v>
      </c>
      <c r="AI241" s="55">
        <v>1.1147842309826459</v>
      </c>
      <c r="AJ241" s="54">
        <v>0.9750202989029173</v>
      </c>
      <c r="AK241" s="55">
        <v>1.1147842309826459</v>
      </c>
      <c r="AL241" s="82">
        <v>15084</v>
      </c>
      <c r="AM241" s="82">
        <v>14707</v>
      </c>
      <c r="AN241" s="54">
        <v>0.1953617357868663</v>
      </c>
      <c r="AO241" s="54">
        <v>4.9971408039351711E-2</v>
      </c>
      <c r="AP241" s="54">
        <v>0.24533314382621801</v>
      </c>
      <c r="AQ241" s="53">
        <v>6.0698110871283459</v>
      </c>
      <c r="AR241" s="53">
        <v>58.026239202938726</v>
      </c>
      <c r="AS241" s="53">
        <v>64.096050290067069</v>
      </c>
      <c r="AT241" s="53">
        <v>44.753970555754165</v>
      </c>
      <c r="AU241" s="53">
        <v>54.425010422910617</v>
      </c>
      <c r="AV241" s="53">
        <v>22.188210865722439</v>
      </c>
      <c r="AW241" s="53">
        <v>86711.586958976361</v>
      </c>
      <c r="AX241" s="53">
        <v>1245.7760203203361</v>
      </c>
      <c r="AY241" s="51">
        <v>5192</v>
      </c>
    </row>
    <row r="242" spans="27:51" x14ac:dyDescent="0.15">
      <c r="AB242" s="51">
        <v>8409.263320971213</v>
      </c>
      <c r="AC242" s="51">
        <v>6716.982884750495</v>
      </c>
      <c r="AD242" s="51">
        <v>3937.030683751665</v>
      </c>
      <c r="AE242" s="51">
        <v>2012.1495586645817</v>
      </c>
      <c r="AF242" s="51">
        <v>227.70518034421059</v>
      </c>
      <c r="AG242" s="51">
        <v>116.37625280040683</v>
      </c>
      <c r="AH242" s="54">
        <v>1</v>
      </c>
      <c r="AI242" s="55">
        <v>1.11537052876835</v>
      </c>
      <c r="AJ242" s="54">
        <v>0.98001623912233393</v>
      </c>
      <c r="AK242" s="55">
        <v>1.11537052876835</v>
      </c>
      <c r="AL242" s="82">
        <v>15126</v>
      </c>
      <c r="AM242" s="82">
        <v>14824</v>
      </c>
      <c r="AN242" s="54">
        <v>0.19290840434860412</v>
      </c>
      <c r="AO242" s="54">
        <v>4.9971408039351711E-2</v>
      </c>
      <c r="AP242" s="54">
        <v>0.24287981238795583</v>
      </c>
      <c r="AQ242" s="53">
        <v>6.1501617869707115</v>
      </c>
      <c r="AR242" s="53">
        <v>58.349844110214555</v>
      </c>
      <c r="AS242" s="53">
        <v>64.500005897185261</v>
      </c>
      <c r="AT242" s="53">
        <v>45.050057860447076</v>
      </c>
      <c r="AU242" s="53">
        <v>54.775031878816172</v>
      </c>
      <c r="AV242" s="53">
        <v>22.358451817585866</v>
      </c>
      <c r="AW242" s="53">
        <v>87859.454099581591</v>
      </c>
      <c r="AX242" s="53">
        <v>1147.8671406052308</v>
      </c>
      <c r="AY242" s="51">
        <v>5261</v>
      </c>
    </row>
    <row r="243" spans="27:51" x14ac:dyDescent="0.15">
      <c r="AB243" s="51">
        <v>8431.2434733220889</v>
      </c>
      <c r="AC243" s="51">
        <v>6736.7263985633945</v>
      </c>
      <c r="AD243" s="51">
        <v>3970.868655790357</v>
      </c>
      <c r="AE243" s="51">
        <v>2029.9510123949337</v>
      </c>
      <c r="AF243" s="51">
        <v>228.30972651993227</v>
      </c>
      <c r="AG243" s="51">
        <v>116.7144019767385</v>
      </c>
      <c r="AH243" s="54">
        <v>1</v>
      </c>
      <c r="AI243" s="55">
        <v>1.115956826554054</v>
      </c>
      <c r="AJ243" s="54">
        <v>0.98501217934175056</v>
      </c>
      <c r="AK243" s="55">
        <v>1.115956826554054</v>
      </c>
      <c r="AL243" s="82">
        <v>15168</v>
      </c>
      <c r="AM243" s="82">
        <v>14941</v>
      </c>
      <c r="AN243" s="54">
        <v>0.19047960622472457</v>
      </c>
      <c r="AO243" s="54">
        <v>4.9971408039351711E-2</v>
      </c>
      <c r="AP243" s="54">
        <v>0.24045101426407628</v>
      </c>
      <c r="AQ243" s="53">
        <v>6.2330874777738332</v>
      </c>
      <c r="AR243" s="53">
        <v>58.710149588547317</v>
      </c>
      <c r="AS243" s="53">
        <v>64.943237066321146</v>
      </c>
      <c r="AT243" s="53">
        <v>45.37318720347205</v>
      </c>
      <c r="AU243" s="53">
        <v>55.158212134896608</v>
      </c>
      <c r="AV243" s="53">
        <v>22.541462363481422</v>
      </c>
      <c r="AW243" s="53">
        <v>89044.106825340466</v>
      </c>
      <c r="AX243" s="53">
        <v>1184.652725758875</v>
      </c>
      <c r="AY243" s="51">
        <v>5332</v>
      </c>
    </row>
    <row r="244" spans="27:51" x14ac:dyDescent="0.15">
      <c r="AB244" s="51">
        <v>8454.2763509344168</v>
      </c>
      <c r="AC244" s="51">
        <v>6755.5062453584924</v>
      </c>
      <c r="AD244" s="51">
        <v>4005.0708547222048</v>
      </c>
      <c r="AE244" s="51">
        <v>2047.4890318743255</v>
      </c>
      <c r="AF244" s="51">
        <v>228.9349823971728</v>
      </c>
      <c r="AG244" s="51">
        <v>117.03709683884369</v>
      </c>
      <c r="AH244" s="54">
        <v>1</v>
      </c>
      <c r="AI244" s="55">
        <v>1.1165431243397581</v>
      </c>
      <c r="AJ244" s="54">
        <v>0.99000811956116719</v>
      </c>
      <c r="AK244" s="55">
        <v>1.1165431243397581</v>
      </c>
      <c r="AL244" s="82">
        <v>15210</v>
      </c>
      <c r="AM244" s="82">
        <v>15058</v>
      </c>
      <c r="AN244" s="54">
        <v>0.18807509608208381</v>
      </c>
      <c r="AO244" s="54">
        <v>4.9971408039351711E-2</v>
      </c>
      <c r="AP244" s="54">
        <v>0.23804650412143552</v>
      </c>
      <c r="AQ244" s="53">
        <v>6.3154260244467197</v>
      </c>
      <c r="AR244" s="53">
        <v>59.051940405768761</v>
      </c>
      <c r="AS244" s="53">
        <v>65.367366430215483</v>
      </c>
      <c r="AT244" s="53">
        <v>45.68338629495922</v>
      </c>
      <c r="AU244" s="53">
        <v>55.525376362587352</v>
      </c>
      <c r="AV244" s="53">
        <v>22.718742803826927</v>
      </c>
      <c r="AW244" s="53">
        <v>90220.371777810273</v>
      </c>
      <c r="AX244" s="53">
        <v>1176.2649524698063</v>
      </c>
      <c r="AY244" s="51">
        <v>5402</v>
      </c>
    </row>
    <row r="245" spans="27:51" x14ac:dyDescent="0.15">
      <c r="AB245" s="51">
        <v>8478.1680820812689</v>
      </c>
      <c r="AC245" s="51">
        <v>6773.3657718047934</v>
      </c>
      <c r="AD245" s="51">
        <v>4039.5548847854429</v>
      </c>
      <c r="AE245" s="51">
        <v>2064.5130322843311</v>
      </c>
      <c r="AF245" s="51">
        <v>229.59617497403028</v>
      </c>
      <c r="AG245" s="51">
        <v>117.34072414309959</v>
      </c>
      <c r="AH245" s="54">
        <v>1</v>
      </c>
      <c r="AI245" s="55">
        <v>1.1171294221254622</v>
      </c>
      <c r="AJ245" s="54">
        <v>0.99500405978058382</v>
      </c>
      <c r="AK245" s="55">
        <v>1.1171294221254622</v>
      </c>
      <c r="AL245" s="82">
        <v>15252</v>
      </c>
      <c r="AM245" s="82">
        <v>15176</v>
      </c>
      <c r="AN245" s="54">
        <v>0.18569463104086945</v>
      </c>
      <c r="AO245" s="54">
        <v>4.9971408039351711E-2</v>
      </c>
      <c r="AP245" s="54">
        <v>0.23566603908022116</v>
      </c>
      <c r="AQ245" s="53">
        <v>6.3979649103703427</v>
      </c>
      <c r="AR245" s="53">
        <v>59.394223439891597</v>
      </c>
      <c r="AS245" s="53">
        <v>65.792188350261938</v>
      </c>
      <c r="AT245" s="53">
        <v>45.994113870298079</v>
      </c>
      <c r="AU245" s="53">
        <v>55.893151110280023</v>
      </c>
      <c r="AV245" s="53">
        <v>22.896360310340235</v>
      </c>
      <c r="AW245" s="53">
        <v>91399.49871957631</v>
      </c>
      <c r="AX245" s="53">
        <v>1179.1269417660369</v>
      </c>
      <c r="AY245" s="51">
        <v>5473</v>
      </c>
    </row>
    <row r="246" spans="27:51" x14ac:dyDescent="0.15">
      <c r="AB246" s="60">
        <v>8503.4192887404479</v>
      </c>
      <c r="AC246" s="60">
        <v>6790.875409133675</v>
      </c>
      <c r="AD246" s="60">
        <v>4074.5258557163856</v>
      </c>
      <c r="AE246" s="60">
        <v>2081.4359503625528</v>
      </c>
      <c r="AF246" s="60">
        <v>230.28338645704881</v>
      </c>
      <c r="AG246" s="60">
        <v>117.63825689569958</v>
      </c>
      <c r="AH246" s="62">
        <v>1</v>
      </c>
      <c r="AI246" s="63">
        <v>1.1177157199111663</v>
      </c>
      <c r="AJ246" s="62">
        <v>1</v>
      </c>
      <c r="AK246" s="63">
        <v>1.1177157199111663</v>
      </c>
      <c r="AL246" s="84">
        <v>15294</v>
      </c>
      <c r="AM246" s="84">
        <v>15294</v>
      </c>
      <c r="AN246" s="62">
        <v>0.18333797065006724</v>
      </c>
      <c r="AO246" s="62">
        <v>4.9971408039351711E-2</v>
      </c>
      <c r="AP246" s="62">
        <v>0.23330937868941895</v>
      </c>
      <c r="AQ246" s="61">
        <v>6.4801741435420626</v>
      </c>
      <c r="AR246" s="61">
        <v>59.721006709805238</v>
      </c>
      <c r="AS246" s="61">
        <v>66.201180853347296</v>
      </c>
      <c r="AT246" s="61">
        <v>46.294178616745555</v>
      </c>
      <c r="AU246" s="61">
        <v>56.247679735046425</v>
      </c>
      <c r="AV246" s="61">
        <v>23.069342674043515</v>
      </c>
      <c r="AW246" s="61">
        <v>92573.916336315175</v>
      </c>
      <c r="AX246" s="61">
        <v>1174.417616738865</v>
      </c>
      <c r="AY246" s="60">
        <v>5543</v>
      </c>
    </row>
    <row r="247" spans="27:51" x14ac:dyDescent="0.15">
      <c r="AB247" s="51">
        <v>8519.7823620745985</v>
      </c>
      <c r="AC247" s="51">
        <v>6807.1819948838802</v>
      </c>
      <c r="AD247" s="51">
        <v>4105.072307565355</v>
      </c>
      <c r="AE247" s="51">
        <v>2097.7408501818481</v>
      </c>
      <c r="AF247" s="51">
        <v>230.7517138520507</v>
      </c>
      <c r="AG247" s="51">
        <v>117.91687457120705</v>
      </c>
      <c r="AH247" s="54">
        <v>1</v>
      </c>
      <c r="AI247" s="55">
        <v>1.1182017571880594</v>
      </c>
      <c r="AJ247" s="54">
        <v>1</v>
      </c>
      <c r="AK247" s="55">
        <v>1.1182017571880594</v>
      </c>
      <c r="AL247" s="82">
        <v>15327</v>
      </c>
      <c r="AM247" s="82">
        <v>15327</v>
      </c>
      <c r="AN247" s="54">
        <v>0.18100487686317304</v>
      </c>
      <c r="AO247" s="54">
        <v>4.9971408039351711E-2</v>
      </c>
      <c r="AP247" s="54">
        <v>0.23097628490252475</v>
      </c>
      <c r="AQ247" s="53">
        <v>6.5269016506807693</v>
      </c>
      <c r="AR247" s="53">
        <v>59.736110927236474</v>
      </c>
      <c r="AS247" s="53">
        <v>66.263012577917237</v>
      </c>
      <c r="AT247" s="53">
        <v>46.350975602171758</v>
      </c>
      <c r="AU247" s="53">
        <v>56.306994090044498</v>
      </c>
      <c r="AV247" s="53">
        <v>23.120265797135346</v>
      </c>
      <c r="AW247" s="53">
        <v>93241.452152582409</v>
      </c>
      <c r="AX247" s="53">
        <v>667.53581626723462</v>
      </c>
      <c r="AY247" s="51">
        <v>5583</v>
      </c>
    </row>
    <row r="248" spans="27:51" x14ac:dyDescent="0.15">
      <c r="AB248" s="51">
        <v>8537.3534889126677</v>
      </c>
      <c r="AC248" s="51">
        <v>6822.4758980315401</v>
      </c>
      <c r="AD248" s="51">
        <v>4135.9513061330563</v>
      </c>
      <c r="AE248" s="51">
        <v>2113.7112811621023</v>
      </c>
      <c r="AF248" s="51">
        <v>231.22712596597637</v>
      </c>
      <c r="AG248" s="51">
        <v>118.17048811484518</v>
      </c>
      <c r="AH248" s="54">
        <v>1</v>
      </c>
      <c r="AI248" s="55">
        <v>1.1186877944649525</v>
      </c>
      <c r="AJ248" s="54">
        <v>1</v>
      </c>
      <c r="AK248" s="55">
        <v>1.1186877944649525</v>
      </c>
      <c r="AL248" s="82">
        <v>15360</v>
      </c>
      <c r="AM248" s="82">
        <v>15360</v>
      </c>
      <c r="AN248" s="54">
        <v>0.17869511401414778</v>
      </c>
      <c r="AO248" s="54">
        <v>4.9971408039351711E-2</v>
      </c>
      <c r="AP248" s="54">
        <v>0.22866652205349949</v>
      </c>
      <c r="AQ248" s="53">
        <v>6.5736062868893264</v>
      </c>
      <c r="AR248" s="53">
        <v>59.752199451963179</v>
      </c>
      <c r="AS248" s="53">
        <v>66.325805738852509</v>
      </c>
      <c r="AT248" s="53">
        <v>46.408405921531454</v>
      </c>
      <c r="AU248" s="53">
        <v>56.367105830191989</v>
      </c>
      <c r="AV248" s="53">
        <v>23.171439467990211</v>
      </c>
      <c r="AW248" s="53">
        <v>93908.661241276073</v>
      </c>
      <c r="AX248" s="53">
        <v>667.20908869366394</v>
      </c>
      <c r="AY248" s="51">
        <v>5623</v>
      </c>
    </row>
    <row r="249" spans="27:51" x14ac:dyDescent="0.15">
      <c r="AB249" s="51">
        <v>8555.4817398004452</v>
      </c>
      <c r="AC249" s="51">
        <v>6837.006402801132</v>
      </c>
      <c r="AD249" s="51">
        <v>4166.8756881679119</v>
      </c>
      <c r="AE249" s="51">
        <v>2129.4308961851611</v>
      </c>
      <c r="AF249" s="51">
        <v>231.72713713624142</v>
      </c>
      <c r="AG249" s="51">
        <v>118.42132144801435</v>
      </c>
      <c r="AH249" s="54">
        <v>1</v>
      </c>
      <c r="AI249" s="55">
        <v>1.1191738317418456</v>
      </c>
      <c r="AJ249" s="54">
        <v>1</v>
      </c>
      <c r="AK249" s="55">
        <v>1.1191738317418456</v>
      </c>
      <c r="AL249" s="82">
        <v>15392</v>
      </c>
      <c r="AM249" s="82">
        <v>15392</v>
      </c>
      <c r="AN249" s="54">
        <v>0.17640844879361278</v>
      </c>
      <c r="AO249" s="54">
        <v>4.9971408039351711E-2</v>
      </c>
      <c r="AP249" s="54">
        <v>0.22637985683296449</v>
      </c>
      <c r="AQ249" s="53">
        <v>6.6200340037881755</v>
      </c>
      <c r="AR249" s="53">
        <v>59.768021609812365</v>
      </c>
      <c r="AS249" s="53">
        <v>66.388055613600542</v>
      </c>
      <c r="AT249" s="53">
        <v>46.465381743663087</v>
      </c>
      <c r="AU249" s="53">
        <v>56.426718678631815</v>
      </c>
      <c r="AV249" s="53">
        <v>23.222262228736056</v>
      </c>
      <c r="AW249" s="53">
        <v>94571.91433983107</v>
      </c>
      <c r="AX249" s="53">
        <v>663.25309855499654</v>
      </c>
      <c r="AY249" s="51">
        <v>5663</v>
      </c>
    </row>
    <row r="250" spans="27:51" x14ac:dyDescent="0.15">
      <c r="AB250" s="51">
        <v>8573.9634752997972</v>
      </c>
      <c r="AC250" s="51">
        <v>6851.3029955789216</v>
      </c>
      <c r="AD250" s="51">
        <v>4197.7324877708761</v>
      </c>
      <c r="AE250" s="51">
        <v>2144.7916005067923</v>
      </c>
      <c r="AF250" s="51">
        <v>232.24256227687184</v>
      </c>
      <c r="AG250" s="51">
        <v>118.66213445062168</v>
      </c>
      <c r="AH250" s="54">
        <v>1</v>
      </c>
      <c r="AI250" s="55">
        <v>1.1196598690187387</v>
      </c>
      <c r="AJ250" s="54">
        <v>1</v>
      </c>
      <c r="AK250" s="55">
        <v>1.1196598690187387</v>
      </c>
      <c r="AL250" s="82">
        <v>15425</v>
      </c>
      <c r="AM250" s="82">
        <v>15425</v>
      </c>
      <c r="AN250" s="54">
        <v>0.17414465022528314</v>
      </c>
      <c r="AO250" s="54">
        <v>4.9971408039351711E-2</v>
      </c>
      <c r="AP250" s="54">
        <v>0.22411605826463485</v>
      </c>
      <c r="AQ250" s="53">
        <v>6.667140508882528</v>
      </c>
      <c r="AR250" s="53">
        <v>59.823953954720423</v>
      </c>
      <c r="AS250" s="53">
        <v>66.491094463602948</v>
      </c>
      <c r="AT250" s="53">
        <v>46.549776478696145</v>
      </c>
      <c r="AU250" s="53">
        <v>56.520435471149554</v>
      </c>
      <c r="AV250" s="53">
        <v>23.284905496304873</v>
      </c>
      <c r="AW250" s="53">
        <v>95244.864412607523</v>
      </c>
      <c r="AX250" s="53">
        <v>672.95007277645345</v>
      </c>
      <c r="AY250" s="51">
        <v>5703</v>
      </c>
    </row>
    <row r="251" spans="27:51" x14ac:dyDescent="0.15">
      <c r="AB251" s="56">
        <v>8593.204551561872</v>
      </c>
      <c r="AC251" s="56">
        <v>6865.354381284631</v>
      </c>
      <c r="AD251" s="56">
        <v>4228.7003326965414</v>
      </c>
      <c r="AE251" s="56">
        <v>2160.0381473955363</v>
      </c>
      <c r="AF251" s="56">
        <v>232.77365254474225</v>
      </c>
      <c r="AG251" s="56">
        <v>118.90177351125133</v>
      </c>
      <c r="AH251" s="58">
        <v>1</v>
      </c>
      <c r="AI251" s="59">
        <v>1.120145906295632</v>
      </c>
      <c r="AJ251" s="58">
        <v>1</v>
      </c>
      <c r="AK251" s="59">
        <v>1.120145906295632</v>
      </c>
      <c r="AL251" s="83">
        <v>15459</v>
      </c>
      <c r="AM251" s="83">
        <v>15459</v>
      </c>
      <c r="AN251" s="58">
        <v>0.1719034896426368</v>
      </c>
      <c r="AO251" s="58">
        <v>4.9971408039351711E-2</v>
      </c>
      <c r="AP251" s="58">
        <v>0.22187489768198851</v>
      </c>
      <c r="AQ251" s="57">
        <v>6.7118517923447394</v>
      </c>
      <c r="AR251" s="57">
        <v>59.82339908352688</v>
      </c>
      <c r="AS251" s="57">
        <v>66.535250875871625</v>
      </c>
      <c r="AT251" s="57">
        <v>46.59411784802932</v>
      </c>
      <c r="AU251" s="57">
        <v>56.564684361950469</v>
      </c>
      <c r="AV251" s="57">
        <v>23.329462648879982</v>
      </c>
      <c r="AW251" s="57">
        <v>95883.597033496277</v>
      </c>
      <c r="AX251" s="57">
        <v>638.73262088875344</v>
      </c>
      <c r="AY251" s="56">
        <v>5742</v>
      </c>
    </row>
    <row r="253" spans="27:51" ht="12.75" thickBot="1" x14ac:dyDescent="0.2"/>
    <row r="254" spans="27:51" ht="60.75" thickBot="1" x14ac:dyDescent="0.2">
      <c r="AA254" s="93" t="s">
        <v>119</v>
      </c>
      <c r="AB254" s="91" t="s">
        <v>20</v>
      </c>
      <c r="AC254" s="91" t="s">
        <v>4</v>
      </c>
      <c r="AD254" s="91" t="s">
        <v>155</v>
      </c>
      <c r="AE254" s="91" t="s">
        <v>156</v>
      </c>
      <c r="AF254" s="91" t="s">
        <v>157</v>
      </c>
      <c r="AG254" s="91" t="s">
        <v>158</v>
      </c>
      <c r="AH254" s="90" t="s">
        <v>50</v>
      </c>
      <c r="AI254" s="90" t="s">
        <v>28</v>
      </c>
      <c r="AJ254" s="90" t="s">
        <v>51</v>
      </c>
      <c r="AK254" s="90" t="s">
        <v>29</v>
      </c>
      <c r="AL254" s="90" t="s">
        <v>110</v>
      </c>
      <c r="AM254" s="90" t="s">
        <v>111</v>
      </c>
      <c r="AN254" s="91" t="s">
        <v>43</v>
      </c>
      <c r="AO254" s="91" t="s">
        <v>44</v>
      </c>
      <c r="AP254" s="91" t="s">
        <v>5</v>
      </c>
      <c r="AQ254" s="46" t="s">
        <v>45</v>
      </c>
      <c r="AR254" s="45" t="s">
        <v>46</v>
      </c>
      <c r="AS254" s="45" t="s">
        <v>93</v>
      </c>
      <c r="AT254" s="45" t="s">
        <v>30</v>
      </c>
      <c r="AU254" s="45" t="s">
        <v>31</v>
      </c>
      <c r="AV254" s="45" t="s">
        <v>32</v>
      </c>
      <c r="AW254" s="45" t="s">
        <v>26</v>
      </c>
      <c r="AX254" s="46" t="s">
        <v>138</v>
      </c>
      <c r="AY254" s="87" t="s">
        <v>152</v>
      </c>
    </row>
    <row r="255" spans="27:51" x14ac:dyDescent="0.15">
      <c r="AB255" s="44" t="s">
        <v>120</v>
      </c>
      <c r="AC255" s="44" t="s">
        <v>120</v>
      </c>
      <c r="AD255" s="44" t="s">
        <v>159</v>
      </c>
      <c r="AE255" s="44" t="s">
        <v>159</v>
      </c>
      <c r="AF255" s="44" t="s">
        <v>159</v>
      </c>
      <c r="AG255" s="44" t="s">
        <v>159</v>
      </c>
      <c r="AH255" s="43" t="s">
        <v>2</v>
      </c>
      <c r="AI255" s="43" t="s">
        <v>2</v>
      </c>
      <c r="AJ255" s="43" t="s">
        <v>2</v>
      </c>
      <c r="AK255" s="43" t="s">
        <v>2</v>
      </c>
      <c r="AL255" s="92">
        <v>0</v>
      </c>
      <c r="AM255" s="92">
        <v>0</v>
      </c>
      <c r="AN255" s="39" t="s">
        <v>2</v>
      </c>
      <c r="AO255" s="39" t="s">
        <v>2</v>
      </c>
      <c r="AP255" s="39" t="s">
        <v>2</v>
      </c>
      <c r="AQ255" s="43" t="s">
        <v>19</v>
      </c>
      <c r="AR255" s="43" t="s">
        <v>19</v>
      </c>
      <c r="AS255" s="43" t="s">
        <v>19</v>
      </c>
      <c r="AT255" s="43" t="s">
        <v>19</v>
      </c>
      <c r="AU255" s="43" t="s">
        <v>19</v>
      </c>
      <c r="AV255" s="43" t="s">
        <v>19</v>
      </c>
      <c r="AW255" s="43" t="s">
        <v>101</v>
      </c>
      <c r="AX255" s="43" t="s">
        <v>101</v>
      </c>
      <c r="AY255" s="43" t="s">
        <v>154</v>
      </c>
    </row>
    <row r="256" spans="27:51" ht="15.75" x14ac:dyDescent="0.15">
      <c r="AB256" s="76">
        <v>1566.526169142162</v>
      </c>
      <c r="AC256" s="76">
        <v>247.68185589459858</v>
      </c>
      <c r="AD256" s="76">
        <v>613.16106944111982</v>
      </c>
      <c r="AE256" s="76">
        <v>62.41985384702172</v>
      </c>
      <c r="AF256" s="76">
        <v>42.302645908444411</v>
      </c>
      <c r="AG256" s="76">
        <v>4.3064132844477232</v>
      </c>
      <c r="AH256" s="54">
        <v>0.73504510649358956</v>
      </c>
      <c r="AI256" s="55">
        <v>1.0934659892767227</v>
      </c>
      <c r="AJ256" s="54">
        <v>0</v>
      </c>
      <c r="AK256" s="55">
        <v>1.0934659892767227</v>
      </c>
      <c r="AL256" s="82">
        <v>1333</v>
      </c>
      <c r="AM256" s="82">
        <v>0</v>
      </c>
      <c r="AN256" s="54">
        <v>0.41755321579381505</v>
      </c>
      <c r="AO256" s="54">
        <v>0.27836881052921009</v>
      </c>
      <c r="AP256" s="54">
        <v>0.69592202632302513</v>
      </c>
      <c r="AQ256" s="53">
        <v>0</v>
      </c>
      <c r="AR256" s="53">
        <v>0</v>
      </c>
      <c r="AS256" s="53">
        <v>0</v>
      </c>
      <c r="AT256" s="53">
        <v>0</v>
      </c>
      <c r="AU256" s="53">
        <v>0</v>
      </c>
      <c r="AV256" s="53">
        <v>0</v>
      </c>
      <c r="AW256" s="53">
        <v>0</v>
      </c>
      <c r="AX256" s="53">
        <v>0</v>
      </c>
      <c r="AY256" s="53">
        <v>0</v>
      </c>
    </row>
    <row r="257" spans="28:51" ht="15.75" x14ac:dyDescent="0.15">
      <c r="AB257" s="76">
        <v>1586.0186688776641</v>
      </c>
      <c r="AC257" s="76">
        <v>251.76598673870171</v>
      </c>
      <c r="AD257" s="76">
        <v>624.09843241074839</v>
      </c>
      <c r="AE257" s="76">
        <v>63.765337568819675</v>
      </c>
      <c r="AF257" s="76">
        <v>42.835261872515346</v>
      </c>
      <c r="AG257" s="76">
        <v>4.3765611180898887</v>
      </c>
      <c r="AH257" s="78">
        <v>0.75550056927092557</v>
      </c>
      <c r="AI257" s="79">
        <v>1.0944786286488752</v>
      </c>
      <c r="AJ257" s="78">
        <v>0</v>
      </c>
      <c r="AK257" s="79">
        <v>1.0944786286488752</v>
      </c>
      <c r="AL257" s="81">
        <v>1389</v>
      </c>
      <c r="AM257" s="81">
        <v>0</v>
      </c>
      <c r="AN257" s="78">
        <v>0.41702842080111552</v>
      </c>
      <c r="AO257" s="78">
        <v>0.27801894720074366</v>
      </c>
      <c r="AP257" s="78">
        <v>0.69504736800185918</v>
      </c>
      <c r="AQ257" s="77">
        <v>2.5911658084036371</v>
      </c>
      <c r="AR257" s="77">
        <v>34.017473169605502</v>
      </c>
      <c r="AS257" s="77">
        <v>36.608638978009139</v>
      </c>
      <c r="AT257" s="77">
        <v>25.26948125480731</v>
      </c>
      <c r="AU257" s="77">
        <v>30.939060116408228</v>
      </c>
      <c r="AV257" s="77">
        <v>12.040463911071834</v>
      </c>
      <c r="AW257" s="77">
        <v>0</v>
      </c>
      <c r="AX257" s="77">
        <v>0</v>
      </c>
      <c r="AY257" s="76">
        <v>0</v>
      </c>
    </row>
    <row r="258" spans="28:51" x14ac:dyDescent="0.15">
      <c r="AB258" s="51">
        <v>1604.7393489687067</v>
      </c>
      <c r="AC258" s="51">
        <v>254.82970018817539</v>
      </c>
      <c r="AD258" s="51">
        <v>634.98389240025926</v>
      </c>
      <c r="AE258" s="51">
        <v>64.871157543032979</v>
      </c>
      <c r="AF258" s="51">
        <v>43.34802286854827</v>
      </c>
      <c r="AG258" s="51">
        <v>4.428516147165567</v>
      </c>
      <c r="AH258" s="54">
        <v>0.77614866772091773</v>
      </c>
      <c r="AI258" s="55">
        <v>1.0954740495672763</v>
      </c>
      <c r="AJ258" s="54">
        <v>0</v>
      </c>
      <c r="AK258" s="55">
        <v>1.0954740495672763</v>
      </c>
      <c r="AL258" s="82">
        <v>1444</v>
      </c>
      <c r="AM258" s="82">
        <v>0</v>
      </c>
      <c r="AN258" s="54">
        <v>0.4165136742434038</v>
      </c>
      <c r="AO258" s="54">
        <v>0.2776757828289359</v>
      </c>
      <c r="AP258" s="54">
        <v>0.6941894570723397</v>
      </c>
      <c r="AQ258" s="53">
        <v>0</v>
      </c>
      <c r="AR258" s="53">
        <v>0</v>
      </c>
      <c r="AS258" s="53">
        <v>0</v>
      </c>
      <c r="AT258" s="53">
        <v>0</v>
      </c>
      <c r="AU258" s="53">
        <v>0</v>
      </c>
      <c r="AV258" s="53">
        <v>0</v>
      </c>
      <c r="AW258" s="53">
        <v>0</v>
      </c>
      <c r="AX258" s="53">
        <v>0</v>
      </c>
      <c r="AY258" s="51">
        <v>0</v>
      </c>
    </row>
    <row r="259" spans="28:51" x14ac:dyDescent="0.15">
      <c r="AB259" s="56">
        <v>1619.8187788568257</v>
      </c>
      <c r="AC259" s="56">
        <v>258.23307268197885</v>
      </c>
      <c r="AD259" s="56">
        <v>644.66086797863068</v>
      </c>
      <c r="AE259" s="56">
        <v>66.093016878393996</v>
      </c>
      <c r="AF259" s="56">
        <v>43.762697162310054</v>
      </c>
      <c r="AG259" s="56">
        <v>4.4867135975879986</v>
      </c>
      <c r="AH259" s="58">
        <v>0.79697538358465825</v>
      </c>
      <c r="AI259" s="59">
        <v>1.0964522597533219</v>
      </c>
      <c r="AJ259" s="58">
        <v>0</v>
      </c>
      <c r="AK259" s="59">
        <v>1.0964522597533219</v>
      </c>
      <c r="AL259" s="83">
        <v>1497</v>
      </c>
      <c r="AM259" s="83">
        <v>0</v>
      </c>
      <c r="AN259" s="58">
        <v>0.40442584348281335</v>
      </c>
      <c r="AO259" s="58">
        <v>0.23391407945509562</v>
      </c>
      <c r="AP259" s="58">
        <v>0.63833992293790898</v>
      </c>
      <c r="AQ259" s="57">
        <v>0</v>
      </c>
      <c r="AR259" s="57">
        <v>0</v>
      </c>
      <c r="AS259" s="57">
        <v>0</v>
      </c>
      <c r="AT259" s="57">
        <v>0</v>
      </c>
      <c r="AU259" s="57">
        <v>0</v>
      </c>
      <c r="AV259" s="57">
        <v>0</v>
      </c>
      <c r="AW259" s="57">
        <v>0</v>
      </c>
      <c r="AX259" s="57">
        <v>0</v>
      </c>
      <c r="AY259" s="56">
        <v>0</v>
      </c>
    </row>
    <row r="260" spans="28:51" x14ac:dyDescent="0.15">
      <c r="AB260" s="51">
        <v>1636.3204366550992</v>
      </c>
      <c r="AC260" s="51">
        <v>261.35196955460202</v>
      </c>
      <c r="AD260" s="51">
        <v>655.12131331464764</v>
      </c>
      <c r="AE260" s="51">
        <v>67.271465814739614</v>
      </c>
      <c r="AF260" s="51">
        <v>44.21536287925106</v>
      </c>
      <c r="AG260" s="51">
        <v>4.5402770631418274</v>
      </c>
      <c r="AH260" s="54">
        <v>0.81842266920165019</v>
      </c>
      <c r="AI260" s="55">
        <v>1.0973451375046974</v>
      </c>
      <c r="AJ260" s="54">
        <v>0.10000020813089452</v>
      </c>
      <c r="AK260" s="55">
        <v>1.0973451375046974</v>
      </c>
      <c r="AL260" s="82">
        <v>1553</v>
      </c>
      <c r="AM260" s="82">
        <v>190</v>
      </c>
      <c r="AN260" s="54">
        <v>0.38993442357891628</v>
      </c>
      <c r="AO260" s="54">
        <v>0.19704922053297255</v>
      </c>
      <c r="AP260" s="54">
        <v>0.58698364411188886</v>
      </c>
      <c r="AQ260" s="53">
        <v>7.7490716756851027E-2</v>
      </c>
      <c r="AR260" s="53">
        <v>0.86173935069048135</v>
      </c>
      <c r="AS260" s="53">
        <v>0.9392300674473324</v>
      </c>
      <c r="AT260" s="53">
        <v>0.65198361721717191</v>
      </c>
      <c r="AU260" s="53">
        <v>0.79560684233225232</v>
      </c>
      <c r="AV260" s="53">
        <v>0.3168627586153181</v>
      </c>
      <c r="AW260" s="53">
        <v>1107.0102393835859</v>
      </c>
      <c r="AX260" s="53">
        <v>1107.0102393835859</v>
      </c>
      <c r="AY260" s="51">
        <v>66</v>
      </c>
    </row>
    <row r="261" spans="28:51" x14ac:dyDescent="0.15">
      <c r="AB261" s="51">
        <v>1653.3318951704903</v>
      </c>
      <c r="AC261" s="51">
        <v>264.35662738406171</v>
      </c>
      <c r="AD261" s="51">
        <v>665.99821496354707</v>
      </c>
      <c r="AE261" s="51">
        <v>68.449095514521659</v>
      </c>
      <c r="AF261" s="51">
        <v>44.680687342842951</v>
      </c>
      <c r="AG261" s="51">
        <v>4.5921333824477779</v>
      </c>
      <c r="AH261" s="54">
        <v>0.83986995481864213</v>
      </c>
      <c r="AI261" s="55">
        <v>1.0982380152560729</v>
      </c>
      <c r="AJ261" s="54">
        <v>0.20000041626178905</v>
      </c>
      <c r="AK261" s="55">
        <v>1.0982380152560729</v>
      </c>
      <c r="AL261" s="82">
        <v>1611</v>
      </c>
      <c r="AM261" s="82">
        <v>384</v>
      </c>
      <c r="AN261" s="54">
        <v>0.37376486193216862</v>
      </c>
      <c r="AO261" s="54">
        <v>0.16599426337697609</v>
      </c>
      <c r="AP261" s="54">
        <v>0.53975912530914472</v>
      </c>
      <c r="AQ261" s="53">
        <v>0.15732089697636137</v>
      </c>
      <c r="AR261" s="53">
        <v>1.7190476511287409</v>
      </c>
      <c r="AS261" s="53">
        <v>1.8763685481051022</v>
      </c>
      <c r="AT261" s="53">
        <v>1.303352664395522</v>
      </c>
      <c r="AU261" s="53">
        <v>1.5898606062503122</v>
      </c>
      <c r="AV261" s="53">
        <v>0.63483413340101169</v>
      </c>
      <c r="AW261" s="53">
        <v>2247.4413853765909</v>
      </c>
      <c r="AX261" s="53">
        <v>1140.431145993005</v>
      </c>
      <c r="AY261" s="51">
        <v>135</v>
      </c>
    </row>
    <row r="262" spans="28:51" x14ac:dyDescent="0.15">
      <c r="AB262" s="51">
        <v>1670.9305791523821</v>
      </c>
      <c r="AC262" s="51">
        <v>267.24999367207414</v>
      </c>
      <c r="AD262" s="51">
        <v>677.31735671658362</v>
      </c>
      <c r="AE262" s="51">
        <v>69.61394570017427</v>
      </c>
      <c r="AF262" s="51">
        <v>45.159979863321226</v>
      </c>
      <c r="AG262" s="51">
        <v>4.6414939095406682</v>
      </c>
      <c r="AH262" s="54">
        <v>0.86131724043563407</v>
      </c>
      <c r="AI262" s="55">
        <v>1.0991308930074484</v>
      </c>
      <c r="AJ262" s="54">
        <v>0.3000006243926836</v>
      </c>
      <c r="AK262" s="55">
        <v>1.0991308930074484</v>
      </c>
      <c r="AL262" s="82">
        <v>1669</v>
      </c>
      <c r="AM262" s="82">
        <v>581</v>
      </c>
      <c r="AN262" s="54">
        <v>0.35650038710895227</v>
      </c>
      <c r="AO262" s="54">
        <v>0.13983356746876466</v>
      </c>
      <c r="AP262" s="54">
        <v>0.4963339545777169</v>
      </c>
      <c r="AQ262" s="53">
        <v>0.23996890793576592</v>
      </c>
      <c r="AR262" s="53">
        <v>2.5766123028336718</v>
      </c>
      <c r="AS262" s="53">
        <v>2.8165812107694377</v>
      </c>
      <c r="AT262" s="53">
        <v>1.9577104431582137</v>
      </c>
      <c r="AU262" s="53">
        <v>2.3871458269638257</v>
      </c>
      <c r="AV262" s="53">
        <v>0.95569454761178596</v>
      </c>
      <c r="AW262" s="53">
        <v>3428.127256225227</v>
      </c>
      <c r="AX262" s="53">
        <v>1180.6858708486361</v>
      </c>
      <c r="AY262" s="51">
        <v>205</v>
      </c>
    </row>
    <row r="263" spans="28:51" x14ac:dyDescent="0.15">
      <c r="AB263" s="51">
        <v>1687.5126837889406</v>
      </c>
      <c r="AC263" s="51">
        <v>268.38857018422277</v>
      </c>
      <c r="AD263" s="51">
        <v>688.42534770853729</v>
      </c>
      <c r="AE263" s="51">
        <v>70.33505298476085</v>
      </c>
      <c r="AF263" s="51">
        <v>45.614590565694826</v>
      </c>
      <c r="AG263" s="51">
        <v>4.6603522880081938</v>
      </c>
      <c r="AH263" s="54">
        <v>0.88276452605262601</v>
      </c>
      <c r="AI263" s="55">
        <v>1.1000237707588238</v>
      </c>
      <c r="AJ263" s="54">
        <v>0.4000008325235781</v>
      </c>
      <c r="AK263" s="55">
        <v>1.1000237707588238</v>
      </c>
      <c r="AL263" s="82">
        <v>1727</v>
      </c>
      <c r="AM263" s="82">
        <v>782</v>
      </c>
      <c r="AN263" s="54">
        <v>0.33860666622551072</v>
      </c>
      <c r="AO263" s="54">
        <v>0.11779579723568735</v>
      </c>
      <c r="AP263" s="54">
        <v>0.45640246346119806</v>
      </c>
      <c r="AQ263" s="53">
        <v>0.32501249570798157</v>
      </c>
      <c r="AR263" s="53">
        <v>3.4347435960455091</v>
      </c>
      <c r="AS263" s="53">
        <v>3.7597560917534905</v>
      </c>
      <c r="AT263" s="53">
        <v>2.6148415597383203</v>
      </c>
      <c r="AU263" s="53">
        <v>3.1872988257459052</v>
      </c>
      <c r="AV263" s="53">
        <v>1.2791079390539561</v>
      </c>
      <c r="AW263" s="53">
        <v>4643.0356529711653</v>
      </c>
      <c r="AX263" s="53">
        <v>1214.9083967459383</v>
      </c>
      <c r="AY263" s="51">
        <v>278</v>
      </c>
    </row>
    <row r="264" spans="28:51" x14ac:dyDescent="0.15">
      <c r="AB264" s="51">
        <v>1700.0473975723196</v>
      </c>
      <c r="AC264" s="51">
        <v>271.19396374962434</v>
      </c>
      <c r="AD264" s="51">
        <v>698.06073979970472</v>
      </c>
      <c r="AE264" s="51">
        <v>71.505830154947205</v>
      </c>
      <c r="AF264" s="51">
        <v>45.961847006804881</v>
      </c>
      <c r="AG264" s="51">
        <v>4.7081003676259874</v>
      </c>
      <c r="AH264" s="54">
        <v>0.90421181166961795</v>
      </c>
      <c r="AI264" s="55">
        <v>1.1009166485101993</v>
      </c>
      <c r="AJ264" s="54">
        <v>0.50000104065447259</v>
      </c>
      <c r="AK264" s="55">
        <v>1.1009166485101993</v>
      </c>
      <c r="AL264" s="82">
        <v>1782</v>
      </c>
      <c r="AM264" s="82">
        <v>986</v>
      </c>
      <c r="AN264" s="54">
        <v>0.32045239581641949</v>
      </c>
      <c r="AO264" s="54">
        <v>9.9231179591343033E-2</v>
      </c>
      <c r="AP264" s="54">
        <v>0.41968357540776252</v>
      </c>
      <c r="AQ264" s="53">
        <v>0.41148782172077908</v>
      </c>
      <c r="AR264" s="53">
        <v>4.2640539384767751</v>
      </c>
      <c r="AS264" s="53">
        <v>4.6755417601975537</v>
      </c>
      <c r="AT264" s="53">
        <v>3.2541904473719625</v>
      </c>
      <c r="AU264" s="53">
        <v>3.9648661037847579</v>
      </c>
      <c r="AV264" s="53">
        <v>1.5959472490754387</v>
      </c>
      <c r="AW264" s="53">
        <v>5878.3974531539861</v>
      </c>
      <c r="AX264" s="53">
        <v>1235.3618001828208</v>
      </c>
      <c r="AY264" s="51">
        <v>352</v>
      </c>
    </row>
    <row r="265" spans="28:51" x14ac:dyDescent="0.15">
      <c r="AB265" s="51">
        <v>1712.5521352197927</v>
      </c>
      <c r="AC265" s="51">
        <v>273.28520968269345</v>
      </c>
      <c r="AD265" s="51">
        <v>707.83692713303367</v>
      </c>
      <c r="AE265" s="51">
        <v>72.513650967878959</v>
      </c>
      <c r="AF265" s="51">
        <v>46.304328761141818</v>
      </c>
      <c r="AG265" s="51">
        <v>4.743600969911391</v>
      </c>
      <c r="AH265" s="54">
        <v>0.92565909728660989</v>
      </c>
      <c r="AI265" s="55">
        <v>1.1018095262615748</v>
      </c>
      <c r="AJ265" s="54">
        <v>0.60000124878536709</v>
      </c>
      <c r="AK265" s="55">
        <v>1.1018095262615748</v>
      </c>
      <c r="AL265" s="82">
        <v>1838</v>
      </c>
      <c r="AM265" s="82">
        <v>1192</v>
      </c>
      <c r="AN265" s="54">
        <v>0.30232648159311698</v>
      </c>
      <c r="AO265" s="54">
        <v>8.3592345687747371E-2</v>
      </c>
      <c r="AP265" s="54">
        <v>0.38591882728086435</v>
      </c>
      <c r="AQ265" s="53">
        <v>0.5007400019726006</v>
      </c>
      <c r="AR265" s="53">
        <v>5.0920190686198907</v>
      </c>
      <c r="AS265" s="53">
        <v>5.592759070592491</v>
      </c>
      <c r="AT265" s="53">
        <v>3.8954193810525286</v>
      </c>
      <c r="AU265" s="53">
        <v>4.7440892258225107</v>
      </c>
      <c r="AV265" s="53">
        <v>1.9151897432559042</v>
      </c>
      <c r="AW265" s="53">
        <v>7153.42859960858</v>
      </c>
      <c r="AX265" s="53">
        <v>1275.0311464545939</v>
      </c>
      <c r="AY265" s="51">
        <v>428</v>
      </c>
    </row>
    <row r="266" spans="28:51" x14ac:dyDescent="0.15">
      <c r="AB266" s="51">
        <v>1725.6187039725469</v>
      </c>
      <c r="AC266" s="51">
        <v>275.27884914503193</v>
      </c>
      <c r="AD266" s="51">
        <v>717.99607014055448</v>
      </c>
      <c r="AE266" s="51">
        <v>73.519758483104326</v>
      </c>
      <c r="AF266" s="51">
        <v>46.662820926442251</v>
      </c>
      <c r="AG266" s="51">
        <v>4.7780753507199565</v>
      </c>
      <c r="AH266" s="54">
        <v>0.94710638290360183</v>
      </c>
      <c r="AI266" s="55">
        <v>1.1027024040129503</v>
      </c>
      <c r="AJ266" s="54">
        <v>0.70000145691626159</v>
      </c>
      <c r="AK266" s="55">
        <v>1.1027024040129503</v>
      </c>
      <c r="AL266" s="82">
        <v>1895</v>
      </c>
      <c r="AM266" s="82">
        <v>1401</v>
      </c>
      <c r="AN266" s="54">
        <v>0.28445235803771951</v>
      </c>
      <c r="AO266" s="54">
        <v>7.0418192007358382E-2</v>
      </c>
      <c r="AP266" s="54">
        <v>0.35487055004507789</v>
      </c>
      <c r="AQ266" s="53">
        <v>0.59175206699951532</v>
      </c>
      <c r="AR266" s="53">
        <v>5.8975469191758219</v>
      </c>
      <c r="AS266" s="53">
        <v>6.4892989861753367</v>
      </c>
      <c r="AT266" s="53">
        <v>4.5234500131167295</v>
      </c>
      <c r="AU266" s="53">
        <v>5.506374499646034</v>
      </c>
      <c r="AV266" s="53">
        <v>2.2299595445483549</v>
      </c>
      <c r="AW266" s="53">
        <v>8453.6009571359336</v>
      </c>
      <c r="AX266" s="53">
        <v>1300.1723575273536</v>
      </c>
      <c r="AY266" s="51">
        <v>506</v>
      </c>
    </row>
    <row r="267" spans="28:51" x14ac:dyDescent="0.15">
      <c r="AB267" s="51">
        <v>1739.1019302800473</v>
      </c>
      <c r="AC267" s="51">
        <v>277.17836709145183</v>
      </c>
      <c r="AD267" s="51">
        <v>728.47265537236717</v>
      </c>
      <c r="AE267" s="51">
        <v>74.500456913242076</v>
      </c>
      <c r="AF267" s="51">
        <v>47.032390370657382</v>
      </c>
      <c r="AG267" s="51">
        <v>4.8099740552991186</v>
      </c>
      <c r="AH267" s="54">
        <v>0.96855366852059377</v>
      </c>
      <c r="AI267" s="55">
        <v>1.1035952817643258</v>
      </c>
      <c r="AJ267" s="54">
        <v>0.80000166504715609</v>
      </c>
      <c r="AK267" s="55">
        <v>1.1035952817643258</v>
      </c>
      <c r="AL267" s="82">
        <v>1953</v>
      </c>
      <c r="AM267" s="82">
        <v>1613</v>
      </c>
      <c r="AN267" s="54">
        <v>0.26699991087398522</v>
      </c>
      <c r="AO267" s="54">
        <v>5.9320284946998703E-2</v>
      </c>
      <c r="AP267" s="54">
        <v>0.32632019582098393</v>
      </c>
      <c r="AQ267" s="53">
        <v>0.68514911364167075</v>
      </c>
      <c r="AR267" s="53">
        <v>6.6926443764441137</v>
      </c>
      <c r="AS267" s="53">
        <v>7.377793490085784</v>
      </c>
      <c r="AT267" s="53">
        <v>5.1469120312710803</v>
      </c>
      <c r="AU267" s="53">
        <v>6.2623527606784322</v>
      </c>
      <c r="AV267" s="53">
        <v>2.544216995987258</v>
      </c>
      <c r="AW267" s="53">
        <v>9787.844480595295</v>
      </c>
      <c r="AX267" s="53">
        <v>1334.2435234593613</v>
      </c>
      <c r="AY267" s="51">
        <v>586</v>
      </c>
    </row>
    <row r="268" spans="28:51" x14ac:dyDescent="0.15">
      <c r="AB268" s="60">
        <v>1754.2005431000498</v>
      </c>
      <c r="AC268" s="60">
        <v>279.35096836484433</v>
      </c>
      <c r="AD268" s="60">
        <v>739.76726372704286</v>
      </c>
      <c r="AE268" s="60">
        <v>75.577973376204113</v>
      </c>
      <c r="AF268" s="60">
        <v>47.445137333731161</v>
      </c>
      <c r="AG268" s="60">
        <v>4.8472100646537433</v>
      </c>
      <c r="AH268" s="62">
        <v>0.99000095413758615</v>
      </c>
      <c r="AI268" s="63">
        <v>1.1044881595157015</v>
      </c>
      <c r="AJ268" s="62">
        <v>0.90000187317805069</v>
      </c>
      <c r="AK268" s="63">
        <v>1.1044881595157015</v>
      </c>
      <c r="AL268" s="84">
        <v>2014</v>
      </c>
      <c r="AM268" s="84">
        <v>1831</v>
      </c>
      <c r="AN268" s="62">
        <v>0.25009539149393989</v>
      </c>
      <c r="AO268" s="62">
        <v>4.9971408039351711E-2</v>
      </c>
      <c r="AP268" s="62">
        <v>0.30006679953329157</v>
      </c>
      <c r="AQ268" s="61">
        <v>0.78157053843782931</v>
      </c>
      <c r="AR268" s="61">
        <v>7.4838291979013167</v>
      </c>
      <c r="AS268" s="61">
        <v>8.2653997363391465</v>
      </c>
      <c r="AT268" s="61">
        <v>5.7707900037053754</v>
      </c>
      <c r="AU268" s="61">
        <v>7.0180948700222618</v>
      </c>
      <c r="AV268" s="61">
        <v>2.8604119822993064</v>
      </c>
      <c r="AW268" s="61">
        <v>11165.293406254703</v>
      </c>
      <c r="AX268" s="61">
        <v>1377.4489256594079</v>
      </c>
      <c r="AY268" s="60">
        <v>669</v>
      </c>
    </row>
    <row r="269" spans="28:51" x14ac:dyDescent="0.15">
      <c r="AB269" s="51">
        <v>1764.1340817511634</v>
      </c>
      <c r="AC269" s="51">
        <v>281.17379304691434</v>
      </c>
      <c r="AD269" s="51">
        <v>749.00889163901763</v>
      </c>
      <c r="AE269" s="51">
        <v>76.572173003137905</v>
      </c>
      <c r="AF269" s="51">
        <v>47.719551819700307</v>
      </c>
      <c r="AG269" s="51">
        <v>4.878433111220426</v>
      </c>
      <c r="AH269" s="54">
        <v>0.99100085872382748</v>
      </c>
      <c r="AI269" s="55">
        <v>1.1052246177695439</v>
      </c>
      <c r="AJ269" s="54">
        <v>0.90500574564082903</v>
      </c>
      <c r="AK269" s="55">
        <v>1.1052246177695439</v>
      </c>
      <c r="AL269" s="82">
        <v>2027</v>
      </c>
      <c r="AM269" s="82">
        <v>1851</v>
      </c>
      <c r="AN269" s="54">
        <v>0.24559438950094051</v>
      </c>
      <c r="AO269" s="54">
        <v>4.9971408039351711E-2</v>
      </c>
      <c r="AP269" s="54">
        <v>0.29556579754029222</v>
      </c>
      <c r="AQ269" s="53">
        <v>0.79599232491616045</v>
      </c>
      <c r="AR269" s="53">
        <v>7.5547856552789829</v>
      </c>
      <c r="AS269" s="53">
        <v>8.3507779801951436</v>
      </c>
      <c r="AT269" s="53">
        <v>5.8325160951021493</v>
      </c>
      <c r="AU269" s="53">
        <v>7.091647037648646</v>
      </c>
      <c r="AV269" s="53">
        <v>2.8945438958269882</v>
      </c>
      <c r="AW269" s="53">
        <v>11371.318927373719</v>
      </c>
      <c r="AX269" s="53">
        <v>206.02552111901605</v>
      </c>
      <c r="AY269" s="51">
        <v>681</v>
      </c>
    </row>
    <row r="270" spans="28:51" x14ac:dyDescent="0.15">
      <c r="AB270" s="51">
        <v>1774.7786018712668</v>
      </c>
      <c r="AC270" s="51">
        <v>283.24279625533984</v>
      </c>
      <c r="AD270" s="51">
        <v>758.65354567200507</v>
      </c>
      <c r="AE270" s="51">
        <v>77.643896729413996</v>
      </c>
      <c r="AF270" s="51">
        <v>48.011187214402597</v>
      </c>
      <c r="AG270" s="51">
        <v>4.9136732876264668</v>
      </c>
      <c r="AH270" s="54">
        <v>0.99200076331006892</v>
      </c>
      <c r="AI270" s="55">
        <v>1.1059610760233864</v>
      </c>
      <c r="AJ270" s="54">
        <v>0.91000961810360737</v>
      </c>
      <c r="AK270" s="55">
        <v>1.1059610760233864</v>
      </c>
      <c r="AL270" s="82">
        <v>2042</v>
      </c>
      <c r="AM270" s="82">
        <v>1873</v>
      </c>
      <c r="AN270" s="54">
        <v>0.24116090253783615</v>
      </c>
      <c r="AO270" s="54">
        <v>4.9971408039351711E-2</v>
      </c>
      <c r="AP270" s="54">
        <v>0.29113231057718786</v>
      </c>
      <c r="AQ270" s="53">
        <v>0.80989146265686707</v>
      </c>
      <c r="AR270" s="53">
        <v>7.6103480066488505</v>
      </c>
      <c r="AS270" s="53">
        <v>8.4202394693057183</v>
      </c>
      <c r="AT270" s="53">
        <v>5.8834568004227679</v>
      </c>
      <c r="AU270" s="53">
        <v>7.1518481348642426</v>
      </c>
      <c r="AV270" s="53">
        <v>2.9238770200593254</v>
      </c>
      <c r="AW270" s="53">
        <v>11569.878037955243</v>
      </c>
      <c r="AX270" s="53">
        <v>198.55911058152378</v>
      </c>
      <c r="AY270" s="51">
        <v>693</v>
      </c>
    </row>
    <row r="271" spans="28:51" x14ac:dyDescent="0.15">
      <c r="AB271" s="51">
        <v>1785.8651670576046</v>
      </c>
      <c r="AC271" s="51">
        <v>285.23032963273221</v>
      </c>
      <c r="AD271" s="51">
        <v>768.58590257224103</v>
      </c>
      <c r="AE271" s="51">
        <v>78.703966749849599</v>
      </c>
      <c r="AF271" s="51">
        <v>48.314859781616498</v>
      </c>
      <c r="AG271" s="51">
        <v>4.9474900659117651</v>
      </c>
      <c r="AH271" s="54">
        <v>0.99300066789631036</v>
      </c>
      <c r="AI271" s="55">
        <v>1.1066975342772289</v>
      </c>
      <c r="AJ271" s="54">
        <v>0.9150134905663857</v>
      </c>
      <c r="AK271" s="55">
        <v>1.1066975342772289</v>
      </c>
      <c r="AL271" s="82">
        <v>2057</v>
      </c>
      <c r="AM271" s="82">
        <v>1895</v>
      </c>
      <c r="AN271" s="54">
        <v>0.23679391787917833</v>
      </c>
      <c r="AO271" s="54">
        <v>4.9971408039351711E-2</v>
      </c>
      <c r="AP271" s="54">
        <v>0.28676532591853005</v>
      </c>
      <c r="AQ271" s="53">
        <v>0.82413889328785939</v>
      </c>
      <c r="AR271" s="53">
        <v>7.6672989117197989</v>
      </c>
      <c r="AS271" s="53">
        <v>8.4914378050076582</v>
      </c>
      <c r="AT271" s="53">
        <v>5.9356715011010586</v>
      </c>
      <c r="AU271" s="53">
        <v>7.2135546530543584</v>
      </c>
      <c r="AV271" s="53">
        <v>2.9539441465433591</v>
      </c>
      <c r="AW271" s="53">
        <v>11773.412761255133</v>
      </c>
      <c r="AX271" s="53">
        <v>203.53472329989017</v>
      </c>
      <c r="AY271" s="51">
        <v>705</v>
      </c>
    </row>
    <row r="272" spans="28:51" x14ac:dyDescent="0.15">
      <c r="AB272" s="51">
        <v>1797.302605387456</v>
      </c>
      <c r="AC272" s="51">
        <v>287.13924753243987</v>
      </c>
      <c r="AD272" s="51">
        <v>778.76481064013046</v>
      </c>
      <c r="AE272" s="51">
        <v>79.752634316833522</v>
      </c>
      <c r="AF272" s="51">
        <v>48.630210940968588</v>
      </c>
      <c r="AG272" s="51">
        <v>4.9801780678014724</v>
      </c>
      <c r="AH272" s="54">
        <v>0.9940005724825518</v>
      </c>
      <c r="AI272" s="55">
        <v>1.1074339925310714</v>
      </c>
      <c r="AJ272" s="54">
        <v>0.92001736302916404</v>
      </c>
      <c r="AK272" s="55">
        <v>1.1074339925310714</v>
      </c>
      <c r="AL272" s="82">
        <v>2071</v>
      </c>
      <c r="AM272" s="82">
        <v>1917</v>
      </c>
      <c r="AN272" s="54">
        <v>0.2324924379904004</v>
      </c>
      <c r="AO272" s="54">
        <v>4.9971408039351711E-2</v>
      </c>
      <c r="AP272" s="54">
        <v>0.28246384602975211</v>
      </c>
      <c r="AQ272" s="53">
        <v>0.83977396944348603</v>
      </c>
      <c r="AR272" s="53">
        <v>7.7442663517144057</v>
      </c>
      <c r="AS272" s="53">
        <v>8.5840403211578913</v>
      </c>
      <c r="AT272" s="53">
        <v>6.0026182039197575</v>
      </c>
      <c r="AU272" s="53">
        <v>7.2933292625388244</v>
      </c>
      <c r="AV272" s="53">
        <v>2.9909590671419322</v>
      </c>
      <c r="AW272" s="53">
        <v>11996.7709920498</v>
      </c>
      <c r="AX272" s="53">
        <v>223.35823079466718</v>
      </c>
      <c r="AY272" s="51">
        <v>718</v>
      </c>
    </row>
    <row r="273" spans="28:51" x14ac:dyDescent="0.15">
      <c r="AB273" s="51">
        <v>1807.3991404091914</v>
      </c>
      <c r="AC273" s="51">
        <v>288.10565955060036</v>
      </c>
      <c r="AD273" s="51">
        <v>788.44189809751208</v>
      </c>
      <c r="AE273" s="51">
        <v>80.547008848669876</v>
      </c>
      <c r="AF273" s="51">
        <v>48.905434780563375</v>
      </c>
      <c r="AG273" s="51">
        <v>4.9961658525799191</v>
      </c>
      <c r="AH273" s="54">
        <v>0.99500047706879324</v>
      </c>
      <c r="AI273" s="55">
        <v>1.1081704507849139</v>
      </c>
      <c r="AJ273" s="54">
        <v>0.92502123549194237</v>
      </c>
      <c r="AK273" s="55">
        <v>1.1081704507849139</v>
      </c>
      <c r="AL273" s="82">
        <v>2086</v>
      </c>
      <c r="AM273" s="82">
        <v>1939</v>
      </c>
      <c r="AN273" s="54">
        <v>0.2282554802999541</v>
      </c>
      <c r="AO273" s="54">
        <v>4.9971408039351711E-2</v>
      </c>
      <c r="AP273" s="54">
        <v>0.27822688833930581</v>
      </c>
      <c r="AQ273" s="53">
        <v>0.85483429964667734</v>
      </c>
      <c r="AR273" s="53">
        <v>7.814042073327065</v>
      </c>
      <c r="AS273" s="53">
        <v>8.6688763729737417</v>
      </c>
      <c r="AT273" s="53">
        <v>6.0641956818647209</v>
      </c>
      <c r="AU273" s="53">
        <v>7.3665360274192313</v>
      </c>
      <c r="AV273" s="53">
        <v>3.0254015422375291</v>
      </c>
      <c r="AW273" s="53">
        <v>12211.918566381104</v>
      </c>
      <c r="AX273" s="53">
        <v>215.14757433130399</v>
      </c>
      <c r="AY273" s="51">
        <v>731</v>
      </c>
    </row>
    <row r="274" spans="28:51" x14ac:dyDescent="0.15">
      <c r="AB274" s="51">
        <v>1815.2570357092727</v>
      </c>
      <c r="AC274" s="51">
        <v>290.13281311452533</v>
      </c>
      <c r="AD274" s="51">
        <v>797.21140968923794</v>
      </c>
      <c r="AE274" s="51">
        <v>81.646085057891938</v>
      </c>
      <c r="AF274" s="51">
        <v>49.123808647340304</v>
      </c>
      <c r="AG274" s="51">
        <v>5.0309950540620036</v>
      </c>
      <c r="AH274" s="54">
        <v>0.99600038165503468</v>
      </c>
      <c r="AI274" s="55">
        <v>1.1089069090387564</v>
      </c>
      <c r="AJ274" s="54">
        <v>0.93002510795472071</v>
      </c>
      <c r="AK274" s="55">
        <v>1.1089069090387564</v>
      </c>
      <c r="AL274" s="82">
        <v>2097</v>
      </c>
      <c r="AM274" s="82">
        <v>1958</v>
      </c>
      <c r="AN274" s="54">
        <v>0.22408207697486451</v>
      </c>
      <c r="AO274" s="54">
        <v>4.9971408039351711E-2</v>
      </c>
      <c r="AP274" s="54">
        <v>0.27405348501421622</v>
      </c>
      <c r="AQ274" s="53">
        <v>0.86835457579963304</v>
      </c>
      <c r="AR274" s="53">
        <v>7.8617424134955201</v>
      </c>
      <c r="AS274" s="53">
        <v>8.7300969892951539</v>
      </c>
      <c r="AT274" s="53">
        <v>6.1095161847966475</v>
      </c>
      <c r="AU274" s="53">
        <v>7.4198065870459011</v>
      </c>
      <c r="AV274" s="53">
        <v>3.0521719128817222</v>
      </c>
      <c r="AW274" s="53">
        <v>12405.065368566185</v>
      </c>
      <c r="AX274" s="53">
        <v>193.14680218508147</v>
      </c>
      <c r="AY274" s="51">
        <v>743</v>
      </c>
    </row>
    <row r="275" spans="28:51" x14ac:dyDescent="0.15">
      <c r="AB275" s="51">
        <v>1822.9758959201708</v>
      </c>
      <c r="AC275" s="51">
        <v>291.1898767775121</v>
      </c>
      <c r="AD275" s="51">
        <v>805.96876442333416</v>
      </c>
      <c r="AE275" s="51">
        <v>82.479526040858744</v>
      </c>
      <c r="AF275" s="51">
        <v>49.336147354074804</v>
      </c>
      <c r="AG275" s="51">
        <v>5.0488582561354738</v>
      </c>
      <c r="AH275" s="54">
        <v>0.99700028624127612</v>
      </c>
      <c r="AI275" s="55">
        <v>1.1096433672925989</v>
      </c>
      <c r="AJ275" s="54">
        <v>0.93502898041749904</v>
      </c>
      <c r="AK275" s="55">
        <v>1.1096433672925989</v>
      </c>
      <c r="AL275" s="82">
        <v>2108</v>
      </c>
      <c r="AM275" s="82">
        <v>1977</v>
      </c>
      <c r="AN275" s="54">
        <v>0.21997127469965125</v>
      </c>
      <c r="AO275" s="54">
        <v>4.9971408039351711E-2</v>
      </c>
      <c r="AP275" s="54">
        <v>0.26994268273900296</v>
      </c>
      <c r="AQ275" s="53">
        <v>0.88170772763005789</v>
      </c>
      <c r="AR275" s="53">
        <v>7.9058492132389864</v>
      </c>
      <c r="AS275" s="53">
        <v>8.7875569408690435</v>
      </c>
      <c r="AT275" s="53">
        <v>6.1522738697893828</v>
      </c>
      <c r="AU275" s="53">
        <v>7.4699154053292149</v>
      </c>
      <c r="AV275" s="53">
        <v>3.077776953529777</v>
      </c>
      <c r="AW275" s="53">
        <v>12595.824680429398</v>
      </c>
      <c r="AX275" s="53">
        <v>190.75931186321213</v>
      </c>
      <c r="AY275" s="51">
        <v>754</v>
      </c>
    </row>
    <row r="276" spans="28:51" x14ac:dyDescent="0.15">
      <c r="AB276" s="51">
        <v>1831.0620030032921</v>
      </c>
      <c r="AC276" s="51">
        <v>292.17998051873604</v>
      </c>
      <c r="AD276" s="51">
        <v>814.93335479127813</v>
      </c>
      <c r="AE276" s="51">
        <v>83.299330742864456</v>
      </c>
      <c r="AF276" s="51">
        <v>49.5583353503621</v>
      </c>
      <c r="AG276" s="51">
        <v>5.0656610668156024</v>
      </c>
      <c r="AH276" s="54">
        <v>0.99800019082751756</v>
      </c>
      <c r="AI276" s="55">
        <v>1.1103798255464414</v>
      </c>
      <c r="AJ276" s="54">
        <v>0.94003285288027738</v>
      </c>
      <c r="AK276" s="55">
        <v>1.1103798255464414</v>
      </c>
      <c r="AL276" s="82">
        <v>2119</v>
      </c>
      <c r="AM276" s="82">
        <v>1996</v>
      </c>
      <c r="AN276" s="54">
        <v>0.2159221344585662</v>
      </c>
      <c r="AO276" s="54">
        <v>4.9971408039351711E-2</v>
      </c>
      <c r="AP276" s="54">
        <v>0.26589354249791791</v>
      </c>
      <c r="AQ276" s="53">
        <v>0.89532511678964821</v>
      </c>
      <c r="AR276" s="53">
        <v>7.9511270777428003</v>
      </c>
      <c r="AS276" s="53">
        <v>8.8464521945324481</v>
      </c>
      <c r="AT276" s="53">
        <v>6.1960765019515147</v>
      </c>
      <c r="AU276" s="53">
        <v>7.5212643482419805</v>
      </c>
      <c r="AV276" s="53">
        <v>3.1039715272737594</v>
      </c>
      <c r="AW276" s="53">
        <v>12790.358811280686</v>
      </c>
      <c r="AX276" s="53">
        <v>194.53413085128886</v>
      </c>
      <c r="AY276" s="51">
        <v>766</v>
      </c>
    </row>
    <row r="277" spans="28:51" x14ac:dyDescent="0.15">
      <c r="AB277" s="51">
        <v>1839.4213806726639</v>
      </c>
      <c r="AC277" s="51">
        <v>293.10609907235772</v>
      </c>
      <c r="AD277" s="51">
        <v>824.05913401847454</v>
      </c>
      <c r="AE277" s="51">
        <v>84.105582507124211</v>
      </c>
      <c r="AF277" s="51">
        <v>49.787314384321242</v>
      </c>
      <c r="AG277" s="51">
        <v>5.0814206224972018</v>
      </c>
      <c r="AH277" s="54">
        <v>0.999000095413759</v>
      </c>
      <c r="AI277" s="55">
        <v>1.1111162838002839</v>
      </c>
      <c r="AJ277" s="54">
        <v>0.94503672534305572</v>
      </c>
      <c r="AK277" s="55">
        <v>1.1111162838002839</v>
      </c>
      <c r="AL277" s="82">
        <v>2131</v>
      </c>
      <c r="AM277" s="82">
        <v>2016</v>
      </c>
      <c r="AN277" s="54">
        <v>0.21193373132109741</v>
      </c>
      <c r="AO277" s="54">
        <v>4.9971408039351711E-2</v>
      </c>
      <c r="AP277" s="54">
        <v>0.26190513936044912</v>
      </c>
      <c r="AQ277" s="53">
        <v>0.90916646038590054</v>
      </c>
      <c r="AR277" s="53">
        <v>7.997292412603497</v>
      </c>
      <c r="AS277" s="53">
        <v>8.906458872989397</v>
      </c>
      <c r="AT277" s="53">
        <v>6.2406947354548992</v>
      </c>
      <c r="AU277" s="53">
        <v>7.5735768042221503</v>
      </c>
      <c r="AV277" s="53">
        <v>3.1306365749979834</v>
      </c>
      <c r="AW277" s="53">
        <v>12988.092291227149</v>
      </c>
      <c r="AX277" s="53">
        <v>197.73347994646247</v>
      </c>
      <c r="AY277" s="51">
        <v>778</v>
      </c>
    </row>
    <row r="278" spans="28:51" x14ac:dyDescent="0.15">
      <c r="AB278" s="60">
        <v>1849.4935634849658</v>
      </c>
      <c r="AC278" s="60">
        <v>295.06206787301562</v>
      </c>
      <c r="AD278" s="60">
        <v>833.99302135991354</v>
      </c>
      <c r="AE278" s="60">
        <v>85.201871640503413</v>
      </c>
      <c r="AF278" s="60">
        <v>50.063895868673242</v>
      </c>
      <c r="AG278" s="60">
        <v>5.1145963100156626</v>
      </c>
      <c r="AH278" s="62">
        <v>1</v>
      </c>
      <c r="AI278" s="63">
        <v>1.1118527420541255</v>
      </c>
      <c r="AJ278" s="62">
        <v>0.95004059780583416</v>
      </c>
      <c r="AK278" s="63">
        <v>1.1118527420541255</v>
      </c>
      <c r="AL278" s="84">
        <v>2145</v>
      </c>
      <c r="AM278" s="84">
        <v>2038</v>
      </c>
      <c r="AN278" s="62">
        <v>0.20800515423069069</v>
      </c>
      <c r="AO278" s="62">
        <v>4.9971408039351711E-2</v>
      </c>
      <c r="AP278" s="62">
        <v>0.2579765622700424</v>
      </c>
      <c r="AQ278" s="61">
        <v>0.92523438285504522</v>
      </c>
      <c r="AR278" s="61">
        <v>8.0719539560272846</v>
      </c>
      <c r="AS278" s="61">
        <v>8.9971883388823297</v>
      </c>
      <c r="AT278" s="61">
        <v>6.3065370202065667</v>
      </c>
      <c r="AU278" s="61">
        <v>7.6518626795444478</v>
      </c>
      <c r="AV278" s="61">
        <v>3.1674438150848458</v>
      </c>
      <c r="AW278" s="61">
        <v>13217.634040786359</v>
      </c>
      <c r="AX278" s="61">
        <v>229.54174955921007</v>
      </c>
      <c r="AY278" s="60">
        <v>791</v>
      </c>
    </row>
    <row r="279" spans="28:51" x14ac:dyDescent="0.15">
      <c r="AB279" s="51">
        <v>1855.4200507901965</v>
      </c>
      <c r="AC279" s="51">
        <v>296.12034810228397</v>
      </c>
      <c r="AD279" s="51">
        <v>842.08203274449852</v>
      </c>
      <c r="AE279" s="51">
        <v>86.044864739965504</v>
      </c>
      <c r="AF279" s="51">
        <v>50.226644572852663</v>
      </c>
      <c r="AG279" s="51">
        <v>5.1322135736919563</v>
      </c>
      <c r="AH279" s="54">
        <v>1</v>
      </c>
      <c r="AI279" s="55">
        <v>1.1124390398398296</v>
      </c>
      <c r="AJ279" s="54">
        <v>0.95503653802525079</v>
      </c>
      <c r="AK279" s="55">
        <v>1.1124390398398296</v>
      </c>
      <c r="AL279" s="82">
        <v>2152</v>
      </c>
      <c r="AM279" s="82">
        <v>2055</v>
      </c>
      <c r="AN279" s="54">
        <v>0.20542538860799028</v>
      </c>
      <c r="AO279" s="54">
        <v>4.9971408039351711E-2</v>
      </c>
      <c r="AP279" s="54">
        <v>0.25539679664734199</v>
      </c>
      <c r="AQ279" s="53">
        <v>0.93842572459734452</v>
      </c>
      <c r="AR279" s="53">
        <v>8.1199126360710778</v>
      </c>
      <c r="AS279" s="53">
        <v>9.0583383606684222</v>
      </c>
      <c r="AT279" s="53">
        <v>6.3517008153113972</v>
      </c>
      <c r="AU279" s="53">
        <v>7.7050195879899093</v>
      </c>
      <c r="AV279" s="53">
        <v>3.1939570123948662</v>
      </c>
      <c r="AW279" s="53">
        <v>13406.081779962062</v>
      </c>
      <c r="AX279" s="53">
        <v>188.44773917570274</v>
      </c>
      <c r="AY279" s="51">
        <v>803</v>
      </c>
    </row>
    <row r="280" spans="28:51" x14ac:dyDescent="0.15">
      <c r="AB280" s="51">
        <v>1862.0905293248159</v>
      </c>
      <c r="AC280" s="51">
        <v>297.17990869281482</v>
      </c>
      <c r="AD280" s="51">
        <v>850.51996878060243</v>
      </c>
      <c r="AE280" s="51">
        <v>86.904225546762618</v>
      </c>
      <c r="AF280" s="51">
        <v>50.410580727998266</v>
      </c>
      <c r="AG280" s="51">
        <v>5.1508402369554815</v>
      </c>
      <c r="AH280" s="54">
        <v>1</v>
      </c>
      <c r="AI280" s="55">
        <v>1.1130253376255337</v>
      </c>
      <c r="AJ280" s="54">
        <v>0.96003247824466742</v>
      </c>
      <c r="AK280" s="55">
        <v>1.1130253376255337</v>
      </c>
      <c r="AL280" s="82">
        <v>2159</v>
      </c>
      <c r="AM280" s="82">
        <v>2073</v>
      </c>
      <c r="AN280" s="54">
        <v>0.20287142064151684</v>
      </c>
      <c r="AO280" s="54">
        <v>4.9971408039351711E-2</v>
      </c>
      <c r="AP280" s="54">
        <v>0.25284282868086855</v>
      </c>
      <c r="AQ280" s="53">
        <v>0.95204130421885258</v>
      </c>
      <c r="AR280" s="53">
        <v>8.1704160555891772</v>
      </c>
      <c r="AS280" s="53">
        <v>9.1224573598080294</v>
      </c>
      <c r="AT280" s="53">
        <v>6.3989853412783031</v>
      </c>
      <c r="AU280" s="53">
        <v>7.7607213505431645</v>
      </c>
      <c r="AV280" s="53">
        <v>3.2216013196602904</v>
      </c>
      <c r="AW280" s="53">
        <v>13600.590060269322</v>
      </c>
      <c r="AX280" s="53">
        <v>194.50828030726007</v>
      </c>
      <c r="AY280" s="51">
        <v>814</v>
      </c>
    </row>
    <row r="281" spans="28:51" x14ac:dyDescent="0.15">
      <c r="AB281" s="51">
        <v>1869.0966812065587</v>
      </c>
      <c r="AC281" s="51">
        <v>298.18539759813831</v>
      </c>
      <c r="AD281" s="51">
        <v>859.11821188058445</v>
      </c>
      <c r="AE281" s="51">
        <v>87.727829107946718</v>
      </c>
      <c r="AF281" s="51">
        <v>50.602993236966761</v>
      </c>
      <c r="AG281" s="51">
        <v>5.1672641571940687</v>
      </c>
      <c r="AH281" s="54">
        <v>1</v>
      </c>
      <c r="AI281" s="55">
        <v>1.1136116354112378</v>
      </c>
      <c r="AJ281" s="54">
        <v>0.96502841846408405</v>
      </c>
      <c r="AK281" s="55">
        <v>1.1136116354112378</v>
      </c>
      <c r="AL281" s="82">
        <v>2167</v>
      </c>
      <c r="AM281" s="82">
        <v>2091</v>
      </c>
      <c r="AN281" s="54">
        <v>0.20034299235470812</v>
      </c>
      <c r="AO281" s="54">
        <v>4.9971408039351711E-2</v>
      </c>
      <c r="AP281" s="54">
        <v>0.25031440039405983</v>
      </c>
      <c r="AQ281" s="53">
        <v>0.96585810174010023</v>
      </c>
      <c r="AR281" s="53">
        <v>8.2219665051876998</v>
      </c>
      <c r="AS281" s="53">
        <v>9.1878246069277996</v>
      </c>
      <c r="AT281" s="53">
        <v>6.4471691051985669</v>
      </c>
      <c r="AU281" s="53">
        <v>7.8174968560631832</v>
      </c>
      <c r="AV281" s="53">
        <v>3.2497376865144614</v>
      </c>
      <c r="AW281" s="53">
        <v>13797.97288200143</v>
      </c>
      <c r="AX281" s="53">
        <v>197.38282173210791</v>
      </c>
      <c r="AY281" s="51">
        <v>826</v>
      </c>
    </row>
    <row r="282" spans="28:51" x14ac:dyDescent="0.15">
      <c r="AB282" s="51">
        <v>1876.2868007866516</v>
      </c>
      <c r="AC282" s="51">
        <v>299.13918140456087</v>
      </c>
      <c r="AD282" s="51">
        <v>867.80474852549196</v>
      </c>
      <c r="AE282" s="51">
        <v>88.551152350506072</v>
      </c>
      <c r="AF282" s="51">
        <v>50.800576900063426</v>
      </c>
      <c r="AG282" s="51">
        <v>5.1837116957639848</v>
      </c>
      <c r="AH282" s="54">
        <v>1</v>
      </c>
      <c r="AI282" s="55">
        <v>1.1141979331969418</v>
      </c>
      <c r="AJ282" s="54">
        <v>0.97002435868350068</v>
      </c>
      <c r="AK282" s="55">
        <v>1.1141979331969418</v>
      </c>
      <c r="AL282" s="82">
        <v>2175</v>
      </c>
      <c r="AM282" s="82">
        <v>2110</v>
      </c>
      <c r="AN282" s="54">
        <v>0.19783984835076751</v>
      </c>
      <c r="AO282" s="54">
        <v>4.9971408039351711E-2</v>
      </c>
      <c r="AP282" s="54">
        <v>0.24781125639011922</v>
      </c>
      <c r="AQ282" s="53">
        <v>0.97984157280357409</v>
      </c>
      <c r="AR282" s="53">
        <v>8.2740880475325902</v>
      </c>
      <c r="AS282" s="53">
        <v>9.2539296203361641</v>
      </c>
      <c r="AT282" s="53">
        <v>6.495900271158634</v>
      </c>
      <c r="AU282" s="53">
        <v>7.8749149457473981</v>
      </c>
      <c r="AV282" s="53">
        <v>3.2781993637848492</v>
      </c>
      <c r="AW282" s="53">
        <v>13997.736754336771</v>
      </c>
      <c r="AX282" s="53">
        <v>199.76387233534115</v>
      </c>
      <c r="AY282" s="51">
        <v>838</v>
      </c>
    </row>
    <row r="283" spans="28:51" x14ac:dyDescent="0.15">
      <c r="AB283" s="51">
        <v>1882.5836876810909</v>
      </c>
      <c r="AC283" s="51">
        <v>300.54294497116291</v>
      </c>
      <c r="AD283" s="51">
        <v>876.07598446812494</v>
      </c>
      <c r="AE283" s="51">
        <v>89.499591029953805</v>
      </c>
      <c r="AF283" s="51">
        <v>50.975623527131546</v>
      </c>
      <c r="AG283" s="51">
        <v>5.207650408251955</v>
      </c>
      <c r="AH283" s="54">
        <v>1</v>
      </c>
      <c r="AI283" s="55">
        <v>1.1147842309826459</v>
      </c>
      <c r="AJ283" s="54">
        <v>0.9750202989029173</v>
      </c>
      <c r="AK283" s="55">
        <v>1.1147842309826459</v>
      </c>
      <c r="AL283" s="82">
        <v>2183</v>
      </c>
      <c r="AM283" s="82">
        <v>2128</v>
      </c>
      <c r="AN283" s="54">
        <v>0.1953617357868663</v>
      </c>
      <c r="AO283" s="54">
        <v>4.9971408039351711E-2</v>
      </c>
      <c r="AP283" s="54">
        <v>0.24533314382621801</v>
      </c>
      <c r="AQ283" s="53">
        <v>0.99362676604204314</v>
      </c>
      <c r="AR283" s="53">
        <v>8.3250631784057312</v>
      </c>
      <c r="AS283" s="53">
        <v>9.3186899444477742</v>
      </c>
      <c r="AT283" s="53">
        <v>6.543668884979196</v>
      </c>
      <c r="AU283" s="53">
        <v>7.9311794147134851</v>
      </c>
      <c r="AV283" s="53">
        <v>3.3061443155991905</v>
      </c>
      <c r="AW283" s="53">
        <v>14194.668086314901</v>
      </c>
      <c r="AX283" s="53">
        <v>196.9313319781304</v>
      </c>
      <c r="AY283" s="51">
        <v>850</v>
      </c>
    </row>
    <row r="284" spans="28:51" x14ac:dyDescent="0.15">
      <c r="AB284" s="51">
        <v>1887.6101712036202</v>
      </c>
      <c r="AC284" s="51">
        <v>301.08888284585242</v>
      </c>
      <c r="AD284" s="51">
        <v>883.737240628123</v>
      </c>
      <c r="AE284" s="51">
        <v>90.194641423386315</v>
      </c>
      <c r="AF284" s="51">
        <v>51.112517000341164</v>
      </c>
      <c r="AG284" s="51">
        <v>5.2165676981269478</v>
      </c>
      <c r="AH284" s="54">
        <v>1</v>
      </c>
      <c r="AI284" s="55">
        <v>1.11537052876835</v>
      </c>
      <c r="AJ284" s="54">
        <v>0.98001623912233393</v>
      </c>
      <c r="AK284" s="55">
        <v>1.11537052876835</v>
      </c>
      <c r="AL284" s="82">
        <v>2189</v>
      </c>
      <c r="AM284" s="82">
        <v>2145</v>
      </c>
      <c r="AN284" s="54">
        <v>0.19290840434860412</v>
      </c>
      <c r="AO284" s="54">
        <v>4.9971408039351711E-2</v>
      </c>
      <c r="AP284" s="54">
        <v>0.24287981238795583</v>
      </c>
      <c r="AQ284" s="53">
        <v>1.0078057369354707</v>
      </c>
      <c r="AR284" s="53">
        <v>8.3884419777493147</v>
      </c>
      <c r="AS284" s="53">
        <v>9.3962477146847849</v>
      </c>
      <c r="AT284" s="53">
        <v>6.6001003887683467</v>
      </c>
      <c r="AU284" s="53">
        <v>7.9981740517265667</v>
      </c>
      <c r="AV284" s="53">
        <v>3.3379285085325026</v>
      </c>
      <c r="AW284" s="53">
        <v>14397.224813363866</v>
      </c>
      <c r="AX284" s="53">
        <v>202.5567270489646</v>
      </c>
      <c r="AY284" s="51">
        <v>862</v>
      </c>
    </row>
    <row r="285" spans="28:51" x14ac:dyDescent="0.15">
      <c r="AB285" s="51">
        <v>1892.3813012803785</v>
      </c>
      <c r="AC285" s="51">
        <v>302.12227091864349</v>
      </c>
      <c r="AD285" s="51">
        <v>891.25614956262086</v>
      </c>
      <c r="AE285" s="51">
        <v>91.037304090179703</v>
      </c>
      <c r="AF285" s="51">
        <v>51.243812224594699</v>
      </c>
      <c r="AG285" s="51">
        <v>5.2342960197468118</v>
      </c>
      <c r="AH285" s="54">
        <v>1</v>
      </c>
      <c r="AI285" s="55">
        <v>1.115956826554054</v>
      </c>
      <c r="AJ285" s="54">
        <v>0.98501217934175056</v>
      </c>
      <c r="AK285" s="55">
        <v>1.115956826554054</v>
      </c>
      <c r="AL285" s="82">
        <v>2195</v>
      </c>
      <c r="AM285" s="82">
        <v>2162</v>
      </c>
      <c r="AN285" s="54">
        <v>0.19047960622472457</v>
      </c>
      <c r="AO285" s="54">
        <v>4.9971408039351711E-2</v>
      </c>
      <c r="AP285" s="54">
        <v>0.24045101426407628</v>
      </c>
      <c r="AQ285" s="53">
        <v>1.0209196132254623</v>
      </c>
      <c r="AR285" s="53">
        <v>8.4334201027331854</v>
      </c>
      <c r="AS285" s="53">
        <v>9.454339715958648</v>
      </c>
      <c r="AT285" s="53">
        <v>6.6431996817142531</v>
      </c>
      <c r="AU285" s="53">
        <v>8.0487696988364501</v>
      </c>
      <c r="AV285" s="53">
        <v>3.3635363084291248</v>
      </c>
      <c r="AW285" s="53">
        <v>14584.565903220888</v>
      </c>
      <c r="AX285" s="53">
        <v>187.34108985702187</v>
      </c>
      <c r="AY285" s="51">
        <v>873</v>
      </c>
    </row>
    <row r="286" spans="28:51" x14ac:dyDescent="0.15">
      <c r="AB286" s="51">
        <v>1897.3887328926951</v>
      </c>
      <c r="AC286" s="51">
        <v>303.11245259049656</v>
      </c>
      <c r="AD286" s="51">
        <v>898.85591607694732</v>
      </c>
      <c r="AE286" s="51">
        <v>91.868677129856465</v>
      </c>
      <c r="AF286" s="51">
        <v>51.379756011568404</v>
      </c>
      <c r="AG286" s="51">
        <v>5.25133131084994</v>
      </c>
      <c r="AH286" s="54">
        <v>1</v>
      </c>
      <c r="AI286" s="55">
        <v>1.1165431243397581</v>
      </c>
      <c r="AJ286" s="54">
        <v>0.99000811956116719</v>
      </c>
      <c r="AK286" s="55">
        <v>1.1165431243397581</v>
      </c>
      <c r="AL286" s="82">
        <v>2201</v>
      </c>
      <c r="AM286" s="82">
        <v>2179</v>
      </c>
      <c r="AN286" s="54">
        <v>0.18807509608208381</v>
      </c>
      <c r="AO286" s="54">
        <v>4.9971408039351711E-2</v>
      </c>
      <c r="AP286" s="54">
        <v>0.23804650412143552</v>
      </c>
      <c r="AQ286" s="53">
        <v>1.034173989548322</v>
      </c>
      <c r="AR286" s="53">
        <v>8.4791369249544246</v>
      </c>
      <c r="AS286" s="53">
        <v>9.5133109145027461</v>
      </c>
      <c r="AT286" s="53">
        <v>6.6869319395179385</v>
      </c>
      <c r="AU286" s="53">
        <v>8.1001214270103432</v>
      </c>
      <c r="AV286" s="53">
        <v>3.3894898020356621</v>
      </c>
      <c r="AW286" s="53">
        <v>14773.914136404597</v>
      </c>
      <c r="AX286" s="53">
        <v>189.34823318370945</v>
      </c>
      <c r="AY286" s="51">
        <v>885</v>
      </c>
    </row>
    <row r="287" spans="28:51" x14ac:dyDescent="0.15">
      <c r="AB287" s="51">
        <v>1902.5888986085677</v>
      </c>
      <c r="AC287" s="51">
        <v>304.06131048857907</v>
      </c>
      <c r="AD287" s="51">
        <v>906.51803605503505</v>
      </c>
      <c r="AE287" s="51">
        <v>92.677489931251728</v>
      </c>
      <c r="AF287" s="51">
        <v>51.523764265988163</v>
      </c>
      <c r="AG287" s="51">
        <v>5.2675103572803126</v>
      </c>
      <c r="AH287" s="54">
        <v>1</v>
      </c>
      <c r="AI287" s="55">
        <v>1.1171294221254622</v>
      </c>
      <c r="AJ287" s="54">
        <v>0.99500405978058382</v>
      </c>
      <c r="AK287" s="55">
        <v>1.1171294221254622</v>
      </c>
      <c r="AL287" s="82">
        <v>2207</v>
      </c>
      <c r="AM287" s="82">
        <v>2196</v>
      </c>
      <c r="AN287" s="54">
        <v>0.18569463104086945</v>
      </c>
      <c r="AO287" s="54">
        <v>4.9971408039351711E-2</v>
      </c>
      <c r="AP287" s="54">
        <v>0.23566603908022116</v>
      </c>
      <c r="AQ287" s="53">
        <v>1.0475352854548183</v>
      </c>
      <c r="AR287" s="53">
        <v>8.5254618721446853</v>
      </c>
      <c r="AS287" s="53">
        <v>9.5729971575995041</v>
      </c>
      <c r="AT287" s="53">
        <v>6.7311765335512757</v>
      </c>
      <c r="AU287" s="53">
        <v>8.1520868455753899</v>
      </c>
      <c r="AV287" s="53">
        <v>3.4157191388283419</v>
      </c>
      <c r="AW287" s="53">
        <v>14964.789792211686</v>
      </c>
      <c r="AX287" s="53">
        <v>190.87565580708906</v>
      </c>
      <c r="AY287" s="51">
        <v>896</v>
      </c>
    </row>
    <row r="288" spans="28:51" x14ac:dyDescent="0.15">
      <c r="AB288" s="60">
        <v>1908.4596546254761</v>
      </c>
      <c r="AC288" s="60">
        <v>304.82118540433828</v>
      </c>
      <c r="AD288" s="60">
        <v>914.46369317099504</v>
      </c>
      <c r="AE288" s="60">
        <v>93.429158320202305</v>
      </c>
      <c r="AF288" s="60">
        <v>51.683509569584267</v>
      </c>
      <c r="AG288" s="60">
        <v>5.2804139018097187</v>
      </c>
      <c r="AH288" s="62">
        <v>1</v>
      </c>
      <c r="AI288" s="63">
        <v>1.1177157199111663</v>
      </c>
      <c r="AJ288" s="62">
        <v>1</v>
      </c>
      <c r="AK288" s="63">
        <v>1.1177157199111663</v>
      </c>
      <c r="AL288" s="84">
        <v>2213</v>
      </c>
      <c r="AM288" s="84">
        <v>2213</v>
      </c>
      <c r="AN288" s="62">
        <v>0.18333797065006724</v>
      </c>
      <c r="AO288" s="62">
        <v>4.9971408039351711E-2</v>
      </c>
      <c r="AP288" s="62">
        <v>0.23330937868941895</v>
      </c>
      <c r="AQ288" s="61">
        <v>1.0611935103804933</v>
      </c>
      <c r="AR288" s="61">
        <v>8.5734476886958273</v>
      </c>
      <c r="AS288" s="61">
        <v>9.6346411990763201</v>
      </c>
      <c r="AT288" s="61">
        <v>6.7768253028443777</v>
      </c>
      <c r="AU288" s="61">
        <v>8.2057332509603498</v>
      </c>
      <c r="AV288" s="61">
        <v>3.4427067572404457</v>
      </c>
      <c r="AW288" s="61">
        <v>15159.907291149904</v>
      </c>
      <c r="AX288" s="61">
        <v>195.11749893821798</v>
      </c>
      <c r="AY288" s="60">
        <v>908</v>
      </c>
    </row>
    <row r="289" spans="27:51" x14ac:dyDescent="0.15">
      <c r="AB289" s="51">
        <v>1911.7267781113285</v>
      </c>
      <c r="AC289" s="51">
        <v>305.05296920945977</v>
      </c>
      <c r="AD289" s="51">
        <v>921.12407605503552</v>
      </c>
      <c r="AE289" s="51">
        <v>94.00689969225148</v>
      </c>
      <c r="AF289" s="51">
        <v>51.777640756380812</v>
      </c>
      <c r="AG289" s="51">
        <v>5.2842560599791568</v>
      </c>
      <c r="AH289" s="54">
        <v>1</v>
      </c>
      <c r="AI289" s="55">
        <v>1.1182017571880594</v>
      </c>
      <c r="AJ289" s="54">
        <v>1</v>
      </c>
      <c r="AK289" s="55">
        <v>1.1182017571880594</v>
      </c>
      <c r="AL289" s="82">
        <v>2217</v>
      </c>
      <c r="AM289" s="82">
        <v>2217</v>
      </c>
      <c r="AN289" s="54">
        <v>0.18100487686317304</v>
      </c>
      <c r="AO289" s="54">
        <v>4.9971408039351711E-2</v>
      </c>
      <c r="AP289" s="54">
        <v>0.23097628490252475</v>
      </c>
      <c r="AQ289" s="53">
        <v>1.0682257323228976</v>
      </c>
      <c r="AR289" s="53">
        <v>8.568187331839809</v>
      </c>
      <c r="AS289" s="53">
        <v>9.6364130641627064</v>
      </c>
      <c r="AT289" s="53">
        <v>6.7803506202161037</v>
      </c>
      <c r="AU289" s="53">
        <v>8.2083818421894055</v>
      </c>
      <c r="AV289" s="53">
        <v>3.4482777689450668</v>
      </c>
      <c r="AW289" s="53">
        <v>15260.367604612822</v>
      </c>
      <c r="AX289" s="53">
        <v>100.46031346291784</v>
      </c>
      <c r="AY289" s="51">
        <v>914</v>
      </c>
    </row>
    <row r="290" spans="27:51" x14ac:dyDescent="0.15">
      <c r="AB290" s="51">
        <v>1915.6305521438894</v>
      </c>
      <c r="AC290" s="51">
        <v>306.06621093646845</v>
      </c>
      <c r="AD290" s="51">
        <v>928.03404409777897</v>
      </c>
      <c r="AE290" s="51">
        <v>94.824168308987453</v>
      </c>
      <c r="AF290" s="51">
        <v>51.883261898443692</v>
      </c>
      <c r="AG290" s="51">
        <v>5.3013003024692322</v>
      </c>
      <c r="AH290" s="54">
        <v>1</v>
      </c>
      <c r="AI290" s="55">
        <v>1.1186877944649525</v>
      </c>
      <c r="AJ290" s="54">
        <v>1</v>
      </c>
      <c r="AK290" s="55">
        <v>1.1186877944649525</v>
      </c>
      <c r="AL290" s="82">
        <v>2222</v>
      </c>
      <c r="AM290" s="82">
        <v>2222</v>
      </c>
      <c r="AN290" s="54">
        <v>0.17869511401414778</v>
      </c>
      <c r="AO290" s="54">
        <v>4.9971408039351711E-2</v>
      </c>
      <c r="AP290" s="54">
        <v>0.22866652205349949</v>
      </c>
      <c r="AQ290" s="53">
        <v>1.0757371510205818</v>
      </c>
      <c r="AR290" s="53">
        <v>8.5679763440180032</v>
      </c>
      <c r="AS290" s="53">
        <v>9.6437134950385843</v>
      </c>
      <c r="AT290" s="53">
        <v>6.7877213803659178</v>
      </c>
      <c r="AU290" s="53">
        <v>8.215717437702251</v>
      </c>
      <c r="AV290" s="53">
        <v>3.4557305799144711</v>
      </c>
      <c r="AW290" s="53">
        <v>15367.673586008308</v>
      </c>
      <c r="AX290" s="53">
        <v>107.30598139548601</v>
      </c>
      <c r="AY290" s="51">
        <v>920</v>
      </c>
    </row>
    <row r="291" spans="27:51" x14ac:dyDescent="0.15">
      <c r="AB291" s="51">
        <v>1919.6593362646786</v>
      </c>
      <c r="AC291" s="51">
        <v>307.04519684902687</v>
      </c>
      <c r="AD291" s="51">
        <v>934.9539933717881</v>
      </c>
      <c r="AE291" s="51">
        <v>95.63125879591054</v>
      </c>
      <c r="AF291" s="51">
        <v>51.994402629611258</v>
      </c>
      <c r="AG291" s="51">
        <v>5.3182190878496796</v>
      </c>
      <c r="AH291" s="54">
        <v>1</v>
      </c>
      <c r="AI291" s="55">
        <v>1.1191738317418456</v>
      </c>
      <c r="AJ291" s="54">
        <v>1</v>
      </c>
      <c r="AK291" s="55">
        <v>1.1191738317418456</v>
      </c>
      <c r="AL291" s="82">
        <v>2227</v>
      </c>
      <c r="AM291" s="82">
        <v>2227</v>
      </c>
      <c r="AN291" s="54">
        <v>0.17640844879361278</v>
      </c>
      <c r="AO291" s="54">
        <v>4.9971408039351711E-2</v>
      </c>
      <c r="AP291" s="54">
        <v>0.22637985683296449</v>
      </c>
      <c r="AQ291" s="53">
        <v>1.0832362056213842</v>
      </c>
      <c r="AR291" s="53">
        <v>8.5681569228513439</v>
      </c>
      <c r="AS291" s="53">
        <v>9.6513931284727281</v>
      </c>
      <c r="AT291" s="53">
        <v>6.7953408208556141</v>
      </c>
      <c r="AU291" s="53">
        <v>8.223366974664172</v>
      </c>
      <c r="AV291" s="53">
        <v>3.4632797953023133</v>
      </c>
      <c r="AW291" s="53">
        <v>15474.802937448343</v>
      </c>
      <c r="AX291" s="53">
        <v>107.12935144003495</v>
      </c>
      <c r="AY291" s="51">
        <v>927</v>
      </c>
    </row>
    <row r="292" spans="27:51" x14ac:dyDescent="0.15">
      <c r="AB292" s="51">
        <v>1923.7674316591031</v>
      </c>
      <c r="AC292" s="51">
        <v>308.0136217542414</v>
      </c>
      <c r="AD292" s="51">
        <v>941.85857801412999</v>
      </c>
      <c r="AE292" s="51">
        <v>96.423268567521816</v>
      </c>
      <c r="AF292" s="51">
        <v>52.109001728361676</v>
      </c>
      <c r="AG292" s="51">
        <v>5.3346865290893994</v>
      </c>
      <c r="AH292" s="54">
        <v>1</v>
      </c>
      <c r="AI292" s="55">
        <v>1.1196598690187387</v>
      </c>
      <c r="AJ292" s="54">
        <v>1</v>
      </c>
      <c r="AK292" s="55">
        <v>1.1196598690187387</v>
      </c>
      <c r="AL292" s="82">
        <v>2232</v>
      </c>
      <c r="AM292" s="82">
        <v>2232</v>
      </c>
      <c r="AN292" s="54">
        <v>0.17414465022528314</v>
      </c>
      <c r="AO292" s="54">
        <v>4.9971408039351711E-2</v>
      </c>
      <c r="AP292" s="54">
        <v>0.22411605826463485</v>
      </c>
      <c r="AQ292" s="53">
        <v>1.0906938231193122</v>
      </c>
      <c r="AR292" s="53">
        <v>8.5686617703492995</v>
      </c>
      <c r="AS292" s="53">
        <v>9.6593555934686108</v>
      </c>
      <c r="AT292" s="53">
        <v>6.8031350033521782</v>
      </c>
      <c r="AU292" s="53">
        <v>8.2312452984103945</v>
      </c>
      <c r="AV292" s="53">
        <v>3.4708776482163395</v>
      </c>
      <c r="AW292" s="53">
        <v>15581.340330275885</v>
      </c>
      <c r="AX292" s="53">
        <v>106.53739282754213</v>
      </c>
      <c r="AY292" s="51">
        <v>933</v>
      </c>
    </row>
    <row r="293" spans="27:51" x14ac:dyDescent="0.15">
      <c r="AB293" s="56">
        <v>1928.6105546171443</v>
      </c>
      <c r="AC293" s="56">
        <v>308.16431382460291</v>
      </c>
      <c r="AD293" s="56">
        <v>949.06574666249037</v>
      </c>
      <c r="AE293" s="56">
        <v>96.957365426277903</v>
      </c>
      <c r="AF293" s="56">
        <v>52.242410900480408</v>
      </c>
      <c r="AG293" s="56">
        <v>5.3371292160109691</v>
      </c>
      <c r="AH293" s="58">
        <v>1</v>
      </c>
      <c r="AI293" s="59">
        <v>1.120145906295632</v>
      </c>
      <c r="AJ293" s="58">
        <v>1</v>
      </c>
      <c r="AK293" s="59">
        <v>1.120145906295632</v>
      </c>
      <c r="AL293" s="83">
        <v>2237</v>
      </c>
      <c r="AM293" s="83">
        <v>2237</v>
      </c>
      <c r="AN293" s="58">
        <v>0.1719034896426368</v>
      </c>
      <c r="AO293" s="58">
        <v>4.9971408039351711E-2</v>
      </c>
      <c r="AP293" s="58">
        <v>0.22187489768198851</v>
      </c>
      <c r="AQ293" s="57">
        <v>1.0993555941713575</v>
      </c>
      <c r="AR293" s="57">
        <v>8.5882714209242277</v>
      </c>
      <c r="AS293" s="57">
        <v>9.6876270150955861</v>
      </c>
      <c r="AT293" s="57">
        <v>6.8248698747875105</v>
      </c>
      <c r="AU293" s="57">
        <v>8.2562484449415479</v>
      </c>
      <c r="AV293" s="57">
        <v>3.4849865444280881</v>
      </c>
      <c r="AW293" s="57">
        <v>15705.079916733677</v>
      </c>
      <c r="AX293" s="57">
        <v>123.73958645779203</v>
      </c>
      <c r="AY293" s="56">
        <v>940</v>
      </c>
    </row>
    <row r="295" spans="27:51" ht="12.75" thickBot="1" x14ac:dyDescent="0.2"/>
    <row r="296" spans="27:51" ht="60.75" thickBot="1" x14ac:dyDescent="0.2">
      <c r="AA296" s="93"/>
      <c r="AB296" s="91" t="s">
        <v>20</v>
      </c>
      <c r="AC296" s="91" t="s">
        <v>4</v>
      </c>
      <c r="AD296" s="91" t="s">
        <v>155</v>
      </c>
      <c r="AE296" s="91" t="s">
        <v>156</v>
      </c>
      <c r="AF296" s="91" t="s">
        <v>157</v>
      </c>
      <c r="AG296" s="91" t="s">
        <v>158</v>
      </c>
      <c r="AH296" s="90" t="s">
        <v>50</v>
      </c>
      <c r="AI296" s="90" t="s">
        <v>28</v>
      </c>
      <c r="AJ296" s="90" t="s">
        <v>51</v>
      </c>
      <c r="AK296" s="90" t="s">
        <v>29</v>
      </c>
      <c r="AL296" s="90" t="s">
        <v>110</v>
      </c>
      <c r="AM296" s="90" t="s">
        <v>111</v>
      </c>
      <c r="AN296" s="91" t="s">
        <v>43</v>
      </c>
      <c r="AO296" s="91" t="s">
        <v>44</v>
      </c>
      <c r="AP296" s="91" t="s">
        <v>5</v>
      </c>
      <c r="AQ296" s="46" t="s">
        <v>45</v>
      </c>
      <c r="AR296" s="45" t="s">
        <v>46</v>
      </c>
      <c r="AS296" s="45" t="s">
        <v>93</v>
      </c>
      <c r="AT296" s="45" t="s">
        <v>30</v>
      </c>
      <c r="AU296" s="45" t="s">
        <v>31</v>
      </c>
      <c r="AV296" s="45" t="s">
        <v>32</v>
      </c>
      <c r="AW296" s="45" t="s">
        <v>26</v>
      </c>
      <c r="AX296" s="46" t="s">
        <v>138</v>
      </c>
      <c r="AY296" s="87" t="s">
        <v>152</v>
      </c>
    </row>
    <row r="297" spans="27:51" x14ac:dyDescent="0.15">
      <c r="AB297" s="44" t="s">
        <v>120</v>
      </c>
      <c r="AC297" s="44" t="s">
        <v>120</v>
      </c>
      <c r="AD297" s="44" t="s">
        <v>159</v>
      </c>
      <c r="AE297" s="44" t="s">
        <v>159</v>
      </c>
      <c r="AF297" s="44" t="s">
        <v>159</v>
      </c>
      <c r="AG297" s="44" t="s">
        <v>159</v>
      </c>
      <c r="AH297" s="43" t="s">
        <v>2</v>
      </c>
      <c r="AI297" s="43" t="s">
        <v>2</v>
      </c>
      <c r="AJ297" s="43" t="s">
        <v>2</v>
      </c>
      <c r="AK297" s="43" t="s">
        <v>2</v>
      </c>
      <c r="AL297" s="92">
        <v>0</v>
      </c>
      <c r="AM297" s="92">
        <v>0</v>
      </c>
      <c r="AN297" s="39" t="s">
        <v>2</v>
      </c>
      <c r="AO297" s="39" t="s">
        <v>2</v>
      </c>
      <c r="AP297" s="39" t="s">
        <v>2</v>
      </c>
      <c r="AQ297" s="43" t="s">
        <v>19</v>
      </c>
      <c r="AR297" s="43" t="s">
        <v>19</v>
      </c>
      <c r="AS297" s="43" t="s">
        <v>19</v>
      </c>
      <c r="AT297" s="43" t="s">
        <v>19</v>
      </c>
      <c r="AU297" s="43" t="s">
        <v>19</v>
      </c>
      <c r="AV297" s="43" t="s">
        <v>19</v>
      </c>
      <c r="AW297" s="43" t="s">
        <v>101</v>
      </c>
      <c r="AX297" s="43" t="s">
        <v>101</v>
      </c>
      <c r="AY297" s="43" t="s">
        <v>154</v>
      </c>
    </row>
    <row r="298" spans="27:51" ht="15.75" x14ac:dyDescent="0.15">
      <c r="AB298" s="76">
        <f>AB4-AB46-AB88-AB130-AB172-AB214-AB256</f>
        <v>0</v>
      </c>
      <c r="AC298" s="76">
        <f t="shared" ref="AC298:AY298" si="3">AC4-AC46-AC88-AC130-AC172-AC214-AC256</f>
        <v>-6.8212102632969618E-13</v>
      </c>
      <c r="AD298" s="76">
        <f t="shared" si="3"/>
        <v>2.1600499167107046E-12</v>
      </c>
      <c r="AE298" s="76">
        <f t="shared" si="3"/>
        <v>-3.3395508580724709E-13</v>
      </c>
      <c r="AF298" s="76">
        <f t="shared" si="3"/>
        <v>0</v>
      </c>
      <c r="AG298" s="76">
        <f t="shared" si="3"/>
        <v>1.0480505352461478E-13</v>
      </c>
      <c r="AH298" s="54"/>
      <c r="AI298" s="55"/>
      <c r="AJ298" s="54"/>
      <c r="AK298" s="55"/>
      <c r="AL298" s="82">
        <f t="shared" si="3"/>
        <v>-1</v>
      </c>
      <c r="AM298" s="82">
        <f t="shared" si="3"/>
        <v>5914</v>
      </c>
      <c r="AN298" s="54"/>
      <c r="AO298" s="54"/>
      <c r="AP298" s="54"/>
      <c r="AQ298" s="53">
        <f t="shared" si="3"/>
        <v>0.29406351339791797</v>
      </c>
      <c r="AR298" s="53">
        <f t="shared" si="3"/>
        <v>27.740833962765453</v>
      </c>
      <c r="AS298" s="53">
        <f t="shared" si="3"/>
        <v>28.034897476163369</v>
      </c>
      <c r="AT298" s="53">
        <f t="shared" si="3"/>
        <v>18.78795282190822</v>
      </c>
      <c r="AU298" s="53">
        <f t="shared" si="3"/>
        <v>23.411425149035789</v>
      </c>
      <c r="AV298" s="53">
        <f t="shared" si="3"/>
        <v>7.9998507252772093</v>
      </c>
      <c r="AW298" s="53">
        <f t="shared" si="3"/>
        <v>4200.9073342559705</v>
      </c>
      <c r="AX298" s="53">
        <f t="shared" si="3"/>
        <v>0</v>
      </c>
      <c r="AY298" s="53">
        <f t="shared" si="3"/>
        <v>0</v>
      </c>
    </row>
    <row r="299" spans="27:51" ht="15.75" x14ac:dyDescent="0.15">
      <c r="AB299" s="76">
        <f t="shared" ref="AB299:AY299" si="4">AB5-AB47-AB89-AB131-AB173-AB215-AB257</f>
        <v>0</v>
      </c>
      <c r="AC299" s="76">
        <f t="shared" si="4"/>
        <v>-2.5011104298755527E-12</v>
      </c>
      <c r="AD299" s="76">
        <f t="shared" si="4"/>
        <v>1.0231815394945443E-12</v>
      </c>
      <c r="AE299" s="76">
        <f t="shared" si="4"/>
        <v>0</v>
      </c>
      <c r="AF299" s="76">
        <f t="shared" si="4"/>
        <v>0</v>
      </c>
      <c r="AG299" s="76">
        <f t="shared" si="4"/>
        <v>2.1316282072803006E-14</v>
      </c>
      <c r="AH299" s="78"/>
      <c r="AI299" s="79"/>
      <c r="AJ299" s="78"/>
      <c r="AK299" s="79"/>
      <c r="AL299" s="81">
        <f t="shared" si="4"/>
        <v>-2</v>
      </c>
      <c r="AM299" s="81">
        <f t="shared" si="4"/>
        <v>5870</v>
      </c>
      <c r="AN299" s="78"/>
      <c r="AO299" s="78"/>
      <c r="AP299" s="78"/>
      <c r="AQ299" s="77">
        <f t="shared" si="4"/>
        <v>-12.955829042018186</v>
      </c>
      <c r="AR299" s="77">
        <f t="shared" si="4"/>
        <v>-170.0873658480275</v>
      </c>
      <c r="AS299" s="77">
        <f t="shared" si="4"/>
        <v>-183.0431948900457</v>
      </c>
      <c r="AT299" s="77">
        <f t="shared" si="4"/>
        <v>-126.34740627403656</v>
      </c>
      <c r="AU299" s="77">
        <f t="shared" si="4"/>
        <v>-154.69530058204114</v>
      </c>
      <c r="AV299" s="77">
        <f t="shared" si="4"/>
        <v>-60.202319555359168</v>
      </c>
      <c r="AW299" s="77">
        <f t="shared" si="4"/>
        <v>28953.863966723784</v>
      </c>
      <c r="AX299" s="77">
        <f t="shared" si="4"/>
        <v>0</v>
      </c>
      <c r="AY299" s="76">
        <f t="shared" si="4"/>
        <v>1734</v>
      </c>
    </row>
    <row r="300" spans="27:51" x14ac:dyDescent="0.15">
      <c r="AB300" s="51">
        <f t="shared" ref="AB300:AY300" si="5">AB6-AB48-AB90-AB132-AB174-AB216-AB258</f>
        <v>0</v>
      </c>
      <c r="AC300" s="51">
        <f t="shared" si="5"/>
        <v>2.0179413695586845E-12</v>
      </c>
      <c r="AD300" s="51">
        <f t="shared" si="5"/>
        <v>0</v>
      </c>
      <c r="AE300" s="51">
        <f t="shared" si="5"/>
        <v>1.3358203432289883E-12</v>
      </c>
      <c r="AF300" s="51">
        <f t="shared" si="5"/>
        <v>-8.5265128291212022E-14</v>
      </c>
      <c r="AG300" s="51">
        <f t="shared" si="5"/>
        <v>-1.4210854715202004E-14</v>
      </c>
      <c r="AH300" s="54"/>
      <c r="AI300" s="55"/>
      <c r="AJ300" s="54"/>
      <c r="AK300" s="55"/>
      <c r="AL300" s="82">
        <f t="shared" si="5"/>
        <v>-1</v>
      </c>
      <c r="AM300" s="82">
        <f t="shared" si="5"/>
        <v>5822</v>
      </c>
      <c r="AN300" s="54"/>
      <c r="AO300" s="54"/>
      <c r="AP300" s="54"/>
      <c r="AQ300" s="53">
        <f t="shared" si="5"/>
        <v>2.0193815151902466</v>
      </c>
      <c r="AR300" s="53">
        <f t="shared" si="5"/>
        <v>27.283808254038384</v>
      </c>
      <c r="AS300" s="53">
        <f t="shared" si="5"/>
        <v>29.303189769228627</v>
      </c>
      <c r="AT300" s="53">
        <f t="shared" si="5"/>
        <v>20.208587017882508</v>
      </c>
      <c r="AU300" s="53">
        <f t="shared" si="5"/>
        <v>24.755888393555573</v>
      </c>
      <c r="AV300" s="53">
        <f t="shared" si="5"/>
        <v>9.5982171413120216</v>
      </c>
      <c r="AW300" s="53">
        <f t="shared" si="5"/>
        <v>28848.307359860661</v>
      </c>
      <c r="AX300" s="53">
        <f t="shared" si="5"/>
        <v>0</v>
      </c>
      <c r="AY300" s="51">
        <f t="shared" si="5"/>
        <v>1728</v>
      </c>
    </row>
    <row r="301" spans="27:51" x14ac:dyDescent="0.15">
      <c r="AB301" s="56">
        <f t="shared" ref="AB301:AY301" si="6">AB7-AB49-AB91-AB133-AB175-AB217-AB259</f>
        <v>0</v>
      </c>
      <c r="AC301" s="56">
        <f t="shared" si="6"/>
        <v>2.1032064978498966E-12</v>
      </c>
      <c r="AD301" s="56">
        <f t="shared" si="6"/>
        <v>-1.1368683772161603E-12</v>
      </c>
      <c r="AE301" s="56">
        <f t="shared" si="6"/>
        <v>1.0231815394945443E-12</v>
      </c>
      <c r="AF301" s="56">
        <f t="shared" si="6"/>
        <v>-6.3948846218409017E-14</v>
      </c>
      <c r="AG301" s="56">
        <f t="shared" si="6"/>
        <v>-7.638334409421077E-14</v>
      </c>
      <c r="AH301" s="58"/>
      <c r="AI301" s="59"/>
      <c r="AJ301" s="58"/>
      <c r="AK301" s="59"/>
      <c r="AL301" s="83">
        <f t="shared" si="6"/>
        <v>-1</v>
      </c>
      <c r="AM301" s="83">
        <f t="shared" si="6"/>
        <v>7209</v>
      </c>
      <c r="AN301" s="58"/>
      <c r="AO301" s="58"/>
      <c r="AP301" s="58"/>
      <c r="AQ301" s="57">
        <f t="shared" si="6"/>
        <v>2.5125697884393881</v>
      </c>
      <c r="AR301" s="57">
        <f t="shared" si="6"/>
        <v>33.497659962908799</v>
      </c>
      <c r="AS301" s="57">
        <f t="shared" si="6"/>
        <v>36.010229751348191</v>
      </c>
      <c r="AT301" s="57">
        <f t="shared" si="6"/>
        <v>24.844343097045261</v>
      </c>
      <c r="AU301" s="57">
        <f t="shared" si="6"/>
        <v>30.427286424196733</v>
      </c>
      <c r="AV301" s="57">
        <f t="shared" si="6"/>
        <v>11.817475333691835</v>
      </c>
      <c r="AW301" s="57">
        <f t="shared" si="6"/>
        <v>35893.854120562683</v>
      </c>
      <c r="AX301" s="57">
        <f t="shared" si="6"/>
        <v>7045.5467607020228</v>
      </c>
      <c r="AY301" s="56">
        <f t="shared" si="6"/>
        <v>2150</v>
      </c>
    </row>
    <row r="302" spans="27:51" x14ac:dyDescent="0.15">
      <c r="AB302" s="51">
        <f t="shared" ref="AB302:AY302" si="7">AB8-AB50-AB92-AB134-AB176-AB218-AB260</f>
        <v>0</v>
      </c>
      <c r="AC302" s="51">
        <f t="shared" si="7"/>
        <v>-3.694822225952521E-12</v>
      </c>
      <c r="AD302" s="51">
        <f t="shared" si="7"/>
        <v>-1.9326762412674725E-12</v>
      </c>
      <c r="AE302" s="51">
        <f t="shared" si="7"/>
        <v>0</v>
      </c>
      <c r="AF302" s="51">
        <f t="shared" si="7"/>
        <v>1.2789769243681803E-13</v>
      </c>
      <c r="AG302" s="51">
        <f t="shared" si="7"/>
        <v>0</v>
      </c>
      <c r="AH302" s="54"/>
      <c r="AI302" s="55"/>
      <c r="AJ302" s="54"/>
      <c r="AK302" s="55"/>
      <c r="AL302" s="82">
        <f t="shared" si="7"/>
        <v>1</v>
      </c>
      <c r="AM302" s="82">
        <f t="shared" si="7"/>
        <v>6476</v>
      </c>
      <c r="AN302" s="54"/>
      <c r="AO302" s="54"/>
      <c r="AP302" s="54"/>
      <c r="AQ302" s="53">
        <f t="shared" si="7"/>
        <v>2.2689676384426005</v>
      </c>
      <c r="AR302" s="53">
        <f t="shared" si="7"/>
        <v>29.782617896794921</v>
      </c>
      <c r="AS302" s="53">
        <f t="shared" si="7"/>
        <v>32.051585535237507</v>
      </c>
      <c r="AT302" s="53">
        <f t="shared" si="7"/>
        <v>22.124046236305869</v>
      </c>
      <c r="AU302" s="53">
        <f t="shared" si="7"/>
        <v>27.0878158857717</v>
      </c>
      <c r="AV302" s="53">
        <f t="shared" si="7"/>
        <v>10.541917054218965</v>
      </c>
      <c r="AW302" s="53">
        <f t="shared" si="7"/>
        <v>32413.823406322859</v>
      </c>
      <c r="AX302" s="53">
        <f t="shared" si="7"/>
        <v>-3480.0307142398224</v>
      </c>
      <c r="AY302" s="51">
        <f t="shared" si="7"/>
        <v>1942</v>
      </c>
    </row>
    <row r="303" spans="27:51" x14ac:dyDescent="0.15">
      <c r="AB303" s="51">
        <f t="shared" ref="AB303:AY303" si="8">AB9-AB51-AB93-AB135-AB177-AB219-AB261</f>
        <v>0</v>
      </c>
      <c r="AC303" s="51">
        <f t="shared" si="8"/>
        <v>1.6484591469634324E-12</v>
      </c>
      <c r="AD303" s="51">
        <f t="shared" si="8"/>
        <v>-1.3642420526593924E-12</v>
      </c>
      <c r="AE303" s="51">
        <f t="shared" si="8"/>
        <v>-5.5422333389287814E-13</v>
      </c>
      <c r="AF303" s="51">
        <f t="shared" si="8"/>
        <v>0</v>
      </c>
      <c r="AG303" s="51">
        <f t="shared" si="8"/>
        <v>2.042810365310288E-14</v>
      </c>
      <c r="AH303" s="54"/>
      <c r="AI303" s="55"/>
      <c r="AJ303" s="54"/>
      <c r="AK303" s="55"/>
      <c r="AL303" s="82">
        <f t="shared" si="8"/>
        <v>0</v>
      </c>
      <c r="AM303" s="82">
        <f t="shared" si="8"/>
        <v>5725</v>
      </c>
      <c r="AN303" s="54"/>
      <c r="AO303" s="54"/>
      <c r="AP303" s="54"/>
      <c r="AQ303" s="53">
        <f t="shared" si="8"/>
        <v>2.0162474407940181</v>
      </c>
      <c r="AR303" s="53">
        <f t="shared" si="8"/>
        <v>26.019456172271319</v>
      </c>
      <c r="AS303" s="53">
        <f t="shared" si="8"/>
        <v>28.035703613065341</v>
      </c>
      <c r="AT303" s="53">
        <f t="shared" si="8"/>
        <v>19.36255155564157</v>
      </c>
      <c r="AU303" s="53">
        <f t="shared" si="8"/>
        <v>23.699127584353455</v>
      </c>
      <c r="AV303" s="53">
        <f t="shared" si="8"/>
        <v>9.2438741553138293</v>
      </c>
      <c r="AW303" s="53">
        <f t="shared" si="8"/>
        <v>28803.534868485971</v>
      </c>
      <c r="AX303" s="53">
        <f t="shared" si="8"/>
        <v>-3610.2885378368892</v>
      </c>
      <c r="AY303" s="51">
        <f t="shared" si="8"/>
        <v>1725</v>
      </c>
    </row>
    <row r="304" spans="27:51" x14ac:dyDescent="0.15">
      <c r="AB304" s="51">
        <f t="shared" ref="AB304:AY304" si="9">AB10-AB52-AB94-AB136-AB178-AB220-AB262</f>
        <v>1.8189894035458565E-12</v>
      </c>
      <c r="AC304" s="51">
        <f t="shared" si="9"/>
        <v>-1.7621459846850485E-12</v>
      </c>
      <c r="AD304" s="51">
        <f t="shared" si="9"/>
        <v>0</v>
      </c>
      <c r="AE304" s="51">
        <f t="shared" si="9"/>
        <v>-8.5265128291212022E-13</v>
      </c>
      <c r="AF304" s="51">
        <f t="shared" si="9"/>
        <v>0</v>
      </c>
      <c r="AG304" s="51">
        <f t="shared" si="9"/>
        <v>-5.4178883601707639E-14</v>
      </c>
      <c r="AH304" s="54"/>
      <c r="AI304" s="55"/>
      <c r="AJ304" s="54"/>
      <c r="AK304" s="55"/>
      <c r="AL304" s="82">
        <f t="shared" si="9"/>
        <v>-1</v>
      </c>
      <c r="AM304" s="82">
        <f t="shared" si="9"/>
        <v>4961</v>
      </c>
      <c r="AN304" s="54"/>
      <c r="AO304" s="54"/>
      <c r="AP304" s="54"/>
      <c r="AQ304" s="53">
        <f t="shared" si="9"/>
        <v>1.7547748101477938</v>
      </c>
      <c r="AR304" s="53">
        <f t="shared" si="9"/>
        <v>22.23229132131241</v>
      </c>
      <c r="AS304" s="53">
        <f t="shared" si="9"/>
        <v>23.9870661314602</v>
      </c>
      <c r="AT304" s="53">
        <f t="shared" si="9"/>
        <v>16.5763023576894</v>
      </c>
      <c r="AU304" s="53">
        <f t="shared" si="9"/>
        <v>20.281684244574791</v>
      </c>
      <c r="AV304" s="53">
        <f t="shared" si="9"/>
        <v>7.930411288290129</v>
      </c>
      <c r="AW304" s="53">
        <f t="shared" si="9"/>
        <v>25068.21157353992</v>
      </c>
      <c r="AX304" s="53">
        <f t="shared" si="9"/>
        <v>-3735.3232949460526</v>
      </c>
      <c r="AY304" s="51">
        <f t="shared" si="9"/>
        <v>1502</v>
      </c>
    </row>
    <row r="305" spans="28:51" x14ac:dyDescent="0.15">
      <c r="AB305" s="51">
        <f t="shared" ref="AB305:AY305" si="10">AB11-AB53-AB95-AB137-AB179-AB221-AB263</f>
        <v>5.0022208597511053E-12</v>
      </c>
      <c r="AC305" s="51">
        <f t="shared" si="10"/>
        <v>9.0949470177292824E-13</v>
      </c>
      <c r="AD305" s="51">
        <f t="shared" si="10"/>
        <v>0</v>
      </c>
      <c r="AE305" s="51">
        <f t="shared" si="10"/>
        <v>-3.2684965844964609E-13</v>
      </c>
      <c r="AF305" s="51">
        <f t="shared" si="10"/>
        <v>0</v>
      </c>
      <c r="AG305" s="51">
        <f t="shared" si="10"/>
        <v>3.2862601528904634E-14</v>
      </c>
      <c r="AH305" s="54"/>
      <c r="AI305" s="55"/>
      <c r="AJ305" s="54"/>
      <c r="AK305" s="55"/>
      <c r="AL305" s="82">
        <f t="shared" si="10"/>
        <v>0</v>
      </c>
      <c r="AM305" s="82">
        <f t="shared" si="10"/>
        <v>4166</v>
      </c>
      <c r="AN305" s="54"/>
      <c r="AO305" s="54"/>
      <c r="AP305" s="54"/>
      <c r="AQ305" s="53">
        <f t="shared" si="10"/>
        <v>1.4817576894822613</v>
      </c>
      <c r="AR305" s="53">
        <f t="shared" si="10"/>
        <v>18.414653209134961</v>
      </c>
      <c r="AS305" s="53">
        <f t="shared" si="10"/>
        <v>19.896410898617226</v>
      </c>
      <c r="AT305" s="53">
        <f t="shared" si="10"/>
        <v>13.758193162238893</v>
      </c>
      <c r="AU305" s="53">
        <f t="shared" si="10"/>
        <v>16.827302030428047</v>
      </c>
      <c r="AV305" s="53">
        <f t="shared" si="10"/>
        <v>6.5969391364641954</v>
      </c>
      <c r="AW305" s="53">
        <f t="shared" si="10"/>
        <v>21167.966992603731</v>
      </c>
      <c r="AX305" s="53">
        <f t="shared" si="10"/>
        <v>-3900.2445809361834</v>
      </c>
      <c r="AY305" s="51">
        <f t="shared" si="10"/>
        <v>1268</v>
      </c>
    </row>
    <row r="306" spans="28:51" x14ac:dyDescent="0.15">
      <c r="AB306" s="51">
        <f t="shared" ref="AB306:AY306" si="11">AB12-AB54-AB96-AB138-AB180-AB222-AB264</f>
        <v>2.9558577807620168E-12</v>
      </c>
      <c r="AC306" s="51">
        <f t="shared" si="11"/>
        <v>9.0949470177292824E-13</v>
      </c>
      <c r="AD306" s="51">
        <f t="shared" si="11"/>
        <v>0</v>
      </c>
      <c r="AE306" s="51">
        <f t="shared" si="11"/>
        <v>0</v>
      </c>
      <c r="AF306" s="51">
        <f t="shared" si="11"/>
        <v>-9.2370555648813024E-14</v>
      </c>
      <c r="AG306" s="51">
        <f t="shared" si="11"/>
        <v>1.5099033134902129E-14</v>
      </c>
      <c r="AH306" s="54"/>
      <c r="AI306" s="55"/>
      <c r="AJ306" s="54"/>
      <c r="AK306" s="55"/>
      <c r="AL306" s="82">
        <f t="shared" si="11"/>
        <v>0</v>
      </c>
      <c r="AM306" s="82">
        <f t="shared" si="11"/>
        <v>3362</v>
      </c>
      <c r="AN306" s="54"/>
      <c r="AO306" s="54"/>
      <c r="AP306" s="54"/>
      <c r="AQ306" s="53">
        <f t="shared" si="11"/>
        <v>1.2036651541249426</v>
      </c>
      <c r="AR306" s="53">
        <f t="shared" si="11"/>
        <v>14.684082555938044</v>
      </c>
      <c r="AS306" s="53">
        <f t="shared" si="11"/>
        <v>15.887747710062989</v>
      </c>
      <c r="AT306" s="53">
        <f t="shared" si="11"/>
        <v>10.993053524750289</v>
      </c>
      <c r="AU306" s="53">
        <f t="shared" si="11"/>
        <v>13.440400617406659</v>
      </c>
      <c r="AV306" s="53">
        <f t="shared" si="11"/>
        <v>5.2825769752188432</v>
      </c>
      <c r="AW306" s="53">
        <f t="shared" si="11"/>
        <v>17195.216487499187</v>
      </c>
      <c r="AX306" s="53">
        <f t="shared" si="11"/>
        <v>-3972.7505051045528</v>
      </c>
      <c r="AY306" s="51">
        <f t="shared" si="11"/>
        <v>1031</v>
      </c>
    </row>
    <row r="307" spans="28:51" x14ac:dyDescent="0.15">
      <c r="AB307" s="51">
        <f t="shared" ref="AB307:AY307" si="12">AB13-AB55-AB97-AB139-AB181-AB223-AB265</f>
        <v>2.0463630789890885E-12</v>
      </c>
      <c r="AC307" s="51">
        <f t="shared" si="12"/>
        <v>1.1368683772161603E-12</v>
      </c>
      <c r="AD307" s="51">
        <f t="shared" si="12"/>
        <v>0</v>
      </c>
      <c r="AE307" s="51">
        <f t="shared" si="12"/>
        <v>-2.8421709430404007E-13</v>
      </c>
      <c r="AF307" s="51">
        <f t="shared" si="12"/>
        <v>0</v>
      </c>
      <c r="AG307" s="51">
        <f t="shared" si="12"/>
        <v>7.1054273576010019E-15</v>
      </c>
      <c r="AH307" s="54"/>
      <c r="AI307" s="55"/>
      <c r="AJ307" s="54"/>
      <c r="AK307" s="55"/>
      <c r="AL307" s="82">
        <f t="shared" si="12"/>
        <v>1</v>
      </c>
      <c r="AM307" s="82">
        <f t="shared" si="12"/>
        <v>2543</v>
      </c>
      <c r="AN307" s="54"/>
      <c r="AO307" s="54"/>
      <c r="AP307" s="54"/>
      <c r="AQ307" s="53">
        <f t="shared" si="12"/>
        <v>0.91482547043968643</v>
      </c>
      <c r="AR307" s="53">
        <f t="shared" si="12"/>
        <v>10.935216051802762</v>
      </c>
      <c r="AS307" s="53">
        <f t="shared" si="12"/>
        <v>11.850041522242444</v>
      </c>
      <c r="AT307" s="53">
        <f t="shared" si="12"/>
        <v>8.2049695049748426</v>
      </c>
      <c r="AU307" s="53">
        <f t="shared" si="12"/>
        <v>10.027505513608613</v>
      </c>
      <c r="AV307" s="53">
        <f t="shared" si="12"/>
        <v>3.9523854848293234</v>
      </c>
      <c r="AW307" s="53">
        <f t="shared" si="12"/>
        <v>13068.935291995493</v>
      </c>
      <c r="AX307" s="53">
        <f t="shared" si="12"/>
        <v>-4126.2811955036659</v>
      </c>
      <c r="AY307" s="51">
        <f t="shared" si="12"/>
        <v>782</v>
      </c>
    </row>
    <row r="308" spans="28:51" x14ac:dyDescent="0.15">
      <c r="AB308" s="51">
        <f t="shared" ref="AB308:AY308" si="13">AB14-AB56-AB98-AB140-AB182-AB224-AB266</f>
        <v>2.2737367544323206E-12</v>
      </c>
      <c r="AC308" s="51">
        <f t="shared" si="13"/>
        <v>0</v>
      </c>
      <c r="AD308" s="51">
        <f t="shared" si="13"/>
        <v>-1.9326762412674725E-12</v>
      </c>
      <c r="AE308" s="51">
        <f t="shared" si="13"/>
        <v>0</v>
      </c>
      <c r="AF308" s="51">
        <f t="shared" si="13"/>
        <v>7.1054273576010019E-14</v>
      </c>
      <c r="AG308" s="51">
        <f t="shared" si="13"/>
        <v>0</v>
      </c>
      <c r="AH308" s="54"/>
      <c r="AI308" s="55"/>
      <c r="AJ308" s="54"/>
      <c r="AK308" s="55"/>
      <c r="AL308" s="82">
        <f t="shared" si="13"/>
        <v>0</v>
      </c>
      <c r="AM308" s="82">
        <f t="shared" si="13"/>
        <v>1710</v>
      </c>
      <c r="AN308" s="54"/>
      <c r="AO308" s="54"/>
      <c r="AP308" s="54"/>
      <c r="AQ308" s="53">
        <f t="shared" si="13"/>
        <v>0.61867698773039059</v>
      </c>
      <c r="AR308" s="53">
        <f t="shared" si="13"/>
        <v>7.2482978059543246</v>
      </c>
      <c r="AS308" s="53">
        <f t="shared" si="13"/>
        <v>7.8669747936847312</v>
      </c>
      <c r="AT308" s="53">
        <f t="shared" si="13"/>
        <v>5.4508755250332932</v>
      </c>
      <c r="AU308" s="53">
        <f t="shared" si="13"/>
        <v>6.6589251593590308</v>
      </c>
      <c r="AV308" s="53">
        <f t="shared" si="13"/>
        <v>2.6320930449399258</v>
      </c>
      <c r="AW308" s="53">
        <f t="shared" si="13"/>
        <v>8838.2426818627191</v>
      </c>
      <c r="AX308" s="53">
        <f t="shared" si="13"/>
        <v>-4230.6926101328008</v>
      </c>
      <c r="AY308" s="51">
        <f t="shared" si="13"/>
        <v>530</v>
      </c>
    </row>
    <row r="309" spans="28:51" x14ac:dyDescent="0.15">
      <c r="AB309" s="51">
        <f t="shared" ref="AB309:AY309" si="14">AB15-AB57-AB99-AB141-AB183-AB225-AB267</f>
        <v>0</v>
      </c>
      <c r="AC309" s="51">
        <f t="shared" si="14"/>
        <v>-7.9580786405131221E-13</v>
      </c>
      <c r="AD309" s="51">
        <f t="shared" si="14"/>
        <v>0</v>
      </c>
      <c r="AE309" s="51">
        <f t="shared" si="14"/>
        <v>4.1211478674085811E-13</v>
      </c>
      <c r="AF309" s="51">
        <f t="shared" si="14"/>
        <v>0</v>
      </c>
      <c r="AG309" s="51">
        <f t="shared" si="14"/>
        <v>-5.3290705182007514E-14</v>
      </c>
      <c r="AH309" s="54"/>
      <c r="AI309" s="55"/>
      <c r="AJ309" s="54"/>
      <c r="AK309" s="55"/>
      <c r="AL309" s="82">
        <f t="shared" si="14"/>
        <v>-1</v>
      </c>
      <c r="AM309" s="82">
        <f t="shared" si="14"/>
        <v>860</v>
      </c>
      <c r="AN309" s="54"/>
      <c r="AO309" s="54"/>
      <c r="AP309" s="54"/>
      <c r="AQ309" s="53">
        <f t="shared" si="14"/>
        <v>0.31341628639806851</v>
      </c>
      <c r="AR309" s="53">
        <f t="shared" si="14"/>
        <v>3.5920181306694881</v>
      </c>
      <c r="AS309" s="53">
        <f t="shared" si="14"/>
        <v>3.9054344170675623</v>
      </c>
      <c r="AT309" s="53">
        <f t="shared" si="14"/>
        <v>2.7080950401777795</v>
      </c>
      <c r="AU309" s="53">
        <f t="shared" si="14"/>
        <v>3.3067647286227029</v>
      </c>
      <c r="AV309" s="53">
        <f t="shared" si="14"/>
        <v>1.3111991004729275</v>
      </c>
      <c r="AW309" s="53">
        <f t="shared" si="14"/>
        <v>4477.3755199724492</v>
      </c>
      <c r="AX309" s="53">
        <f t="shared" si="14"/>
        <v>-4360.8671618902736</v>
      </c>
      <c r="AY309" s="51">
        <f t="shared" si="14"/>
        <v>268</v>
      </c>
    </row>
    <row r="310" spans="28:51" x14ac:dyDescent="0.15">
      <c r="AB310" s="60">
        <f t="shared" ref="AB310:AY310" si="15">AB16-AB58-AB100-AB142-AB184-AB226-AB268</f>
        <v>-3.637978807091713E-12</v>
      </c>
      <c r="AC310" s="60">
        <f t="shared" si="15"/>
        <v>2.8421709430404007E-12</v>
      </c>
      <c r="AD310" s="60">
        <f t="shared" si="15"/>
        <v>-1.2505552149377763E-12</v>
      </c>
      <c r="AE310" s="60">
        <f t="shared" si="15"/>
        <v>5.6843418860808015E-13</v>
      </c>
      <c r="AF310" s="60">
        <f t="shared" si="15"/>
        <v>0</v>
      </c>
      <c r="AG310" s="60">
        <f t="shared" si="15"/>
        <v>3.6415315207705135E-14</v>
      </c>
      <c r="AH310" s="62"/>
      <c r="AI310" s="63"/>
      <c r="AJ310" s="62"/>
      <c r="AK310" s="63"/>
      <c r="AL310" s="84">
        <f t="shared" si="15"/>
        <v>-2</v>
      </c>
      <c r="AM310" s="84">
        <f t="shared" si="15"/>
        <v>0</v>
      </c>
      <c r="AN310" s="62"/>
      <c r="AO310" s="62"/>
      <c r="AP310" s="62"/>
      <c r="AQ310" s="61">
        <f t="shared" si="15"/>
        <v>-1.0521021897447191E-3</v>
      </c>
      <c r="AR310" s="61">
        <f t="shared" si="15"/>
        <v>-3.7502939799844981E-2</v>
      </c>
      <c r="AS310" s="61">
        <f t="shared" si="15"/>
        <v>-3.8555041989580374E-2</v>
      </c>
      <c r="AT310" s="61">
        <f t="shared" si="15"/>
        <v>-2.6054062056321214E-2</v>
      </c>
      <c r="AU310" s="61">
        <f t="shared" si="15"/>
        <v>-3.2304552022965893E-2</v>
      </c>
      <c r="AV310" s="61">
        <f t="shared" si="15"/>
        <v>-1.1469585467475785E-2</v>
      </c>
      <c r="AW310" s="61">
        <f t="shared" si="15"/>
        <v>-15.030031282050913</v>
      </c>
      <c r="AX310" s="61">
        <f t="shared" si="15"/>
        <v>-4492.4055512544983</v>
      </c>
      <c r="AY310" s="60">
        <f t="shared" si="15"/>
        <v>-2</v>
      </c>
    </row>
    <row r="311" spans="28:51" x14ac:dyDescent="0.15">
      <c r="AB311" s="51">
        <f t="shared" ref="AB311:AY311" si="16">AB17-AB59-AB101-AB143-AB185-AB227-AB269</f>
        <v>-4.3200998334214091E-12</v>
      </c>
      <c r="AC311" s="51">
        <f t="shared" si="16"/>
        <v>2.7853275241795927E-12</v>
      </c>
      <c r="AD311" s="51">
        <f t="shared" si="16"/>
        <v>0</v>
      </c>
      <c r="AE311" s="51">
        <f t="shared" si="16"/>
        <v>5.5422333389287814E-13</v>
      </c>
      <c r="AF311" s="51">
        <f t="shared" si="16"/>
        <v>9.2370555648813024E-14</v>
      </c>
      <c r="AG311" s="51">
        <f t="shared" si="16"/>
        <v>-3.730349362740526E-14</v>
      </c>
      <c r="AH311" s="54"/>
      <c r="AI311" s="55"/>
      <c r="AJ311" s="54"/>
      <c r="AK311" s="55"/>
      <c r="AL311" s="82">
        <f t="shared" si="16"/>
        <v>-1</v>
      </c>
      <c r="AM311" s="82">
        <f t="shared" si="16"/>
        <v>0</v>
      </c>
      <c r="AN311" s="54"/>
      <c r="AO311" s="54"/>
      <c r="AP311" s="54"/>
      <c r="AQ311" s="53">
        <f t="shared" si="16"/>
        <v>-1.0579517166513508E-3</v>
      </c>
      <c r="AR311" s="53">
        <f t="shared" si="16"/>
        <v>-3.7575669307847726E-2</v>
      </c>
      <c r="AS311" s="53">
        <f t="shared" si="16"/>
        <v>-3.8633621024533937E-2</v>
      </c>
      <c r="AT311" s="53">
        <f t="shared" si="16"/>
        <v>-2.6108397921894344E-2</v>
      </c>
      <c r="AU311" s="53">
        <f t="shared" si="16"/>
        <v>-3.237100947319238E-2</v>
      </c>
      <c r="AV311" s="53">
        <f t="shared" si="16"/>
        <v>-1.1495637635491107E-2</v>
      </c>
      <c r="AW311" s="53">
        <f t="shared" si="16"/>
        <v>-15.113595952159812</v>
      </c>
      <c r="AX311" s="53">
        <f t="shared" si="16"/>
        <v>-8.3564670119812945E-2</v>
      </c>
      <c r="AY311" s="51">
        <f t="shared" si="16"/>
        <v>0</v>
      </c>
    </row>
    <row r="312" spans="28:51" x14ac:dyDescent="0.15">
      <c r="AB312" s="51">
        <f t="shared" ref="AB312:AY312" si="17">AB18-AB60-AB102-AB144-AB186-AB228-AB270</f>
        <v>0</v>
      </c>
      <c r="AC312" s="51">
        <f t="shared" si="17"/>
        <v>3.0695446184836328E-12</v>
      </c>
      <c r="AD312" s="51">
        <f t="shared" si="17"/>
        <v>2.5011104298755527E-12</v>
      </c>
      <c r="AE312" s="51">
        <f t="shared" si="17"/>
        <v>-3.4106051316484809E-13</v>
      </c>
      <c r="AF312" s="51">
        <f t="shared" si="17"/>
        <v>9.9475983006414026E-14</v>
      </c>
      <c r="AG312" s="51">
        <f t="shared" si="17"/>
        <v>1.3322676295501878E-14</v>
      </c>
      <c r="AH312" s="54"/>
      <c r="AI312" s="55"/>
      <c r="AJ312" s="54"/>
      <c r="AK312" s="55"/>
      <c r="AL312" s="82">
        <f t="shared" si="17"/>
        <v>0</v>
      </c>
      <c r="AM312" s="82">
        <f t="shared" si="17"/>
        <v>0</v>
      </c>
      <c r="AN312" s="54"/>
      <c r="AO312" s="54"/>
      <c r="AP312" s="54"/>
      <c r="AQ312" s="53">
        <f t="shared" si="17"/>
        <v>6.106226635438361E-15</v>
      </c>
      <c r="AR312" s="53">
        <f t="shared" si="17"/>
        <v>-1.8824472648697466E-2</v>
      </c>
      <c r="AS312" s="53">
        <f t="shared" si="17"/>
        <v>-1.8824472648708124E-2</v>
      </c>
      <c r="AT312" s="53">
        <f t="shared" si="17"/>
        <v>-1.2549648432437444E-2</v>
      </c>
      <c r="AU312" s="53">
        <f t="shared" si="17"/>
        <v>-1.5687060540575892E-2</v>
      </c>
      <c r="AV312" s="53">
        <f t="shared" si="17"/>
        <v>-5.2290201801983294E-3</v>
      </c>
      <c r="AW312" s="53">
        <f t="shared" si="17"/>
        <v>3.4560798667371273E-11</v>
      </c>
      <c r="AX312" s="53">
        <f t="shared" si="17"/>
        <v>15.113595952214382</v>
      </c>
      <c r="AY312" s="51">
        <f t="shared" si="17"/>
        <v>-1</v>
      </c>
    </row>
    <row r="313" spans="28:51" x14ac:dyDescent="0.15">
      <c r="AB313" s="51">
        <f t="shared" ref="AB313:AY313" si="18">AB19-AB61-AB103-AB145-AB187-AB229-AB271</f>
        <v>-5.4569682106375694E-12</v>
      </c>
      <c r="AC313" s="51">
        <f t="shared" si="18"/>
        <v>0</v>
      </c>
      <c r="AD313" s="51">
        <f t="shared" si="18"/>
        <v>-2.1600499167107046E-12</v>
      </c>
      <c r="AE313" s="51">
        <f t="shared" si="18"/>
        <v>-7.3896444519050419E-13</v>
      </c>
      <c r="AF313" s="51">
        <f t="shared" si="18"/>
        <v>0</v>
      </c>
      <c r="AG313" s="51">
        <f t="shared" si="18"/>
        <v>1.4210854715202004E-14</v>
      </c>
      <c r="AH313" s="54"/>
      <c r="AI313" s="55"/>
      <c r="AJ313" s="54"/>
      <c r="AK313" s="55"/>
      <c r="AL313" s="82">
        <f t="shared" si="18"/>
        <v>0</v>
      </c>
      <c r="AM313" s="82">
        <f t="shared" si="18"/>
        <v>0</v>
      </c>
      <c r="AN313" s="54"/>
      <c r="AO313" s="54"/>
      <c r="AP313" s="54"/>
      <c r="AQ313" s="53">
        <f t="shared" si="18"/>
        <v>1.0696507704669456E-3</v>
      </c>
      <c r="AR313" s="53">
        <f t="shared" si="18"/>
        <v>6.9277916736609768E-14</v>
      </c>
      <c r="AS313" s="53">
        <f t="shared" si="18"/>
        <v>1.0696507705372227E-3</v>
      </c>
      <c r="AT313" s="53">
        <f t="shared" si="18"/>
        <v>1.0696507705070246E-3</v>
      </c>
      <c r="AU313" s="53">
        <f t="shared" si="18"/>
        <v>1.0696507705327818E-3</v>
      </c>
      <c r="AV313" s="53">
        <f t="shared" si="18"/>
        <v>1.0696507704870406E-3</v>
      </c>
      <c r="AW313" s="53">
        <f t="shared" si="18"/>
        <v>15.280725292372153</v>
      </c>
      <c r="AX313" s="53">
        <f t="shared" si="18"/>
        <v>15.280725292330317</v>
      </c>
      <c r="AY313" s="51">
        <f t="shared" si="18"/>
        <v>0</v>
      </c>
    </row>
    <row r="314" spans="28:51" x14ac:dyDescent="0.15">
      <c r="AB314" s="51">
        <f t="shared" ref="AB314:AY314" si="19">AB20-AB62-AB104-AB146-AB188-AB230-AB272</f>
        <v>-4.0927261579781771E-12</v>
      </c>
      <c r="AC314" s="51">
        <f t="shared" si="19"/>
        <v>-6.8212102632969618E-13</v>
      </c>
      <c r="AD314" s="51">
        <f t="shared" si="19"/>
        <v>-1.5916157281026244E-12</v>
      </c>
      <c r="AE314" s="51">
        <f t="shared" si="19"/>
        <v>-6.3948846218409017E-13</v>
      </c>
      <c r="AF314" s="51">
        <f t="shared" si="19"/>
        <v>-1.0658141036401503E-13</v>
      </c>
      <c r="AG314" s="51">
        <f t="shared" si="19"/>
        <v>-3.9968028886505635E-14</v>
      </c>
      <c r="AH314" s="54"/>
      <c r="AI314" s="55"/>
      <c r="AJ314" s="54"/>
      <c r="AK314" s="55"/>
      <c r="AL314" s="82">
        <f t="shared" si="19"/>
        <v>0</v>
      </c>
      <c r="AM314" s="82">
        <f t="shared" si="19"/>
        <v>1</v>
      </c>
      <c r="AN314" s="54"/>
      <c r="AO314" s="54"/>
      <c r="AP314" s="54"/>
      <c r="AQ314" s="53">
        <f t="shared" si="19"/>
        <v>-1.0755002973863448E-3</v>
      </c>
      <c r="AR314" s="53">
        <f t="shared" si="19"/>
        <v>-3.7797148091802235E-2</v>
      </c>
      <c r="AS314" s="53">
        <f t="shared" si="19"/>
        <v>-3.8872648389192577E-2</v>
      </c>
      <c r="AT314" s="53">
        <f t="shared" si="19"/>
        <v>-2.6273599025314454E-2</v>
      </c>
      <c r="AU314" s="53">
        <f t="shared" si="19"/>
        <v>-3.2573123707249962E-2</v>
      </c>
      <c r="AV314" s="53">
        <f t="shared" si="19"/>
        <v>-1.1574708100684283E-2</v>
      </c>
      <c r="AW314" s="53">
        <f t="shared" si="19"/>
        <v>-15.36428996261202</v>
      </c>
      <c r="AX314" s="53">
        <f t="shared" si="19"/>
        <v>-30.645015254993268</v>
      </c>
      <c r="AY314" s="51">
        <f t="shared" si="19"/>
        <v>0</v>
      </c>
    </row>
    <row r="315" spans="28:51" x14ac:dyDescent="0.15">
      <c r="AB315" s="51">
        <f t="shared" ref="AB315:AY315" si="20">AB21-AB63-AB105-AB147-AB189-AB231-AB273</f>
        <v>0</v>
      </c>
      <c r="AC315" s="51">
        <f t="shared" si="20"/>
        <v>-6.2527760746888816E-13</v>
      </c>
      <c r="AD315" s="51">
        <f t="shared" si="20"/>
        <v>0</v>
      </c>
      <c r="AE315" s="51">
        <f t="shared" si="20"/>
        <v>3.2684965844964609E-13</v>
      </c>
      <c r="AF315" s="51">
        <f t="shared" si="20"/>
        <v>1.4921397450962104E-13</v>
      </c>
      <c r="AG315" s="51">
        <f t="shared" si="20"/>
        <v>0</v>
      </c>
      <c r="AH315" s="54"/>
      <c r="AI315" s="55"/>
      <c r="AJ315" s="54"/>
      <c r="AK315" s="55"/>
      <c r="AL315" s="82">
        <f t="shared" si="20"/>
        <v>-1</v>
      </c>
      <c r="AM315" s="82">
        <f t="shared" si="20"/>
        <v>0</v>
      </c>
      <c r="AN315" s="54"/>
      <c r="AO315" s="54"/>
      <c r="AP315" s="54"/>
      <c r="AQ315" s="53">
        <f t="shared" si="20"/>
        <v>-1.0813498242894237E-3</v>
      </c>
      <c r="AR315" s="53">
        <f t="shared" si="20"/>
        <v>-3.787208006287468E-2</v>
      </c>
      <c r="AS315" s="53">
        <f t="shared" si="20"/>
        <v>-3.8953429887158109E-2</v>
      </c>
      <c r="AT315" s="53">
        <f t="shared" si="20"/>
        <v>-2.6329403199550683E-2</v>
      </c>
      <c r="AU315" s="53">
        <f t="shared" si="20"/>
        <v>-3.2641416543350843E-2</v>
      </c>
      <c r="AV315" s="53">
        <f t="shared" si="20"/>
        <v>-1.1601372064014903E-2</v>
      </c>
      <c r="AW315" s="53">
        <f t="shared" si="20"/>
        <v>-15.447854632740928</v>
      </c>
      <c r="AX315" s="53">
        <f t="shared" si="20"/>
        <v>-8.3564670092528104E-2</v>
      </c>
      <c r="AY315" s="51">
        <f t="shared" si="20"/>
        <v>0</v>
      </c>
    </row>
    <row r="316" spans="28:51" x14ac:dyDescent="0.15">
      <c r="AB316" s="51">
        <f t="shared" ref="AB316:AY316" si="21">AB22-AB64-AB106-AB148-AB190-AB232-AB274</f>
        <v>0</v>
      </c>
      <c r="AC316" s="51">
        <f t="shared" si="21"/>
        <v>-1.5916157281026244E-12</v>
      </c>
      <c r="AD316" s="51">
        <f t="shared" si="21"/>
        <v>0</v>
      </c>
      <c r="AE316" s="51">
        <f t="shared" si="21"/>
        <v>2.1316282072803006E-13</v>
      </c>
      <c r="AF316" s="51">
        <f t="shared" si="21"/>
        <v>-9.2370555648813024E-14</v>
      </c>
      <c r="AG316" s="51">
        <f t="shared" si="21"/>
        <v>0</v>
      </c>
      <c r="AH316" s="54"/>
      <c r="AI316" s="55"/>
      <c r="AJ316" s="54"/>
      <c r="AK316" s="55"/>
      <c r="AL316" s="82">
        <f t="shared" si="21"/>
        <v>-1</v>
      </c>
      <c r="AM316" s="82">
        <f t="shared" si="21"/>
        <v>-1</v>
      </c>
      <c r="AN316" s="54"/>
      <c r="AO316" s="54"/>
      <c r="AP316" s="54"/>
      <c r="AQ316" s="53">
        <f t="shared" si="21"/>
        <v>0</v>
      </c>
      <c r="AR316" s="53">
        <f t="shared" si="21"/>
        <v>-1.8973784429689999E-2</v>
      </c>
      <c r="AS316" s="53">
        <f t="shared" si="21"/>
        <v>-1.8973784429688223E-2</v>
      </c>
      <c r="AT316" s="53">
        <f t="shared" si="21"/>
        <v>-1.2649189619865275E-2</v>
      </c>
      <c r="AU316" s="53">
        <f t="shared" si="21"/>
        <v>-1.5811487024837589E-2</v>
      </c>
      <c r="AV316" s="53">
        <f t="shared" si="21"/>
        <v>-5.2704956749320964E-3</v>
      </c>
      <c r="AW316" s="53">
        <f t="shared" si="21"/>
        <v>0</v>
      </c>
      <c r="AX316" s="53">
        <f t="shared" si="21"/>
        <v>15.447854632708186</v>
      </c>
      <c r="AY316" s="51">
        <f t="shared" si="21"/>
        <v>0</v>
      </c>
    </row>
    <row r="317" spans="28:51" x14ac:dyDescent="0.15">
      <c r="AB317" s="51">
        <f t="shared" ref="AB317:AY317" si="22">AB23-AB65-AB107-AB149-AB191-AB233-AB275</f>
        <v>0</v>
      </c>
      <c r="AC317" s="51">
        <f t="shared" si="22"/>
        <v>1.6484591469634324E-12</v>
      </c>
      <c r="AD317" s="51">
        <f t="shared" si="22"/>
        <v>3.5242919693700969E-12</v>
      </c>
      <c r="AE317" s="51">
        <f t="shared" si="22"/>
        <v>-2.9842794901924208E-13</v>
      </c>
      <c r="AF317" s="51">
        <f t="shared" si="22"/>
        <v>0</v>
      </c>
      <c r="AG317" s="51">
        <f t="shared" si="22"/>
        <v>-1.3322676295501878E-14</v>
      </c>
      <c r="AH317" s="54"/>
      <c r="AI317" s="55"/>
      <c r="AJ317" s="54"/>
      <c r="AK317" s="55"/>
      <c r="AL317" s="82">
        <f t="shared" si="22"/>
        <v>-2</v>
      </c>
      <c r="AM317" s="82">
        <f t="shared" si="22"/>
        <v>-1</v>
      </c>
      <c r="AN317" s="54"/>
      <c r="AO317" s="54"/>
      <c r="AP317" s="54"/>
      <c r="AQ317" s="53">
        <f t="shared" si="22"/>
        <v>2.7755575615628914E-15</v>
      </c>
      <c r="AR317" s="53">
        <f t="shared" si="22"/>
        <v>-1.9011808285354981E-2</v>
      </c>
      <c r="AS317" s="53">
        <f t="shared" si="22"/>
        <v>-1.9011808285346987E-2</v>
      </c>
      <c r="AT317" s="53">
        <f t="shared" si="22"/>
        <v>-1.2674538856899176E-2</v>
      </c>
      <c r="AU317" s="53">
        <f t="shared" si="22"/>
        <v>-1.5843173571139069E-2</v>
      </c>
      <c r="AV317" s="53">
        <f t="shared" si="22"/>
        <v>-5.2810578570463562E-3</v>
      </c>
      <c r="AW317" s="53">
        <f t="shared" si="22"/>
        <v>0</v>
      </c>
      <c r="AX317" s="53">
        <f t="shared" si="22"/>
        <v>2.9103830456733704E-11</v>
      </c>
      <c r="AY317" s="51">
        <f t="shared" si="22"/>
        <v>0</v>
      </c>
    </row>
    <row r="318" spans="28:51" x14ac:dyDescent="0.15">
      <c r="AB318" s="51">
        <f t="shared" ref="AB318:AY318" si="23">AB24-AB66-AB108-AB150-AB192-AB234-AB276</f>
        <v>0</v>
      </c>
      <c r="AC318" s="51">
        <f t="shared" si="23"/>
        <v>5.1159076974727213E-13</v>
      </c>
      <c r="AD318" s="51">
        <f t="shared" si="23"/>
        <v>-1.1368683772161603E-12</v>
      </c>
      <c r="AE318" s="51">
        <f t="shared" si="23"/>
        <v>0</v>
      </c>
      <c r="AF318" s="51">
        <f t="shared" si="23"/>
        <v>0</v>
      </c>
      <c r="AG318" s="51">
        <f t="shared" si="23"/>
        <v>1.9539925233402755E-14</v>
      </c>
      <c r="AH318" s="54"/>
      <c r="AI318" s="55"/>
      <c r="AJ318" s="54"/>
      <c r="AK318" s="55"/>
      <c r="AL318" s="82">
        <f t="shared" si="23"/>
        <v>-2</v>
      </c>
      <c r="AM318" s="82">
        <f t="shared" si="23"/>
        <v>-1</v>
      </c>
      <c r="AN318" s="54"/>
      <c r="AO318" s="54"/>
      <c r="AP318" s="54"/>
      <c r="AQ318" s="53">
        <f t="shared" si="23"/>
        <v>4.1078251911130792E-15</v>
      </c>
      <c r="AR318" s="53">
        <f t="shared" si="23"/>
        <v>1.7763568394002505E-14</v>
      </c>
      <c r="AS318" s="53">
        <f t="shared" si="23"/>
        <v>0</v>
      </c>
      <c r="AT318" s="53">
        <f t="shared" si="23"/>
        <v>8.8817841970012523E-15</v>
      </c>
      <c r="AU318" s="53">
        <f t="shared" si="23"/>
        <v>-3.8191672047105385E-14</v>
      </c>
      <c r="AV318" s="53">
        <f t="shared" si="23"/>
        <v>1.5099033134902129E-14</v>
      </c>
      <c r="AW318" s="53">
        <f t="shared" si="23"/>
        <v>3.2741809263825417E-11</v>
      </c>
      <c r="AX318" s="53">
        <f t="shared" si="23"/>
        <v>7.2759576141834259E-12</v>
      </c>
      <c r="AY318" s="51">
        <f t="shared" si="23"/>
        <v>0</v>
      </c>
    </row>
    <row r="319" spans="28:51" x14ac:dyDescent="0.15">
      <c r="AB319" s="51">
        <f t="shared" ref="AB319:AY319" si="24">AB25-AB67-AB109-AB151-AB193-AB235-AB277</f>
        <v>1.8189894035458565E-12</v>
      </c>
      <c r="AC319" s="51">
        <f t="shared" si="24"/>
        <v>0</v>
      </c>
      <c r="AD319" s="51">
        <f t="shared" si="24"/>
        <v>1.9326762412674725E-12</v>
      </c>
      <c r="AE319" s="51">
        <f t="shared" si="24"/>
        <v>0</v>
      </c>
      <c r="AF319" s="51">
        <f t="shared" si="24"/>
        <v>-1.2079226507921703E-13</v>
      </c>
      <c r="AG319" s="51">
        <f t="shared" si="24"/>
        <v>-1.0658141036401503E-14</v>
      </c>
      <c r="AH319" s="54"/>
      <c r="AI319" s="55"/>
      <c r="AJ319" s="54"/>
      <c r="AK319" s="55"/>
      <c r="AL319" s="82">
        <f t="shared" si="24"/>
        <v>-1</v>
      </c>
      <c r="AM319" s="82">
        <f t="shared" si="24"/>
        <v>0</v>
      </c>
      <c r="AN319" s="54"/>
      <c r="AO319" s="54"/>
      <c r="AP319" s="54"/>
      <c r="AQ319" s="53">
        <f t="shared" si="24"/>
        <v>2.1094237467877974E-15</v>
      </c>
      <c r="AR319" s="53">
        <f t="shared" si="24"/>
        <v>-3.2862601528904634E-14</v>
      </c>
      <c r="AS319" s="53">
        <f t="shared" si="24"/>
        <v>-1.4210854715202004E-14</v>
      </c>
      <c r="AT319" s="53">
        <f t="shared" si="24"/>
        <v>3.8191672047105385E-14</v>
      </c>
      <c r="AU319" s="53">
        <f t="shared" si="24"/>
        <v>-2.2204460492503131E-14</v>
      </c>
      <c r="AV319" s="53">
        <f t="shared" si="24"/>
        <v>0</v>
      </c>
      <c r="AW319" s="53">
        <f t="shared" si="24"/>
        <v>-2.9103830456733704E-11</v>
      </c>
      <c r="AX319" s="53">
        <f t="shared" si="24"/>
        <v>-2.7284841053187847E-11</v>
      </c>
      <c r="AY319" s="51">
        <f t="shared" si="24"/>
        <v>0</v>
      </c>
    </row>
    <row r="320" spans="28:51" x14ac:dyDescent="0.15">
      <c r="AB320" s="60">
        <f t="shared" ref="AB320:AY320" si="25">AB26-AB68-AB110-AB152-AB194-AB236-AB278</f>
        <v>0</v>
      </c>
      <c r="AC320" s="60">
        <f t="shared" si="25"/>
        <v>0</v>
      </c>
      <c r="AD320" s="60">
        <f t="shared" si="25"/>
        <v>0</v>
      </c>
      <c r="AE320" s="60">
        <f t="shared" si="25"/>
        <v>0</v>
      </c>
      <c r="AF320" s="60">
        <f t="shared" si="25"/>
        <v>-1.2789769243681803E-13</v>
      </c>
      <c r="AG320" s="60">
        <f t="shared" si="25"/>
        <v>-4.8849813083506888E-14</v>
      </c>
      <c r="AH320" s="62"/>
      <c r="AI320" s="63"/>
      <c r="AJ320" s="62"/>
      <c r="AK320" s="63"/>
      <c r="AL320" s="84">
        <f t="shared" si="25"/>
        <v>0</v>
      </c>
      <c r="AM320" s="84">
        <f t="shared" si="25"/>
        <v>0</v>
      </c>
      <c r="AN320" s="62"/>
      <c r="AO320" s="62"/>
      <c r="AP320" s="62"/>
      <c r="AQ320" s="61">
        <f t="shared" si="25"/>
        <v>-1.1105974588297984E-3</v>
      </c>
      <c r="AR320" s="61">
        <f t="shared" si="25"/>
        <v>-1.9127565648004108E-2</v>
      </c>
      <c r="AS320" s="61">
        <f t="shared" si="25"/>
        <v>-2.0238163106844453E-2</v>
      </c>
      <c r="AT320" s="61">
        <f t="shared" si="25"/>
        <v>-1.3862307890787129E-2</v>
      </c>
      <c r="AU320" s="61">
        <f t="shared" si="25"/>
        <v>-1.7050235498790478E-2</v>
      </c>
      <c r="AV320" s="61">
        <f t="shared" si="25"/>
        <v>-6.423810138828312E-3</v>
      </c>
      <c r="AW320" s="61">
        <f t="shared" si="25"/>
        <v>-15.865677983323621</v>
      </c>
      <c r="AX320" s="61">
        <f t="shared" si="25"/>
        <v>-15.865677983318164</v>
      </c>
      <c r="AY320" s="60">
        <f t="shared" si="25"/>
        <v>0</v>
      </c>
    </row>
    <row r="321" spans="28:51" x14ac:dyDescent="0.15">
      <c r="AB321" s="51">
        <f t="shared" ref="AB321:AY321" si="26">AB27-AB69-AB111-AB153-AB195-AB237-AB279</f>
        <v>4.0927261579781771E-12</v>
      </c>
      <c r="AC321" s="51">
        <f t="shared" si="26"/>
        <v>-9.0949470177292824E-13</v>
      </c>
      <c r="AD321" s="51">
        <f t="shared" si="26"/>
        <v>9.0949470177292824E-13</v>
      </c>
      <c r="AE321" s="51">
        <f t="shared" si="26"/>
        <v>-8.8107299234252423E-13</v>
      </c>
      <c r="AF321" s="51">
        <f t="shared" si="26"/>
        <v>0</v>
      </c>
      <c r="AG321" s="51">
        <f t="shared" si="26"/>
        <v>0</v>
      </c>
      <c r="AH321" s="54"/>
      <c r="AI321" s="55"/>
      <c r="AJ321" s="54"/>
      <c r="AK321" s="55"/>
      <c r="AL321" s="82">
        <f t="shared" si="26"/>
        <v>-2</v>
      </c>
      <c r="AM321" s="82">
        <f t="shared" si="26"/>
        <v>0</v>
      </c>
      <c r="AN321" s="54"/>
      <c r="AO321" s="54"/>
      <c r="AP321" s="54"/>
      <c r="AQ321" s="53">
        <f t="shared" si="26"/>
        <v>1.1164377129481151E-3</v>
      </c>
      <c r="AR321" s="53">
        <f t="shared" si="26"/>
        <v>1.9187088166376043E-2</v>
      </c>
      <c r="AS321" s="53">
        <f t="shared" si="26"/>
        <v>2.0303525879306505E-2</v>
      </c>
      <c r="AT321" s="53">
        <f t="shared" si="26"/>
        <v>1.3907829823827988E-2</v>
      </c>
      <c r="AU321" s="53">
        <f t="shared" si="26"/>
        <v>1.7105677851546375E-2</v>
      </c>
      <c r="AV321" s="53">
        <f t="shared" si="26"/>
        <v>6.4461844258176804E-3</v>
      </c>
      <c r="AW321" s="53">
        <f t="shared" si="26"/>
        <v>15.949110184994424</v>
      </c>
      <c r="AX321" s="53">
        <f t="shared" si="26"/>
        <v>31.814788168303494</v>
      </c>
      <c r="AY321" s="51">
        <f t="shared" si="26"/>
        <v>0</v>
      </c>
    </row>
    <row r="322" spans="28:51" x14ac:dyDescent="0.15">
      <c r="AB322" s="51">
        <f t="shared" ref="AB322:AY322" si="27">AB28-AB70-AB112-AB154-AB196-AB238-AB280</f>
        <v>0</v>
      </c>
      <c r="AC322" s="51">
        <f t="shared" si="27"/>
        <v>2.8421709430404007E-12</v>
      </c>
      <c r="AD322" s="51">
        <f t="shared" si="27"/>
        <v>1.9326762412674725E-12</v>
      </c>
      <c r="AE322" s="51">
        <f t="shared" si="27"/>
        <v>-5.5422333389287814E-13</v>
      </c>
      <c r="AF322" s="51">
        <f t="shared" si="27"/>
        <v>0</v>
      </c>
      <c r="AG322" s="51">
        <f t="shared" si="27"/>
        <v>-2.1316282072803006E-14</v>
      </c>
      <c r="AH322" s="54"/>
      <c r="AI322" s="55"/>
      <c r="AJ322" s="54"/>
      <c r="AK322" s="55"/>
      <c r="AL322" s="82">
        <f t="shared" si="27"/>
        <v>0</v>
      </c>
      <c r="AM322" s="82">
        <f t="shared" si="27"/>
        <v>0</v>
      </c>
      <c r="AN322" s="54"/>
      <c r="AO322" s="54"/>
      <c r="AP322" s="54"/>
      <c r="AQ322" s="53">
        <f t="shared" si="27"/>
        <v>6.7723604502134549E-15</v>
      </c>
      <c r="AR322" s="53">
        <f t="shared" si="27"/>
        <v>3.730349362740526E-14</v>
      </c>
      <c r="AS322" s="53">
        <f t="shared" si="27"/>
        <v>5.8619775700208265E-14</v>
      </c>
      <c r="AT322" s="53">
        <f t="shared" si="27"/>
        <v>6.5725203057809267E-14</v>
      </c>
      <c r="AU322" s="53">
        <f t="shared" si="27"/>
        <v>6.3948846218409017E-14</v>
      </c>
      <c r="AV322" s="53">
        <f t="shared" si="27"/>
        <v>1.4654943925052066E-14</v>
      </c>
      <c r="AW322" s="53">
        <f t="shared" si="27"/>
        <v>8.0035533756017685E-11</v>
      </c>
      <c r="AX322" s="53">
        <f t="shared" si="27"/>
        <v>-15.949110184901656</v>
      </c>
      <c r="AY322" s="51">
        <f t="shared" si="27"/>
        <v>0</v>
      </c>
    </row>
    <row r="323" spans="28:51" x14ac:dyDescent="0.15">
      <c r="AB323" s="51">
        <f t="shared" ref="AB323:AY323" si="28">AB29-AB71-AB113-AB155-AB197-AB239-AB281</f>
        <v>0</v>
      </c>
      <c r="AC323" s="51">
        <f t="shared" si="28"/>
        <v>-7.3896444519050419E-13</v>
      </c>
      <c r="AD323" s="51">
        <f t="shared" si="28"/>
        <v>0</v>
      </c>
      <c r="AE323" s="51">
        <f t="shared" si="28"/>
        <v>6.8212102632969618E-13</v>
      </c>
      <c r="AF323" s="51">
        <f t="shared" si="28"/>
        <v>0</v>
      </c>
      <c r="AG323" s="51">
        <f t="shared" si="28"/>
        <v>-8.5265128291212022E-14</v>
      </c>
      <c r="AH323" s="54"/>
      <c r="AI323" s="55"/>
      <c r="AJ323" s="54"/>
      <c r="AK323" s="55"/>
      <c r="AL323" s="82">
        <f t="shared" si="28"/>
        <v>0</v>
      </c>
      <c r="AM323" s="82">
        <f t="shared" si="28"/>
        <v>0</v>
      </c>
      <c r="AN323" s="54"/>
      <c r="AO323" s="54"/>
      <c r="AP323" s="54"/>
      <c r="AQ323" s="53">
        <f t="shared" si="28"/>
        <v>2.2204460492503131E-15</v>
      </c>
      <c r="AR323" s="53">
        <f t="shared" si="28"/>
        <v>5.8619775700208265E-14</v>
      </c>
      <c r="AS323" s="53">
        <f t="shared" si="28"/>
        <v>6.9277916736609768E-14</v>
      </c>
      <c r="AT323" s="53">
        <f t="shared" si="28"/>
        <v>1.5987211554602254E-14</v>
      </c>
      <c r="AU323" s="53">
        <f t="shared" si="28"/>
        <v>1.7763568394002505E-14</v>
      </c>
      <c r="AV323" s="53">
        <f t="shared" si="28"/>
        <v>0</v>
      </c>
      <c r="AW323" s="53">
        <f t="shared" si="28"/>
        <v>-1.6370904631912708E-11</v>
      </c>
      <c r="AX323" s="53">
        <f t="shared" si="28"/>
        <v>-8.3673512563109398E-11</v>
      </c>
      <c r="AY323" s="51">
        <f t="shared" si="28"/>
        <v>0</v>
      </c>
    </row>
    <row r="324" spans="28:51" x14ac:dyDescent="0.15">
      <c r="AB324" s="51">
        <f t="shared" ref="AB324:AY324" si="29">AB30-AB72-AB114-AB156-AB198-AB240-AB282</f>
        <v>0</v>
      </c>
      <c r="AC324" s="51">
        <f t="shared" si="29"/>
        <v>-1.7053025658242404E-12</v>
      </c>
      <c r="AD324" s="51">
        <f t="shared" si="29"/>
        <v>-2.7284841053187847E-12</v>
      </c>
      <c r="AE324" s="51">
        <f t="shared" si="29"/>
        <v>-4.5474735088646412E-13</v>
      </c>
      <c r="AF324" s="51">
        <f t="shared" si="29"/>
        <v>1.0658141036401503E-13</v>
      </c>
      <c r="AG324" s="51">
        <f t="shared" si="29"/>
        <v>-9.7699626167013776E-15</v>
      </c>
      <c r="AH324" s="54"/>
      <c r="AI324" s="55"/>
      <c r="AJ324" s="54"/>
      <c r="AK324" s="55"/>
      <c r="AL324" s="82">
        <f t="shared" si="29"/>
        <v>0</v>
      </c>
      <c r="AM324" s="82">
        <f t="shared" si="29"/>
        <v>0</v>
      </c>
      <c r="AN324" s="54"/>
      <c r="AO324" s="54"/>
      <c r="AP324" s="54"/>
      <c r="AQ324" s="53">
        <f t="shared" si="29"/>
        <v>1.1339584753009557E-3</v>
      </c>
      <c r="AR324" s="53">
        <f t="shared" si="29"/>
        <v>1.9365563845081368E-2</v>
      </c>
      <c r="AS324" s="53">
        <f t="shared" si="29"/>
        <v>2.0499522320394092E-2</v>
      </c>
      <c r="AT324" s="53">
        <f t="shared" si="29"/>
        <v>1.4044334372057321E-2</v>
      </c>
      <c r="AU324" s="53">
        <f t="shared" si="29"/>
        <v>1.7271928346212384E-2</v>
      </c>
      <c r="AV324" s="53">
        <f t="shared" si="29"/>
        <v>6.5132817655859654E-3</v>
      </c>
      <c r="AW324" s="53">
        <f t="shared" si="29"/>
        <v>16.199406790025023</v>
      </c>
      <c r="AX324" s="53">
        <f t="shared" si="29"/>
        <v>16.199406789992281</v>
      </c>
      <c r="AY324" s="51">
        <f t="shared" si="29"/>
        <v>1</v>
      </c>
    </row>
    <row r="325" spans="28:51" x14ac:dyDescent="0.15">
      <c r="AB325" s="51">
        <f t="shared" ref="AB325:AY325" si="30">AB31-AB73-AB115-AB157-AB199-AB241-AB283</f>
        <v>0</v>
      </c>
      <c r="AC325" s="51">
        <f t="shared" si="30"/>
        <v>-4.6611603465862572E-12</v>
      </c>
      <c r="AD325" s="51">
        <f t="shared" si="30"/>
        <v>0</v>
      </c>
      <c r="AE325" s="51">
        <f t="shared" si="30"/>
        <v>-4.9737991503207013E-13</v>
      </c>
      <c r="AF325" s="51">
        <f t="shared" si="30"/>
        <v>1.1368683772161603E-13</v>
      </c>
      <c r="AG325" s="51">
        <f t="shared" si="30"/>
        <v>0</v>
      </c>
      <c r="AH325" s="54"/>
      <c r="AI325" s="55"/>
      <c r="AJ325" s="54"/>
      <c r="AK325" s="55"/>
      <c r="AL325" s="82">
        <f t="shared" si="30"/>
        <v>0</v>
      </c>
      <c r="AM325" s="82">
        <f t="shared" si="30"/>
        <v>1</v>
      </c>
      <c r="AN325" s="54"/>
      <c r="AO325" s="54"/>
      <c r="AP325" s="54"/>
      <c r="AQ325" s="53">
        <f t="shared" si="30"/>
        <v>3.4416913763379853E-15</v>
      </c>
      <c r="AR325" s="53">
        <f t="shared" si="30"/>
        <v>0</v>
      </c>
      <c r="AS325" s="53">
        <f t="shared" si="30"/>
        <v>-3.3750779948604759E-14</v>
      </c>
      <c r="AT325" s="53">
        <f t="shared" si="30"/>
        <v>3.730349362740526E-14</v>
      </c>
      <c r="AU325" s="53">
        <f t="shared" si="30"/>
        <v>3.3750779948604759E-14</v>
      </c>
      <c r="AV325" s="53">
        <f t="shared" si="30"/>
        <v>1.4654943925052066E-14</v>
      </c>
      <c r="AW325" s="53">
        <f t="shared" si="30"/>
        <v>0</v>
      </c>
      <c r="AX325" s="53">
        <f t="shared" si="30"/>
        <v>-16.199406790008652</v>
      </c>
      <c r="AY325" s="51">
        <f t="shared" si="30"/>
        <v>1</v>
      </c>
    </row>
    <row r="326" spans="28:51" x14ac:dyDescent="0.15">
      <c r="AB326" s="51">
        <f t="shared" ref="AB326:AY326" si="31">AB32-AB74-AB116-AB158-AB200-AB242-AB284</f>
        <v>0</v>
      </c>
      <c r="AC326" s="51">
        <f t="shared" si="31"/>
        <v>0</v>
      </c>
      <c r="AD326" s="51">
        <f t="shared" si="31"/>
        <v>-1.4779288903810084E-12</v>
      </c>
      <c r="AE326" s="51">
        <f t="shared" si="31"/>
        <v>5.6843418860808015E-13</v>
      </c>
      <c r="AF326" s="51">
        <f t="shared" si="31"/>
        <v>9.2370555648813024E-14</v>
      </c>
      <c r="AG326" s="51">
        <f t="shared" si="31"/>
        <v>6.0396132539608516E-14</v>
      </c>
      <c r="AH326" s="54"/>
      <c r="AI326" s="55"/>
      <c r="AJ326" s="54"/>
      <c r="AK326" s="55"/>
      <c r="AL326" s="82">
        <f t="shared" si="31"/>
        <v>1</v>
      </c>
      <c r="AM326" s="82">
        <f t="shared" si="31"/>
        <v>2</v>
      </c>
      <c r="AN326" s="54"/>
      <c r="AO326" s="54"/>
      <c r="AP326" s="54"/>
      <c r="AQ326" s="53">
        <f t="shared" si="31"/>
        <v>1.145638983527153E-3</v>
      </c>
      <c r="AR326" s="53">
        <f t="shared" si="31"/>
        <v>1.9484493467475161E-2</v>
      </c>
      <c r="AS326" s="53">
        <f t="shared" si="31"/>
        <v>2.0630132451051608E-2</v>
      </c>
      <c r="AT326" s="53">
        <f t="shared" si="31"/>
        <v>1.4135301295183922E-2</v>
      </c>
      <c r="AU326" s="53">
        <f t="shared" si="31"/>
        <v>1.7382716873141746E-2</v>
      </c>
      <c r="AV326" s="53">
        <f t="shared" si="31"/>
        <v>6.5579982800660908E-3</v>
      </c>
      <c r="AW326" s="53">
        <f t="shared" si="31"/>
        <v>16.366271193268403</v>
      </c>
      <c r="AX326" s="53">
        <f t="shared" si="31"/>
        <v>16.366271193275679</v>
      </c>
      <c r="AY326" s="51">
        <f t="shared" si="31"/>
        <v>2</v>
      </c>
    </row>
    <row r="327" spans="28:51" x14ac:dyDescent="0.15">
      <c r="AB327" s="51">
        <f t="shared" ref="AB327:AY327" si="32">AB33-AB75-AB117-AB159-AB201-AB243-AB285</f>
        <v>-1.8189894035458565E-12</v>
      </c>
      <c r="AC327" s="51">
        <f t="shared" si="32"/>
        <v>0</v>
      </c>
      <c r="AD327" s="51">
        <f t="shared" si="32"/>
        <v>-1.7053025658242404E-12</v>
      </c>
      <c r="AE327" s="51">
        <f t="shared" si="32"/>
        <v>-3.979039320256561E-13</v>
      </c>
      <c r="AF327" s="51">
        <f t="shared" si="32"/>
        <v>0</v>
      </c>
      <c r="AG327" s="51">
        <f t="shared" si="32"/>
        <v>-1.0391687510491465E-13</v>
      </c>
      <c r="AH327" s="54"/>
      <c r="AI327" s="55"/>
      <c r="AJ327" s="54"/>
      <c r="AK327" s="55"/>
      <c r="AL327" s="82">
        <f t="shared" si="32"/>
        <v>0</v>
      </c>
      <c r="AM327" s="82">
        <f t="shared" si="32"/>
        <v>-1</v>
      </c>
      <c r="AN327" s="54"/>
      <c r="AO327" s="54"/>
      <c r="AP327" s="54"/>
      <c r="AQ327" s="53">
        <f t="shared" si="32"/>
        <v>-1.1514792376512428E-3</v>
      </c>
      <c r="AR327" s="53">
        <f t="shared" si="32"/>
        <v>-1.9543948523105925E-2</v>
      </c>
      <c r="AS327" s="53">
        <f t="shared" si="32"/>
        <v>-2.0695427760736962E-2</v>
      </c>
      <c r="AT327" s="53">
        <f t="shared" si="32"/>
        <v>-1.4180778253030546E-2</v>
      </c>
      <c r="AU327" s="53">
        <f t="shared" si="32"/>
        <v>-1.7438103006950811E-2</v>
      </c>
      <c r="AV327" s="53">
        <f t="shared" si="32"/>
        <v>-6.5803538274122886E-3</v>
      </c>
      <c r="AW327" s="53">
        <f t="shared" si="32"/>
        <v>-16.44970339496831</v>
      </c>
      <c r="AX327" s="53">
        <f t="shared" si="32"/>
        <v>-32.815974588238532</v>
      </c>
      <c r="AY327" s="51">
        <f t="shared" si="32"/>
        <v>0</v>
      </c>
    </row>
    <row r="328" spans="28:51" x14ac:dyDescent="0.15">
      <c r="AB328" s="51">
        <f t="shared" ref="AB328:AY328" si="33">AB34-AB76-AB118-AB160-AB202-AB244-AB286</f>
        <v>0</v>
      </c>
      <c r="AC328" s="51">
        <f t="shared" si="33"/>
        <v>-2.2737367544323206E-12</v>
      </c>
      <c r="AD328" s="51">
        <f t="shared" si="33"/>
        <v>-2.7284841053187847E-12</v>
      </c>
      <c r="AE328" s="51">
        <f t="shared" si="33"/>
        <v>1.5774048733874224E-12</v>
      </c>
      <c r="AF328" s="51">
        <f t="shared" si="33"/>
        <v>7.1054273576010019E-14</v>
      </c>
      <c r="AG328" s="51">
        <f t="shared" si="33"/>
        <v>-6.2172489379008766E-14</v>
      </c>
      <c r="AH328" s="54"/>
      <c r="AI328" s="55"/>
      <c r="AJ328" s="54"/>
      <c r="AK328" s="55"/>
      <c r="AL328" s="82">
        <f t="shared" si="33"/>
        <v>0</v>
      </c>
      <c r="AM328" s="82">
        <f t="shared" si="33"/>
        <v>0</v>
      </c>
      <c r="AN328" s="54"/>
      <c r="AO328" s="54"/>
      <c r="AP328" s="54"/>
      <c r="AQ328" s="53">
        <f t="shared" si="33"/>
        <v>9.3258734068513149E-15</v>
      </c>
      <c r="AR328" s="53">
        <f t="shared" si="33"/>
        <v>0</v>
      </c>
      <c r="AS328" s="53">
        <f t="shared" si="33"/>
        <v>-3.5527136788005009E-14</v>
      </c>
      <c r="AT328" s="53">
        <f t="shared" si="33"/>
        <v>3.730349362740526E-14</v>
      </c>
      <c r="AU328" s="53">
        <f t="shared" si="33"/>
        <v>0</v>
      </c>
      <c r="AV328" s="53">
        <f t="shared" si="33"/>
        <v>7.1054273576010019E-15</v>
      </c>
      <c r="AW328" s="53">
        <f t="shared" si="33"/>
        <v>9.822542779147625E-11</v>
      </c>
      <c r="AX328" s="53">
        <f t="shared" si="33"/>
        <v>16.449703395077449</v>
      </c>
      <c r="AY328" s="51">
        <f t="shared" si="33"/>
        <v>0</v>
      </c>
    </row>
    <row r="329" spans="28:51" x14ac:dyDescent="0.15">
      <c r="AB329" s="51">
        <f t="shared" ref="AB329:AY329" si="34">AB35-AB77-AB119-AB161-AB203-AB245-AB287</f>
        <v>0</v>
      </c>
      <c r="AC329" s="51">
        <f t="shared" si="34"/>
        <v>-1.1937117960769683E-12</v>
      </c>
      <c r="AD329" s="51">
        <f t="shared" si="34"/>
        <v>-2.5011104298755527E-12</v>
      </c>
      <c r="AE329" s="51">
        <f t="shared" si="34"/>
        <v>-1.3073986337985843E-12</v>
      </c>
      <c r="AF329" s="51">
        <f t="shared" si="34"/>
        <v>-1.2789769243681803E-13</v>
      </c>
      <c r="AG329" s="51">
        <f t="shared" si="34"/>
        <v>-1.1546319456101628E-14</v>
      </c>
      <c r="AH329" s="54"/>
      <c r="AI329" s="55"/>
      <c r="AJ329" s="54"/>
      <c r="AK329" s="55"/>
      <c r="AL329" s="82">
        <f t="shared" si="34"/>
        <v>-1</v>
      </c>
      <c r="AM329" s="82">
        <f t="shared" si="34"/>
        <v>-2</v>
      </c>
      <c r="AN329" s="54"/>
      <c r="AO329" s="54"/>
      <c r="AP329" s="54"/>
      <c r="AQ329" s="53">
        <f t="shared" si="34"/>
        <v>-1.1631597458801046E-3</v>
      </c>
      <c r="AR329" s="53">
        <f t="shared" si="34"/>
        <v>-1.9662849525790449E-2</v>
      </c>
      <c r="AS329" s="53">
        <f t="shared" si="34"/>
        <v>-2.082600927167455E-2</v>
      </c>
      <c r="AT329" s="53">
        <f t="shared" si="34"/>
        <v>-1.427172609642291E-2</v>
      </c>
      <c r="AU329" s="53">
        <f t="shared" si="34"/>
        <v>-1.7548867684070046E-2</v>
      </c>
      <c r="AV329" s="53">
        <f t="shared" si="34"/>
        <v>-6.6250623919383855E-3</v>
      </c>
      <c r="AW329" s="53">
        <f t="shared" si="34"/>
        <v>-16.616567798340839</v>
      </c>
      <c r="AX329" s="53">
        <f t="shared" si="34"/>
        <v>-16.61656779846453</v>
      </c>
      <c r="AY329" s="51">
        <f t="shared" si="34"/>
        <v>-1</v>
      </c>
    </row>
    <row r="330" spans="28:51" x14ac:dyDescent="0.15">
      <c r="AB330" s="60">
        <f t="shared" ref="AB330:AY330" si="35">AB36-AB78-AB120-AB162-AB204-AB246-AB288</f>
        <v>3.637978807091713E-12</v>
      </c>
      <c r="AC330" s="60">
        <f t="shared" si="35"/>
        <v>3.751665644813329E-12</v>
      </c>
      <c r="AD330" s="60">
        <f t="shared" si="35"/>
        <v>3.751665644813329E-12</v>
      </c>
      <c r="AE330" s="60">
        <f t="shared" si="35"/>
        <v>-2.2737367544323206E-13</v>
      </c>
      <c r="AF330" s="60">
        <f t="shared" si="35"/>
        <v>0</v>
      </c>
      <c r="AG330" s="60">
        <f t="shared" si="35"/>
        <v>-6.6613381477509392E-14</v>
      </c>
      <c r="AH330" s="62"/>
      <c r="AI330" s="63"/>
      <c r="AJ330" s="62"/>
      <c r="AK330" s="63"/>
      <c r="AL330" s="84">
        <f t="shared" si="35"/>
        <v>0</v>
      </c>
      <c r="AM330" s="84">
        <f t="shared" si="35"/>
        <v>0</v>
      </c>
      <c r="AN330" s="62"/>
      <c r="AO330" s="62"/>
      <c r="AP330" s="62"/>
      <c r="AQ330" s="61">
        <f t="shared" si="35"/>
        <v>1.1690000000013079E-3</v>
      </c>
      <c r="AR330" s="61">
        <f t="shared" si="35"/>
        <v>1.9722299510826602E-2</v>
      </c>
      <c r="AS330" s="61">
        <f t="shared" si="35"/>
        <v>2.0891299510871875E-2</v>
      </c>
      <c r="AT330" s="61">
        <f t="shared" si="35"/>
        <v>1.4317199673927306E-2</v>
      </c>
      <c r="AU330" s="61">
        <f t="shared" si="35"/>
        <v>1.7604249592402255E-2</v>
      </c>
      <c r="AV330" s="61">
        <f t="shared" si="35"/>
        <v>6.6474165307877087E-3</v>
      </c>
      <c r="AW330" s="61">
        <f t="shared" si="35"/>
        <v>16.700000000075306</v>
      </c>
      <c r="AX330" s="61">
        <f t="shared" si="35"/>
        <v>33.316567798423421</v>
      </c>
      <c r="AY330" s="60">
        <f t="shared" si="35"/>
        <v>1</v>
      </c>
    </row>
    <row r="331" spans="28:51" x14ac:dyDescent="0.15">
      <c r="AB331" s="51">
        <f t="shared" ref="AB331:AY331" si="36">AB37-AB79-AB121-AB163-AB205-AB247-AB289</f>
        <v>2.9558577807620168E-12</v>
      </c>
      <c r="AC331" s="51">
        <f t="shared" si="36"/>
        <v>-2.8421709430404007E-12</v>
      </c>
      <c r="AD331" s="51">
        <f t="shared" si="36"/>
        <v>-1.9326762412674725E-12</v>
      </c>
      <c r="AE331" s="51">
        <f t="shared" si="36"/>
        <v>-5.2580162446247414E-13</v>
      </c>
      <c r="AF331" s="51">
        <f t="shared" si="36"/>
        <v>2.2026824808563106E-13</v>
      </c>
      <c r="AG331" s="51">
        <f t="shared" si="36"/>
        <v>0</v>
      </c>
      <c r="AH331" s="54"/>
      <c r="AI331" s="55"/>
      <c r="AJ331" s="54"/>
      <c r="AK331" s="55"/>
      <c r="AL331" s="82">
        <f t="shared" si="36"/>
        <v>0</v>
      </c>
      <c r="AM331" s="82">
        <f t="shared" si="36"/>
        <v>0</v>
      </c>
      <c r="AN331" s="54"/>
      <c r="AO331" s="54"/>
      <c r="AP331" s="54"/>
      <c r="AQ331" s="53">
        <f t="shared" si="36"/>
        <v>3.5070000000023693E-3</v>
      </c>
      <c r="AR331" s="53">
        <f t="shared" si="36"/>
        <v>5.9050243843167038E-2</v>
      </c>
      <c r="AS331" s="53">
        <f t="shared" si="36"/>
        <v>6.2557243843176735E-2</v>
      </c>
      <c r="AT331" s="53">
        <f t="shared" si="36"/>
        <v>4.2873829228775584E-2</v>
      </c>
      <c r="AU331" s="53">
        <f t="shared" si="36"/>
        <v>5.2715536536004137E-2</v>
      </c>
      <c r="AV331" s="53">
        <f t="shared" si="36"/>
        <v>1.9909845511987712E-2</v>
      </c>
      <c r="AW331" s="53">
        <f t="shared" si="36"/>
        <v>50.100000000036744</v>
      </c>
      <c r="AX331" s="53">
        <f t="shared" si="36"/>
        <v>33.399999999945067</v>
      </c>
      <c r="AY331" s="51">
        <f t="shared" si="36"/>
        <v>4</v>
      </c>
    </row>
    <row r="332" spans="28:51" x14ac:dyDescent="0.15">
      <c r="AB332" s="51">
        <f t="shared" ref="AB332:AY332" si="37">AB38-AB80-AB122-AB164-AB206-AB248-AB290</f>
        <v>-3.1832314562052488E-12</v>
      </c>
      <c r="AC332" s="51">
        <f t="shared" si="37"/>
        <v>-1.8189894035458565E-12</v>
      </c>
      <c r="AD332" s="51">
        <f t="shared" si="37"/>
        <v>-1.0231815394945443E-12</v>
      </c>
      <c r="AE332" s="51">
        <f t="shared" si="37"/>
        <v>2.8421709430404007E-13</v>
      </c>
      <c r="AF332" s="51">
        <f t="shared" si="37"/>
        <v>0</v>
      </c>
      <c r="AG332" s="51">
        <f t="shared" si="37"/>
        <v>1.1546319456101628E-14</v>
      </c>
      <c r="AH332" s="54"/>
      <c r="AI332" s="55"/>
      <c r="AJ332" s="54"/>
      <c r="AK332" s="55"/>
      <c r="AL332" s="82">
        <f t="shared" si="37"/>
        <v>0</v>
      </c>
      <c r="AM332" s="82">
        <f t="shared" si="37"/>
        <v>0</v>
      </c>
      <c r="AN332" s="54"/>
      <c r="AO332" s="54"/>
      <c r="AP332" s="54"/>
      <c r="AQ332" s="53">
        <f t="shared" si="37"/>
        <v>1.1690000000037504E-3</v>
      </c>
      <c r="AR332" s="53">
        <f t="shared" si="37"/>
        <v>1.9644918566914527E-2</v>
      </c>
      <c r="AS332" s="53">
        <f t="shared" si="37"/>
        <v>2.0813918566913614E-2</v>
      </c>
      <c r="AT332" s="53">
        <f t="shared" si="37"/>
        <v>1.4265612377917236E-2</v>
      </c>
      <c r="AU332" s="53">
        <f t="shared" si="37"/>
        <v>1.753976547240832E-2</v>
      </c>
      <c r="AV332" s="53">
        <f t="shared" si="37"/>
        <v>6.6259218241331297E-3</v>
      </c>
      <c r="AW332" s="53">
        <f t="shared" si="37"/>
        <v>16.700000000002547</v>
      </c>
      <c r="AX332" s="53">
        <f t="shared" si="37"/>
        <v>-33.399999999986903</v>
      </c>
      <c r="AY332" s="51">
        <f t="shared" si="37"/>
        <v>1</v>
      </c>
    </row>
    <row r="333" spans="28:51" x14ac:dyDescent="0.15">
      <c r="AB333" s="51">
        <f t="shared" ref="AB333:AY333" si="38">AB39-AB81-AB123-AB165-AB207-AB249-AB291</f>
        <v>3.1832314562052488E-12</v>
      </c>
      <c r="AC333" s="51">
        <f t="shared" si="38"/>
        <v>1.0231815394945443E-12</v>
      </c>
      <c r="AD333" s="51">
        <f t="shared" si="38"/>
        <v>-1.1368683772161603E-12</v>
      </c>
      <c r="AE333" s="51">
        <f t="shared" si="38"/>
        <v>8.9528384705772623E-13</v>
      </c>
      <c r="AF333" s="51">
        <f t="shared" si="38"/>
        <v>7.1054273576010019E-14</v>
      </c>
      <c r="AG333" s="51">
        <f t="shared" si="38"/>
        <v>-6.6613381477509392E-14</v>
      </c>
      <c r="AH333" s="54"/>
      <c r="AI333" s="55"/>
      <c r="AJ333" s="54"/>
      <c r="AK333" s="55"/>
      <c r="AL333" s="82">
        <f t="shared" si="38"/>
        <v>0</v>
      </c>
      <c r="AM333" s="82">
        <f t="shared" si="38"/>
        <v>0</v>
      </c>
      <c r="AN333" s="54"/>
      <c r="AO333" s="54"/>
      <c r="AP333" s="54"/>
      <c r="AQ333" s="53">
        <f t="shared" si="38"/>
        <v>-1.1690000000044165E-3</v>
      </c>
      <c r="AR333" s="53">
        <f t="shared" si="38"/>
        <v>-1.96068074798319E-2</v>
      </c>
      <c r="AS333" s="53">
        <f t="shared" si="38"/>
        <v>-2.0775807479859409E-2</v>
      </c>
      <c r="AT333" s="53">
        <f t="shared" si="38"/>
        <v>-1.4240204986570859E-2</v>
      </c>
      <c r="AU333" s="53">
        <f t="shared" si="38"/>
        <v>-1.7508006233269313E-2</v>
      </c>
      <c r="AV333" s="53">
        <f t="shared" si="38"/>
        <v>-6.6153354110771723E-3</v>
      </c>
      <c r="AW333" s="53">
        <f t="shared" si="38"/>
        <v>-16.700000000009823</v>
      </c>
      <c r="AX333" s="53">
        <f t="shared" si="38"/>
        <v>-33.400000000017826</v>
      </c>
      <c r="AY333" s="51">
        <f t="shared" si="38"/>
        <v>-1</v>
      </c>
    </row>
    <row r="334" spans="28:51" x14ac:dyDescent="0.15">
      <c r="AB334" s="51">
        <f t="shared" ref="AB334:AY334" si="39">AB40-AB82-AB124-AB166-AB208-AB250-AB292</f>
        <v>0</v>
      </c>
      <c r="AC334" s="51">
        <f t="shared" si="39"/>
        <v>-1.0231815394945443E-12</v>
      </c>
      <c r="AD334" s="51">
        <f t="shared" si="39"/>
        <v>-1.5916157281026244E-12</v>
      </c>
      <c r="AE334" s="51">
        <f t="shared" si="39"/>
        <v>6.1106675275368616E-13</v>
      </c>
      <c r="AF334" s="51">
        <f t="shared" si="39"/>
        <v>0</v>
      </c>
      <c r="AG334" s="51">
        <f t="shared" si="39"/>
        <v>6.7501559897209518E-14</v>
      </c>
      <c r="AH334" s="54"/>
      <c r="AI334" s="55"/>
      <c r="AJ334" s="54"/>
      <c r="AK334" s="55"/>
      <c r="AL334" s="82">
        <f t="shared" si="39"/>
        <v>-1</v>
      </c>
      <c r="AM334" s="82">
        <f t="shared" si="39"/>
        <v>-1</v>
      </c>
      <c r="AN334" s="54"/>
      <c r="AO334" s="54"/>
      <c r="AP334" s="54"/>
      <c r="AQ334" s="53">
        <f t="shared" si="39"/>
        <v>-2.3379999999963985E-3</v>
      </c>
      <c r="AR334" s="53">
        <f t="shared" si="39"/>
        <v>-5.8707232511201468E-2</v>
      </c>
      <c r="AS334" s="53">
        <f t="shared" si="39"/>
        <v>-6.1045232511155234E-2</v>
      </c>
      <c r="AT334" s="53">
        <f t="shared" si="39"/>
        <v>-4.1476155007483584E-2</v>
      </c>
      <c r="AU334" s="53">
        <f t="shared" si="39"/>
        <v>-5.1260693759383358E-2</v>
      </c>
      <c r="AV334" s="53">
        <f t="shared" si="39"/>
        <v>-1.8645564586466268E-2</v>
      </c>
      <c r="AW334" s="53">
        <f t="shared" si="39"/>
        <v>-33.400000000012369</v>
      </c>
      <c r="AX334" s="53">
        <f t="shared" si="39"/>
        <v>-16.699999999995271</v>
      </c>
      <c r="AY334" s="51">
        <f t="shared" si="39"/>
        <v>-1</v>
      </c>
    </row>
    <row r="335" spans="28:51" x14ac:dyDescent="0.15">
      <c r="AB335" s="56">
        <f t="shared" ref="AB335:AY335" si="40">AB41-AB83-AB125-AB167-AB209-AB251-AB293</f>
        <v>0</v>
      </c>
      <c r="AC335" s="56">
        <f t="shared" si="40"/>
        <v>0</v>
      </c>
      <c r="AD335" s="56">
        <f t="shared" si="40"/>
        <v>1.2505552149377763E-12</v>
      </c>
      <c r="AE335" s="56">
        <f t="shared" si="40"/>
        <v>-2.5579538487363607E-13</v>
      </c>
      <c r="AF335" s="56">
        <f t="shared" si="40"/>
        <v>0</v>
      </c>
      <c r="AG335" s="56">
        <f t="shared" si="40"/>
        <v>0</v>
      </c>
      <c r="AH335" s="58"/>
      <c r="AI335" s="59"/>
      <c r="AJ335" s="58"/>
      <c r="AK335" s="59"/>
      <c r="AL335" s="83">
        <f t="shared" si="40"/>
        <v>-1</v>
      </c>
      <c r="AM335" s="83">
        <f t="shared" si="40"/>
        <v>-1</v>
      </c>
      <c r="AN335" s="58"/>
      <c r="AO335" s="58"/>
      <c r="AP335" s="58"/>
      <c r="AQ335" s="57">
        <f t="shared" si="40"/>
        <v>-2.3379999999910694E-3</v>
      </c>
      <c r="AR335" s="57">
        <f t="shared" si="40"/>
        <v>-5.8595174482091394E-2</v>
      </c>
      <c r="AS335" s="57">
        <f t="shared" si="40"/>
        <v>-6.0933174482087793E-2</v>
      </c>
      <c r="AT335" s="57">
        <f t="shared" si="40"/>
        <v>-4.1401449654721922E-2</v>
      </c>
      <c r="AU335" s="57">
        <f t="shared" si="40"/>
        <v>-5.116731206838665E-2</v>
      </c>
      <c r="AV335" s="57">
        <f t="shared" si="40"/>
        <v>-1.8614437356147651E-2</v>
      </c>
      <c r="AW335" s="57">
        <f t="shared" si="40"/>
        <v>-33.399999999946886</v>
      </c>
      <c r="AX335" s="57">
        <f t="shared" si="40"/>
        <v>4.5474735088646412E-11</v>
      </c>
      <c r="AY335" s="56">
        <f t="shared" si="40"/>
        <v>-2</v>
      </c>
    </row>
  </sheetData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A335"/>
  <sheetViews>
    <sheetView topLeftCell="AG292" zoomScale="85" zoomScaleNormal="85" workbookViewId="0">
      <selection activeCell="AM298" sqref="AM298"/>
    </sheetView>
  </sheetViews>
  <sheetFormatPr defaultRowHeight="12" x14ac:dyDescent="0.15"/>
  <cols>
    <col min="1" max="1" width="11.5" customWidth="1"/>
    <col min="12" max="12" width="9.875" bestFit="1" customWidth="1"/>
    <col min="13" max="13" width="9.125" bestFit="1" customWidth="1"/>
    <col min="49" max="49" width="9" style="85"/>
    <col min="53" max="53" width="11.625" bestFit="1" customWidth="1"/>
  </cols>
  <sheetData>
    <row r="1" spans="1:51" ht="12.75" thickBot="1" x14ac:dyDescent="0.2"/>
    <row r="2" spans="1:51" ht="60.75" thickBot="1" x14ac:dyDescent="0.2">
      <c r="A2" s="93" t="e">
        <f>#REF!</f>
        <v>#REF!</v>
      </c>
      <c r="B2" s="91" t="e">
        <f>#REF!</f>
        <v>#REF!</v>
      </c>
      <c r="C2" s="91" t="e">
        <f>#REF!</f>
        <v>#REF!</v>
      </c>
      <c r="D2" s="91" t="e">
        <f>#REF!</f>
        <v>#REF!</v>
      </c>
      <c r="E2" s="91" t="e">
        <f>#REF!</f>
        <v>#REF!</v>
      </c>
      <c r="F2" s="91" t="e">
        <f>#REF!</f>
        <v>#REF!</v>
      </c>
      <c r="G2" s="91" t="e">
        <f>#REF!</f>
        <v>#REF!</v>
      </c>
      <c r="H2" s="90" t="e">
        <f>#REF!</f>
        <v>#REF!</v>
      </c>
      <c r="I2" s="90" t="e">
        <f>#REF!</f>
        <v>#REF!</v>
      </c>
      <c r="J2" s="90" t="e">
        <f>#REF!</f>
        <v>#REF!</v>
      </c>
      <c r="K2" s="90" t="e">
        <f>#REF!</f>
        <v>#REF!</v>
      </c>
      <c r="L2" s="90" t="e">
        <f>#REF!</f>
        <v>#REF!</v>
      </c>
      <c r="M2" s="90" t="e">
        <f>#REF!</f>
        <v>#REF!</v>
      </c>
      <c r="N2" s="91" t="e">
        <f>#REF!</f>
        <v>#REF!</v>
      </c>
      <c r="O2" s="91" t="e">
        <f>#REF!</f>
        <v>#REF!</v>
      </c>
      <c r="P2" s="91" t="e">
        <f>#REF!</f>
        <v>#REF!</v>
      </c>
      <c r="Q2" s="46" t="e">
        <f>#REF!</f>
        <v>#REF!</v>
      </c>
      <c r="R2" s="45" t="e">
        <f>#REF!</f>
        <v>#REF!</v>
      </c>
      <c r="S2" s="45" t="e">
        <f>#REF!</f>
        <v>#REF!</v>
      </c>
      <c r="T2" s="45" t="e">
        <f>#REF!</f>
        <v>#REF!</v>
      </c>
      <c r="U2" s="45" t="e">
        <f>#REF!</f>
        <v>#REF!</v>
      </c>
      <c r="V2" s="45" t="e">
        <f>#REF!</f>
        <v>#REF!</v>
      </c>
      <c r="W2" s="45" t="e">
        <f>#REF!</f>
        <v>#REF!</v>
      </c>
      <c r="X2" s="46" t="e">
        <f>#REF!</f>
        <v>#REF!</v>
      </c>
      <c r="Y2" s="87" t="e">
        <f>#REF!</f>
        <v>#REF!</v>
      </c>
      <c r="AA2" s="93" t="s">
        <v>160</v>
      </c>
      <c r="AB2" s="91" t="s">
        <v>20</v>
      </c>
      <c r="AC2" s="91" t="s">
        <v>4</v>
      </c>
      <c r="AD2" s="91" t="s">
        <v>155</v>
      </c>
      <c r="AE2" s="91" t="s">
        <v>156</v>
      </c>
      <c r="AF2" s="91" t="s">
        <v>157</v>
      </c>
      <c r="AG2" s="91" t="s">
        <v>158</v>
      </c>
      <c r="AH2" s="90" t="s">
        <v>50</v>
      </c>
      <c r="AI2" s="90" t="s">
        <v>28</v>
      </c>
      <c r="AJ2" s="90" t="s">
        <v>51</v>
      </c>
      <c r="AK2" s="90" t="s">
        <v>29</v>
      </c>
      <c r="AL2" s="90" t="s">
        <v>110</v>
      </c>
      <c r="AM2" s="90" t="s">
        <v>111</v>
      </c>
      <c r="AN2" s="91" t="s">
        <v>43</v>
      </c>
      <c r="AO2" s="91" t="s">
        <v>44</v>
      </c>
      <c r="AP2" s="91" t="s">
        <v>5</v>
      </c>
      <c r="AQ2" s="46" t="s">
        <v>45</v>
      </c>
      <c r="AR2" s="45" t="s">
        <v>46</v>
      </c>
      <c r="AS2" s="45" t="s">
        <v>93</v>
      </c>
      <c r="AT2" s="45" t="s">
        <v>30</v>
      </c>
      <c r="AU2" s="45" t="s">
        <v>31</v>
      </c>
      <c r="AV2" s="45" t="s">
        <v>32</v>
      </c>
      <c r="AW2" s="94" t="s">
        <v>26</v>
      </c>
      <c r="AX2" s="46" t="s">
        <v>138</v>
      </c>
      <c r="AY2" s="87" t="s">
        <v>152</v>
      </c>
    </row>
    <row r="3" spans="1:51" x14ac:dyDescent="0.15">
      <c r="B3" s="44" t="e">
        <f>#REF!</f>
        <v>#REF!</v>
      </c>
      <c r="C3" s="44" t="e">
        <f>#REF!</f>
        <v>#REF!</v>
      </c>
      <c r="D3" s="44" t="e">
        <f>#REF!</f>
        <v>#REF!</v>
      </c>
      <c r="E3" s="44" t="e">
        <f>#REF!</f>
        <v>#REF!</v>
      </c>
      <c r="F3" s="44" t="e">
        <f>#REF!</f>
        <v>#REF!</v>
      </c>
      <c r="G3" s="44" t="e">
        <f>#REF!</f>
        <v>#REF!</v>
      </c>
      <c r="H3" s="43" t="e">
        <f>#REF!</f>
        <v>#REF!</v>
      </c>
      <c r="I3" s="43" t="e">
        <f>#REF!</f>
        <v>#REF!</v>
      </c>
      <c r="J3" s="43" t="e">
        <f>#REF!</f>
        <v>#REF!</v>
      </c>
      <c r="K3" s="43" t="e">
        <f>#REF!</f>
        <v>#REF!</v>
      </c>
      <c r="L3" s="92" t="e">
        <f>#REF!</f>
        <v>#REF!</v>
      </c>
      <c r="M3" s="92" t="e">
        <f>#REF!</f>
        <v>#REF!</v>
      </c>
      <c r="N3" s="39" t="e">
        <f>#REF!</f>
        <v>#REF!</v>
      </c>
      <c r="O3" s="39" t="e">
        <f>#REF!</f>
        <v>#REF!</v>
      </c>
      <c r="P3" s="39" t="e">
        <f>#REF!</f>
        <v>#REF!</v>
      </c>
      <c r="Q3" s="43" t="e">
        <f>#REF!</f>
        <v>#REF!</v>
      </c>
      <c r="R3" s="43" t="e">
        <f>#REF!</f>
        <v>#REF!</v>
      </c>
      <c r="S3" s="43" t="e">
        <f>#REF!</f>
        <v>#REF!</v>
      </c>
      <c r="T3" s="43" t="e">
        <f>#REF!</f>
        <v>#REF!</v>
      </c>
      <c r="U3" s="43" t="e">
        <f>#REF!</f>
        <v>#REF!</v>
      </c>
      <c r="V3" s="43" t="e">
        <f>#REF!</f>
        <v>#REF!</v>
      </c>
      <c r="W3" s="43" t="e">
        <f>#REF!</f>
        <v>#REF!</v>
      </c>
      <c r="X3" s="43" t="e">
        <f>#REF!</f>
        <v>#REF!</v>
      </c>
      <c r="Y3" s="43" t="e">
        <f>#REF!</f>
        <v>#REF!</v>
      </c>
      <c r="AB3" s="44" t="s">
        <v>120</v>
      </c>
      <c r="AC3" s="44" t="s">
        <v>120</v>
      </c>
      <c r="AD3" s="44" t="s">
        <v>159</v>
      </c>
      <c r="AE3" s="44" t="s">
        <v>159</v>
      </c>
      <c r="AF3" s="44" t="s">
        <v>159</v>
      </c>
      <c r="AG3" s="44" t="s">
        <v>159</v>
      </c>
      <c r="AH3" s="43" t="s">
        <v>2</v>
      </c>
      <c r="AI3" s="43" t="s">
        <v>2</v>
      </c>
      <c r="AJ3" s="43" t="s">
        <v>2</v>
      </c>
      <c r="AK3" s="43" t="s">
        <v>2</v>
      </c>
      <c r="AL3" s="92">
        <v>0</v>
      </c>
      <c r="AM3" s="92">
        <v>0</v>
      </c>
      <c r="AN3" s="39" t="s">
        <v>2</v>
      </c>
      <c r="AO3" s="39" t="s">
        <v>2</v>
      </c>
      <c r="AP3" s="39" t="s">
        <v>2</v>
      </c>
      <c r="AQ3" s="43" t="s">
        <v>19</v>
      </c>
      <c r="AR3" s="43" t="s">
        <v>19</v>
      </c>
      <c r="AS3" s="43" t="s">
        <v>19</v>
      </c>
      <c r="AT3" s="43" t="s">
        <v>19</v>
      </c>
      <c r="AU3" s="43" t="s">
        <v>19</v>
      </c>
      <c r="AV3" s="43" t="s">
        <v>19</v>
      </c>
      <c r="AW3" s="92" t="s">
        <v>101</v>
      </c>
      <c r="AX3" s="43" t="s">
        <v>101</v>
      </c>
      <c r="AY3" s="43" t="s">
        <v>154</v>
      </c>
    </row>
    <row r="4" spans="1:51" ht="15.75" x14ac:dyDescent="0.15">
      <c r="B4" s="76" t="e">
        <f>#REF!</f>
        <v>#REF!</v>
      </c>
      <c r="C4" s="76" t="e">
        <f>#REF!</f>
        <v>#REF!</v>
      </c>
      <c r="D4" s="76" t="e">
        <f>#REF!</f>
        <v>#REF!</v>
      </c>
      <c r="E4" s="76" t="e">
        <f>#REF!</f>
        <v>#REF!</v>
      </c>
      <c r="F4" s="76" t="e">
        <f>#REF!</f>
        <v>#REF!</v>
      </c>
      <c r="G4" s="76" t="e">
        <f>#REF!</f>
        <v>#REF!</v>
      </c>
      <c r="H4" s="54" t="e">
        <f>#REF!</f>
        <v>#REF!</v>
      </c>
      <c r="I4" s="55" t="e">
        <f>#REF!</f>
        <v>#REF!</v>
      </c>
      <c r="J4" s="54" t="e">
        <f>#REF!</f>
        <v>#REF!</v>
      </c>
      <c r="K4" s="55" t="e">
        <f>#REF!</f>
        <v>#REF!</v>
      </c>
      <c r="L4" s="82" t="e">
        <f>#REF!</f>
        <v>#REF!</v>
      </c>
      <c r="M4" s="82" t="e">
        <f>#REF!</f>
        <v>#REF!</v>
      </c>
      <c r="N4" s="54" t="e">
        <f>#REF!</f>
        <v>#REF!</v>
      </c>
      <c r="O4" s="54" t="e">
        <f>#REF!</f>
        <v>#REF!</v>
      </c>
      <c r="P4" s="54" t="e">
        <f>#REF!</f>
        <v>#REF!</v>
      </c>
      <c r="Q4" s="53" t="e">
        <f>#REF!</f>
        <v>#REF!</v>
      </c>
      <c r="R4" s="53" t="e">
        <f>#REF!</f>
        <v>#REF!</v>
      </c>
      <c r="S4" s="53" t="e">
        <f>#REF!</f>
        <v>#REF!</v>
      </c>
      <c r="T4" s="53" t="e">
        <f>#REF!</f>
        <v>#REF!</v>
      </c>
      <c r="U4" s="53" t="e">
        <f>#REF!</f>
        <v>#REF!</v>
      </c>
      <c r="V4" s="53" t="e">
        <f>#REF!</f>
        <v>#REF!</v>
      </c>
      <c r="W4" s="53" t="e">
        <f>#REF!</f>
        <v>#REF!</v>
      </c>
      <c r="X4" s="53" t="e">
        <f>#REF!</f>
        <v>#REF!</v>
      </c>
      <c r="Y4" s="53" t="e">
        <f>#REF!</f>
        <v>#REF!</v>
      </c>
      <c r="AB4" s="76">
        <v>28256.249248683125</v>
      </c>
      <c r="AC4" s="76">
        <v>22418.334715577264</v>
      </c>
      <c r="AD4" s="76">
        <v>11059.905891776449</v>
      </c>
      <c r="AE4" s="76">
        <v>5649.7847667753322</v>
      </c>
      <c r="AF4" s="76">
        <v>763.03487947625604</v>
      </c>
      <c r="AG4" s="76">
        <v>389.78476677533212</v>
      </c>
      <c r="AH4" s="54">
        <v>0.73504510649358956</v>
      </c>
      <c r="AI4" s="55">
        <v>1.0934659892767227</v>
      </c>
      <c r="AJ4" s="54">
        <v>2.7883800703653653E-2</v>
      </c>
      <c r="AK4" s="55">
        <v>1.0934659892767227</v>
      </c>
      <c r="AL4" s="82">
        <v>37248</v>
      </c>
      <c r="AM4" s="82">
        <v>1413</v>
      </c>
      <c r="AN4" s="54">
        <v>0.41755321579381505</v>
      </c>
      <c r="AO4" s="54">
        <v>0.27836881052921009</v>
      </c>
      <c r="AP4" s="54">
        <v>0.69592202632302513</v>
      </c>
      <c r="AQ4" s="53">
        <v>0</v>
      </c>
      <c r="AR4" s="53">
        <v>6.6121855242587504</v>
      </c>
      <c r="AS4" s="53">
        <v>6.6121855242587504</v>
      </c>
      <c r="AT4" s="53">
        <v>4.4081236828391654</v>
      </c>
      <c r="AU4" s="53">
        <v>5.5101546035489575</v>
      </c>
      <c r="AV4" s="53">
        <v>1.8367182011829859</v>
      </c>
      <c r="AW4" s="51">
        <v>0</v>
      </c>
      <c r="AX4" s="53">
        <v>0</v>
      </c>
      <c r="AY4" s="53">
        <v>0</v>
      </c>
    </row>
    <row r="5" spans="1:51" ht="15.75" x14ac:dyDescent="0.15">
      <c r="B5" s="76" t="e">
        <f>#REF!</f>
        <v>#REF!</v>
      </c>
      <c r="C5" s="76" t="e">
        <f>#REF!</f>
        <v>#REF!</v>
      </c>
      <c r="D5" s="76" t="e">
        <f>#REF!</f>
        <v>#REF!</v>
      </c>
      <c r="E5" s="76" t="e">
        <f>#REF!</f>
        <v>#REF!</v>
      </c>
      <c r="F5" s="76" t="e">
        <f>#REF!</f>
        <v>#REF!</v>
      </c>
      <c r="G5" s="76" t="e">
        <f>#REF!</f>
        <v>#REF!</v>
      </c>
      <c r="H5" s="78" t="e">
        <f>#REF!</f>
        <v>#REF!</v>
      </c>
      <c r="I5" s="79" t="e">
        <f>#REF!</f>
        <v>#REF!</v>
      </c>
      <c r="J5" s="78" t="e">
        <f>#REF!</f>
        <v>#REF!</v>
      </c>
      <c r="K5" s="79" t="e">
        <f>#REF!</f>
        <v>#REF!</v>
      </c>
      <c r="L5" s="81" t="e">
        <f>#REF!</f>
        <v>#REF!</v>
      </c>
      <c r="M5" s="81" t="e">
        <f>#REF!</f>
        <v>#REF!</v>
      </c>
      <c r="N5" s="78" t="e">
        <f>#REF!</f>
        <v>#REF!</v>
      </c>
      <c r="O5" s="78" t="e">
        <f>#REF!</f>
        <v>#REF!</v>
      </c>
      <c r="P5" s="78" t="e">
        <f>#REF!</f>
        <v>#REF!</v>
      </c>
      <c r="Q5" s="77" t="e">
        <f>#REF!</f>
        <v>#REF!</v>
      </c>
      <c r="R5" s="77" t="e">
        <f>#REF!</f>
        <v>#REF!</v>
      </c>
      <c r="S5" s="77" t="e">
        <f>#REF!</f>
        <v>#REF!</v>
      </c>
      <c r="T5" s="77" t="e">
        <f>#REF!</f>
        <v>#REF!</v>
      </c>
      <c r="U5" s="77" t="e">
        <f>#REF!</f>
        <v>#REF!</v>
      </c>
      <c r="V5" s="77" t="e">
        <f>#REF!</f>
        <v>#REF!</v>
      </c>
      <c r="W5" s="77" t="e">
        <f>#REF!</f>
        <v>#REF!</v>
      </c>
      <c r="X5" s="77" t="e">
        <f>#REF!</f>
        <v>#REF!</v>
      </c>
      <c r="Y5" s="76" t="e">
        <f>#REF!</f>
        <v>#REF!</v>
      </c>
      <c r="AB5" s="76">
        <v>28607.845629168645</v>
      </c>
      <c r="AC5" s="76">
        <v>22705.613847613055</v>
      </c>
      <c r="AD5" s="76">
        <v>11257.188810045458</v>
      </c>
      <c r="AE5" s="76">
        <v>5750.7018738117376</v>
      </c>
      <c r="AF5" s="76">
        <v>772.64195130886844</v>
      </c>
      <c r="AG5" s="76">
        <v>394.70187381173764</v>
      </c>
      <c r="AH5" s="78">
        <v>0.75550056927092557</v>
      </c>
      <c r="AI5" s="79">
        <v>1.0944786286488752</v>
      </c>
      <c r="AJ5" s="78">
        <v>2.7322266210376568E-2</v>
      </c>
      <c r="AK5" s="79">
        <v>1.0944786286488752</v>
      </c>
      <c r="AL5" s="81">
        <v>38767</v>
      </c>
      <c r="AM5" s="81">
        <v>1402</v>
      </c>
      <c r="AN5" s="78">
        <v>0.41702842080111552</v>
      </c>
      <c r="AO5" s="78">
        <v>0.27801894720074366</v>
      </c>
      <c r="AP5" s="78">
        <v>0.69504736800185918</v>
      </c>
      <c r="AQ5" s="77">
        <v>0.56439533073297199</v>
      </c>
      <c r="AR5" s="77">
        <v>6.5585312496902963</v>
      </c>
      <c r="AS5" s="77">
        <v>7.1229265804232682</v>
      </c>
      <c r="AT5" s="77">
        <v>4.9367494971931691</v>
      </c>
      <c r="AU5" s="77">
        <v>6.0298380388082178</v>
      </c>
      <c r="AV5" s="77">
        <v>2.3862095667580538</v>
      </c>
      <c r="AW5" s="76">
        <v>8062.7904390424555</v>
      </c>
      <c r="AX5" s="77">
        <v>0</v>
      </c>
      <c r="AY5" s="76">
        <v>483</v>
      </c>
    </row>
    <row r="6" spans="1:51" x14ac:dyDescent="0.15">
      <c r="B6" s="51" t="e">
        <f>#REF!</f>
        <v>#REF!</v>
      </c>
      <c r="C6" s="51" t="e">
        <f>#REF!</f>
        <v>#REF!</v>
      </c>
      <c r="D6" s="51" t="e">
        <f>#REF!</f>
        <v>#REF!</v>
      </c>
      <c r="E6" s="51" t="e">
        <f>#REF!</f>
        <v>#REF!</v>
      </c>
      <c r="F6" s="51" t="e">
        <f>#REF!</f>
        <v>#REF!</v>
      </c>
      <c r="G6" s="51" t="e">
        <f>#REF!</f>
        <v>#REF!</v>
      </c>
      <c r="H6" s="54" t="e">
        <f>#REF!</f>
        <v>#REF!</v>
      </c>
      <c r="I6" s="55" t="e">
        <f>#REF!</f>
        <v>#REF!</v>
      </c>
      <c r="J6" s="54" t="e">
        <f>#REF!</f>
        <v>#REF!</v>
      </c>
      <c r="K6" s="55" t="e">
        <f>#REF!</f>
        <v>#REF!</v>
      </c>
      <c r="L6" s="82" t="e">
        <f>#REF!</f>
        <v>#REF!</v>
      </c>
      <c r="M6" s="82" t="e">
        <f>#REF!</f>
        <v>#REF!</v>
      </c>
      <c r="N6" s="54" t="e">
        <f>#REF!</f>
        <v>#REF!</v>
      </c>
      <c r="O6" s="54" t="e">
        <f>#REF!</f>
        <v>#REF!</v>
      </c>
      <c r="P6" s="54" t="e">
        <f>#REF!</f>
        <v>#REF!</v>
      </c>
      <c r="Q6" s="53" t="e">
        <f>#REF!</f>
        <v>#REF!</v>
      </c>
      <c r="R6" s="53" t="e">
        <f>#REF!</f>
        <v>#REF!</v>
      </c>
      <c r="S6" s="53" t="e">
        <f>#REF!</f>
        <v>#REF!</v>
      </c>
      <c r="T6" s="53" t="e">
        <f>#REF!</f>
        <v>#REF!</v>
      </c>
      <c r="U6" s="53" t="e">
        <f>#REF!</f>
        <v>#REF!</v>
      </c>
      <c r="V6" s="53" t="e">
        <f>#REF!</f>
        <v>#REF!</v>
      </c>
      <c r="W6" s="53" t="e">
        <f>#REF!</f>
        <v>#REF!</v>
      </c>
      <c r="X6" s="53" t="e">
        <f>#REF!</f>
        <v>#REF!</v>
      </c>
      <c r="Y6" s="51" t="e">
        <f>#REF!</f>
        <v>#REF!</v>
      </c>
      <c r="AB6" s="51">
        <v>28945.520296325354</v>
      </c>
      <c r="AC6" s="51">
        <v>22981.733816495947</v>
      </c>
      <c r="AD6" s="51">
        <v>11453.535527201555</v>
      </c>
      <c r="AE6" s="51">
        <v>5850.3842916310732</v>
      </c>
      <c r="AF6" s="51">
        <v>781.89088873124354</v>
      </c>
      <c r="AG6" s="51">
        <v>399.38429163107344</v>
      </c>
      <c r="AH6" s="54">
        <v>0.77614866772091773</v>
      </c>
      <c r="AI6" s="55">
        <v>1.0954740495672763</v>
      </c>
      <c r="AJ6" s="54">
        <v>2.6787474588542699E-2</v>
      </c>
      <c r="AK6" s="55">
        <v>1.0954740495672763</v>
      </c>
      <c r="AL6" s="82">
        <v>40303</v>
      </c>
      <c r="AM6" s="82">
        <v>1391</v>
      </c>
      <c r="AN6" s="54">
        <v>0.4165136742434038</v>
      </c>
      <c r="AO6" s="54">
        <v>0.2776757828289359</v>
      </c>
      <c r="AP6" s="54">
        <v>0.6941894570723397</v>
      </c>
      <c r="AQ6" s="53">
        <v>0.56238842667824152</v>
      </c>
      <c r="AR6" s="53">
        <v>6.5040504689933929</v>
      </c>
      <c r="AS6" s="53">
        <v>7.0664388956716344</v>
      </c>
      <c r="AT6" s="53">
        <v>4.8984220726738368</v>
      </c>
      <c r="AU6" s="53">
        <v>5.9824304841727356</v>
      </c>
      <c r="AV6" s="53">
        <v>2.3690691125097398</v>
      </c>
      <c r="AW6" s="51">
        <v>8034.1203811177365</v>
      </c>
      <c r="AX6" s="53">
        <v>0</v>
      </c>
      <c r="AY6" s="51">
        <v>481</v>
      </c>
    </row>
    <row r="7" spans="1:51" x14ac:dyDescent="0.15">
      <c r="B7" s="56" t="e">
        <f>#REF!</f>
        <v>#REF!</v>
      </c>
      <c r="C7" s="56" t="e">
        <f>#REF!</f>
        <v>#REF!</v>
      </c>
      <c r="D7" s="56" t="e">
        <f>#REF!</f>
        <v>#REF!</v>
      </c>
      <c r="E7" s="56" t="e">
        <f>#REF!</f>
        <v>#REF!</v>
      </c>
      <c r="F7" s="56" t="e">
        <f>#REF!</f>
        <v>#REF!</v>
      </c>
      <c r="G7" s="56" t="e">
        <f>#REF!</f>
        <v>#REF!</v>
      </c>
      <c r="H7" s="58" t="e">
        <f>#REF!</f>
        <v>#REF!</v>
      </c>
      <c r="I7" s="59" t="e">
        <f>#REF!</f>
        <v>#REF!</v>
      </c>
      <c r="J7" s="58" t="e">
        <f>#REF!</f>
        <v>#REF!</v>
      </c>
      <c r="K7" s="59" t="e">
        <f>#REF!</f>
        <v>#REF!</v>
      </c>
      <c r="L7" s="83" t="e">
        <f>#REF!</f>
        <v>#REF!</v>
      </c>
      <c r="M7" s="83" t="e">
        <f>#REF!</f>
        <v>#REF!</v>
      </c>
      <c r="N7" s="58" t="e">
        <f>#REF!</f>
        <v>#REF!</v>
      </c>
      <c r="O7" s="58" t="e">
        <f>#REF!</f>
        <v>#REF!</v>
      </c>
      <c r="P7" s="58" t="e">
        <f>#REF!</f>
        <v>#REF!</v>
      </c>
      <c r="Q7" s="57" t="e">
        <f>#REF!</f>
        <v>#REF!</v>
      </c>
      <c r="R7" s="57" t="e">
        <f>#REF!</f>
        <v>#REF!</v>
      </c>
      <c r="S7" s="57" t="e">
        <f>#REF!</f>
        <v>#REF!</v>
      </c>
      <c r="T7" s="57" t="e">
        <f>#REF!</f>
        <v>#REF!</v>
      </c>
      <c r="U7" s="57" t="e">
        <f>#REF!</f>
        <v>#REF!</v>
      </c>
      <c r="V7" s="57" t="e">
        <f>#REF!</f>
        <v>#REF!</v>
      </c>
      <c r="W7" s="57" t="e">
        <f>#REF!</f>
        <v>#REF!</v>
      </c>
      <c r="X7" s="57" t="e">
        <f>#REF!</f>
        <v>#REF!</v>
      </c>
      <c r="Y7" s="56" t="e">
        <f>#REF!</f>
        <v>#REF!</v>
      </c>
      <c r="AB7" s="56">
        <v>29269.65567643139</v>
      </c>
      <c r="AC7" s="56">
        <v>23246.981961673027</v>
      </c>
      <c r="AD7" s="56">
        <v>11648.83496851454</v>
      </c>
      <c r="AE7" s="56">
        <v>5949.9085659596085</v>
      </c>
      <c r="AF7" s="56">
        <v>790.77924897052674</v>
      </c>
      <c r="AG7" s="56">
        <v>403.90856595960793</v>
      </c>
      <c r="AH7" s="58">
        <v>0.79697538358465825</v>
      </c>
      <c r="AI7" s="59">
        <v>1.0964522597533219</v>
      </c>
      <c r="AJ7" s="58">
        <v>3.2732483976711177E-2</v>
      </c>
      <c r="AK7" s="59">
        <v>1.0964522597533219</v>
      </c>
      <c r="AL7" s="83">
        <v>41855</v>
      </c>
      <c r="AM7" s="83">
        <v>1719</v>
      </c>
      <c r="AN7" s="58">
        <v>0.40442584348281335</v>
      </c>
      <c r="AO7" s="58">
        <v>0.23391407945509562</v>
      </c>
      <c r="AP7" s="58">
        <v>0.63833992293790898</v>
      </c>
      <c r="AQ7" s="57">
        <v>0.69828547840479782</v>
      </c>
      <c r="AR7" s="57">
        <v>7.9695317556879104</v>
      </c>
      <c r="AS7" s="57">
        <v>8.6678172340927091</v>
      </c>
      <c r="AT7" s="57">
        <v>6.0113066488634059</v>
      </c>
      <c r="AU7" s="57">
        <v>7.339561941478058</v>
      </c>
      <c r="AV7" s="57">
        <v>2.9120442994292177</v>
      </c>
      <c r="AW7" s="56">
        <v>9975.5068343542534</v>
      </c>
      <c r="AX7" s="57">
        <v>1941.3864532365169</v>
      </c>
      <c r="AY7" s="56">
        <v>597</v>
      </c>
    </row>
    <row r="8" spans="1:51" x14ac:dyDescent="0.15">
      <c r="B8" s="51" t="e">
        <f>#REF!</f>
        <v>#REF!</v>
      </c>
      <c r="C8" s="51" t="e">
        <f>#REF!</f>
        <v>#REF!</v>
      </c>
      <c r="D8" s="51" t="e">
        <f>#REF!</f>
        <v>#REF!</v>
      </c>
      <c r="E8" s="51" t="e">
        <f>#REF!</f>
        <v>#REF!</v>
      </c>
      <c r="F8" s="51" t="e">
        <f>#REF!</f>
        <v>#REF!</v>
      </c>
      <c r="G8" s="51" t="e">
        <f>#REF!</f>
        <v>#REF!</v>
      </c>
      <c r="H8" s="54" t="e">
        <f>#REF!</f>
        <v>#REF!</v>
      </c>
      <c r="I8" s="55" t="e">
        <f>#REF!</f>
        <v>#REF!</v>
      </c>
      <c r="J8" s="54" t="e">
        <f>#REF!</f>
        <v>#REF!</v>
      </c>
      <c r="K8" s="55" t="e">
        <f>#REF!</f>
        <v>#REF!</v>
      </c>
      <c r="L8" s="82" t="e">
        <f>#REF!</f>
        <v>#REF!</v>
      </c>
      <c r="M8" s="82" t="e">
        <f>#REF!</f>
        <v>#REF!</v>
      </c>
      <c r="N8" s="54" t="e">
        <f>#REF!</f>
        <v>#REF!</v>
      </c>
      <c r="O8" s="54" t="e">
        <f>#REF!</f>
        <v>#REF!</v>
      </c>
      <c r="P8" s="54" t="e">
        <f>#REF!</f>
        <v>#REF!</v>
      </c>
      <c r="Q8" s="53" t="e">
        <f>#REF!</f>
        <v>#REF!</v>
      </c>
      <c r="R8" s="53" t="e">
        <f>#REF!</f>
        <v>#REF!</v>
      </c>
      <c r="S8" s="53" t="e">
        <f>#REF!</f>
        <v>#REF!</v>
      </c>
      <c r="T8" s="53" t="e">
        <f>#REF!</f>
        <v>#REF!</v>
      </c>
      <c r="U8" s="53" t="e">
        <f>#REF!</f>
        <v>#REF!</v>
      </c>
      <c r="V8" s="53" t="e">
        <f>#REF!</f>
        <v>#REF!</v>
      </c>
      <c r="W8" s="53" t="e">
        <f>#REF!</f>
        <v>#REF!</v>
      </c>
      <c r="X8" s="53" t="e">
        <f>#REF!</f>
        <v>#REF!</v>
      </c>
      <c r="Y8" s="51" t="e">
        <f>#REF!</f>
        <v>#REF!</v>
      </c>
      <c r="AB8" s="51">
        <v>29580.63763723696</v>
      </c>
      <c r="AC8" s="51">
        <v>23501.650289067085</v>
      </c>
      <c r="AD8" s="51">
        <v>11842.977538803436</v>
      </c>
      <c r="AE8" s="51">
        <v>6049.2770217315656</v>
      </c>
      <c r="AF8" s="51">
        <v>799.304707092493</v>
      </c>
      <c r="AG8" s="51">
        <v>408.27702173156581</v>
      </c>
      <c r="AH8" s="54">
        <v>0.81842266920165019</v>
      </c>
      <c r="AI8" s="55">
        <v>1.0973451375046974</v>
      </c>
      <c r="AJ8" s="54">
        <v>0.12912028225903982</v>
      </c>
      <c r="AK8" s="55">
        <v>1.0973451375046974</v>
      </c>
      <c r="AL8" s="82">
        <v>43444</v>
      </c>
      <c r="AM8" s="82">
        <v>6854</v>
      </c>
      <c r="AN8" s="54">
        <v>0.38993442357891628</v>
      </c>
      <c r="AO8" s="54">
        <v>0.19704922053297255</v>
      </c>
      <c r="AP8" s="54">
        <v>0.58698364411188886</v>
      </c>
      <c r="AQ8" s="53">
        <v>2.5490823110897005</v>
      </c>
      <c r="AR8" s="53">
        <v>31.448456577363142</v>
      </c>
      <c r="AS8" s="53">
        <v>33.997538888452844</v>
      </c>
      <c r="AT8" s="53">
        <v>23.514720029331794</v>
      </c>
      <c r="AU8" s="53">
        <v>28.756129458892325</v>
      </c>
      <c r="AV8" s="53">
        <v>11.284764693690573</v>
      </c>
      <c r="AW8" s="51">
        <v>36415.46158699572</v>
      </c>
      <c r="AX8" s="53">
        <v>26439.954752641468</v>
      </c>
      <c r="AY8" s="51">
        <v>2181</v>
      </c>
    </row>
    <row r="9" spans="1:51" x14ac:dyDescent="0.15">
      <c r="B9" s="51" t="e">
        <f>#REF!</f>
        <v>#REF!</v>
      </c>
      <c r="C9" s="51" t="e">
        <f>#REF!</f>
        <v>#REF!</v>
      </c>
      <c r="D9" s="51" t="e">
        <f>#REF!</f>
        <v>#REF!</v>
      </c>
      <c r="E9" s="51" t="e">
        <f>#REF!</f>
        <v>#REF!</v>
      </c>
      <c r="F9" s="51" t="e">
        <f>#REF!</f>
        <v>#REF!</v>
      </c>
      <c r="G9" s="51" t="e">
        <f>#REF!</f>
        <v>#REF!</v>
      </c>
      <c r="H9" s="54" t="e">
        <f>#REF!</f>
        <v>#REF!</v>
      </c>
      <c r="I9" s="55" t="e">
        <f>#REF!</f>
        <v>#REF!</v>
      </c>
      <c r="J9" s="54" t="e">
        <f>#REF!</f>
        <v>#REF!</v>
      </c>
      <c r="K9" s="55" t="e">
        <f>#REF!</f>
        <v>#REF!</v>
      </c>
      <c r="L9" s="82" t="e">
        <f>#REF!</f>
        <v>#REF!</v>
      </c>
      <c r="M9" s="82" t="e">
        <f>#REF!</f>
        <v>#REF!</v>
      </c>
      <c r="N9" s="54" t="e">
        <f>#REF!</f>
        <v>#REF!</v>
      </c>
      <c r="O9" s="54" t="e">
        <f>#REF!</f>
        <v>#REF!</v>
      </c>
      <c r="P9" s="54" t="e">
        <f>#REF!</f>
        <v>#REF!</v>
      </c>
      <c r="Q9" s="53" t="e">
        <f>#REF!</f>
        <v>#REF!</v>
      </c>
      <c r="R9" s="53" t="e">
        <f>#REF!</f>
        <v>#REF!</v>
      </c>
      <c r="S9" s="53" t="e">
        <f>#REF!</f>
        <v>#REF!</v>
      </c>
      <c r="T9" s="53" t="e">
        <f>#REF!</f>
        <v>#REF!</v>
      </c>
      <c r="U9" s="53" t="e">
        <f>#REF!</f>
        <v>#REF!</v>
      </c>
      <c r="V9" s="53" t="e">
        <f>#REF!</f>
        <v>#REF!</v>
      </c>
      <c r="W9" s="53" t="e">
        <f>#REF!</f>
        <v>#REF!</v>
      </c>
      <c r="X9" s="53" t="e">
        <f>#REF!</f>
        <v>#REF!</v>
      </c>
      <c r="Y9" s="51" t="e">
        <f>#REF!</f>
        <v>#REF!</v>
      </c>
      <c r="AB9" s="51">
        <v>29878.854170788032</v>
      </c>
      <c r="AC9" s="51">
        <v>23746.034324945605</v>
      </c>
      <c r="AD9" s="51">
        <v>12035.855354286845</v>
      </c>
      <c r="AE9" s="51">
        <v>6148.4918599672974</v>
      </c>
      <c r="AF9" s="51">
        <v>807.46506207679136</v>
      </c>
      <c r="AG9" s="51">
        <v>412.49185996729778</v>
      </c>
      <c r="AH9" s="54">
        <v>0.83986995481864213</v>
      </c>
      <c r="AI9" s="55">
        <v>1.0982380152560729</v>
      </c>
      <c r="AJ9" s="54">
        <v>0.22547366230816407</v>
      </c>
      <c r="AK9" s="55">
        <v>1.0982380152560729</v>
      </c>
      <c r="AL9" s="82">
        <v>45038</v>
      </c>
      <c r="AM9" s="82">
        <v>12091</v>
      </c>
      <c r="AN9" s="54">
        <v>0.37376486193216862</v>
      </c>
      <c r="AO9" s="54">
        <v>0.16599426337697609</v>
      </c>
      <c r="AP9" s="54">
        <v>0.53975912530914472</v>
      </c>
      <c r="AQ9" s="53">
        <v>4.4563996497316358</v>
      </c>
      <c r="AR9" s="53">
        <v>54.824935369521555</v>
      </c>
      <c r="AS9" s="53">
        <v>59.281335019253191</v>
      </c>
      <c r="AT9" s="53">
        <v>41.006356562745999</v>
      </c>
      <c r="AU9" s="53">
        <v>50.143845790999599</v>
      </c>
      <c r="AV9" s="53">
        <v>19.685548363487619</v>
      </c>
      <c r="AW9" s="51">
        <v>63662.852139023358</v>
      </c>
      <c r="AX9" s="53">
        <v>27247.390552027638</v>
      </c>
      <c r="AY9" s="51">
        <v>3812</v>
      </c>
    </row>
    <row r="10" spans="1:51" x14ac:dyDescent="0.15">
      <c r="B10" s="51" t="e">
        <f>#REF!</f>
        <v>#REF!</v>
      </c>
      <c r="C10" s="51" t="e">
        <f>#REF!</f>
        <v>#REF!</v>
      </c>
      <c r="D10" s="51" t="e">
        <f>#REF!</f>
        <v>#REF!</v>
      </c>
      <c r="E10" s="51" t="e">
        <f>#REF!</f>
        <v>#REF!</v>
      </c>
      <c r="F10" s="51" t="e">
        <f>#REF!</f>
        <v>#REF!</v>
      </c>
      <c r="G10" s="51" t="e">
        <f>#REF!</f>
        <v>#REF!</v>
      </c>
      <c r="H10" s="54" t="e">
        <f>#REF!</f>
        <v>#REF!</v>
      </c>
      <c r="I10" s="55" t="e">
        <f>#REF!</f>
        <v>#REF!</v>
      </c>
      <c r="J10" s="54" t="e">
        <f>#REF!</f>
        <v>#REF!</v>
      </c>
      <c r="K10" s="55" t="e">
        <f>#REF!</f>
        <v>#REF!</v>
      </c>
      <c r="L10" s="82" t="e">
        <f>#REF!</f>
        <v>#REF!</v>
      </c>
      <c r="M10" s="82" t="e">
        <f>#REF!</f>
        <v>#REF!</v>
      </c>
      <c r="N10" s="54" t="e">
        <f>#REF!</f>
        <v>#REF!</v>
      </c>
      <c r="O10" s="54" t="e">
        <f>#REF!</f>
        <v>#REF!</v>
      </c>
      <c r="P10" s="54" t="e">
        <f>#REF!</f>
        <v>#REF!</v>
      </c>
      <c r="Q10" s="53" t="e">
        <f>#REF!</f>
        <v>#REF!</v>
      </c>
      <c r="R10" s="53" t="e">
        <f>#REF!</f>
        <v>#REF!</v>
      </c>
      <c r="S10" s="53" t="e">
        <f>#REF!</f>
        <v>#REF!</v>
      </c>
      <c r="T10" s="53" t="e">
        <f>#REF!</f>
        <v>#REF!</v>
      </c>
      <c r="U10" s="53" t="e">
        <f>#REF!</f>
        <v>#REF!</v>
      </c>
      <c r="V10" s="53" t="e">
        <f>#REF!</f>
        <v>#REF!</v>
      </c>
      <c r="W10" s="53" t="e">
        <f>#REF!</f>
        <v>#REF!</v>
      </c>
      <c r="X10" s="53" t="e">
        <f>#REF!</f>
        <v>#REF!</v>
      </c>
      <c r="Y10" s="51" t="e">
        <f>#REF!</f>
        <v>#REF!</v>
      </c>
      <c r="AB10" s="51">
        <v>30164.694139435105</v>
      </c>
      <c r="AC10" s="51">
        <v>23980.432016462742</v>
      </c>
      <c r="AD10" s="51">
        <v>12227.360702830956</v>
      </c>
      <c r="AE10" s="51">
        <v>6246.4828130515925</v>
      </c>
      <c r="AF10" s="51">
        <v>815.25647858521995</v>
      </c>
      <c r="AG10" s="51">
        <v>416.48281305159298</v>
      </c>
      <c r="AH10" s="54">
        <v>0.86131724043563407</v>
      </c>
      <c r="AI10" s="55">
        <v>1.0991308930074484</v>
      </c>
      <c r="AJ10" s="54">
        <v>0.32170947297908564</v>
      </c>
      <c r="AK10" s="55">
        <v>1.0991308930074484</v>
      </c>
      <c r="AL10" s="82">
        <v>46636</v>
      </c>
      <c r="AM10" s="82">
        <v>17419</v>
      </c>
      <c r="AN10" s="54">
        <v>0.35650038710895227</v>
      </c>
      <c r="AO10" s="54">
        <v>0.13983356746876466</v>
      </c>
      <c r="AP10" s="54">
        <v>0.4963339545777169</v>
      </c>
      <c r="AQ10" s="53">
        <v>6.4199230380817607</v>
      </c>
      <c r="AR10" s="53">
        <v>77.99227437878578</v>
      </c>
      <c r="AS10" s="53">
        <v>84.412197416867542</v>
      </c>
      <c r="AT10" s="53">
        <v>58.414772623938951</v>
      </c>
      <c r="AU10" s="53">
        <v>71.413485020403243</v>
      </c>
      <c r="AV10" s="53">
        <v>28.084443698855587</v>
      </c>
      <c r="AW10" s="51">
        <v>91713.18625831086</v>
      </c>
      <c r="AX10" s="53">
        <v>28050.334119287501</v>
      </c>
      <c r="AY10" s="51">
        <v>5492</v>
      </c>
    </row>
    <row r="11" spans="1:51" x14ac:dyDescent="0.15">
      <c r="B11" s="51" t="e">
        <f>#REF!</f>
        <v>#REF!</v>
      </c>
      <c r="C11" s="51" t="e">
        <f>#REF!</f>
        <v>#REF!</v>
      </c>
      <c r="D11" s="51" t="e">
        <f>#REF!</f>
        <v>#REF!</v>
      </c>
      <c r="E11" s="51" t="e">
        <f>#REF!</f>
        <v>#REF!</v>
      </c>
      <c r="F11" s="51" t="e">
        <f>#REF!</f>
        <v>#REF!</v>
      </c>
      <c r="G11" s="51" t="e">
        <f>#REF!</f>
        <v>#REF!</v>
      </c>
      <c r="H11" s="54" t="e">
        <f>#REF!</f>
        <v>#REF!</v>
      </c>
      <c r="I11" s="55" t="e">
        <f>#REF!</f>
        <v>#REF!</v>
      </c>
      <c r="J11" s="54" t="e">
        <f>#REF!</f>
        <v>#REF!</v>
      </c>
      <c r="K11" s="55" t="e">
        <f>#REF!</f>
        <v>#REF!</v>
      </c>
      <c r="L11" s="82" t="e">
        <f>#REF!</f>
        <v>#REF!</v>
      </c>
      <c r="M11" s="82" t="e">
        <f>#REF!</f>
        <v>#REF!</v>
      </c>
      <c r="N11" s="54" t="e">
        <f>#REF!</f>
        <v>#REF!</v>
      </c>
      <c r="O11" s="54" t="e">
        <f>#REF!</f>
        <v>#REF!</v>
      </c>
      <c r="P11" s="54" t="e">
        <f>#REF!</f>
        <v>#REF!</v>
      </c>
      <c r="Q11" s="53" t="e">
        <f>#REF!</f>
        <v>#REF!</v>
      </c>
      <c r="R11" s="53" t="e">
        <f>#REF!</f>
        <v>#REF!</v>
      </c>
      <c r="S11" s="53" t="e">
        <f>#REF!</f>
        <v>#REF!</v>
      </c>
      <c r="T11" s="53" t="e">
        <f>#REF!</f>
        <v>#REF!</v>
      </c>
      <c r="U11" s="53" t="e">
        <f>#REF!</f>
        <v>#REF!</v>
      </c>
      <c r="V11" s="53" t="e">
        <f>#REF!</f>
        <v>#REF!</v>
      </c>
      <c r="W11" s="53" t="e">
        <f>#REF!</f>
        <v>#REF!</v>
      </c>
      <c r="X11" s="53" t="e">
        <f>#REF!</f>
        <v>#REF!</v>
      </c>
      <c r="Y11" s="51" t="e">
        <f>#REF!</f>
        <v>#REF!</v>
      </c>
      <c r="AB11" s="51">
        <v>30438.546091806333</v>
      </c>
      <c r="AC11" s="51">
        <v>24205.142685633193</v>
      </c>
      <c r="AD11" s="51">
        <v>12417.486919236062</v>
      </c>
      <c r="AE11" s="51">
        <v>6343.3028915095983</v>
      </c>
      <c r="AF11" s="51">
        <v>822.77415199945858</v>
      </c>
      <c r="AG11" s="51">
        <v>420.30289150959777</v>
      </c>
      <c r="AH11" s="54">
        <v>0.88276452605262601</v>
      </c>
      <c r="AI11" s="55">
        <v>1.1000237707588238</v>
      </c>
      <c r="AJ11" s="54">
        <v>0.41821847154350983</v>
      </c>
      <c r="AK11" s="55">
        <v>1.1000237707588238</v>
      </c>
      <c r="AL11" s="82">
        <v>48238</v>
      </c>
      <c r="AM11" s="82">
        <v>22853</v>
      </c>
      <c r="AN11" s="54">
        <v>0.33860666622551072</v>
      </c>
      <c r="AO11" s="54">
        <v>0.11779579723568735</v>
      </c>
      <c r="AP11" s="54">
        <v>0.45640246346119806</v>
      </c>
      <c r="AQ11" s="53">
        <v>8.4408920525650686</v>
      </c>
      <c r="AR11" s="53">
        <v>100.96928407096158</v>
      </c>
      <c r="AS11" s="53">
        <v>109.41017612352664</v>
      </c>
      <c r="AT11" s="53">
        <v>75.753748099872809</v>
      </c>
      <c r="AU11" s="53">
        <v>92.581962111699738</v>
      </c>
      <c r="AV11" s="53">
        <v>36.487915405609954</v>
      </c>
      <c r="AW11" s="51">
        <v>120584.17217950097</v>
      </c>
      <c r="AX11" s="53">
        <v>28870.985921190106</v>
      </c>
      <c r="AY11" s="51">
        <v>7221</v>
      </c>
    </row>
    <row r="12" spans="1:51" x14ac:dyDescent="0.15">
      <c r="B12" s="51" t="e">
        <f>#REF!</f>
        <v>#REF!</v>
      </c>
      <c r="C12" s="51" t="e">
        <f>#REF!</f>
        <v>#REF!</v>
      </c>
      <c r="D12" s="51" t="e">
        <f>#REF!</f>
        <v>#REF!</v>
      </c>
      <c r="E12" s="51" t="e">
        <f>#REF!</f>
        <v>#REF!</v>
      </c>
      <c r="F12" s="51" t="e">
        <f>#REF!</f>
        <v>#REF!</v>
      </c>
      <c r="G12" s="51" t="e">
        <f>#REF!</f>
        <v>#REF!</v>
      </c>
      <c r="H12" s="54" t="e">
        <f>#REF!</f>
        <v>#REF!</v>
      </c>
      <c r="I12" s="55" t="e">
        <f>#REF!</f>
        <v>#REF!</v>
      </c>
      <c r="J12" s="54" t="e">
        <f>#REF!</f>
        <v>#REF!</v>
      </c>
      <c r="K12" s="55" t="e">
        <f>#REF!</f>
        <v>#REF!</v>
      </c>
      <c r="L12" s="82" t="e">
        <f>#REF!</f>
        <v>#REF!</v>
      </c>
      <c r="M12" s="82" t="e">
        <f>#REF!</f>
        <v>#REF!</v>
      </c>
      <c r="N12" s="54" t="e">
        <f>#REF!</f>
        <v>#REF!</v>
      </c>
      <c r="O12" s="54" t="e">
        <f>#REF!</f>
        <v>#REF!</v>
      </c>
      <c r="P12" s="54" t="e">
        <f>#REF!</f>
        <v>#REF!</v>
      </c>
      <c r="Q12" s="53" t="e">
        <f>#REF!</f>
        <v>#REF!</v>
      </c>
      <c r="R12" s="53" t="e">
        <f>#REF!</f>
        <v>#REF!</v>
      </c>
      <c r="S12" s="53" t="e">
        <f>#REF!</f>
        <v>#REF!</v>
      </c>
      <c r="T12" s="53" t="e">
        <f>#REF!</f>
        <v>#REF!</v>
      </c>
      <c r="U12" s="53" t="e">
        <f>#REF!</f>
        <v>#REF!</v>
      </c>
      <c r="V12" s="53" t="e">
        <f>#REF!</f>
        <v>#REF!</v>
      </c>
      <c r="W12" s="53" t="e">
        <f>#REF!</f>
        <v>#REF!</v>
      </c>
      <c r="X12" s="53" t="e">
        <f>#REF!</f>
        <v>#REF!</v>
      </c>
      <c r="Y12" s="51" t="e">
        <f>#REF!</f>
        <v>#REF!</v>
      </c>
      <c r="AB12" s="51">
        <v>30700.797153807474</v>
      </c>
      <c r="AC12" s="51">
        <v>24420.466042000309</v>
      </c>
      <c r="AD12" s="51">
        <v>12606.131572702721</v>
      </c>
      <c r="AE12" s="51">
        <v>6438.9548829194728</v>
      </c>
      <c r="AF12" s="51">
        <v>830.01529474134759</v>
      </c>
      <c r="AG12" s="51">
        <v>423.95488291947237</v>
      </c>
      <c r="AH12" s="54">
        <v>0.90421181166961795</v>
      </c>
      <c r="AI12" s="55">
        <v>1.1009166485101993</v>
      </c>
      <c r="AJ12" s="54">
        <v>0.51455642261400736</v>
      </c>
      <c r="AK12" s="55">
        <v>1.1009166485101993</v>
      </c>
      <c r="AL12" s="82">
        <v>49841</v>
      </c>
      <c r="AM12" s="82">
        <v>28363</v>
      </c>
      <c r="AN12" s="54">
        <v>0.32045239581641949</v>
      </c>
      <c r="AO12" s="54">
        <v>9.9231179591343033E-2</v>
      </c>
      <c r="AP12" s="54">
        <v>0.41968357540776252</v>
      </c>
      <c r="AQ12" s="53">
        <v>10.513859217293613</v>
      </c>
      <c r="AR12" s="53">
        <v>123.64920610078327</v>
      </c>
      <c r="AS12" s="53">
        <v>134.16306531807689</v>
      </c>
      <c r="AT12" s="53">
        <v>92.946663284482469</v>
      </c>
      <c r="AU12" s="53">
        <v>113.55486430127969</v>
      </c>
      <c r="AV12" s="53">
        <v>44.860860911955633</v>
      </c>
      <c r="AW12" s="51">
        <v>150197.98881848017</v>
      </c>
      <c r="AX12" s="53">
        <v>29613.816638979202</v>
      </c>
      <c r="AY12" s="51">
        <v>8994</v>
      </c>
    </row>
    <row r="13" spans="1:51" x14ac:dyDescent="0.15">
      <c r="B13" s="51" t="e">
        <f>#REF!</f>
        <v>#REF!</v>
      </c>
      <c r="C13" s="51" t="e">
        <f>#REF!</f>
        <v>#REF!</v>
      </c>
      <c r="D13" s="51" t="e">
        <f>#REF!</f>
        <v>#REF!</v>
      </c>
      <c r="E13" s="51" t="e">
        <f>#REF!</f>
        <v>#REF!</v>
      </c>
      <c r="F13" s="51" t="e">
        <f>#REF!</f>
        <v>#REF!</v>
      </c>
      <c r="G13" s="51" t="e">
        <f>#REF!</f>
        <v>#REF!</v>
      </c>
      <c r="H13" s="54" t="e">
        <f>#REF!</f>
        <v>#REF!</v>
      </c>
      <c r="I13" s="55" t="e">
        <f>#REF!</f>
        <v>#REF!</v>
      </c>
      <c r="J13" s="54" t="e">
        <f>#REF!</f>
        <v>#REF!</v>
      </c>
      <c r="K13" s="55" t="e">
        <f>#REF!</f>
        <v>#REF!</v>
      </c>
      <c r="L13" s="82" t="e">
        <f>#REF!</f>
        <v>#REF!</v>
      </c>
      <c r="M13" s="82" t="e">
        <f>#REF!</f>
        <v>#REF!</v>
      </c>
      <c r="N13" s="54" t="e">
        <f>#REF!</f>
        <v>#REF!</v>
      </c>
      <c r="O13" s="54" t="e">
        <f>#REF!</f>
        <v>#REF!</v>
      </c>
      <c r="P13" s="54" t="e">
        <f>#REF!</f>
        <v>#REF!</v>
      </c>
      <c r="Q13" s="53" t="e">
        <f>#REF!</f>
        <v>#REF!</v>
      </c>
      <c r="R13" s="53" t="e">
        <f>#REF!</f>
        <v>#REF!</v>
      </c>
      <c r="S13" s="53" t="e">
        <f>#REF!</f>
        <v>#REF!</v>
      </c>
      <c r="T13" s="53" t="e">
        <f>#REF!</f>
        <v>#REF!</v>
      </c>
      <c r="U13" s="53" t="e">
        <f>#REF!</f>
        <v>#REF!</v>
      </c>
      <c r="V13" s="53" t="e">
        <f>#REF!</f>
        <v>#REF!</v>
      </c>
      <c r="W13" s="53" t="e">
        <f>#REF!</f>
        <v>#REF!</v>
      </c>
      <c r="X13" s="53" t="e">
        <f>#REF!</f>
        <v>#REF!</v>
      </c>
      <c r="Y13" s="51" t="e">
        <f>#REF!</f>
        <v>#REF!</v>
      </c>
      <c r="AB13" s="51">
        <v>30951.831998155623</v>
      </c>
      <c r="AC13" s="51">
        <v>24626.701257889898</v>
      </c>
      <c r="AD13" s="51">
        <v>12793.09937498665</v>
      </c>
      <c r="AE13" s="51">
        <v>6534.4627379516123</v>
      </c>
      <c r="AF13" s="51">
        <v>836.88185318707781</v>
      </c>
      <c r="AG13" s="51">
        <v>427.46273795161216</v>
      </c>
      <c r="AH13" s="54">
        <v>0.92565909728660989</v>
      </c>
      <c r="AI13" s="55">
        <v>1.1018095262615748</v>
      </c>
      <c r="AJ13" s="54">
        <v>0.61091932461723741</v>
      </c>
      <c r="AK13" s="55">
        <v>1.1018095262615748</v>
      </c>
      <c r="AL13" s="82">
        <v>51447</v>
      </c>
      <c r="AM13" s="82">
        <v>33954</v>
      </c>
      <c r="AN13" s="54">
        <v>0.30232648159311698</v>
      </c>
      <c r="AO13" s="54">
        <v>8.3592345687747371E-2</v>
      </c>
      <c r="AP13" s="54">
        <v>0.38591882728086435</v>
      </c>
      <c r="AQ13" s="53">
        <v>12.641180898730724</v>
      </c>
      <c r="AR13" s="53">
        <v>145.98527976239572</v>
      </c>
      <c r="AS13" s="53">
        <v>158.62646066112643</v>
      </c>
      <c r="AT13" s="53">
        <v>109.96470074032786</v>
      </c>
      <c r="AU13" s="53">
        <v>134.29558070072716</v>
      </c>
      <c r="AV13" s="53">
        <v>53.192647499396195</v>
      </c>
      <c r="AW13" s="51">
        <v>180588.29855329602</v>
      </c>
      <c r="AX13" s="53">
        <v>30390.309734815848</v>
      </c>
      <c r="AY13" s="51">
        <v>10814</v>
      </c>
    </row>
    <row r="14" spans="1:51" x14ac:dyDescent="0.15">
      <c r="B14" s="51" t="e">
        <f>#REF!</f>
        <v>#REF!</v>
      </c>
      <c r="C14" s="51" t="e">
        <f>#REF!</f>
        <v>#REF!</v>
      </c>
      <c r="D14" s="51" t="e">
        <f>#REF!</f>
        <v>#REF!</v>
      </c>
      <c r="E14" s="51" t="e">
        <f>#REF!</f>
        <v>#REF!</v>
      </c>
      <c r="F14" s="51" t="e">
        <f>#REF!</f>
        <v>#REF!</v>
      </c>
      <c r="G14" s="51" t="e">
        <f>#REF!</f>
        <v>#REF!</v>
      </c>
      <c r="H14" s="54" t="e">
        <f>#REF!</f>
        <v>#REF!</v>
      </c>
      <c r="I14" s="55" t="e">
        <f>#REF!</f>
        <v>#REF!</v>
      </c>
      <c r="J14" s="54" t="e">
        <f>#REF!</f>
        <v>#REF!</v>
      </c>
      <c r="K14" s="55" t="e">
        <f>#REF!</f>
        <v>#REF!</v>
      </c>
      <c r="L14" s="82" t="e">
        <f>#REF!</f>
        <v>#REF!</v>
      </c>
      <c r="M14" s="82" t="e">
        <f>#REF!</f>
        <v>#REF!</v>
      </c>
      <c r="N14" s="54" t="e">
        <f>#REF!</f>
        <v>#REF!</v>
      </c>
      <c r="O14" s="54" t="e">
        <f>#REF!</f>
        <v>#REF!</v>
      </c>
      <c r="P14" s="54" t="e">
        <f>#REF!</f>
        <v>#REF!</v>
      </c>
      <c r="Q14" s="53" t="e">
        <f>#REF!</f>
        <v>#REF!</v>
      </c>
      <c r="R14" s="53" t="e">
        <f>#REF!</f>
        <v>#REF!</v>
      </c>
      <c r="S14" s="53" t="e">
        <f>#REF!</f>
        <v>#REF!</v>
      </c>
      <c r="T14" s="53" t="e">
        <f>#REF!</f>
        <v>#REF!</v>
      </c>
      <c r="U14" s="53" t="e">
        <f>#REF!</f>
        <v>#REF!</v>
      </c>
      <c r="V14" s="53" t="e">
        <f>#REF!</f>
        <v>#REF!</v>
      </c>
      <c r="W14" s="53" t="e">
        <f>#REF!</f>
        <v>#REF!</v>
      </c>
      <c r="X14" s="53" t="e">
        <f>#REF!</f>
        <v>#REF!</v>
      </c>
      <c r="Y14" s="51" t="e">
        <f>#REF!</f>
        <v>#REF!</v>
      </c>
      <c r="AB14" s="51">
        <v>31192.031894563403</v>
      </c>
      <c r="AC14" s="51">
        <v>24824.146108900532</v>
      </c>
      <c r="AD14" s="51">
        <v>12978.392195470578</v>
      </c>
      <c r="AE14" s="51">
        <v>6629.8781477181974</v>
      </c>
      <c r="AF14" s="51">
        <v>843.47034213129564</v>
      </c>
      <c r="AG14" s="51">
        <v>430.87814771819711</v>
      </c>
      <c r="AH14" s="54">
        <v>0.94710638290360183</v>
      </c>
      <c r="AI14" s="55">
        <v>1.1027024040129503</v>
      </c>
      <c r="AJ14" s="54">
        <v>0.70725996331899144</v>
      </c>
      <c r="AK14" s="55">
        <v>1.1027024040129503</v>
      </c>
      <c r="AL14" s="82">
        <v>53053</v>
      </c>
      <c r="AM14" s="82">
        <v>39618</v>
      </c>
      <c r="AN14" s="54">
        <v>0.28445235803771951</v>
      </c>
      <c r="AO14" s="54">
        <v>7.0418192007358382E-2</v>
      </c>
      <c r="AP14" s="54">
        <v>0.35487055004507789</v>
      </c>
      <c r="AQ14" s="53">
        <v>14.819774823925847</v>
      </c>
      <c r="AR14" s="53">
        <v>167.98456629658105</v>
      </c>
      <c r="AS14" s="53">
        <v>182.8043411205069</v>
      </c>
      <c r="AT14" s="53">
        <v>126.80948568831317</v>
      </c>
      <c r="AU14" s="53">
        <v>154.80691340441004</v>
      </c>
      <c r="AV14" s="53">
        <v>61.482154350753909</v>
      </c>
      <c r="AW14" s="51">
        <v>211711.06891322637</v>
      </c>
      <c r="AX14" s="53">
        <v>31122.77035993035</v>
      </c>
      <c r="AY14" s="51">
        <v>12677</v>
      </c>
    </row>
    <row r="15" spans="1:51" x14ac:dyDescent="0.15">
      <c r="B15" s="51" t="e">
        <f>#REF!</f>
        <v>#REF!</v>
      </c>
      <c r="C15" s="51" t="e">
        <f>#REF!</f>
        <v>#REF!</v>
      </c>
      <c r="D15" s="51" t="e">
        <f>#REF!</f>
        <v>#REF!</v>
      </c>
      <c r="E15" s="51" t="e">
        <f>#REF!</f>
        <v>#REF!</v>
      </c>
      <c r="F15" s="51" t="e">
        <f>#REF!</f>
        <v>#REF!</v>
      </c>
      <c r="G15" s="51" t="e">
        <f>#REF!</f>
        <v>#REF!</v>
      </c>
      <c r="H15" s="54" t="e">
        <f>#REF!</f>
        <v>#REF!</v>
      </c>
      <c r="I15" s="55" t="e">
        <f>#REF!</f>
        <v>#REF!</v>
      </c>
      <c r="J15" s="54" t="e">
        <f>#REF!</f>
        <v>#REF!</v>
      </c>
      <c r="K15" s="55" t="e">
        <f>#REF!</f>
        <v>#REF!</v>
      </c>
      <c r="L15" s="82" t="e">
        <f>#REF!</f>
        <v>#REF!</v>
      </c>
      <c r="M15" s="82" t="e">
        <f>#REF!</f>
        <v>#REF!</v>
      </c>
      <c r="N15" s="54" t="e">
        <f>#REF!</f>
        <v>#REF!</v>
      </c>
      <c r="O15" s="54" t="e">
        <f>#REF!</f>
        <v>#REF!</v>
      </c>
      <c r="P15" s="54" t="e">
        <f>#REF!</f>
        <v>#REF!</v>
      </c>
      <c r="Q15" s="53" t="e">
        <f>#REF!</f>
        <v>#REF!</v>
      </c>
      <c r="R15" s="53" t="e">
        <f>#REF!</f>
        <v>#REF!</v>
      </c>
      <c r="S15" s="53" t="e">
        <f>#REF!</f>
        <v>#REF!</v>
      </c>
      <c r="T15" s="53" t="e">
        <f>#REF!</f>
        <v>#REF!</v>
      </c>
      <c r="U15" s="53" t="e">
        <f>#REF!</f>
        <v>#REF!</v>
      </c>
      <c r="V15" s="53" t="e">
        <f>#REF!</f>
        <v>#REF!</v>
      </c>
      <c r="W15" s="53" t="e">
        <f>#REF!</f>
        <v>#REF!</v>
      </c>
      <c r="X15" s="53" t="e">
        <f>#REF!</f>
        <v>#REF!</v>
      </c>
      <c r="Y15" s="51" t="e">
        <f>#REF!</f>
        <v>#REF!</v>
      </c>
      <c r="AB15" s="51">
        <v>31421.773841462142</v>
      </c>
      <c r="AC15" s="51">
        <v>25013.096181173361</v>
      </c>
      <c r="AD15" s="51">
        <v>13161.909965285333</v>
      </c>
      <c r="AE15" s="51">
        <v>6723.0610883043764</v>
      </c>
      <c r="AF15" s="51">
        <v>849.77257958202699</v>
      </c>
      <c r="AG15" s="51">
        <v>434.06108830437569</v>
      </c>
      <c r="AH15" s="54">
        <v>0.96855366852059377</v>
      </c>
      <c r="AI15" s="55">
        <v>1.1035952817643258</v>
      </c>
      <c r="AJ15" s="54">
        <v>0.80365206798224098</v>
      </c>
      <c r="AK15" s="55">
        <v>1.1035952817643258</v>
      </c>
      <c r="AL15" s="82">
        <v>54660</v>
      </c>
      <c r="AM15" s="82">
        <v>45354</v>
      </c>
      <c r="AN15" s="54">
        <v>0.26699991087398522</v>
      </c>
      <c r="AO15" s="54">
        <v>5.9320284946998703E-2</v>
      </c>
      <c r="AP15" s="54">
        <v>0.32632019582098393</v>
      </c>
      <c r="AQ15" s="53">
        <v>17.050795720532967</v>
      </c>
      <c r="AR15" s="53">
        <v>189.70025148764091</v>
      </c>
      <c r="AS15" s="53">
        <v>206.75104720817387</v>
      </c>
      <c r="AT15" s="53">
        <v>143.5176300456269</v>
      </c>
      <c r="AU15" s="53">
        <v>175.13433862690039</v>
      </c>
      <c r="AV15" s="53">
        <v>69.745310022655445</v>
      </c>
      <c r="AW15" s="51">
        <v>243582.7960076138</v>
      </c>
      <c r="AX15" s="53">
        <v>31871.727094387432</v>
      </c>
      <c r="AY15" s="51">
        <v>14586</v>
      </c>
    </row>
    <row r="16" spans="1:51" x14ac:dyDescent="0.15">
      <c r="B16" s="60" t="e">
        <f>#REF!</f>
        <v>#REF!</v>
      </c>
      <c r="C16" s="60" t="e">
        <f>#REF!</f>
        <v>#REF!</v>
      </c>
      <c r="D16" s="60" t="e">
        <f>#REF!</f>
        <v>#REF!</v>
      </c>
      <c r="E16" s="60" t="e">
        <f>#REF!</f>
        <v>#REF!</v>
      </c>
      <c r="F16" s="60" t="e">
        <f>#REF!</f>
        <v>#REF!</v>
      </c>
      <c r="G16" s="60" t="e">
        <f>#REF!</f>
        <v>#REF!</v>
      </c>
      <c r="H16" s="62" t="e">
        <f>#REF!</f>
        <v>#REF!</v>
      </c>
      <c r="I16" s="63" t="e">
        <f>#REF!</f>
        <v>#REF!</v>
      </c>
      <c r="J16" s="62" t="e">
        <f>#REF!</f>
        <v>#REF!</v>
      </c>
      <c r="K16" s="63" t="e">
        <f>#REF!</f>
        <v>#REF!</v>
      </c>
      <c r="L16" s="84" t="e">
        <f>#REF!</f>
        <v>#REF!</v>
      </c>
      <c r="M16" s="84" t="e">
        <f>#REF!</f>
        <v>#REF!</v>
      </c>
      <c r="N16" s="62" t="e">
        <f>#REF!</f>
        <v>#REF!</v>
      </c>
      <c r="O16" s="62" t="e">
        <f>#REF!</f>
        <v>#REF!</v>
      </c>
      <c r="P16" s="62" t="e">
        <f>#REF!</f>
        <v>#REF!</v>
      </c>
      <c r="Q16" s="61" t="e">
        <f>#REF!</f>
        <v>#REF!</v>
      </c>
      <c r="R16" s="61" t="e">
        <f>#REF!</f>
        <v>#REF!</v>
      </c>
      <c r="S16" s="61" t="e">
        <f>#REF!</f>
        <v>#REF!</v>
      </c>
      <c r="T16" s="61" t="e">
        <f>#REF!</f>
        <v>#REF!</v>
      </c>
      <c r="U16" s="61" t="e">
        <f>#REF!</f>
        <v>#REF!</v>
      </c>
      <c r="V16" s="61" t="e">
        <f>#REF!</f>
        <v>#REF!</v>
      </c>
      <c r="W16" s="61" t="e">
        <f>#REF!</f>
        <v>#REF!</v>
      </c>
      <c r="X16" s="61" t="e">
        <f>#REF!</f>
        <v>#REF!</v>
      </c>
      <c r="Y16" s="60" t="e">
        <f>#REF!</f>
        <v>#REF!</v>
      </c>
      <c r="AB16" s="60">
        <v>31641.429779084712</v>
      </c>
      <c r="AC16" s="60">
        <v>25193.84414600745</v>
      </c>
      <c r="AD16" s="60">
        <v>13343.56782646934</v>
      </c>
      <c r="AE16" s="60">
        <v>6816.1556527140847</v>
      </c>
      <c r="AF16" s="60">
        <v>855.79267844216099</v>
      </c>
      <c r="AG16" s="60">
        <v>437.15565271408445</v>
      </c>
      <c r="AH16" s="62">
        <v>0.99000095413758615</v>
      </c>
      <c r="AI16" s="63">
        <v>1.1044881595157015</v>
      </c>
      <c r="AJ16" s="62">
        <v>0.90000187317805069</v>
      </c>
      <c r="AK16" s="63">
        <v>1.1044881595157015</v>
      </c>
      <c r="AL16" s="84">
        <v>56267</v>
      </c>
      <c r="AM16" s="84">
        <v>51152</v>
      </c>
      <c r="AN16" s="62">
        <v>0.25009539149393989</v>
      </c>
      <c r="AO16" s="62">
        <v>4.9971408039351711E-2</v>
      </c>
      <c r="AP16" s="62">
        <v>0.30006679953329157</v>
      </c>
      <c r="AQ16" s="61">
        <v>19.332290488002386</v>
      </c>
      <c r="AR16" s="61">
        <v>211.09331339977359</v>
      </c>
      <c r="AS16" s="61">
        <v>230.42560388777599</v>
      </c>
      <c r="AT16" s="61">
        <v>160.06116608785146</v>
      </c>
      <c r="AU16" s="61">
        <v>195.24338498781373</v>
      </c>
      <c r="AV16" s="61">
        <v>77.969321987939509</v>
      </c>
      <c r="AW16" s="60">
        <v>276175.57840003405</v>
      </c>
      <c r="AX16" s="61">
        <v>32592.782392420253</v>
      </c>
      <c r="AY16" s="60">
        <v>16537</v>
      </c>
    </row>
    <row r="17" spans="2:51" x14ac:dyDescent="0.15">
      <c r="B17" s="51" t="e">
        <f>#REF!</f>
        <v>#REF!</v>
      </c>
      <c r="C17" s="51" t="e">
        <f>#REF!</f>
        <v>#REF!</v>
      </c>
      <c r="D17" s="51" t="e">
        <f>#REF!</f>
        <v>#REF!</v>
      </c>
      <c r="E17" s="51" t="e">
        <f>#REF!</f>
        <v>#REF!</v>
      </c>
      <c r="F17" s="51" t="e">
        <f>#REF!</f>
        <v>#REF!</v>
      </c>
      <c r="G17" s="51" t="e">
        <f>#REF!</f>
        <v>#REF!</v>
      </c>
      <c r="H17" s="54" t="e">
        <f>#REF!</f>
        <v>#REF!</v>
      </c>
      <c r="I17" s="55" t="e">
        <f>#REF!</f>
        <v>#REF!</v>
      </c>
      <c r="J17" s="54" t="e">
        <f>#REF!</f>
        <v>#REF!</v>
      </c>
      <c r="K17" s="55" t="e">
        <f>#REF!</f>
        <v>#REF!</v>
      </c>
      <c r="L17" s="82" t="e">
        <f>#REF!</f>
        <v>#REF!</v>
      </c>
      <c r="M17" s="82" t="e">
        <f>#REF!</f>
        <v>#REF!</v>
      </c>
      <c r="N17" s="54" t="e">
        <f>#REF!</f>
        <v>#REF!</v>
      </c>
      <c r="O17" s="54" t="e">
        <f>#REF!</f>
        <v>#REF!</v>
      </c>
      <c r="P17" s="54" t="e">
        <f>#REF!</f>
        <v>#REF!</v>
      </c>
      <c r="Q17" s="53" t="e">
        <f>#REF!</f>
        <v>#REF!</v>
      </c>
      <c r="R17" s="53" t="e">
        <f>#REF!</f>
        <v>#REF!</v>
      </c>
      <c r="S17" s="53" t="e">
        <f>#REF!</f>
        <v>#REF!</v>
      </c>
      <c r="T17" s="53" t="e">
        <f>#REF!</f>
        <v>#REF!</v>
      </c>
      <c r="U17" s="53" t="e">
        <f>#REF!</f>
        <v>#REF!</v>
      </c>
      <c r="V17" s="53" t="e">
        <f>#REF!</f>
        <v>#REF!</v>
      </c>
      <c r="W17" s="53" t="e">
        <f>#REF!</f>
        <v>#REF!</v>
      </c>
      <c r="X17" s="53" t="e">
        <f>#REF!</f>
        <v>#REF!</v>
      </c>
      <c r="Y17" s="51" t="e">
        <f>#REF!</f>
        <v>#REF!</v>
      </c>
      <c r="AB17" s="51">
        <v>31851.36588281265</v>
      </c>
      <c r="AC17" s="51">
        <v>25366.679101538528</v>
      </c>
      <c r="AD17" s="51">
        <v>13523.323710969165</v>
      </c>
      <c r="AE17" s="51">
        <v>6908.1179992973275</v>
      </c>
      <c r="AF17" s="51">
        <v>861.57448036169399</v>
      </c>
      <c r="AG17" s="51">
        <v>440.11799929732746</v>
      </c>
      <c r="AH17" s="54">
        <v>0.99100085872382748</v>
      </c>
      <c r="AI17" s="55">
        <v>1.1052246177695439</v>
      </c>
      <c r="AJ17" s="54">
        <v>0.90500574564082903</v>
      </c>
      <c r="AK17" s="55">
        <v>1.1052246177695439</v>
      </c>
      <c r="AL17" s="82">
        <v>56703</v>
      </c>
      <c r="AM17" s="82">
        <v>51783</v>
      </c>
      <c r="AN17" s="54">
        <v>0.24559438950094051</v>
      </c>
      <c r="AO17" s="54">
        <v>4.9971408039351711E-2</v>
      </c>
      <c r="AP17" s="54">
        <v>0.29556579754029222</v>
      </c>
      <c r="AQ17" s="53">
        <v>19.68898068549894</v>
      </c>
      <c r="AR17" s="53">
        <v>212.93189442191849</v>
      </c>
      <c r="AS17" s="53">
        <v>232.62087510741742</v>
      </c>
      <c r="AT17" s="53">
        <v>161.64357696677791</v>
      </c>
      <c r="AU17" s="53">
        <v>197.13222603709767</v>
      </c>
      <c r="AV17" s="53">
        <v>78.836729136031863</v>
      </c>
      <c r="AW17" s="51">
        <v>281271.15264998481</v>
      </c>
      <c r="AX17" s="53">
        <v>5095.5742499507614</v>
      </c>
      <c r="AY17" s="51">
        <v>16843</v>
      </c>
    </row>
    <row r="18" spans="2:51" x14ac:dyDescent="0.15">
      <c r="B18" s="51" t="e">
        <f>#REF!</f>
        <v>#REF!</v>
      </c>
      <c r="C18" s="51" t="e">
        <f>#REF!</f>
        <v>#REF!</v>
      </c>
      <c r="D18" s="51" t="e">
        <f>#REF!</f>
        <v>#REF!</v>
      </c>
      <c r="E18" s="51" t="e">
        <f>#REF!</f>
        <v>#REF!</v>
      </c>
      <c r="F18" s="51" t="e">
        <f>#REF!</f>
        <v>#REF!</v>
      </c>
      <c r="G18" s="51" t="e">
        <f>#REF!</f>
        <v>#REF!</v>
      </c>
      <c r="H18" s="54" t="e">
        <f>#REF!</f>
        <v>#REF!</v>
      </c>
      <c r="I18" s="55" t="e">
        <f>#REF!</f>
        <v>#REF!</v>
      </c>
      <c r="J18" s="54" t="e">
        <f>#REF!</f>
        <v>#REF!</v>
      </c>
      <c r="K18" s="55" t="e">
        <f>#REF!</f>
        <v>#REF!</v>
      </c>
      <c r="L18" s="82" t="e">
        <f>#REF!</f>
        <v>#REF!</v>
      </c>
      <c r="M18" s="82" t="e">
        <f>#REF!</f>
        <v>#REF!</v>
      </c>
      <c r="N18" s="54" t="e">
        <f>#REF!</f>
        <v>#REF!</v>
      </c>
      <c r="O18" s="54" t="e">
        <f>#REF!</f>
        <v>#REF!</v>
      </c>
      <c r="P18" s="54" t="e">
        <f>#REF!</f>
        <v>#REF!</v>
      </c>
      <c r="Q18" s="53" t="e">
        <f>#REF!</f>
        <v>#REF!</v>
      </c>
      <c r="R18" s="53" t="e">
        <f>#REF!</f>
        <v>#REF!</v>
      </c>
      <c r="S18" s="53" t="e">
        <f>#REF!</f>
        <v>#REF!</v>
      </c>
      <c r="T18" s="53" t="e">
        <f>#REF!</f>
        <v>#REF!</v>
      </c>
      <c r="U18" s="53" t="e">
        <f>#REF!</f>
        <v>#REF!</v>
      </c>
      <c r="V18" s="53" t="e">
        <f>#REF!</f>
        <v>#REF!</v>
      </c>
      <c r="W18" s="53" t="e">
        <f>#REF!</f>
        <v>#REF!</v>
      </c>
      <c r="X18" s="53" t="e">
        <f>#REF!</f>
        <v>#REF!</v>
      </c>
      <c r="Y18" s="51" t="e">
        <f>#REF!</f>
        <v>#REF!</v>
      </c>
      <c r="AB18" s="51">
        <v>32051.941934920615</v>
      </c>
      <c r="AC18" s="51">
        <v>25531.885980472507</v>
      </c>
      <c r="AD18" s="51">
        <v>13701.043819754444</v>
      </c>
      <c r="AE18" s="51">
        <v>6998.925108011842</v>
      </c>
      <c r="AF18" s="51">
        <v>867.06690242947582</v>
      </c>
      <c r="AG18" s="51">
        <v>442.92510801184159</v>
      </c>
      <c r="AH18" s="54">
        <v>0.99200076331006892</v>
      </c>
      <c r="AI18" s="55">
        <v>1.1059610760233864</v>
      </c>
      <c r="AJ18" s="54">
        <v>0.91000961810360737</v>
      </c>
      <c r="AK18" s="55">
        <v>1.1059610760233864</v>
      </c>
      <c r="AL18" s="82">
        <v>57123</v>
      </c>
      <c r="AM18" s="82">
        <v>52402</v>
      </c>
      <c r="AN18" s="54">
        <v>0.24116090253783615</v>
      </c>
      <c r="AO18" s="54">
        <v>4.9971408039351711E-2</v>
      </c>
      <c r="AP18" s="54">
        <v>0.29113231057718786</v>
      </c>
      <c r="AQ18" s="53">
        <v>20.044400172840838</v>
      </c>
      <c r="AR18" s="53">
        <v>214.70427846840607</v>
      </c>
      <c r="AS18" s="53">
        <v>234.7486786412469</v>
      </c>
      <c r="AT18" s="53">
        <v>163.18058581844491</v>
      </c>
      <c r="AU18" s="53">
        <v>198.9646322298459</v>
      </c>
      <c r="AV18" s="53">
        <v>79.684477525175851</v>
      </c>
      <c r="AW18" s="51">
        <v>286348.57389772619</v>
      </c>
      <c r="AX18" s="53">
        <v>5077.4212477413821</v>
      </c>
      <c r="AY18" s="51">
        <v>17147</v>
      </c>
    </row>
    <row r="19" spans="2:51" x14ac:dyDescent="0.15">
      <c r="B19" s="51" t="e">
        <f>#REF!</f>
        <v>#REF!</v>
      </c>
      <c r="C19" s="51" t="e">
        <f>#REF!</f>
        <v>#REF!</v>
      </c>
      <c r="D19" s="51" t="e">
        <f>#REF!</f>
        <v>#REF!</v>
      </c>
      <c r="E19" s="51" t="e">
        <f>#REF!</f>
        <v>#REF!</v>
      </c>
      <c r="F19" s="51" t="e">
        <f>#REF!</f>
        <v>#REF!</v>
      </c>
      <c r="G19" s="51" t="e">
        <f>#REF!</f>
        <v>#REF!</v>
      </c>
      <c r="H19" s="54" t="e">
        <f>#REF!</f>
        <v>#REF!</v>
      </c>
      <c r="I19" s="55" t="e">
        <f>#REF!</f>
        <v>#REF!</v>
      </c>
      <c r="J19" s="54" t="e">
        <f>#REF!</f>
        <v>#REF!</v>
      </c>
      <c r="K19" s="55" t="e">
        <f>#REF!</f>
        <v>#REF!</v>
      </c>
      <c r="L19" s="82" t="e">
        <f>#REF!</f>
        <v>#REF!</v>
      </c>
      <c r="M19" s="82" t="e">
        <f>#REF!</f>
        <v>#REF!</v>
      </c>
      <c r="N19" s="54" t="e">
        <f>#REF!</f>
        <v>#REF!</v>
      </c>
      <c r="O19" s="54" t="e">
        <f>#REF!</f>
        <v>#REF!</v>
      </c>
      <c r="P19" s="54" t="e">
        <f>#REF!</f>
        <v>#REF!</v>
      </c>
      <c r="Q19" s="53" t="e">
        <f>#REF!</f>
        <v>#REF!</v>
      </c>
      <c r="R19" s="53" t="e">
        <f>#REF!</f>
        <v>#REF!</v>
      </c>
      <c r="S19" s="53" t="e">
        <f>#REF!</f>
        <v>#REF!</v>
      </c>
      <c r="T19" s="53" t="e">
        <f>#REF!</f>
        <v>#REF!</v>
      </c>
      <c r="U19" s="53" t="e">
        <f>#REF!</f>
        <v>#REF!</v>
      </c>
      <c r="V19" s="53" t="e">
        <f>#REF!</f>
        <v>#REF!</v>
      </c>
      <c r="W19" s="53" t="e">
        <f>#REF!</f>
        <v>#REF!</v>
      </c>
      <c r="X19" s="53" t="e">
        <f>#REF!</f>
        <v>#REF!</v>
      </c>
      <c r="Y19" s="51" t="e">
        <f>#REF!</f>
        <v>#REF!</v>
      </c>
      <c r="AB19" s="51">
        <v>32243.510772214075</v>
      </c>
      <c r="AC19" s="51">
        <v>25689.745022254745</v>
      </c>
      <c r="AD19" s="51">
        <v>13876.695892887958</v>
      </c>
      <c r="AE19" s="51">
        <v>7088.6039386031189</v>
      </c>
      <c r="AF19" s="51">
        <v>872.31708785342721</v>
      </c>
      <c r="AG19" s="51">
        <v>445.60393860311956</v>
      </c>
      <c r="AH19" s="54">
        <v>0.99300066789631036</v>
      </c>
      <c r="AI19" s="55">
        <v>1.1066975342772289</v>
      </c>
      <c r="AJ19" s="54">
        <v>0.9150134905663857</v>
      </c>
      <c r="AK19" s="55">
        <v>1.1066975342772289</v>
      </c>
      <c r="AL19" s="82">
        <v>57528</v>
      </c>
      <c r="AM19" s="82">
        <v>53009</v>
      </c>
      <c r="AN19" s="54">
        <v>0.23679391787917833</v>
      </c>
      <c r="AO19" s="54">
        <v>4.9971408039351711E-2</v>
      </c>
      <c r="AP19" s="54">
        <v>0.28676532591853005</v>
      </c>
      <c r="AQ19" s="53">
        <v>20.399481381564268</v>
      </c>
      <c r="AR19" s="53">
        <v>216.43105621499228</v>
      </c>
      <c r="AS19" s="53">
        <v>236.83053759655655</v>
      </c>
      <c r="AT19" s="53">
        <v>164.6868521915591</v>
      </c>
      <c r="AU19" s="53">
        <v>200.75869489405781</v>
      </c>
      <c r="AV19" s="53">
        <v>80.519219219062123</v>
      </c>
      <c r="AW19" s="51">
        <v>291421.1625937752</v>
      </c>
      <c r="AX19" s="53">
        <v>5072.5886960490025</v>
      </c>
      <c r="AY19" s="51">
        <v>17450</v>
      </c>
    </row>
    <row r="20" spans="2:51" x14ac:dyDescent="0.15">
      <c r="B20" s="51" t="e">
        <f>#REF!</f>
        <v>#REF!</v>
      </c>
      <c r="C20" s="51" t="e">
        <f>#REF!</f>
        <v>#REF!</v>
      </c>
      <c r="D20" s="51" t="e">
        <f>#REF!</f>
        <v>#REF!</v>
      </c>
      <c r="E20" s="51" t="e">
        <f>#REF!</f>
        <v>#REF!</v>
      </c>
      <c r="F20" s="51" t="e">
        <f>#REF!</f>
        <v>#REF!</v>
      </c>
      <c r="G20" s="51" t="e">
        <f>#REF!</f>
        <v>#REF!</v>
      </c>
      <c r="H20" s="54" t="e">
        <f>#REF!</f>
        <v>#REF!</v>
      </c>
      <c r="I20" s="55" t="e">
        <f>#REF!</f>
        <v>#REF!</v>
      </c>
      <c r="J20" s="54" t="e">
        <f>#REF!</f>
        <v>#REF!</v>
      </c>
      <c r="K20" s="55" t="e">
        <f>#REF!</f>
        <v>#REF!</v>
      </c>
      <c r="L20" s="82" t="e">
        <f>#REF!</f>
        <v>#REF!</v>
      </c>
      <c r="M20" s="82" t="e">
        <f>#REF!</f>
        <v>#REF!</v>
      </c>
      <c r="N20" s="54" t="e">
        <f>#REF!</f>
        <v>#REF!</v>
      </c>
      <c r="O20" s="54" t="e">
        <f>#REF!</f>
        <v>#REF!</v>
      </c>
      <c r="P20" s="54" t="e">
        <f>#REF!</f>
        <v>#REF!</v>
      </c>
      <c r="Q20" s="53" t="e">
        <f>#REF!</f>
        <v>#REF!</v>
      </c>
      <c r="R20" s="53" t="e">
        <f>#REF!</f>
        <v>#REF!</v>
      </c>
      <c r="S20" s="53" t="e">
        <f>#REF!</f>
        <v>#REF!</v>
      </c>
      <c r="T20" s="53" t="e">
        <f>#REF!</f>
        <v>#REF!</v>
      </c>
      <c r="U20" s="53" t="e">
        <f>#REF!</f>
        <v>#REF!</v>
      </c>
      <c r="V20" s="53" t="e">
        <f>#REF!</f>
        <v>#REF!</v>
      </c>
      <c r="W20" s="53" t="e">
        <f>#REF!</f>
        <v>#REF!</v>
      </c>
      <c r="X20" s="53" t="e">
        <f>#REF!</f>
        <v>#REF!</v>
      </c>
      <c r="Y20" s="51" t="e">
        <f>#REF!</f>
        <v>#REF!</v>
      </c>
      <c r="AB20" s="51">
        <v>32426.417806542649</v>
      </c>
      <c r="AC20" s="51">
        <v>25840.531307553509</v>
      </c>
      <c r="AD20" s="51">
        <v>14050.251219329919</v>
      </c>
      <c r="AE20" s="51">
        <v>7177.1813210284881</v>
      </c>
      <c r="AF20" s="51">
        <v>877.37230962963292</v>
      </c>
      <c r="AG20" s="51">
        <v>448.18132102848926</v>
      </c>
      <c r="AH20" s="54">
        <v>0.9940005724825518</v>
      </c>
      <c r="AI20" s="55">
        <v>1.1074339925310714</v>
      </c>
      <c r="AJ20" s="54">
        <v>0.92001736302916404</v>
      </c>
      <c r="AK20" s="55">
        <v>1.1074339925310714</v>
      </c>
      <c r="AL20" s="82">
        <v>57917</v>
      </c>
      <c r="AM20" s="82">
        <v>53607</v>
      </c>
      <c r="AN20" s="54">
        <v>0.2324924379904004</v>
      </c>
      <c r="AO20" s="54">
        <v>4.9971408039351711E-2</v>
      </c>
      <c r="AP20" s="54">
        <v>0.28246384602975211</v>
      </c>
      <c r="AQ20" s="53">
        <v>20.753031101918232</v>
      </c>
      <c r="AR20" s="53">
        <v>218.09513756202216</v>
      </c>
      <c r="AS20" s="53">
        <v>238.84816866394038</v>
      </c>
      <c r="AT20" s="53">
        <v>166.14978947659964</v>
      </c>
      <c r="AU20" s="53">
        <v>202.49897907027002</v>
      </c>
      <c r="AV20" s="53">
        <v>81.335013758035501</v>
      </c>
      <c r="AW20" s="51">
        <v>296471.87288454617</v>
      </c>
      <c r="AX20" s="53">
        <v>5050.7102907709777</v>
      </c>
      <c r="AY20" s="51">
        <v>17753</v>
      </c>
    </row>
    <row r="21" spans="2:51" x14ac:dyDescent="0.15">
      <c r="B21" s="51" t="e">
        <f>#REF!</f>
        <v>#REF!</v>
      </c>
      <c r="C21" s="51" t="e">
        <f>#REF!</f>
        <v>#REF!</v>
      </c>
      <c r="D21" s="51" t="e">
        <f>#REF!</f>
        <v>#REF!</v>
      </c>
      <c r="E21" s="51" t="e">
        <f>#REF!</f>
        <v>#REF!</v>
      </c>
      <c r="F21" s="51" t="e">
        <f>#REF!</f>
        <v>#REF!</v>
      </c>
      <c r="G21" s="51" t="e">
        <f>#REF!</f>
        <v>#REF!</v>
      </c>
      <c r="H21" s="54" t="e">
        <f>#REF!</f>
        <v>#REF!</v>
      </c>
      <c r="I21" s="55" t="e">
        <f>#REF!</f>
        <v>#REF!</v>
      </c>
      <c r="J21" s="54" t="e">
        <f>#REF!</f>
        <v>#REF!</v>
      </c>
      <c r="K21" s="55" t="e">
        <f>#REF!</f>
        <v>#REF!</v>
      </c>
      <c r="L21" s="82" t="e">
        <f>#REF!</f>
        <v>#REF!</v>
      </c>
      <c r="M21" s="82" t="e">
        <f>#REF!</f>
        <v>#REF!</v>
      </c>
      <c r="N21" s="54" t="e">
        <f>#REF!</f>
        <v>#REF!</v>
      </c>
      <c r="O21" s="54" t="e">
        <f>#REF!</f>
        <v>#REF!</v>
      </c>
      <c r="P21" s="54" t="e">
        <f>#REF!</f>
        <v>#REF!</v>
      </c>
      <c r="Q21" s="53" t="e">
        <f>#REF!</f>
        <v>#REF!</v>
      </c>
      <c r="R21" s="53" t="e">
        <f>#REF!</f>
        <v>#REF!</v>
      </c>
      <c r="S21" s="53" t="e">
        <f>#REF!</f>
        <v>#REF!</v>
      </c>
      <c r="T21" s="53" t="e">
        <f>#REF!</f>
        <v>#REF!</v>
      </c>
      <c r="U21" s="53" t="e">
        <f>#REF!</f>
        <v>#REF!</v>
      </c>
      <c r="V21" s="53" t="e">
        <f>#REF!</f>
        <v>#REF!</v>
      </c>
      <c r="W21" s="53" t="e">
        <f>#REF!</f>
        <v>#REF!</v>
      </c>
      <c r="X21" s="53" t="e">
        <f>#REF!</f>
        <v>#REF!</v>
      </c>
      <c r="Y21" s="51" t="e">
        <f>#REF!</f>
        <v>#REF!</v>
      </c>
      <c r="AB21" s="51">
        <v>32601.000614770521</v>
      </c>
      <c r="AC21" s="51">
        <v>25984.514352531998</v>
      </c>
      <c r="AD21" s="51">
        <v>14221.53758398297</v>
      </c>
      <c r="AE21" s="51">
        <v>7264.6087922968845</v>
      </c>
      <c r="AF21" s="51">
        <v>882.13282484233412</v>
      </c>
      <c r="AG21" s="51">
        <v>450.60879229688373</v>
      </c>
      <c r="AH21" s="54">
        <v>0.99500047706879324</v>
      </c>
      <c r="AI21" s="55">
        <v>1.1081704507849139</v>
      </c>
      <c r="AJ21" s="54">
        <v>0.92502123549194237</v>
      </c>
      <c r="AK21" s="55">
        <v>1.1081704507849139</v>
      </c>
      <c r="AL21" s="82">
        <v>58293</v>
      </c>
      <c r="AM21" s="82">
        <v>54193</v>
      </c>
      <c r="AN21" s="54">
        <v>0.2282554802999541</v>
      </c>
      <c r="AO21" s="54">
        <v>4.9971408039351711E-2</v>
      </c>
      <c r="AP21" s="54">
        <v>0.27822688833930581</v>
      </c>
      <c r="AQ21" s="53">
        <v>21.107078910940025</v>
      </c>
      <c r="AR21" s="53">
        <v>219.736057068837</v>
      </c>
      <c r="AS21" s="53">
        <v>240.84313597977703</v>
      </c>
      <c r="AT21" s="53">
        <v>167.597783623498</v>
      </c>
      <c r="AU21" s="53">
        <v>204.22045980163753</v>
      </c>
      <c r="AV21" s="53">
        <v>82.144872541172504</v>
      </c>
      <c r="AW21" s="51">
        <v>301529.6987277146</v>
      </c>
      <c r="AX21" s="53">
        <v>5057.8258431684226</v>
      </c>
      <c r="AY21" s="51">
        <v>18056</v>
      </c>
    </row>
    <row r="22" spans="2:51" x14ac:dyDescent="0.15">
      <c r="B22" s="51" t="e">
        <f>#REF!</f>
        <v>#REF!</v>
      </c>
      <c r="C22" s="51" t="e">
        <f>#REF!</f>
        <v>#REF!</v>
      </c>
      <c r="D22" s="51" t="e">
        <f>#REF!</f>
        <v>#REF!</v>
      </c>
      <c r="E22" s="51" t="e">
        <f>#REF!</f>
        <v>#REF!</v>
      </c>
      <c r="F22" s="51" t="e">
        <f>#REF!</f>
        <v>#REF!</v>
      </c>
      <c r="G22" s="51" t="e">
        <f>#REF!</f>
        <v>#REF!</v>
      </c>
      <c r="H22" s="54" t="e">
        <f>#REF!</f>
        <v>#REF!</v>
      </c>
      <c r="I22" s="55" t="e">
        <f>#REF!</f>
        <v>#REF!</v>
      </c>
      <c r="J22" s="54" t="e">
        <f>#REF!</f>
        <v>#REF!</v>
      </c>
      <c r="K22" s="55" t="e">
        <f>#REF!</f>
        <v>#REF!</v>
      </c>
      <c r="L22" s="82" t="e">
        <f>#REF!</f>
        <v>#REF!</v>
      </c>
      <c r="M22" s="82" t="e">
        <f>#REF!</f>
        <v>#REF!</v>
      </c>
      <c r="N22" s="54" t="e">
        <f>#REF!</f>
        <v>#REF!</v>
      </c>
      <c r="O22" s="54" t="e">
        <f>#REF!</f>
        <v>#REF!</v>
      </c>
      <c r="P22" s="54" t="e">
        <f>#REF!</f>
        <v>#REF!</v>
      </c>
      <c r="Q22" s="53" t="e">
        <f>#REF!</f>
        <v>#REF!</v>
      </c>
      <c r="R22" s="53" t="e">
        <f>#REF!</f>
        <v>#REF!</v>
      </c>
      <c r="S22" s="53" t="e">
        <f>#REF!</f>
        <v>#REF!</v>
      </c>
      <c r="T22" s="53" t="e">
        <f>#REF!</f>
        <v>#REF!</v>
      </c>
      <c r="U22" s="53" t="e">
        <f>#REF!</f>
        <v>#REF!</v>
      </c>
      <c r="V22" s="53" t="e">
        <f>#REF!</f>
        <v>#REF!</v>
      </c>
      <c r="W22" s="53" t="e">
        <f>#REF!</f>
        <v>#REF!</v>
      </c>
      <c r="X22" s="53" t="e">
        <f>#REF!</f>
        <v>#REF!</v>
      </c>
      <c r="Y22" s="51" t="e">
        <f>#REF!</f>
        <v>#REF!</v>
      </c>
      <c r="AB22" s="51">
        <v>32767.5885944855</v>
      </c>
      <c r="AC22" s="51">
        <v>26121.957760069854</v>
      </c>
      <c r="AD22" s="51">
        <v>14390.631729638164</v>
      </c>
      <c r="AE22" s="51">
        <v>7350.9630374536519</v>
      </c>
      <c r="AF22" s="51">
        <v>886.7442573064219</v>
      </c>
      <c r="AG22" s="51">
        <v>452.96303745365151</v>
      </c>
      <c r="AH22" s="54">
        <v>0.99600038165503468</v>
      </c>
      <c r="AI22" s="55">
        <v>1.1089069090387564</v>
      </c>
      <c r="AJ22" s="54">
        <v>0.93002510795472071</v>
      </c>
      <c r="AK22" s="55">
        <v>1.1089069090387564</v>
      </c>
      <c r="AL22" s="82">
        <v>58654</v>
      </c>
      <c r="AM22" s="82">
        <v>54769</v>
      </c>
      <c r="AN22" s="54">
        <v>0.22408207697486451</v>
      </c>
      <c r="AO22" s="54">
        <v>4.9971408039351711E-2</v>
      </c>
      <c r="AP22" s="54">
        <v>0.27405348501421622</v>
      </c>
      <c r="AQ22" s="53">
        <v>21.458267483835197</v>
      </c>
      <c r="AR22" s="53">
        <v>221.29874456870007</v>
      </c>
      <c r="AS22" s="53">
        <v>242.75701205253526</v>
      </c>
      <c r="AT22" s="53">
        <v>168.99076386296852</v>
      </c>
      <c r="AU22" s="53">
        <v>205.87388795775186</v>
      </c>
      <c r="AV22" s="53">
        <v>82.930140975140759</v>
      </c>
      <c r="AW22" s="51">
        <v>306546.67834050278</v>
      </c>
      <c r="AX22" s="53">
        <v>5016.9796127881855</v>
      </c>
      <c r="AY22" s="51">
        <v>18356</v>
      </c>
    </row>
    <row r="23" spans="2:51" x14ac:dyDescent="0.15">
      <c r="B23" s="51" t="e">
        <f>#REF!</f>
        <v>#REF!</v>
      </c>
      <c r="C23" s="51" t="e">
        <f>#REF!</f>
        <v>#REF!</v>
      </c>
      <c r="D23" s="51" t="e">
        <f>#REF!</f>
        <v>#REF!</v>
      </c>
      <c r="E23" s="51" t="e">
        <f>#REF!</f>
        <v>#REF!</v>
      </c>
      <c r="F23" s="51" t="e">
        <f>#REF!</f>
        <v>#REF!</v>
      </c>
      <c r="G23" s="51" t="e">
        <f>#REF!</f>
        <v>#REF!</v>
      </c>
      <c r="H23" s="54" t="e">
        <f>#REF!</f>
        <v>#REF!</v>
      </c>
      <c r="I23" s="55" t="e">
        <f>#REF!</f>
        <v>#REF!</v>
      </c>
      <c r="J23" s="54" t="e">
        <f>#REF!</f>
        <v>#REF!</v>
      </c>
      <c r="K23" s="55" t="e">
        <f>#REF!</f>
        <v>#REF!</v>
      </c>
      <c r="L23" s="82" t="e">
        <f>#REF!</f>
        <v>#REF!</v>
      </c>
      <c r="M23" s="82" t="e">
        <f>#REF!</f>
        <v>#REF!</v>
      </c>
      <c r="N23" s="54" t="e">
        <f>#REF!</f>
        <v>#REF!</v>
      </c>
      <c r="O23" s="54" t="e">
        <f>#REF!</f>
        <v>#REF!</v>
      </c>
      <c r="P23" s="54" t="e">
        <f>#REF!</f>
        <v>#REF!</v>
      </c>
      <c r="Q23" s="53" t="e">
        <f>#REF!</f>
        <v>#REF!</v>
      </c>
      <c r="R23" s="53" t="e">
        <f>#REF!</f>
        <v>#REF!</v>
      </c>
      <c r="S23" s="53" t="e">
        <f>#REF!</f>
        <v>#REF!</v>
      </c>
      <c r="T23" s="53" t="e">
        <f>#REF!</f>
        <v>#REF!</v>
      </c>
      <c r="U23" s="53" t="e">
        <f>#REF!</f>
        <v>#REF!</v>
      </c>
      <c r="V23" s="53" t="e">
        <f>#REF!</f>
        <v>#REF!</v>
      </c>
      <c r="W23" s="53" t="e">
        <f>#REF!</f>
        <v>#REF!</v>
      </c>
      <c r="X23" s="53" t="e">
        <f>#REF!</f>
        <v>#REF!</v>
      </c>
      <c r="Y23" s="51" t="e">
        <f>#REF!</f>
        <v>#REF!</v>
      </c>
      <c r="AB23" s="51">
        <v>32926.502681518657</v>
      </c>
      <c r="AC23" s="51">
        <v>26253.118924861879</v>
      </c>
      <c r="AD23" s="51">
        <v>14557.36893855633</v>
      </c>
      <c r="AE23" s="51">
        <v>7436.1953443572856</v>
      </c>
      <c r="AF23" s="51">
        <v>891.10711325657587</v>
      </c>
      <c r="AG23" s="51">
        <v>455.1953443572861</v>
      </c>
      <c r="AH23" s="54">
        <v>0.99700028624127612</v>
      </c>
      <c r="AI23" s="55">
        <v>1.1096433672925989</v>
      </c>
      <c r="AJ23" s="54">
        <v>0.93502898041749904</v>
      </c>
      <c r="AK23" s="55">
        <v>1.1096433672925989</v>
      </c>
      <c r="AL23" s="82">
        <v>59002</v>
      </c>
      <c r="AM23" s="82">
        <v>55335</v>
      </c>
      <c r="AN23" s="54">
        <v>0.21997127469965125</v>
      </c>
      <c r="AO23" s="54">
        <v>4.9971408039351711E-2</v>
      </c>
      <c r="AP23" s="54">
        <v>0.26994268273900296</v>
      </c>
      <c r="AQ23" s="53">
        <v>21.809730045397341</v>
      </c>
      <c r="AR23" s="53">
        <v>222.84170790592285</v>
      </c>
      <c r="AS23" s="53">
        <v>244.65143795132019</v>
      </c>
      <c r="AT23" s="53">
        <v>170.37086864934591</v>
      </c>
      <c r="AU23" s="53">
        <v>207.51115330033304</v>
      </c>
      <c r="AV23" s="53">
        <v>83.710204463709246</v>
      </c>
      <c r="AW23" s="51">
        <v>311567.57207710482</v>
      </c>
      <c r="AX23" s="53">
        <v>5020.89373660204</v>
      </c>
      <c r="AY23" s="51">
        <v>18657</v>
      </c>
    </row>
    <row r="24" spans="2:51" x14ac:dyDescent="0.15">
      <c r="B24" s="51" t="e">
        <f>#REF!</f>
        <v>#REF!</v>
      </c>
      <c r="C24" s="51" t="e">
        <f>#REF!</f>
        <v>#REF!</v>
      </c>
      <c r="D24" s="51" t="e">
        <f>#REF!</f>
        <v>#REF!</v>
      </c>
      <c r="E24" s="51" t="e">
        <f>#REF!</f>
        <v>#REF!</v>
      </c>
      <c r="F24" s="51" t="e">
        <f>#REF!</f>
        <v>#REF!</v>
      </c>
      <c r="G24" s="51" t="e">
        <f>#REF!</f>
        <v>#REF!</v>
      </c>
      <c r="H24" s="54" t="e">
        <f>#REF!</f>
        <v>#REF!</v>
      </c>
      <c r="I24" s="55" t="e">
        <f>#REF!</f>
        <v>#REF!</v>
      </c>
      <c r="J24" s="54" t="e">
        <f>#REF!</f>
        <v>#REF!</v>
      </c>
      <c r="K24" s="55" t="e">
        <f>#REF!</f>
        <v>#REF!</v>
      </c>
      <c r="L24" s="82" t="e">
        <f>#REF!</f>
        <v>#REF!</v>
      </c>
      <c r="M24" s="82" t="e">
        <f>#REF!</f>
        <v>#REF!</v>
      </c>
      <c r="N24" s="54" t="e">
        <f>#REF!</f>
        <v>#REF!</v>
      </c>
      <c r="O24" s="54" t="e">
        <f>#REF!</f>
        <v>#REF!</v>
      </c>
      <c r="P24" s="54" t="e">
        <f>#REF!</f>
        <v>#REF!</v>
      </c>
      <c r="Q24" s="53" t="e">
        <f>#REF!</f>
        <v>#REF!</v>
      </c>
      <c r="R24" s="53" t="e">
        <f>#REF!</f>
        <v>#REF!</v>
      </c>
      <c r="S24" s="53" t="e">
        <f>#REF!</f>
        <v>#REF!</v>
      </c>
      <c r="T24" s="53" t="e">
        <f>#REF!</f>
        <v>#REF!</v>
      </c>
      <c r="U24" s="53" t="e">
        <f>#REF!</f>
        <v>#REF!</v>
      </c>
      <c r="V24" s="53" t="e">
        <f>#REF!</f>
        <v>#REF!</v>
      </c>
      <c r="W24" s="53" t="e">
        <f>#REF!</f>
        <v>#REF!</v>
      </c>
      <c r="X24" s="53" t="e">
        <f>#REF!</f>
        <v>#REF!</v>
      </c>
      <c r="Y24" s="51" t="e">
        <f>#REF!</f>
        <v>#REF!</v>
      </c>
      <c r="AB24" s="51">
        <v>33078.05512521504</v>
      </c>
      <c r="AC24" s="51">
        <v>26378.248789160683</v>
      </c>
      <c r="AD24" s="51">
        <v>14721.73546769506</v>
      </c>
      <c r="AE24" s="51">
        <v>7520.3320446691532</v>
      </c>
      <c r="AF24" s="51">
        <v>895.26916398484366</v>
      </c>
      <c r="AG24" s="51">
        <v>457.33204466915379</v>
      </c>
      <c r="AH24" s="54">
        <v>0.99800019082751756</v>
      </c>
      <c r="AI24" s="55">
        <v>1.1103798255464414</v>
      </c>
      <c r="AJ24" s="54">
        <v>0.94003285288027738</v>
      </c>
      <c r="AK24" s="55">
        <v>1.1103798255464414</v>
      </c>
      <c r="AL24" s="82">
        <v>59337</v>
      </c>
      <c r="AM24" s="82">
        <v>55891</v>
      </c>
      <c r="AN24" s="54">
        <v>0.2159221344585662</v>
      </c>
      <c r="AO24" s="54">
        <v>4.9971408039351711E-2</v>
      </c>
      <c r="AP24" s="54">
        <v>0.26589354249791791</v>
      </c>
      <c r="AQ24" s="53">
        <v>22.160277012011314</v>
      </c>
      <c r="AR24" s="53">
        <v>224.36672084719353</v>
      </c>
      <c r="AS24" s="53">
        <v>246.52699785920484</v>
      </c>
      <c r="AT24" s="53">
        <v>171.73809091014033</v>
      </c>
      <c r="AU24" s="53">
        <v>209.13254438467257</v>
      </c>
      <c r="AV24" s="53">
        <v>84.484366136231742</v>
      </c>
      <c r="AW24" s="51">
        <v>316575.38588587585</v>
      </c>
      <c r="AX24" s="53">
        <v>5007.8138087710249</v>
      </c>
      <c r="AY24" s="51">
        <v>18957</v>
      </c>
    </row>
    <row r="25" spans="2:51" x14ac:dyDescent="0.15">
      <c r="B25" s="51" t="e">
        <f>#REF!</f>
        <v>#REF!</v>
      </c>
      <c r="C25" s="51" t="e">
        <f>#REF!</f>
        <v>#REF!</v>
      </c>
      <c r="D25" s="51" t="e">
        <f>#REF!</f>
        <v>#REF!</v>
      </c>
      <c r="E25" s="51" t="e">
        <f>#REF!</f>
        <v>#REF!</v>
      </c>
      <c r="F25" s="51" t="e">
        <f>#REF!</f>
        <v>#REF!</v>
      </c>
      <c r="G25" s="51" t="e">
        <f>#REF!</f>
        <v>#REF!</v>
      </c>
      <c r="H25" s="54" t="e">
        <f>#REF!</f>
        <v>#REF!</v>
      </c>
      <c r="I25" s="55" t="e">
        <f>#REF!</f>
        <v>#REF!</v>
      </c>
      <c r="J25" s="54" t="e">
        <f>#REF!</f>
        <v>#REF!</v>
      </c>
      <c r="K25" s="55" t="e">
        <f>#REF!</f>
        <v>#REF!</v>
      </c>
      <c r="L25" s="82" t="e">
        <f>#REF!</f>
        <v>#REF!</v>
      </c>
      <c r="M25" s="82" t="e">
        <f>#REF!</f>
        <v>#REF!</v>
      </c>
      <c r="N25" s="54" t="e">
        <f>#REF!</f>
        <v>#REF!</v>
      </c>
      <c r="O25" s="54" t="e">
        <f>#REF!</f>
        <v>#REF!</v>
      </c>
      <c r="P25" s="54" t="e">
        <f>#REF!</f>
        <v>#REF!</v>
      </c>
      <c r="Q25" s="53" t="e">
        <f>#REF!</f>
        <v>#REF!</v>
      </c>
      <c r="R25" s="53" t="e">
        <f>#REF!</f>
        <v>#REF!</v>
      </c>
      <c r="S25" s="53" t="e">
        <f>#REF!</f>
        <v>#REF!</v>
      </c>
      <c r="T25" s="53" t="e">
        <f>#REF!</f>
        <v>#REF!</v>
      </c>
      <c r="U25" s="53" t="e">
        <f>#REF!</f>
        <v>#REF!</v>
      </c>
      <c r="V25" s="53" t="e">
        <f>#REF!</f>
        <v>#REF!</v>
      </c>
      <c r="W25" s="53" t="e">
        <f>#REF!</f>
        <v>#REF!</v>
      </c>
      <c r="X25" s="53" t="e">
        <f>#REF!</f>
        <v>#REF!</v>
      </c>
      <c r="Y25" s="51" t="e">
        <f>#REF!</f>
        <v>#REF!</v>
      </c>
      <c r="AB25" s="51">
        <v>33222.549317334044</v>
      </c>
      <c r="AC25" s="51">
        <v>26497.591645831435</v>
      </c>
      <c r="AD25" s="51">
        <v>14883.672391758677</v>
      </c>
      <c r="AE25" s="51">
        <v>7603.3742984597466</v>
      </c>
      <c r="AF25" s="51">
        <v>899.22924942073246</v>
      </c>
      <c r="AG25" s="51">
        <v>459.37429845974697</v>
      </c>
      <c r="AH25" s="54">
        <v>0.999000095413759</v>
      </c>
      <c r="AI25" s="55">
        <v>1.1111162838002839</v>
      </c>
      <c r="AJ25" s="54">
        <v>0.94503672534305572</v>
      </c>
      <c r="AK25" s="55">
        <v>1.1111162838002839</v>
      </c>
      <c r="AL25" s="82">
        <v>59660</v>
      </c>
      <c r="AM25" s="82">
        <v>56438</v>
      </c>
      <c r="AN25" s="54">
        <v>0.21193373132109741</v>
      </c>
      <c r="AO25" s="54">
        <v>4.9971408039351711E-2</v>
      </c>
      <c r="AP25" s="54">
        <v>0.26190513936044912</v>
      </c>
      <c r="AQ25" s="53">
        <v>22.508698121148015</v>
      </c>
      <c r="AR25" s="53">
        <v>225.81825123205414</v>
      </c>
      <c r="AS25" s="53">
        <v>248.32694935320217</v>
      </c>
      <c r="AT25" s="53">
        <v>173.05419894251747</v>
      </c>
      <c r="AU25" s="53">
        <v>210.69057414785982</v>
      </c>
      <c r="AV25" s="53">
        <v>85.235990130051945</v>
      </c>
      <c r="AW25" s="51">
        <v>321552.83030211448</v>
      </c>
      <c r="AX25" s="53">
        <v>4977.4444162386353</v>
      </c>
      <c r="AY25" s="51">
        <v>19255</v>
      </c>
    </row>
    <row r="26" spans="2:51" x14ac:dyDescent="0.15">
      <c r="B26" s="60" t="e">
        <f>#REF!</f>
        <v>#REF!</v>
      </c>
      <c r="C26" s="60" t="e">
        <f>#REF!</f>
        <v>#REF!</v>
      </c>
      <c r="D26" s="60" t="e">
        <f>#REF!</f>
        <v>#REF!</v>
      </c>
      <c r="E26" s="60" t="e">
        <f>#REF!</f>
        <v>#REF!</v>
      </c>
      <c r="F26" s="60" t="e">
        <f>#REF!</f>
        <v>#REF!</v>
      </c>
      <c r="G26" s="60" t="e">
        <f>#REF!</f>
        <v>#REF!</v>
      </c>
      <c r="H26" s="62" t="e">
        <f>#REF!</f>
        <v>#REF!</v>
      </c>
      <c r="I26" s="63" t="e">
        <f>#REF!</f>
        <v>#REF!</v>
      </c>
      <c r="J26" s="62" t="e">
        <f>#REF!</f>
        <v>#REF!</v>
      </c>
      <c r="K26" s="63" t="e">
        <f>#REF!</f>
        <v>#REF!</v>
      </c>
      <c r="L26" s="84" t="e">
        <f>#REF!</f>
        <v>#REF!</v>
      </c>
      <c r="M26" s="84" t="e">
        <f>#REF!</f>
        <v>#REF!</v>
      </c>
      <c r="N26" s="62" t="e">
        <f>#REF!</f>
        <v>#REF!</v>
      </c>
      <c r="O26" s="62" t="e">
        <f>#REF!</f>
        <v>#REF!</v>
      </c>
      <c r="P26" s="62" t="e">
        <f>#REF!</f>
        <v>#REF!</v>
      </c>
      <c r="Q26" s="61" t="e">
        <f>#REF!</f>
        <v>#REF!</v>
      </c>
      <c r="R26" s="61" t="e">
        <f>#REF!</f>
        <v>#REF!</v>
      </c>
      <c r="S26" s="61" t="e">
        <f>#REF!</f>
        <v>#REF!</v>
      </c>
      <c r="T26" s="61" t="e">
        <f>#REF!</f>
        <v>#REF!</v>
      </c>
      <c r="U26" s="61" t="e">
        <f>#REF!</f>
        <v>#REF!</v>
      </c>
      <c r="V26" s="61" t="e">
        <f>#REF!</f>
        <v>#REF!</v>
      </c>
      <c r="W26" s="61" t="e">
        <f>#REF!</f>
        <v>#REF!</v>
      </c>
      <c r="X26" s="61" t="e">
        <f>#REF!</f>
        <v>#REF!</v>
      </c>
      <c r="Y26" s="60" t="e">
        <f>#REF!</f>
        <v>#REF!</v>
      </c>
      <c r="AB26" s="60">
        <v>33360.279670453288</v>
      </c>
      <c r="AC26" s="60">
        <v>26611.38498534324</v>
      </c>
      <c r="AD26" s="60">
        <v>15043.166943143136</v>
      </c>
      <c r="AE26" s="60">
        <v>7684.2808838207502</v>
      </c>
      <c r="AF26" s="60">
        <v>903.02859147255788</v>
      </c>
      <c r="AG26" s="60">
        <v>461.28088382074986</v>
      </c>
      <c r="AH26" s="62">
        <v>1</v>
      </c>
      <c r="AI26" s="63">
        <v>1.1118527420541255</v>
      </c>
      <c r="AJ26" s="62">
        <v>0.95004059780583416</v>
      </c>
      <c r="AK26" s="63">
        <v>1.1118527420541255</v>
      </c>
      <c r="AL26" s="84">
        <v>59972</v>
      </c>
      <c r="AM26" s="84">
        <v>56976</v>
      </c>
      <c r="AN26" s="62">
        <v>0.20800515423069069</v>
      </c>
      <c r="AO26" s="62">
        <v>4.9971408039351711E-2</v>
      </c>
      <c r="AP26" s="62">
        <v>0.2579765622700424</v>
      </c>
      <c r="AQ26" s="61">
        <v>22.854984871472858</v>
      </c>
      <c r="AR26" s="61">
        <v>227.23589729839182</v>
      </c>
      <c r="AS26" s="61">
        <v>250.09088216986467</v>
      </c>
      <c r="AT26" s="61">
        <v>174.34558307040075</v>
      </c>
      <c r="AU26" s="61">
        <v>212.21823262013274</v>
      </c>
      <c r="AV26" s="61">
        <v>85.97606745435948</v>
      </c>
      <c r="AW26" s="60">
        <v>326499.78387818363</v>
      </c>
      <c r="AX26" s="61">
        <v>4946.9535760691506</v>
      </c>
      <c r="AY26" s="60">
        <v>19551</v>
      </c>
    </row>
    <row r="27" spans="2:51" x14ac:dyDescent="0.15">
      <c r="B27" s="51" t="e">
        <f>#REF!</f>
        <v>#REF!</v>
      </c>
      <c r="C27" s="51" t="e">
        <f>#REF!</f>
        <v>#REF!</v>
      </c>
      <c r="D27" s="51" t="e">
        <f>#REF!</f>
        <v>#REF!</v>
      </c>
      <c r="E27" s="51" t="e">
        <f>#REF!</f>
        <v>#REF!</v>
      </c>
      <c r="F27" s="51" t="e">
        <f>#REF!</f>
        <v>#REF!</v>
      </c>
      <c r="G27" s="51" t="e">
        <f>#REF!</f>
        <v>#REF!</v>
      </c>
      <c r="H27" s="54" t="e">
        <f>#REF!</f>
        <v>#REF!</v>
      </c>
      <c r="I27" s="55" t="e">
        <f>#REF!</f>
        <v>#REF!</v>
      </c>
      <c r="J27" s="54" t="e">
        <f>#REF!</f>
        <v>#REF!</v>
      </c>
      <c r="K27" s="55" t="e">
        <f>#REF!</f>
        <v>#REF!</v>
      </c>
      <c r="L27" s="82" t="e">
        <f>#REF!</f>
        <v>#REF!</v>
      </c>
      <c r="M27" s="82" t="e">
        <f>#REF!</f>
        <v>#REF!</v>
      </c>
      <c r="N27" s="54" t="e">
        <f>#REF!</f>
        <v>#REF!</v>
      </c>
      <c r="O27" s="54" t="e">
        <f>#REF!</f>
        <v>#REF!</v>
      </c>
      <c r="P27" s="54" t="e">
        <f>#REF!</f>
        <v>#REF!</v>
      </c>
      <c r="Q27" s="53" t="e">
        <f>#REF!</f>
        <v>#REF!</v>
      </c>
      <c r="R27" s="53" t="e">
        <f>#REF!</f>
        <v>#REF!</v>
      </c>
      <c r="S27" s="53" t="e">
        <f>#REF!</f>
        <v>#REF!</v>
      </c>
      <c r="T27" s="53" t="e">
        <f>#REF!</f>
        <v>#REF!</v>
      </c>
      <c r="U27" s="53" t="e">
        <f>#REF!</f>
        <v>#REF!</v>
      </c>
      <c r="V27" s="53" t="e">
        <f>#REF!</f>
        <v>#REF!</v>
      </c>
      <c r="W27" s="53" t="e">
        <f>#REF!</f>
        <v>#REF!</v>
      </c>
      <c r="X27" s="53" t="e">
        <f>#REF!</f>
        <v>#REF!</v>
      </c>
      <c r="Y27" s="51" t="e">
        <f>#REF!</f>
        <v>#REF!</v>
      </c>
      <c r="AB27" s="51">
        <v>33491.531541795885</v>
      </c>
      <c r="AC27" s="51">
        <v>26719.859383323994</v>
      </c>
      <c r="AD27" s="51">
        <v>15200.125140628334</v>
      </c>
      <c r="AE27" s="51">
        <v>7764.0955822288452</v>
      </c>
      <c r="AF27" s="51">
        <v>906.62340866363672</v>
      </c>
      <c r="AG27" s="51">
        <v>463.09558222884607</v>
      </c>
      <c r="AH27" s="54">
        <v>1</v>
      </c>
      <c r="AI27" s="55">
        <v>1.1124390398398296</v>
      </c>
      <c r="AJ27" s="54">
        <v>0.95503653802525079</v>
      </c>
      <c r="AK27" s="55">
        <v>1.1124390398398296</v>
      </c>
      <c r="AL27" s="82">
        <v>60211</v>
      </c>
      <c r="AM27" s="82">
        <v>57504</v>
      </c>
      <c r="AN27" s="54">
        <v>0.20542538860799028</v>
      </c>
      <c r="AO27" s="54">
        <v>4.9971408039351711E-2</v>
      </c>
      <c r="AP27" s="54">
        <v>0.25539679664734199</v>
      </c>
      <c r="AQ27" s="53">
        <v>23.201643048383886</v>
      </c>
      <c r="AR27" s="53">
        <v>228.84500352549864</v>
      </c>
      <c r="AS27" s="53">
        <v>252.04664657388253</v>
      </c>
      <c r="AT27" s="53">
        <v>175.76497873204963</v>
      </c>
      <c r="AU27" s="53">
        <v>213.90581265296609</v>
      </c>
      <c r="AV27" s="53">
        <v>86.769699583244616</v>
      </c>
      <c r="AW27" s="51">
        <v>331452.0435483412</v>
      </c>
      <c r="AX27" s="53">
        <v>4952.2596701575676</v>
      </c>
      <c r="AY27" s="51">
        <v>19847</v>
      </c>
    </row>
    <row r="28" spans="2:51" x14ac:dyDescent="0.15">
      <c r="B28" s="51" t="e">
        <f>#REF!</f>
        <v>#REF!</v>
      </c>
      <c r="C28" s="51" t="e">
        <f>#REF!</f>
        <v>#REF!</v>
      </c>
      <c r="D28" s="51" t="e">
        <f>#REF!</f>
        <v>#REF!</v>
      </c>
      <c r="E28" s="51" t="e">
        <f>#REF!</f>
        <v>#REF!</v>
      </c>
      <c r="F28" s="51" t="e">
        <f>#REF!</f>
        <v>#REF!</v>
      </c>
      <c r="G28" s="51" t="e">
        <f>#REF!</f>
        <v>#REF!</v>
      </c>
      <c r="H28" s="54" t="e">
        <f>#REF!</f>
        <v>#REF!</v>
      </c>
      <c r="I28" s="55" t="e">
        <f>#REF!</f>
        <v>#REF!</v>
      </c>
      <c r="J28" s="54" t="e">
        <f>#REF!</f>
        <v>#REF!</v>
      </c>
      <c r="K28" s="55" t="e">
        <f>#REF!</f>
        <v>#REF!</v>
      </c>
      <c r="L28" s="82" t="e">
        <f>#REF!</f>
        <v>#REF!</v>
      </c>
      <c r="M28" s="82" t="e">
        <f>#REF!</f>
        <v>#REF!</v>
      </c>
      <c r="N28" s="54" t="e">
        <f>#REF!</f>
        <v>#REF!</v>
      </c>
      <c r="O28" s="54" t="e">
        <f>#REF!</f>
        <v>#REF!</v>
      </c>
      <c r="P28" s="54" t="e">
        <f>#REF!</f>
        <v>#REF!</v>
      </c>
      <c r="Q28" s="53" t="e">
        <f>#REF!</f>
        <v>#REF!</v>
      </c>
      <c r="R28" s="53" t="e">
        <f>#REF!</f>
        <v>#REF!</v>
      </c>
      <c r="S28" s="53" t="e">
        <f>#REF!</f>
        <v>#REF!</v>
      </c>
      <c r="T28" s="53" t="e">
        <f>#REF!</f>
        <v>#REF!</v>
      </c>
      <c r="U28" s="53" t="e">
        <f>#REF!</f>
        <v>#REF!</v>
      </c>
      <c r="V28" s="53" t="e">
        <f>#REF!</f>
        <v>#REF!</v>
      </c>
      <c r="W28" s="53" t="e">
        <f>#REF!</f>
        <v>#REF!</v>
      </c>
      <c r="X28" s="53" t="e">
        <f>#REF!</f>
        <v>#REF!</v>
      </c>
      <c r="Y28" s="51" t="e">
        <f>#REF!</f>
        <v>#REF!</v>
      </c>
      <c r="AB28" s="51">
        <v>33616.581198487132</v>
      </c>
      <c r="AC28" s="51">
        <v>26823.238425347768</v>
      </c>
      <c r="AD28" s="51">
        <v>15354.556151367688</v>
      </c>
      <c r="AE28" s="51">
        <v>7843.9110243503892</v>
      </c>
      <c r="AF28" s="51">
        <v>910.0692762344421</v>
      </c>
      <c r="AG28" s="51">
        <v>464.9110243503892</v>
      </c>
      <c r="AH28" s="54">
        <v>1</v>
      </c>
      <c r="AI28" s="55">
        <v>1.1130253376255337</v>
      </c>
      <c r="AJ28" s="54">
        <v>0.96003247824466742</v>
      </c>
      <c r="AK28" s="55">
        <v>1.1130253376255337</v>
      </c>
      <c r="AL28" s="82">
        <v>60440</v>
      </c>
      <c r="AM28" s="82">
        <v>58024</v>
      </c>
      <c r="AN28" s="54">
        <v>0.20287142064151684</v>
      </c>
      <c r="AO28" s="54">
        <v>4.9971408039351711E-2</v>
      </c>
      <c r="AP28" s="54">
        <v>0.25284282868086855</v>
      </c>
      <c r="AQ28" s="53">
        <v>23.548038702902996</v>
      </c>
      <c r="AR28" s="53">
        <v>230.42140545481809</v>
      </c>
      <c r="AS28" s="53">
        <v>253.96944415772109</v>
      </c>
      <c r="AT28" s="53">
        <v>177.16230900611507</v>
      </c>
      <c r="AU28" s="53">
        <v>215.5658765819181</v>
      </c>
      <c r="AV28" s="53">
        <v>87.553984662574692</v>
      </c>
      <c r="AW28" s="51">
        <v>336400.5528986142</v>
      </c>
      <c r="AX28" s="53">
        <v>4948.5093502730015</v>
      </c>
      <c r="AY28" s="51">
        <v>20144</v>
      </c>
    </row>
    <row r="29" spans="2:51" x14ac:dyDescent="0.15">
      <c r="B29" s="51" t="e">
        <f>#REF!</f>
        <v>#REF!</v>
      </c>
      <c r="C29" s="51" t="e">
        <f>#REF!</f>
        <v>#REF!</v>
      </c>
      <c r="D29" s="51" t="e">
        <f>#REF!</f>
        <v>#REF!</v>
      </c>
      <c r="E29" s="51" t="e">
        <f>#REF!</f>
        <v>#REF!</v>
      </c>
      <c r="F29" s="51" t="e">
        <f>#REF!</f>
        <v>#REF!</v>
      </c>
      <c r="G29" s="51" t="e">
        <f>#REF!</f>
        <v>#REF!</v>
      </c>
      <c r="H29" s="54" t="e">
        <f>#REF!</f>
        <v>#REF!</v>
      </c>
      <c r="I29" s="55" t="e">
        <f>#REF!</f>
        <v>#REF!</v>
      </c>
      <c r="J29" s="54" t="e">
        <f>#REF!</f>
        <v>#REF!</v>
      </c>
      <c r="K29" s="55" t="e">
        <f>#REF!</f>
        <v>#REF!</v>
      </c>
      <c r="L29" s="82" t="e">
        <f>#REF!</f>
        <v>#REF!</v>
      </c>
      <c r="M29" s="82" t="e">
        <f>#REF!</f>
        <v>#REF!</v>
      </c>
      <c r="N29" s="54" t="e">
        <f>#REF!</f>
        <v>#REF!</v>
      </c>
      <c r="O29" s="54" t="e">
        <f>#REF!</f>
        <v>#REF!</v>
      </c>
      <c r="P29" s="54" t="e">
        <f>#REF!</f>
        <v>#REF!</v>
      </c>
      <c r="Q29" s="53" t="e">
        <f>#REF!</f>
        <v>#REF!</v>
      </c>
      <c r="R29" s="53" t="e">
        <f>#REF!</f>
        <v>#REF!</v>
      </c>
      <c r="S29" s="53" t="e">
        <f>#REF!</f>
        <v>#REF!</v>
      </c>
      <c r="T29" s="53" t="e">
        <f>#REF!</f>
        <v>#REF!</v>
      </c>
      <c r="U29" s="53" t="e">
        <f>#REF!</f>
        <v>#REF!</v>
      </c>
      <c r="V29" s="53" t="e">
        <f>#REF!</f>
        <v>#REF!</v>
      </c>
      <c r="W29" s="53" t="e">
        <f>#REF!</f>
        <v>#REF!</v>
      </c>
      <c r="X29" s="53" t="e">
        <f>#REF!</f>
        <v>#REF!</v>
      </c>
      <c r="Y29" s="51" t="e">
        <f>#REF!</f>
        <v>#REF!</v>
      </c>
      <c r="AB29" s="51">
        <v>33735.695820365654</v>
      </c>
      <c r="AC29" s="51">
        <v>26921.738665697689</v>
      </c>
      <c r="AD29" s="51">
        <v>15506.39459218903</v>
      </c>
      <c r="AE29" s="51">
        <v>7920.5276582191491</v>
      </c>
      <c r="AF29" s="51">
        <v>913.34343729096372</v>
      </c>
      <c r="AG29" s="51">
        <v>466.52765821914898</v>
      </c>
      <c r="AH29" s="54">
        <v>1</v>
      </c>
      <c r="AI29" s="55">
        <v>1.1136116354112378</v>
      </c>
      <c r="AJ29" s="54">
        <v>0.96502841846408405</v>
      </c>
      <c r="AK29" s="55">
        <v>1.1136116354112378</v>
      </c>
      <c r="AL29" s="82">
        <v>60657</v>
      </c>
      <c r="AM29" s="82">
        <v>58536</v>
      </c>
      <c r="AN29" s="54">
        <v>0.20034299235470812</v>
      </c>
      <c r="AO29" s="54">
        <v>4.9971408039351711E-2</v>
      </c>
      <c r="AP29" s="54">
        <v>0.25031440039405983</v>
      </c>
      <c r="AQ29" s="53">
        <v>23.891052663059497</v>
      </c>
      <c r="AR29" s="53">
        <v>231.96641085536427</v>
      </c>
      <c r="AS29" s="53">
        <v>255.85746351842377</v>
      </c>
      <c r="AT29" s="53">
        <v>178.53532656663566</v>
      </c>
      <c r="AU29" s="53">
        <v>217.1963950425297</v>
      </c>
      <c r="AV29" s="53">
        <v>88.326166789549561</v>
      </c>
      <c r="AW29" s="51">
        <v>341300.75232942135</v>
      </c>
      <c r="AX29" s="53">
        <v>4900.1994308071444</v>
      </c>
      <c r="AY29" s="51">
        <v>20437</v>
      </c>
    </row>
    <row r="30" spans="2:51" x14ac:dyDescent="0.15">
      <c r="B30" s="51" t="e">
        <f>#REF!</f>
        <v>#REF!</v>
      </c>
      <c r="C30" s="51" t="e">
        <f>#REF!</f>
        <v>#REF!</v>
      </c>
      <c r="D30" s="51" t="e">
        <f>#REF!</f>
        <v>#REF!</v>
      </c>
      <c r="E30" s="51" t="e">
        <f>#REF!</f>
        <v>#REF!</v>
      </c>
      <c r="F30" s="51" t="e">
        <f>#REF!</f>
        <v>#REF!</v>
      </c>
      <c r="G30" s="51" t="e">
        <f>#REF!</f>
        <v>#REF!</v>
      </c>
      <c r="H30" s="54" t="e">
        <f>#REF!</f>
        <v>#REF!</v>
      </c>
      <c r="I30" s="55" t="e">
        <f>#REF!</f>
        <v>#REF!</v>
      </c>
      <c r="J30" s="54" t="e">
        <f>#REF!</f>
        <v>#REF!</v>
      </c>
      <c r="K30" s="55" t="e">
        <f>#REF!</f>
        <v>#REF!</v>
      </c>
      <c r="L30" s="82" t="e">
        <f>#REF!</f>
        <v>#REF!</v>
      </c>
      <c r="M30" s="82" t="e">
        <f>#REF!</f>
        <v>#REF!</v>
      </c>
      <c r="N30" s="54" t="e">
        <f>#REF!</f>
        <v>#REF!</v>
      </c>
      <c r="O30" s="54" t="e">
        <f>#REF!</f>
        <v>#REF!</v>
      </c>
      <c r="P30" s="54" t="e">
        <f>#REF!</f>
        <v>#REF!</v>
      </c>
      <c r="Q30" s="53" t="e">
        <f>#REF!</f>
        <v>#REF!</v>
      </c>
      <c r="R30" s="53" t="e">
        <f>#REF!</f>
        <v>#REF!</v>
      </c>
      <c r="S30" s="53" t="e">
        <f>#REF!</f>
        <v>#REF!</v>
      </c>
      <c r="T30" s="53" t="e">
        <f>#REF!</f>
        <v>#REF!</v>
      </c>
      <c r="U30" s="53" t="e">
        <f>#REF!</f>
        <v>#REF!</v>
      </c>
      <c r="V30" s="53" t="e">
        <f>#REF!</f>
        <v>#REF!</v>
      </c>
      <c r="W30" s="53" t="e">
        <f>#REF!</f>
        <v>#REF!</v>
      </c>
      <c r="X30" s="53" t="e">
        <f>#REF!</f>
        <v>#REF!</v>
      </c>
      <c r="Y30" s="51" t="e">
        <f>#REF!</f>
        <v>#REF!</v>
      </c>
      <c r="AB30" s="51">
        <v>33849.13353662099</v>
      </c>
      <c r="AC30" s="51">
        <v>27015.56961694768</v>
      </c>
      <c r="AD30" s="51">
        <v>15655.623012557382</v>
      </c>
      <c r="AE30" s="51">
        <v>7997.1463776612536</v>
      </c>
      <c r="AF30" s="51">
        <v>916.46730686731394</v>
      </c>
      <c r="AG30" s="51">
        <v>468.14637766125367</v>
      </c>
      <c r="AH30" s="54">
        <v>1</v>
      </c>
      <c r="AI30" s="55">
        <v>1.1141979331969418</v>
      </c>
      <c r="AJ30" s="54">
        <v>0.97002435868350068</v>
      </c>
      <c r="AK30" s="55">
        <v>1.1141979331969418</v>
      </c>
      <c r="AL30" s="82">
        <v>60865</v>
      </c>
      <c r="AM30" s="82">
        <v>59041</v>
      </c>
      <c r="AN30" s="54">
        <v>0.19783984835076751</v>
      </c>
      <c r="AO30" s="54">
        <v>4.9971408039351711E-2</v>
      </c>
      <c r="AP30" s="54">
        <v>0.24781125639011922</v>
      </c>
      <c r="AQ30" s="53">
        <v>24.233618767169911</v>
      </c>
      <c r="AR30" s="53">
        <v>233.48129316217694</v>
      </c>
      <c r="AS30" s="53">
        <v>257.71491192934684</v>
      </c>
      <c r="AT30" s="53">
        <v>179.88781420862119</v>
      </c>
      <c r="AU30" s="53">
        <v>218.80136306898402</v>
      </c>
      <c r="AV30" s="53">
        <v>89.089533534441273</v>
      </c>
      <c r="AW30" s="51">
        <v>346194.55381671299</v>
      </c>
      <c r="AX30" s="53">
        <v>4893.8014872916392</v>
      </c>
      <c r="AY30" s="51">
        <v>20730</v>
      </c>
    </row>
    <row r="31" spans="2:51" x14ac:dyDescent="0.15">
      <c r="B31" s="51" t="e">
        <f>#REF!</f>
        <v>#REF!</v>
      </c>
      <c r="C31" s="51" t="e">
        <f>#REF!</f>
        <v>#REF!</v>
      </c>
      <c r="D31" s="51" t="e">
        <f>#REF!</f>
        <v>#REF!</v>
      </c>
      <c r="E31" s="51" t="e">
        <f>#REF!</f>
        <v>#REF!</v>
      </c>
      <c r="F31" s="51" t="e">
        <f>#REF!</f>
        <v>#REF!</v>
      </c>
      <c r="G31" s="51" t="e">
        <f>#REF!</f>
        <v>#REF!</v>
      </c>
      <c r="H31" s="54" t="e">
        <f>#REF!</f>
        <v>#REF!</v>
      </c>
      <c r="I31" s="55" t="e">
        <f>#REF!</f>
        <v>#REF!</v>
      </c>
      <c r="J31" s="54" t="e">
        <f>#REF!</f>
        <v>#REF!</v>
      </c>
      <c r="K31" s="55" t="e">
        <f>#REF!</f>
        <v>#REF!</v>
      </c>
      <c r="L31" s="82" t="e">
        <f>#REF!</f>
        <v>#REF!</v>
      </c>
      <c r="M31" s="82" t="e">
        <f>#REF!</f>
        <v>#REF!</v>
      </c>
      <c r="N31" s="54" t="e">
        <f>#REF!</f>
        <v>#REF!</v>
      </c>
      <c r="O31" s="54" t="e">
        <f>#REF!</f>
        <v>#REF!</v>
      </c>
      <c r="P31" s="54" t="e">
        <f>#REF!</f>
        <v>#REF!</v>
      </c>
      <c r="Q31" s="53" t="e">
        <f>#REF!</f>
        <v>#REF!</v>
      </c>
      <c r="R31" s="53" t="e">
        <f>#REF!</f>
        <v>#REF!</v>
      </c>
      <c r="S31" s="53" t="e">
        <f>#REF!</f>
        <v>#REF!</v>
      </c>
      <c r="T31" s="53" t="e">
        <f>#REF!</f>
        <v>#REF!</v>
      </c>
      <c r="U31" s="53" t="e">
        <f>#REF!</f>
        <v>#REF!</v>
      </c>
      <c r="V31" s="53" t="e">
        <f>#REF!</f>
        <v>#REF!</v>
      </c>
      <c r="W31" s="53" t="e">
        <f>#REF!</f>
        <v>#REF!</v>
      </c>
      <c r="X31" s="53" t="e">
        <f>#REF!</f>
        <v>#REF!</v>
      </c>
      <c r="Y31" s="51" t="e">
        <f>#REF!</f>
        <v>#REF!</v>
      </c>
      <c r="AB31" s="51">
        <v>33957.143492694828</v>
      </c>
      <c r="AC31" s="51">
        <v>27104.933767328082</v>
      </c>
      <c r="AD31" s="51">
        <v>15802.239289416113</v>
      </c>
      <c r="AE31" s="51">
        <v>8071.6600660934228</v>
      </c>
      <c r="AF31" s="51">
        <v>919.47389859335976</v>
      </c>
      <c r="AG31" s="51">
        <v>469.66006609342281</v>
      </c>
      <c r="AH31" s="54">
        <v>1</v>
      </c>
      <c r="AI31" s="55">
        <v>1.1147842309826459</v>
      </c>
      <c r="AJ31" s="54">
        <v>0.9750202989029173</v>
      </c>
      <c r="AK31" s="55">
        <v>1.1147842309826459</v>
      </c>
      <c r="AL31" s="82">
        <v>61062</v>
      </c>
      <c r="AM31" s="82">
        <v>59537</v>
      </c>
      <c r="AN31" s="54">
        <v>0.1953617357868663</v>
      </c>
      <c r="AO31" s="54">
        <v>4.9971408039351711E-2</v>
      </c>
      <c r="AP31" s="54">
        <v>0.24533314382621801</v>
      </c>
      <c r="AQ31" s="53">
        <v>24.572478553524373</v>
      </c>
      <c r="AR31" s="53">
        <v>234.94786583203128</v>
      </c>
      <c r="AS31" s="53">
        <v>259.52034438555563</v>
      </c>
      <c r="AT31" s="53">
        <v>181.20438910821193</v>
      </c>
      <c r="AU31" s="53">
        <v>220.36236674688382</v>
      </c>
      <c r="AV31" s="53">
        <v>89.835774617977521</v>
      </c>
      <c r="AW31" s="51">
        <v>351035.40790749097</v>
      </c>
      <c r="AX31" s="53">
        <v>4840.8540907779825</v>
      </c>
      <c r="AY31" s="51">
        <v>21020</v>
      </c>
    </row>
    <row r="32" spans="2:51" x14ac:dyDescent="0.15">
      <c r="B32" s="51" t="e">
        <f>#REF!</f>
        <v>#REF!</v>
      </c>
      <c r="C32" s="51" t="e">
        <f>#REF!</f>
        <v>#REF!</v>
      </c>
      <c r="D32" s="51" t="e">
        <f>#REF!</f>
        <v>#REF!</v>
      </c>
      <c r="E32" s="51" t="e">
        <f>#REF!</f>
        <v>#REF!</v>
      </c>
      <c r="F32" s="51" t="e">
        <f>#REF!</f>
        <v>#REF!</v>
      </c>
      <c r="G32" s="51" t="e">
        <f>#REF!</f>
        <v>#REF!</v>
      </c>
      <c r="H32" s="54" t="e">
        <f>#REF!</f>
        <v>#REF!</v>
      </c>
      <c r="I32" s="55" t="e">
        <f>#REF!</f>
        <v>#REF!</v>
      </c>
      <c r="J32" s="54" t="e">
        <f>#REF!</f>
        <v>#REF!</v>
      </c>
      <c r="K32" s="55" t="e">
        <f>#REF!</f>
        <v>#REF!</v>
      </c>
      <c r="L32" s="82" t="e">
        <f>#REF!</f>
        <v>#REF!</v>
      </c>
      <c r="M32" s="82" t="e">
        <f>#REF!</f>
        <v>#REF!</v>
      </c>
      <c r="N32" s="54" t="e">
        <f>#REF!</f>
        <v>#REF!</v>
      </c>
      <c r="O32" s="54" t="e">
        <f>#REF!</f>
        <v>#REF!</v>
      </c>
      <c r="P32" s="54" t="e">
        <f>#REF!</f>
        <v>#REF!</v>
      </c>
      <c r="Q32" s="53" t="e">
        <f>#REF!</f>
        <v>#REF!</v>
      </c>
      <c r="R32" s="53" t="e">
        <f>#REF!</f>
        <v>#REF!</v>
      </c>
      <c r="S32" s="53" t="e">
        <f>#REF!</f>
        <v>#REF!</v>
      </c>
      <c r="T32" s="53" t="e">
        <f>#REF!</f>
        <v>#REF!</v>
      </c>
      <c r="U32" s="53" t="e">
        <f>#REF!</f>
        <v>#REF!</v>
      </c>
      <c r="V32" s="53" t="e">
        <f>#REF!</f>
        <v>#REF!</v>
      </c>
      <c r="W32" s="53" t="e">
        <f>#REF!</f>
        <v>#REF!</v>
      </c>
      <c r="X32" s="53" t="e">
        <f>#REF!</f>
        <v>#REF!</v>
      </c>
      <c r="Y32" s="51" t="e">
        <f>#REF!</f>
        <v>#REF!</v>
      </c>
      <c r="AB32" s="51">
        <v>34059.965944064475</v>
      </c>
      <c r="AC32" s="51">
        <v>27190.026622976613</v>
      </c>
      <c r="AD32" s="51">
        <v>15946.12106804993</v>
      </c>
      <c r="AE32" s="51">
        <v>8145.085525483345</v>
      </c>
      <c r="AF32" s="51">
        <v>922.27230754799928</v>
      </c>
      <c r="AG32" s="51">
        <v>471.08552548334455</v>
      </c>
      <c r="AH32" s="54">
        <v>1</v>
      </c>
      <c r="AI32" s="55">
        <v>1.11537052876835</v>
      </c>
      <c r="AJ32" s="54">
        <v>0.98001623912233393</v>
      </c>
      <c r="AK32" s="55">
        <v>1.11537052876835</v>
      </c>
      <c r="AL32" s="82">
        <v>61250</v>
      </c>
      <c r="AM32" s="82">
        <v>60026</v>
      </c>
      <c r="AN32" s="54">
        <v>0.19290840434860412</v>
      </c>
      <c r="AO32" s="54">
        <v>4.9971408039351711E-2</v>
      </c>
      <c r="AP32" s="54">
        <v>0.24287981238795583</v>
      </c>
      <c r="AQ32" s="53">
        <v>24.910834145579592</v>
      </c>
      <c r="AR32" s="53">
        <v>236.40612258909215</v>
      </c>
      <c r="AS32" s="53">
        <v>261.31695673467175</v>
      </c>
      <c r="AT32" s="53">
        <v>182.51491587164102</v>
      </c>
      <c r="AU32" s="53">
        <v>221.91593630315643</v>
      </c>
      <c r="AV32" s="53">
        <v>90.579201531438542</v>
      </c>
      <c r="AW32" s="51">
        <v>355869.05922256556</v>
      </c>
      <c r="AX32" s="53">
        <v>4833.6513150745886</v>
      </c>
      <c r="AY32" s="51">
        <v>21310</v>
      </c>
    </row>
    <row r="33" spans="2:51" x14ac:dyDescent="0.15">
      <c r="B33" s="51" t="e">
        <f>#REF!</f>
        <v>#REF!</v>
      </c>
      <c r="C33" s="51" t="e">
        <f>#REF!</f>
        <v>#REF!</v>
      </c>
      <c r="D33" s="51" t="e">
        <f>#REF!</f>
        <v>#REF!</v>
      </c>
      <c r="E33" s="51" t="e">
        <f>#REF!</f>
        <v>#REF!</v>
      </c>
      <c r="F33" s="51" t="e">
        <f>#REF!</f>
        <v>#REF!</v>
      </c>
      <c r="G33" s="51" t="e">
        <f>#REF!</f>
        <v>#REF!</v>
      </c>
      <c r="H33" s="54" t="e">
        <f>#REF!</f>
        <v>#REF!</v>
      </c>
      <c r="I33" s="55" t="e">
        <f>#REF!</f>
        <v>#REF!</v>
      </c>
      <c r="J33" s="54" t="e">
        <f>#REF!</f>
        <v>#REF!</v>
      </c>
      <c r="K33" s="55" t="e">
        <f>#REF!</f>
        <v>#REF!</v>
      </c>
      <c r="L33" s="82" t="e">
        <f>#REF!</f>
        <v>#REF!</v>
      </c>
      <c r="M33" s="82" t="e">
        <f>#REF!</f>
        <v>#REF!</v>
      </c>
      <c r="N33" s="54" t="e">
        <f>#REF!</f>
        <v>#REF!</v>
      </c>
      <c r="O33" s="54" t="e">
        <f>#REF!</f>
        <v>#REF!</v>
      </c>
      <c r="P33" s="54" t="e">
        <f>#REF!</f>
        <v>#REF!</v>
      </c>
      <c r="Q33" s="53" t="e">
        <f>#REF!</f>
        <v>#REF!</v>
      </c>
      <c r="R33" s="53" t="e">
        <f>#REF!</f>
        <v>#REF!</v>
      </c>
      <c r="S33" s="53" t="e">
        <f>#REF!</f>
        <v>#REF!</v>
      </c>
      <c r="T33" s="53" t="e">
        <f>#REF!</f>
        <v>#REF!</v>
      </c>
      <c r="U33" s="53" t="e">
        <f>#REF!</f>
        <v>#REF!</v>
      </c>
      <c r="V33" s="53" t="e">
        <f>#REF!</f>
        <v>#REF!</v>
      </c>
      <c r="W33" s="53" t="e">
        <f>#REF!</f>
        <v>#REF!</v>
      </c>
      <c r="X33" s="53" t="e">
        <f>#REF!</f>
        <v>#REF!</v>
      </c>
      <c r="Y33" s="51" t="e">
        <f>#REF!</f>
        <v>#REF!</v>
      </c>
      <c r="AB33" s="51">
        <v>34157.832373718571</v>
      </c>
      <c r="AC33" s="51">
        <v>27271.036772325235</v>
      </c>
      <c r="AD33" s="51">
        <v>16087.338285475538</v>
      </c>
      <c r="AE33" s="51">
        <v>8217.4732102592661</v>
      </c>
      <c r="AF33" s="51">
        <v>924.96028520981326</v>
      </c>
      <c r="AG33" s="51">
        <v>472.4732102592651</v>
      </c>
      <c r="AH33" s="54">
        <v>1</v>
      </c>
      <c r="AI33" s="55">
        <v>1.115956826554054</v>
      </c>
      <c r="AJ33" s="54">
        <v>0.98501217934175056</v>
      </c>
      <c r="AK33" s="55">
        <v>1.115956826554054</v>
      </c>
      <c r="AL33" s="82">
        <v>61429</v>
      </c>
      <c r="AM33" s="82">
        <v>60508</v>
      </c>
      <c r="AN33" s="54">
        <v>0.19047960622472457</v>
      </c>
      <c r="AO33" s="54">
        <v>4.9971408039351711E-2</v>
      </c>
      <c r="AP33" s="54">
        <v>0.24045101426407628</v>
      </c>
      <c r="AQ33" s="53">
        <v>25.246318715869599</v>
      </c>
      <c r="AR33" s="53">
        <v>237.81832141587421</v>
      </c>
      <c r="AS33" s="53">
        <v>263.06464013174383</v>
      </c>
      <c r="AT33" s="53">
        <v>183.79186632645241</v>
      </c>
      <c r="AU33" s="53">
        <v>223.42825322909809</v>
      </c>
      <c r="AV33" s="53">
        <v>91.306963553612434</v>
      </c>
      <c r="AW33" s="51">
        <v>360661.69594099425</v>
      </c>
      <c r="AX33" s="53">
        <v>4792.6367184286937</v>
      </c>
      <c r="AY33" s="51">
        <v>21597</v>
      </c>
    </row>
    <row r="34" spans="2:51" x14ac:dyDescent="0.15">
      <c r="B34" s="51" t="e">
        <f>#REF!</f>
        <v>#REF!</v>
      </c>
      <c r="C34" s="51" t="e">
        <f>#REF!</f>
        <v>#REF!</v>
      </c>
      <c r="D34" s="51" t="e">
        <f>#REF!</f>
        <v>#REF!</v>
      </c>
      <c r="E34" s="51" t="e">
        <f>#REF!</f>
        <v>#REF!</v>
      </c>
      <c r="F34" s="51" t="e">
        <f>#REF!</f>
        <v>#REF!</v>
      </c>
      <c r="G34" s="51" t="e">
        <f>#REF!</f>
        <v>#REF!</v>
      </c>
      <c r="H34" s="54" t="e">
        <f>#REF!</f>
        <v>#REF!</v>
      </c>
      <c r="I34" s="55" t="e">
        <f>#REF!</f>
        <v>#REF!</v>
      </c>
      <c r="J34" s="54" t="e">
        <f>#REF!</f>
        <v>#REF!</v>
      </c>
      <c r="K34" s="55" t="e">
        <f>#REF!</f>
        <v>#REF!</v>
      </c>
      <c r="L34" s="82" t="e">
        <f>#REF!</f>
        <v>#REF!</v>
      </c>
      <c r="M34" s="82" t="e">
        <f>#REF!</f>
        <v>#REF!</v>
      </c>
      <c r="N34" s="54" t="e">
        <f>#REF!</f>
        <v>#REF!</v>
      </c>
      <c r="O34" s="54" t="e">
        <f>#REF!</f>
        <v>#REF!</v>
      </c>
      <c r="P34" s="54" t="e">
        <f>#REF!</f>
        <v>#REF!</v>
      </c>
      <c r="Q34" s="53" t="e">
        <f>#REF!</f>
        <v>#REF!</v>
      </c>
      <c r="R34" s="53" t="e">
        <f>#REF!</f>
        <v>#REF!</v>
      </c>
      <c r="S34" s="53" t="e">
        <f>#REF!</f>
        <v>#REF!</v>
      </c>
      <c r="T34" s="53" t="e">
        <f>#REF!</f>
        <v>#REF!</v>
      </c>
      <c r="U34" s="53" t="e">
        <f>#REF!</f>
        <v>#REF!</v>
      </c>
      <c r="V34" s="53" t="e">
        <f>#REF!</f>
        <v>#REF!</v>
      </c>
      <c r="W34" s="53" t="e">
        <f>#REF!</f>
        <v>#REF!</v>
      </c>
      <c r="X34" s="53" t="e">
        <f>#REF!</f>
        <v>#REF!</v>
      </c>
      <c r="Y34" s="51" t="e">
        <f>#REF!</f>
        <v>#REF!</v>
      </c>
      <c r="AB34" s="51">
        <v>34250.965630331673</v>
      </c>
      <c r="AC34" s="51">
        <v>27348.145970029684</v>
      </c>
      <c r="AD34" s="51">
        <v>16225.817384946453</v>
      </c>
      <c r="AE34" s="51">
        <v>8288.7983345743105</v>
      </c>
      <c r="AF34" s="51">
        <v>927.48851447226377</v>
      </c>
      <c r="AG34" s="51">
        <v>473.79833457430897</v>
      </c>
      <c r="AH34" s="54">
        <v>1</v>
      </c>
      <c r="AI34" s="55">
        <v>1.1165431243397581</v>
      </c>
      <c r="AJ34" s="54">
        <v>0.99000811956116719</v>
      </c>
      <c r="AK34" s="55">
        <v>1.1165431243397581</v>
      </c>
      <c r="AL34" s="82">
        <v>61599</v>
      </c>
      <c r="AM34" s="82">
        <v>60984</v>
      </c>
      <c r="AN34" s="54">
        <v>0.18807509608208381</v>
      </c>
      <c r="AO34" s="54">
        <v>4.9971408039351711E-2</v>
      </c>
      <c r="AP34" s="54">
        <v>0.23804650412143552</v>
      </c>
      <c r="AQ34" s="53">
        <v>25.579993967745555</v>
      </c>
      <c r="AR34" s="53">
        <v>239.20501913175437</v>
      </c>
      <c r="AS34" s="53">
        <v>264.78501309949991</v>
      </c>
      <c r="AT34" s="53">
        <v>185.0500067222485</v>
      </c>
      <c r="AU34" s="53">
        <v>224.9175099108742</v>
      </c>
      <c r="AV34" s="53">
        <v>92.025832615455101</v>
      </c>
      <c r="AW34" s="51">
        <v>365428.48525350791</v>
      </c>
      <c r="AX34" s="53">
        <v>4766.7893125136616</v>
      </c>
      <c r="AY34" s="51">
        <v>21882</v>
      </c>
    </row>
    <row r="35" spans="2:51" x14ac:dyDescent="0.15">
      <c r="B35" s="51" t="e">
        <f>#REF!</f>
        <v>#REF!</v>
      </c>
      <c r="C35" s="51" t="e">
        <f>#REF!</f>
        <v>#REF!</v>
      </c>
      <c r="D35" s="51" t="e">
        <f>#REF!</f>
        <v>#REF!</v>
      </c>
      <c r="E35" s="51" t="e">
        <f>#REF!</f>
        <v>#REF!</v>
      </c>
      <c r="F35" s="51" t="e">
        <f>#REF!</f>
        <v>#REF!</v>
      </c>
      <c r="G35" s="51" t="e">
        <f>#REF!</f>
        <v>#REF!</v>
      </c>
      <c r="H35" s="54" t="e">
        <f>#REF!</f>
        <v>#REF!</v>
      </c>
      <c r="I35" s="55" t="e">
        <f>#REF!</f>
        <v>#REF!</v>
      </c>
      <c r="J35" s="54" t="e">
        <f>#REF!</f>
        <v>#REF!</v>
      </c>
      <c r="K35" s="55" t="e">
        <f>#REF!</f>
        <v>#REF!</v>
      </c>
      <c r="L35" s="82" t="e">
        <f>#REF!</f>
        <v>#REF!</v>
      </c>
      <c r="M35" s="82" t="e">
        <f>#REF!</f>
        <v>#REF!</v>
      </c>
      <c r="N35" s="54" t="e">
        <f>#REF!</f>
        <v>#REF!</v>
      </c>
      <c r="O35" s="54" t="e">
        <f>#REF!</f>
        <v>#REF!</v>
      </c>
      <c r="P35" s="54" t="e">
        <f>#REF!</f>
        <v>#REF!</v>
      </c>
      <c r="Q35" s="53" t="e">
        <f>#REF!</f>
        <v>#REF!</v>
      </c>
      <c r="R35" s="53" t="e">
        <f>#REF!</f>
        <v>#REF!</v>
      </c>
      <c r="S35" s="53" t="e">
        <f>#REF!</f>
        <v>#REF!</v>
      </c>
      <c r="T35" s="53" t="e">
        <f>#REF!</f>
        <v>#REF!</v>
      </c>
      <c r="U35" s="53" t="e">
        <f>#REF!</f>
        <v>#REF!</v>
      </c>
      <c r="V35" s="53" t="e">
        <f>#REF!</f>
        <v>#REF!</v>
      </c>
      <c r="W35" s="53" t="e">
        <f>#REF!</f>
        <v>#REF!</v>
      </c>
      <c r="X35" s="53" t="e">
        <f>#REF!</f>
        <v>#REF!</v>
      </c>
      <c r="Y35" s="51" t="e">
        <f>#REF!</f>
        <v>#REF!</v>
      </c>
      <c r="AB35" s="51">
        <v>34339.580084344969</v>
      </c>
      <c r="AC35" s="51">
        <v>27421.529238009483</v>
      </c>
      <c r="AD35" s="51">
        <v>16361.626371194056</v>
      </c>
      <c r="AE35" s="51">
        <v>8358.0462630105158</v>
      </c>
      <c r="AF35" s="51">
        <v>929.94573370672379</v>
      </c>
      <c r="AG35" s="51">
        <v>475.04626301051655</v>
      </c>
      <c r="AH35" s="54">
        <v>1</v>
      </c>
      <c r="AI35" s="55">
        <v>1.1171294221254622</v>
      </c>
      <c r="AJ35" s="54">
        <v>0.99500405978058382</v>
      </c>
      <c r="AK35" s="55">
        <v>1.1171294221254622</v>
      </c>
      <c r="AL35" s="82">
        <v>61761</v>
      </c>
      <c r="AM35" s="82">
        <v>61452</v>
      </c>
      <c r="AN35" s="54">
        <v>0.18569463104086945</v>
      </c>
      <c r="AO35" s="54">
        <v>4.9971408039351711E-2</v>
      </c>
      <c r="AP35" s="54">
        <v>0.23566603908022116</v>
      </c>
      <c r="AQ35" s="53">
        <v>25.909580749489663</v>
      </c>
      <c r="AR35" s="53">
        <v>240.54764898495719</v>
      </c>
      <c r="AS35" s="53">
        <v>266.45722973444686</v>
      </c>
      <c r="AT35" s="53">
        <v>186.27468007279447</v>
      </c>
      <c r="AU35" s="53">
        <v>226.36595490362069</v>
      </c>
      <c r="AV35" s="53">
        <v>92.728372134200001</v>
      </c>
      <c r="AW35" s="51">
        <v>370136.86784985225</v>
      </c>
      <c r="AX35" s="53">
        <v>4708.3825963443378</v>
      </c>
      <c r="AY35" s="51">
        <v>22164</v>
      </c>
    </row>
    <row r="36" spans="2:51" x14ac:dyDescent="0.15">
      <c r="B36" s="60" t="e">
        <f>#REF!</f>
        <v>#REF!</v>
      </c>
      <c r="C36" s="60" t="e">
        <f>#REF!</f>
        <v>#REF!</v>
      </c>
      <c r="D36" s="60" t="e">
        <f>#REF!</f>
        <v>#REF!</v>
      </c>
      <c r="E36" s="60" t="e">
        <f>#REF!</f>
        <v>#REF!</v>
      </c>
      <c r="F36" s="60" t="e">
        <f>#REF!</f>
        <v>#REF!</v>
      </c>
      <c r="G36" s="60" t="e">
        <f>#REF!</f>
        <v>#REF!</v>
      </c>
      <c r="H36" s="62" t="e">
        <f>#REF!</f>
        <v>#REF!</v>
      </c>
      <c r="I36" s="63" t="e">
        <f>#REF!</f>
        <v>#REF!</v>
      </c>
      <c r="J36" s="62" t="e">
        <f>#REF!</f>
        <v>#REF!</v>
      </c>
      <c r="K36" s="63" t="e">
        <f>#REF!</f>
        <v>#REF!</v>
      </c>
      <c r="L36" s="84" t="e">
        <f>#REF!</f>
        <v>#REF!</v>
      </c>
      <c r="M36" s="84" t="e">
        <f>#REF!</f>
        <v>#REF!</v>
      </c>
      <c r="N36" s="62" t="e">
        <f>#REF!</f>
        <v>#REF!</v>
      </c>
      <c r="O36" s="62" t="e">
        <f>#REF!</f>
        <v>#REF!</v>
      </c>
      <c r="P36" s="62" t="e">
        <f>#REF!</f>
        <v>#REF!</v>
      </c>
      <c r="Q36" s="61" t="e">
        <f>#REF!</f>
        <v>#REF!</v>
      </c>
      <c r="R36" s="61" t="e">
        <f>#REF!</f>
        <v>#REF!</v>
      </c>
      <c r="S36" s="61" t="e">
        <f>#REF!</f>
        <v>#REF!</v>
      </c>
      <c r="T36" s="61" t="e">
        <f>#REF!</f>
        <v>#REF!</v>
      </c>
      <c r="U36" s="61" t="e">
        <f>#REF!</f>
        <v>#REF!</v>
      </c>
      <c r="V36" s="61" t="e">
        <f>#REF!</f>
        <v>#REF!</v>
      </c>
      <c r="W36" s="61" t="e">
        <f>#REF!</f>
        <v>#REF!</v>
      </c>
      <c r="X36" s="61" t="e">
        <f>#REF!</f>
        <v>#REF!</v>
      </c>
      <c r="Y36" s="60" t="e">
        <f>#REF!</f>
        <v>#REF!</v>
      </c>
      <c r="AB36" s="60">
        <v>34423.881799359457</v>
      </c>
      <c r="AC36" s="60">
        <v>27491.354981329172</v>
      </c>
      <c r="AD36" s="60">
        <v>16494.658405394319</v>
      </c>
      <c r="AE36" s="60">
        <v>8426.2324273177965</v>
      </c>
      <c r="AF36" s="60">
        <v>932.24240820987075</v>
      </c>
      <c r="AG36" s="60">
        <v>476.23242731779743</v>
      </c>
      <c r="AH36" s="62">
        <v>1</v>
      </c>
      <c r="AI36" s="63">
        <v>1.1177157199111663</v>
      </c>
      <c r="AJ36" s="62">
        <v>1</v>
      </c>
      <c r="AK36" s="63">
        <v>1.1177157199111663</v>
      </c>
      <c r="AL36" s="84">
        <v>61915</v>
      </c>
      <c r="AM36" s="84">
        <v>61915</v>
      </c>
      <c r="AN36" s="62">
        <v>0.18333797065006724</v>
      </c>
      <c r="AO36" s="62">
        <v>4.9971408039351711E-2</v>
      </c>
      <c r="AP36" s="62">
        <v>0.23330937868941895</v>
      </c>
      <c r="AQ36" s="61">
        <v>26.237190909025234</v>
      </c>
      <c r="AR36" s="61">
        <v>241.86681549907348</v>
      </c>
      <c r="AS36" s="61">
        <v>268.10400640809871</v>
      </c>
      <c r="AT36" s="61">
        <v>187.48173457507423</v>
      </c>
      <c r="AU36" s="61">
        <v>227.79287049158648</v>
      </c>
      <c r="AV36" s="61">
        <v>93.422417436545643</v>
      </c>
      <c r="AW36" s="60">
        <v>374817.01298607473</v>
      </c>
      <c r="AX36" s="61">
        <v>4680.1451362224761</v>
      </c>
      <c r="AY36" s="60">
        <v>22444</v>
      </c>
    </row>
    <row r="37" spans="2:51" x14ac:dyDescent="0.15">
      <c r="B37" s="51" t="e">
        <f>#REF!</f>
        <v>#REF!</v>
      </c>
      <c r="C37" s="51" t="e">
        <f>#REF!</f>
        <v>#REF!</v>
      </c>
      <c r="D37" s="51" t="e">
        <f>#REF!</f>
        <v>#REF!</v>
      </c>
      <c r="E37" s="51" t="e">
        <f>#REF!</f>
        <v>#REF!</v>
      </c>
      <c r="F37" s="51" t="e">
        <f>#REF!</f>
        <v>#REF!</v>
      </c>
      <c r="G37" s="51" t="e">
        <f>#REF!</f>
        <v>#REF!</v>
      </c>
      <c r="H37" s="54" t="e">
        <f>#REF!</f>
        <v>#REF!</v>
      </c>
      <c r="I37" s="55" t="e">
        <f>#REF!</f>
        <v>#REF!</v>
      </c>
      <c r="J37" s="54" t="e">
        <f>#REF!</f>
        <v>#REF!</v>
      </c>
      <c r="K37" s="55" t="e">
        <f>#REF!</f>
        <v>#REF!</v>
      </c>
      <c r="L37" s="82" t="e">
        <f>#REF!</f>
        <v>#REF!</v>
      </c>
      <c r="M37" s="82" t="e">
        <f>#REF!</f>
        <v>#REF!</v>
      </c>
      <c r="N37" s="54" t="e">
        <f>#REF!</f>
        <v>#REF!</v>
      </c>
      <c r="O37" s="54" t="e">
        <f>#REF!</f>
        <v>#REF!</v>
      </c>
      <c r="P37" s="54" t="e">
        <f>#REF!</f>
        <v>#REF!</v>
      </c>
      <c r="Q37" s="53" t="e">
        <f>#REF!</f>
        <v>#REF!</v>
      </c>
      <c r="R37" s="53" t="e">
        <f>#REF!</f>
        <v>#REF!</v>
      </c>
      <c r="S37" s="53" t="e">
        <f>#REF!</f>
        <v>#REF!</v>
      </c>
      <c r="T37" s="53" t="e">
        <f>#REF!</f>
        <v>#REF!</v>
      </c>
      <c r="U37" s="53" t="e">
        <f>#REF!</f>
        <v>#REF!</v>
      </c>
      <c r="V37" s="53" t="e">
        <f>#REF!</f>
        <v>#REF!</v>
      </c>
      <c r="W37" s="53" t="e">
        <f>#REF!</f>
        <v>#REF!</v>
      </c>
      <c r="X37" s="53" t="e">
        <f>#REF!</f>
        <v>#REF!</v>
      </c>
      <c r="Y37" s="51" t="e">
        <f>#REF!</f>
        <v>#REF!</v>
      </c>
      <c r="AB37" s="51">
        <v>34504.068716445523</v>
      </c>
      <c r="AC37" s="51">
        <v>27557.78511681392</v>
      </c>
      <c r="AD37" s="51">
        <v>16625.036998212981</v>
      </c>
      <c r="AE37" s="51">
        <v>8492.3675646577231</v>
      </c>
      <c r="AF37" s="51">
        <v>934.51600672695906</v>
      </c>
      <c r="AG37" s="51">
        <v>477.36756465772373</v>
      </c>
      <c r="AH37" s="54">
        <v>1</v>
      </c>
      <c r="AI37" s="55">
        <v>1.1182017571880594</v>
      </c>
      <c r="AJ37" s="54">
        <v>1</v>
      </c>
      <c r="AK37" s="55">
        <v>1.1182017571880594</v>
      </c>
      <c r="AL37" s="82">
        <v>62062</v>
      </c>
      <c r="AM37" s="82">
        <v>62062</v>
      </c>
      <c r="AN37" s="54">
        <v>0.18100487686317304</v>
      </c>
      <c r="AO37" s="54">
        <v>4.9971408039351711E-2</v>
      </c>
      <c r="AP37" s="54">
        <v>0.23097628490252475</v>
      </c>
      <c r="AQ37" s="53">
        <v>26.433055554696281</v>
      </c>
      <c r="AR37" s="53">
        <v>241.97443592894598</v>
      </c>
      <c r="AS37" s="53">
        <v>268.40749148364227</v>
      </c>
      <c r="AT37" s="53">
        <v>187.74934617399362</v>
      </c>
      <c r="AU37" s="53">
        <v>228.07841882881797</v>
      </c>
      <c r="AV37" s="53">
        <v>93.648176646070169</v>
      </c>
      <c r="AW37" s="51">
        <v>377615.07935280399</v>
      </c>
      <c r="AX37" s="53">
        <v>2798.0663667292683</v>
      </c>
      <c r="AY37" s="51">
        <v>22612</v>
      </c>
    </row>
    <row r="38" spans="2:51" x14ac:dyDescent="0.15">
      <c r="B38" s="51" t="e">
        <f>#REF!</f>
        <v>#REF!</v>
      </c>
      <c r="C38" s="51" t="e">
        <f>#REF!</f>
        <v>#REF!</v>
      </c>
      <c r="D38" s="51" t="e">
        <f>#REF!</f>
        <v>#REF!</v>
      </c>
      <c r="E38" s="51" t="e">
        <f>#REF!</f>
        <v>#REF!</v>
      </c>
      <c r="F38" s="51" t="e">
        <f>#REF!</f>
        <v>#REF!</v>
      </c>
      <c r="G38" s="51" t="e">
        <f>#REF!</f>
        <v>#REF!</v>
      </c>
      <c r="H38" s="54" t="e">
        <f>#REF!</f>
        <v>#REF!</v>
      </c>
      <c r="I38" s="55" t="e">
        <f>#REF!</f>
        <v>#REF!</v>
      </c>
      <c r="J38" s="54" t="e">
        <f>#REF!</f>
        <v>#REF!</v>
      </c>
      <c r="K38" s="55" t="e">
        <f>#REF!</f>
        <v>#REF!</v>
      </c>
      <c r="L38" s="82" t="e">
        <f>#REF!</f>
        <v>#REF!</v>
      </c>
      <c r="M38" s="82" t="e">
        <f>#REF!</f>
        <v>#REF!</v>
      </c>
      <c r="N38" s="54" t="e">
        <f>#REF!</f>
        <v>#REF!</v>
      </c>
      <c r="O38" s="54" t="e">
        <f>#REF!</f>
        <v>#REF!</v>
      </c>
      <c r="P38" s="54" t="e">
        <f>#REF!</f>
        <v>#REF!</v>
      </c>
      <c r="Q38" s="53" t="e">
        <f>#REF!</f>
        <v>#REF!</v>
      </c>
      <c r="R38" s="53" t="e">
        <f>#REF!</f>
        <v>#REF!</v>
      </c>
      <c r="S38" s="53" t="e">
        <f>#REF!</f>
        <v>#REF!</v>
      </c>
      <c r="T38" s="53" t="e">
        <f>#REF!</f>
        <v>#REF!</v>
      </c>
      <c r="U38" s="53" t="e">
        <f>#REF!</f>
        <v>#REF!</v>
      </c>
      <c r="V38" s="53" t="e">
        <f>#REF!</f>
        <v>#REF!</v>
      </c>
      <c r="W38" s="53" t="e">
        <f>#REF!</f>
        <v>#REF!</v>
      </c>
      <c r="X38" s="53" t="e">
        <f>#REF!</f>
        <v>#REF!</v>
      </c>
      <c r="Y38" s="51" t="e">
        <f>#REF!</f>
        <v>#REF!</v>
      </c>
      <c r="AB38" s="51">
        <v>34580.330849165293</v>
      </c>
      <c r="AC38" s="51">
        <v>27620.97521245286</v>
      </c>
      <c r="AD38" s="51">
        <v>16752.564448439396</v>
      </c>
      <c r="AE38" s="51">
        <v>8557.4163655316606</v>
      </c>
      <c r="AF38" s="51">
        <v>936.5795298963842</v>
      </c>
      <c r="AG38" s="51">
        <v>478.41636553165955</v>
      </c>
      <c r="AH38" s="54">
        <v>1</v>
      </c>
      <c r="AI38" s="55">
        <v>1.1186877944649525</v>
      </c>
      <c r="AJ38" s="54">
        <v>1</v>
      </c>
      <c r="AK38" s="55">
        <v>1.1186877944649525</v>
      </c>
      <c r="AL38" s="82">
        <v>62201</v>
      </c>
      <c r="AM38" s="82">
        <v>62201</v>
      </c>
      <c r="AN38" s="54">
        <v>0.17869511401414778</v>
      </c>
      <c r="AO38" s="54">
        <v>4.9971408039351711E-2</v>
      </c>
      <c r="AP38" s="54">
        <v>0.22866652205349949</v>
      </c>
      <c r="AQ38" s="53">
        <v>26.623780246855251</v>
      </c>
      <c r="AR38" s="53">
        <v>242.04022908505488</v>
      </c>
      <c r="AS38" s="53">
        <v>268.66400933191011</v>
      </c>
      <c r="AT38" s="53">
        <v>187.98393297022517</v>
      </c>
      <c r="AU38" s="53">
        <v>228.32397115106764</v>
      </c>
      <c r="AV38" s="53">
        <v>93.85717721492604</v>
      </c>
      <c r="AW38" s="51">
        <v>380339.71781221783</v>
      </c>
      <c r="AX38" s="53">
        <v>2724.6384594138362</v>
      </c>
      <c r="AY38" s="51">
        <v>22775</v>
      </c>
    </row>
    <row r="39" spans="2:51" x14ac:dyDescent="0.15">
      <c r="B39" s="51" t="e">
        <f>#REF!</f>
        <v>#REF!</v>
      </c>
      <c r="C39" s="51" t="e">
        <f>#REF!</f>
        <v>#REF!</v>
      </c>
      <c r="D39" s="51" t="e">
        <f>#REF!</f>
        <v>#REF!</v>
      </c>
      <c r="E39" s="51" t="e">
        <f>#REF!</f>
        <v>#REF!</v>
      </c>
      <c r="F39" s="51" t="e">
        <f>#REF!</f>
        <v>#REF!</v>
      </c>
      <c r="G39" s="51" t="e">
        <f>#REF!</f>
        <v>#REF!</v>
      </c>
      <c r="H39" s="54" t="e">
        <f>#REF!</f>
        <v>#REF!</v>
      </c>
      <c r="I39" s="55" t="e">
        <f>#REF!</f>
        <v>#REF!</v>
      </c>
      <c r="J39" s="54" t="e">
        <f>#REF!</f>
        <v>#REF!</v>
      </c>
      <c r="K39" s="55" t="e">
        <f>#REF!</f>
        <v>#REF!</v>
      </c>
      <c r="L39" s="82" t="e">
        <f>#REF!</f>
        <v>#REF!</v>
      </c>
      <c r="M39" s="82" t="e">
        <f>#REF!</f>
        <v>#REF!</v>
      </c>
      <c r="N39" s="54" t="e">
        <f>#REF!</f>
        <v>#REF!</v>
      </c>
      <c r="O39" s="54" t="e">
        <f>#REF!</f>
        <v>#REF!</v>
      </c>
      <c r="P39" s="54" t="e">
        <f>#REF!</f>
        <v>#REF!</v>
      </c>
      <c r="Q39" s="53" t="e">
        <f>#REF!</f>
        <v>#REF!</v>
      </c>
      <c r="R39" s="53" t="e">
        <f>#REF!</f>
        <v>#REF!</v>
      </c>
      <c r="S39" s="53" t="e">
        <f>#REF!</f>
        <v>#REF!</v>
      </c>
      <c r="T39" s="53" t="e">
        <f>#REF!</f>
        <v>#REF!</v>
      </c>
      <c r="U39" s="53" t="e">
        <f>#REF!</f>
        <v>#REF!</v>
      </c>
      <c r="V39" s="53" t="e">
        <f>#REF!</f>
        <v>#REF!</v>
      </c>
      <c r="W39" s="53" t="e">
        <f>#REF!</f>
        <v>#REF!</v>
      </c>
      <c r="X39" s="53" t="e">
        <f>#REF!</f>
        <v>#REF!</v>
      </c>
      <c r="Y39" s="51" t="e">
        <f>#REF!</f>
        <v>#REF!</v>
      </c>
      <c r="AB39" s="51">
        <v>34652.850487290365</v>
      </c>
      <c r="AC39" s="51">
        <v>27681.074635799727</v>
      </c>
      <c r="AD39" s="51">
        <v>16877.380445975417</v>
      </c>
      <c r="AE39" s="51">
        <v>8621.4539077994013</v>
      </c>
      <c r="AF39" s="51">
        <v>938.58020871859196</v>
      </c>
      <c r="AG39" s="51">
        <v>479.45390779939919</v>
      </c>
      <c r="AH39" s="54">
        <v>1</v>
      </c>
      <c r="AI39" s="55">
        <v>1.1191738317418456</v>
      </c>
      <c r="AJ39" s="54">
        <v>1</v>
      </c>
      <c r="AK39" s="55">
        <v>1.1191738317418456</v>
      </c>
      <c r="AL39" s="82">
        <v>62334</v>
      </c>
      <c r="AM39" s="82">
        <v>62334</v>
      </c>
      <c r="AN39" s="54">
        <v>0.17640844879361278</v>
      </c>
      <c r="AO39" s="54">
        <v>4.9971408039351711E-2</v>
      </c>
      <c r="AP39" s="54">
        <v>0.22637985683296449</v>
      </c>
      <c r="AQ39" s="53">
        <v>26.810531282213454</v>
      </c>
      <c r="AR39" s="53">
        <v>242.08518558229918</v>
      </c>
      <c r="AS39" s="53">
        <v>268.89571686451262</v>
      </c>
      <c r="AT39" s="53">
        <v>188.20065500374622</v>
      </c>
      <c r="AU39" s="53">
        <v>228.54818593412941</v>
      </c>
      <c r="AV39" s="53">
        <v>94.056416166185443</v>
      </c>
      <c r="AW39" s="51">
        <v>383007.58974590647</v>
      </c>
      <c r="AX39" s="53">
        <v>2667.8719336886425</v>
      </c>
      <c r="AY39" s="51">
        <v>22935</v>
      </c>
    </row>
    <row r="40" spans="2:51" x14ac:dyDescent="0.15">
      <c r="B40" s="51" t="e">
        <f>#REF!</f>
        <v>#REF!</v>
      </c>
      <c r="C40" s="51" t="e">
        <f>#REF!</f>
        <v>#REF!</v>
      </c>
      <c r="D40" s="51" t="e">
        <f>#REF!</f>
        <v>#REF!</v>
      </c>
      <c r="E40" s="51" t="e">
        <f>#REF!</f>
        <v>#REF!</v>
      </c>
      <c r="F40" s="51" t="e">
        <f>#REF!</f>
        <v>#REF!</v>
      </c>
      <c r="G40" s="51" t="e">
        <f>#REF!</f>
        <v>#REF!</v>
      </c>
      <c r="H40" s="54" t="e">
        <f>#REF!</f>
        <v>#REF!</v>
      </c>
      <c r="I40" s="55" t="e">
        <f>#REF!</f>
        <v>#REF!</v>
      </c>
      <c r="J40" s="54" t="e">
        <f>#REF!</f>
        <v>#REF!</v>
      </c>
      <c r="K40" s="55" t="e">
        <f>#REF!</f>
        <v>#REF!</v>
      </c>
      <c r="L40" s="82" t="e">
        <f>#REF!</f>
        <v>#REF!</v>
      </c>
      <c r="M40" s="82" t="e">
        <f>#REF!</f>
        <v>#REF!</v>
      </c>
      <c r="N40" s="54" t="e">
        <f>#REF!</f>
        <v>#REF!</v>
      </c>
      <c r="O40" s="54" t="e">
        <f>#REF!</f>
        <v>#REF!</v>
      </c>
      <c r="P40" s="54" t="e">
        <f>#REF!</f>
        <v>#REF!</v>
      </c>
      <c r="Q40" s="53" t="e">
        <f>#REF!</f>
        <v>#REF!</v>
      </c>
      <c r="R40" s="53" t="e">
        <f>#REF!</f>
        <v>#REF!</v>
      </c>
      <c r="S40" s="53" t="e">
        <f>#REF!</f>
        <v>#REF!</v>
      </c>
      <c r="T40" s="53" t="e">
        <f>#REF!</f>
        <v>#REF!</v>
      </c>
      <c r="U40" s="53" t="e">
        <f>#REF!</f>
        <v>#REF!</v>
      </c>
      <c r="V40" s="53" t="e">
        <f>#REF!</f>
        <v>#REF!</v>
      </c>
      <c r="W40" s="53" t="e">
        <f>#REF!</f>
        <v>#REF!</v>
      </c>
      <c r="X40" s="53" t="e">
        <f>#REF!</f>
        <v>#REF!</v>
      </c>
      <c r="Y40" s="51" t="e">
        <f>#REF!</f>
        <v>#REF!</v>
      </c>
      <c r="AB40" s="51">
        <v>34721.802407377349</v>
      </c>
      <c r="AC40" s="51">
        <v>27738.226709731796</v>
      </c>
      <c r="AD40" s="51">
        <v>16999.470363887049</v>
      </c>
      <c r="AE40" s="51">
        <v>8683.4162346017947</v>
      </c>
      <c r="AF40" s="51">
        <v>940.50789709931803</v>
      </c>
      <c r="AG40" s="51">
        <v>480.41623460179443</v>
      </c>
      <c r="AH40" s="54">
        <v>1</v>
      </c>
      <c r="AI40" s="55">
        <v>1.1196598690187387</v>
      </c>
      <c r="AJ40" s="54">
        <v>1</v>
      </c>
      <c r="AK40" s="55">
        <v>1.1196598690187387</v>
      </c>
      <c r="AL40" s="82">
        <v>62460</v>
      </c>
      <c r="AM40" s="82">
        <v>62460</v>
      </c>
      <c r="AN40" s="54">
        <v>0.17414465022528314</v>
      </c>
      <c r="AO40" s="54">
        <v>4.9971408039351711E-2</v>
      </c>
      <c r="AP40" s="54">
        <v>0.22411605826463485</v>
      </c>
      <c r="AQ40" s="53">
        <v>26.992265090220602</v>
      </c>
      <c r="AR40" s="53">
        <v>242.11051566483295</v>
      </c>
      <c r="AS40" s="53">
        <v>269.10278075505357</v>
      </c>
      <c r="AT40" s="53">
        <v>188.39927553344256</v>
      </c>
      <c r="AU40" s="53">
        <v>228.75102814424804</v>
      </c>
      <c r="AV40" s="53">
        <v>94.245186108229746</v>
      </c>
      <c r="AW40" s="51">
        <v>385603.78700315137</v>
      </c>
      <c r="AX40" s="53">
        <v>2596.1972572449013</v>
      </c>
      <c r="AY40" s="51">
        <v>23090</v>
      </c>
    </row>
    <row r="41" spans="2:51" x14ac:dyDescent="0.15">
      <c r="B41" s="56" t="e">
        <f>#REF!</f>
        <v>#REF!</v>
      </c>
      <c r="C41" s="56" t="e">
        <f>#REF!</f>
        <v>#REF!</v>
      </c>
      <c r="D41" s="56" t="e">
        <f>#REF!</f>
        <v>#REF!</v>
      </c>
      <c r="E41" s="56" t="e">
        <f>#REF!</f>
        <v>#REF!</v>
      </c>
      <c r="F41" s="56" t="e">
        <f>#REF!</f>
        <v>#REF!</v>
      </c>
      <c r="G41" s="56" t="e">
        <f>#REF!</f>
        <v>#REF!</v>
      </c>
      <c r="H41" s="58" t="e">
        <f>#REF!</f>
        <v>#REF!</v>
      </c>
      <c r="I41" s="59" t="e">
        <f>#REF!</f>
        <v>#REF!</v>
      </c>
      <c r="J41" s="58" t="e">
        <f>#REF!</f>
        <v>#REF!</v>
      </c>
      <c r="K41" s="59" t="e">
        <f>#REF!</f>
        <v>#REF!</v>
      </c>
      <c r="L41" s="83" t="e">
        <f>#REF!</f>
        <v>#REF!</v>
      </c>
      <c r="M41" s="83" t="e">
        <f>#REF!</f>
        <v>#REF!</v>
      </c>
      <c r="N41" s="58" t="e">
        <f>#REF!</f>
        <v>#REF!</v>
      </c>
      <c r="O41" s="58" t="e">
        <f>#REF!</f>
        <v>#REF!</v>
      </c>
      <c r="P41" s="58" t="e">
        <f>#REF!</f>
        <v>#REF!</v>
      </c>
      <c r="Q41" s="57" t="e">
        <f>#REF!</f>
        <v>#REF!</v>
      </c>
      <c r="R41" s="57" t="e">
        <f>#REF!</f>
        <v>#REF!</v>
      </c>
      <c r="S41" s="57" t="e">
        <f>#REF!</f>
        <v>#REF!</v>
      </c>
      <c r="T41" s="57" t="e">
        <f>#REF!</f>
        <v>#REF!</v>
      </c>
      <c r="U41" s="57" t="e">
        <f>#REF!</f>
        <v>#REF!</v>
      </c>
      <c r="V41" s="57" t="e">
        <f>#REF!</f>
        <v>#REF!</v>
      </c>
      <c r="W41" s="57" t="e">
        <f>#REF!</f>
        <v>#REF!</v>
      </c>
      <c r="X41" s="57" t="e">
        <f>#REF!</f>
        <v>#REF!</v>
      </c>
      <c r="Y41" s="56" t="e">
        <f>#REF!</f>
        <v>#REF!</v>
      </c>
      <c r="AB41" s="56">
        <v>34787.354088533953</v>
      </c>
      <c r="AC41" s="56">
        <v>27792.568874073146</v>
      </c>
      <c r="AD41" s="56">
        <v>17118.793684607281</v>
      </c>
      <c r="AE41" s="56">
        <v>8744.3423380691602</v>
      </c>
      <c r="AF41" s="56">
        <v>942.3236029082459</v>
      </c>
      <c r="AG41" s="56">
        <v>481.34233806916041</v>
      </c>
      <c r="AH41" s="58">
        <v>1</v>
      </c>
      <c r="AI41" s="59">
        <v>1.120145906295632</v>
      </c>
      <c r="AJ41" s="58">
        <v>1</v>
      </c>
      <c r="AK41" s="59">
        <v>1.120145906295632</v>
      </c>
      <c r="AL41" s="83">
        <v>62580</v>
      </c>
      <c r="AM41" s="83">
        <v>62580</v>
      </c>
      <c r="AN41" s="58">
        <v>0.1719034896426368</v>
      </c>
      <c r="AO41" s="58">
        <v>4.9971408039351711E-2</v>
      </c>
      <c r="AP41" s="58">
        <v>0.22187489768198851</v>
      </c>
      <c r="AQ41" s="57">
        <v>27.168861223959333</v>
      </c>
      <c r="AR41" s="57">
        <v>242.09784178090101</v>
      </c>
      <c r="AS41" s="57">
        <v>269.26670300486035</v>
      </c>
      <c r="AT41" s="57">
        <v>188.56742241122666</v>
      </c>
      <c r="AU41" s="57">
        <v>228.91706270804349</v>
      </c>
      <c r="AV41" s="57">
        <v>94.418261718654037</v>
      </c>
      <c r="AW41" s="56">
        <v>388126.58891370468</v>
      </c>
      <c r="AX41" s="57">
        <v>2522.8019105533022</v>
      </c>
      <c r="AY41" s="56">
        <v>23241</v>
      </c>
    </row>
    <row r="43" spans="2:51" ht="12.75" thickBot="1" x14ac:dyDescent="0.2"/>
    <row r="44" spans="2:51" ht="60.75" thickBot="1" x14ac:dyDescent="0.2">
      <c r="S44" s="90" t="s">
        <v>111</v>
      </c>
      <c r="T44" s="90" t="s">
        <v>161</v>
      </c>
      <c r="AA44" s="93" t="s">
        <v>114</v>
      </c>
      <c r="AB44" s="91" t="s">
        <v>20</v>
      </c>
      <c r="AC44" s="91" t="s">
        <v>4</v>
      </c>
      <c r="AD44" s="91" t="s">
        <v>155</v>
      </c>
      <c r="AE44" s="91" t="s">
        <v>156</v>
      </c>
      <c r="AF44" s="91" t="s">
        <v>157</v>
      </c>
      <c r="AG44" s="91" t="s">
        <v>158</v>
      </c>
      <c r="AH44" s="90" t="s">
        <v>50</v>
      </c>
      <c r="AI44" s="90" t="s">
        <v>28</v>
      </c>
      <c r="AJ44" s="90" t="s">
        <v>51</v>
      </c>
      <c r="AK44" s="90" t="s">
        <v>29</v>
      </c>
      <c r="AL44" s="90" t="s">
        <v>110</v>
      </c>
      <c r="AM44" s="90" t="s">
        <v>111</v>
      </c>
      <c r="AN44" s="91" t="s">
        <v>43</v>
      </c>
      <c r="AO44" s="91" t="s">
        <v>44</v>
      </c>
      <c r="AP44" s="91" t="s">
        <v>5</v>
      </c>
      <c r="AQ44" s="46" t="s">
        <v>45</v>
      </c>
      <c r="AR44" s="45" t="s">
        <v>46</v>
      </c>
      <c r="AS44" s="45" t="s">
        <v>93</v>
      </c>
      <c r="AT44" s="45" t="s">
        <v>30</v>
      </c>
      <c r="AU44" s="45" t="s">
        <v>31</v>
      </c>
      <c r="AV44" s="45" t="s">
        <v>32</v>
      </c>
      <c r="AW44" s="94" t="s">
        <v>26</v>
      </c>
      <c r="AX44" s="46" t="s">
        <v>138</v>
      </c>
      <c r="AY44" s="87" t="s">
        <v>152</v>
      </c>
    </row>
    <row r="45" spans="2:51" x14ac:dyDescent="0.15">
      <c r="S45" s="92">
        <v>0</v>
      </c>
      <c r="AB45" s="44" t="s">
        <v>120</v>
      </c>
      <c r="AC45" s="44" t="s">
        <v>120</v>
      </c>
      <c r="AD45" s="44" t="s">
        <v>159</v>
      </c>
      <c r="AE45" s="44" t="s">
        <v>159</v>
      </c>
      <c r="AF45" s="44" t="s">
        <v>159</v>
      </c>
      <c r="AG45" s="44" t="s">
        <v>159</v>
      </c>
      <c r="AH45" s="43" t="s">
        <v>2</v>
      </c>
      <c r="AI45" s="43" t="s">
        <v>2</v>
      </c>
      <c r="AJ45" s="43" t="s">
        <v>2</v>
      </c>
      <c r="AK45" s="43" t="s">
        <v>2</v>
      </c>
      <c r="AL45" s="92">
        <v>0</v>
      </c>
      <c r="AM45" s="92">
        <v>0</v>
      </c>
      <c r="AN45" s="39" t="s">
        <v>2</v>
      </c>
      <c r="AO45" s="39" t="s">
        <v>2</v>
      </c>
      <c r="AP45" s="39" t="s">
        <v>2</v>
      </c>
      <c r="AQ45" s="43" t="s">
        <v>19</v>
      </c>
      <c r="AR45" s="43" t="s">
        <v>19</v>
      </c>
      <c r="AS45" s="43" t="s">
        <v>19</v>
      </c>
      <c r="AT45" s="43" t="s">
        <v>19</v>
      </c>
      <c r="AU45" s="43" t="s">
        <v>19</v>
      </c>
      <c r="AV45" s="43" t="s">
        <v>19</v>
      </c>
      <c r="AW45" s="92" t="s">
        <v>101</v>
      </c>
      <c r="AX45" s="43" t="s">
        <v>101</v>
      </c>
      <c r="AY45" s="43" t="s">
        <v>154</v>
      </c>
    </row>
    <row r="46" spans="2:51" ht="15.75" x14ac:dyDescent="0.15">
      <c r="S46" s="82" t="e">
        <f>AM46+AM88+AM130+AM172+AM214+AM256</f>
        <v>#REF!</v>
      </c>
      <c r="T46" s="54" t="e">
        <f>S46/(AB4+AC4)</f>
        <v>#REF!</v>
      </c>
      <c r="U46" s="86" t="e">
        <f>T46-AJ46</f>
        <v>#REF!</v>
      </c>
      <c r="AB46" s="76" t="e">
        <f>B4</f>
        <v>#REF!</v>
      </c>
      <c r="AC46" s="76" t="e">
        <f t="shared" ref="AC46:AY57" si="0">C4</f>
        <v>#REF!</v>
      </c>
      <c r="AD46" s="76" t="e">
        <f t="shared" si="0"/>
        <v>#REF!</v>
      </c>
      <c r="AE46" s="76" t="e">
        <f t="shared" si="0"/>
        <v>#REF!</v>
      </c>
      <c r="AF46" s="76" t="e">
        <f t="shared" si="0"/>
        <v>#REF!</v>
      </c>
      <c r="AG46" s="76" t="e">
        <f t="shared" si="0"/>
        <v>#REF!</v>
      </c>
      <c r="AH46" s="54" t="e">
        <f t="shared" si="0"/>
        <v>#REF!</v>
      </c>
      <c r="AI46" s="55" t="e">
        <f t="shared" si="0"/>
        <v>#REF!</v>
      </c>
      <c r="AJ46" s="54" t="e">
        <f t="shared" si="0"/>
        <v>#REF!</v>
      </c>
      <c r="AK46" s="55" t="e">
        <f t="shared" si="0"/>
        <v>#REF!</v>
      </c>
      <c r="AL46" s="82" t="e">
        <f t="shared" si="0"/>
        <v>#REF!</v>
      </c>
      <c r="AM46" s="82" t="e">
        <f t="shared" si="0"/>
        <v>#REF!</v>
      </c>
      <c r="AN46" s="54" t="e">
        <f t="shared" si="0"/>
        <v>#REF!</v>
      </c>
      <c r="AO46" s="54" t="e">
        <f t="shared" si="0"/>
        <v>#REF!</v>
      </c>
      <c r="AP46" s="54" t="e">
        <f t="shared" si="0"/>
        <v>#REF!</v>
      </c>
      <c r="AQ46" s="53" t="e">
        <f t="shared" si="0"/>
        <v>#REF!</v>
      </c>
      <c r="AR46" s="53" t="e">
        <f t="shared" si="0"/>
        <v>#REF!</v>
      </c>
      <c r="AS46" s="53" t="e">
        <f t="shared" si="0"/>
        <v>#REF!</v>
      </c>
      <c r="AT46" s="53" t="e">
        <f t="shared" si="0"/>
        <v>#REF!</v>
      </c>
      <c r="AU46" s="53" t="e">
        <f t="shared" si="0"/>
        <v>#REF!</v>
      </c>
      <c r="AV46" s="53" t="e">
        <f t="shared" si="0"/>
        <v>#REF!</v>
      </c>
      <c r="AW46" s="51" t="e">
        <f t="shared" si="0"/>
        <v>#REF!</v>
      </c>
      <c r="AX46" s="53" t="e">
        <f t="shared" si="0"/>
        <v>#REF!</v>
      </c>
      <c r="AY46" s="53" t="e">
        <f t="shared" si="0"/>
        <v>#REF!</v>
      </c>
    </row>
    <row r="47" spans="2:51" ht="15.75" x14ac:dyDescent="0.15">
      <c r="S47" s="82" t="e">
        <f t="shared" ref="S47:S83" si="1">AM47+AM89+AM131+AM173+AM215+AM257</f>
        <v>#REF!</v>
      </c>
      <c r="T47" s="78" t="e">
        <f t="shared" ref="T47:T83" si="2">S47/(AB5+AC5)</f>
        <v>#REF!</v>
      </c>
      <c r="U47" s="86" t="e">
        <f t="shared" ref="U47:U83" si="3">T47-AJ47</f>
        <v>#REF!</v>
      </c>
      <c r="AB47" s="76" t="e">
        <f t="shared" ref="AB47:AB83" si="4">B5</f>
        <v>#REF!</v>
      </c>
      <c r="AC47" s="76" t="e">
        <f t="shared" si="0"/>
        <v>#REF!</v>
      </c>
      <c r="AD47" s="76" t="e">
        <f t="shared" si="0"/>
        <v>#REF!</v>
      </c>
      <c r="AE47" s="76" t="e">
        <f t="shared" si="0"/>
        <v>#REF!</v>
      </c>
      <c r="AF47" s="76" t="e">
        <f t="shared" si="0"/>
        <v>#REF!</v>
      </c>
      <c r="AG47" s="76" t="e">
        <f t="shared" si="0"/>
        <v>#REF!</v>
      </c>
      <c r="AH47" s="78" t="e">
        <f t="shared" si="0"/>
        <v>#REF!</v>
      </c>
      <c r="AI47" s="79" t="e">
        <f t="shared" si="0"/>
        <v>#REF!</v>
      </c>
      <c r="AJ47" s="78" t="e">
        <f t="shared" si="0"/>
        <v>#REF!</v>
      </c>
      <c r="AK47" s="79" t="e">
        <f t="shared" si="0"/>
        <v>#REF!</v>
      </c>
      <c r="AL47" s="81" t="e">
        <f t="shared" si="0"/>
        <v>#REF!</v>
      </c>
      <c r="AM47" s="81" t="e">
        <f t="shared" si="0"/>
        <v>#REF!</v>
      </c>
      <c r="AN47" s="78" t="e">
        <f t="shared" si="0"/>
        <v>#REF!</v>
      </c>
      <c r="AO47" s="78" t="e">
        <f t="shared" si="0"/>
        <v>#REF!</v>
      </c>
      <c r="AP47" s="78" t="e">
        <f t="shared" si="0"/>
        <v>#REF!</v>
      </c>
      <c r="AQ47" s="77" t="e">
        <f t="shared" si="0"/>
        <v>#REF!</v>
      </c>
      <c r="AR47" s="77" t="e">
        <f t="shared" si="0"/>
        <v>#REF!</v>
      </c>
      <c r="AS47" s="77" t="e">
        <f t="shared" si="0"/>
        <v>#REF!</v>
      </c>
      <c r="AT47" s="77" t="e">
        <f t="shared" si="0"/>
        <v>#REF!</v>
      </c>
      <c r="AU47" s="77" t="e">
        <f t="shared" si="0"/>
        <v>#REF!</v>
      </c>
      <c r="AV47" s="77" t="e">
        <f t="shared" si="0"/>
        <v>#REF!</v>
      </c>
      <c r="AW47" s="76" t="e">
        <f t="shared" si="0"/>
        <v>#REF!</v>
      </c>
      <c r="AX47" s="77" t="e">
        <f t="shared" si="0"/>
        <v>#REF!</v>
      </c>
      <c r="AY47" s="76" t="e">
        <f t="shared" si="0"/>
        <v>#REF!</v>
      </c>
    </row>
    <row r="48" spans="2:51" x14ac:dyDescent="0.15">
      <c r="S48" s="82" t="e">
        <f t="shared" si="1"/>
        <v>#REF!</v>
      </c>
      <c r="T48" s="54" t="e">
        <f t="shared" si="2"/>
        <v>#REF!</v>
      </c>
      <c r="U48" s="86" t="e">
        <f t="shared" si="3"/>
        <v>#REF!</v>
      </c>
      <c r="AB48" s="51" t="e">
        <f t="shared" si="4"/>
        <v>#REF!</v>
      </c>
      <c r="AC48" s="51" t="e">
        <f t="shared" si="0"/>
        <v>#REF!</v>
      </c>
      <c r="AD48" s="51" t="e">
        <f t="shared" si="0"/>
        <v>#REF!</v>
      </c>
      <c r="AE48" s="51" t="e">
        <f t="shared" si="0"/>
        <v>#REF!</v>
      </c>
      <c r="AF48" s="51" t="e">
        <f t="shared" si="0"/>
        <v>#REF!</v>
      </c>
      <c r="AG48" s="51" t="e">
        <f t="shared" si="0"/>
        <v>#REF!</v>
      </c>
      <c r="AH48" s="54" t="e">
        <f t="shared" si="0"/>
        <v>#REF!</v>
      </c>
      <c r="AI48" s="55" t="e">
        <f t="shared" si="0"/>
        <v>#REF!</v>
      </c>
      <c r="AJ48" s="54" t="e">
        <f t="shared" si="0"/>
        <v>#REF!</v>
      </c>
      <c r="AK48" s="55" t="e">
        <f t="shared" si="0"/>
        <v>#REF!</v>
      </c>
      <c r="AL48" s="82" t="e">
        <f t="shared" si="0"/>
        <v>#REF!</v>
      </c>
      <c r="AM48" s="82" t="e">
        <f t="shared" si="0"/>
        <v>#REF!</v>
      </c>
      <c r="AN48" s="54" t="e">
        <f t="shared" si="0"/>
        <v>#REF!</v>
      </c>
      <c r="AO48" s="54" t="e">
        <f t="shared" si="0"/>
        <v>#REF!</v>
      </c>
      <c r="AP48" s="54" t="e">
        <f t="shared" si="0"/>
        <v>#REF!</v>
      </c>
      <c r="AQ48" s="53" t="e">
        <f t="shared" si="0"/>
        <v>#REF!</v>
      </c>
      <c r="AR48" s="53" t="e">
        <f t="shared" si="0"/>
        <v>#REF!</v>
      </c>
      <c r="AS48" s="53" t="e">
        <f t="shared" si="0"/>
        <v>#REF!</v>
      </c>
      <c r="AT48" s="53" t="e">
        <f t="shared" si="0"/>
        <v>#REF!</v>
      </c>
      <c r="AU48" s="53" t="e">
        <f t="shared" si="0"/>
        <v>#REF!</v>
      </c>
      <c r="AV48" s="53" t="e">
        <f t="shared" si="0"/>
        <v>#REF!</v>
      </c>
      <c r="AW48" s="51" t="e">
        <f t="shared" si="0"/>
        <v>#REF!</v>
      </c>
      <c r="AX48" s="53" t="e">
        <f t="shared" si="0"/>
        <v>#REF!</v>
      </c>
      <c r="AY48" s="51" t="e">
        <f t="shared" si="0"/>
        <v>#REF!</v>
      </c>
    </row>
    <row r="49" spans="19:51" x14ac:dyDescent="0.15">
      <c r="S49" s="82" t="e">
        <f t="shared" si="1"/>
        <v>#REF!</v>
      </c>
      <c r="T49" s="58" t="e">
        <f t="shared" si="2"/>
        <v>#REF!</v>
      </c>
      <c r="U49" s="86" t="e">
        <f t="shared" si="3"/>
        <v>#REF!</v>
      </c>
      <c r="AB49" s="56" t="e">
        <f t="shared" si="4"/>
        <v>#REF!</v>
      </c>
      <c r="AC49" s="56" t="e">
        <f t="shared" si="0"/>
        <v>#REF!</v>
      </c>
      <c r="AD49" s="56" t="e">
        <f t="shared" si="0"/>
        <v>#REF!</v>
      </c>
      <c r="AE49" s="56" t="e">
        <f t="shared" si="0"/>
        <v>#REF!</v>
      </c>
      <c r="AF49" s="56" t="e">
        <f t="shared" si="0"/>
        <v>#REF!</v>
      </c>
      <c r="AG49" s="56" t="e">
        <f t="shared" si="0"/>
        <v>#REF!</v>
      </c>
      <c r="AH49" s="58" t="e">
        <f t="shared" si="0"/>
        <v>#REF!</v>
      </c>
      <c r="AI49" s="59" t="e">
        <f t="shared" si="0"/>
        <v>#REF!</v>
      </c>
      <c r="AJ49" s="58" t="e">
        <f t="shared" si="0"/>
        <v>#REF!</v>
      </c>
      <c r="AK49" s="59" t="e">
        <f t="shared" si="0"/>
        <v>#REF!</v>
      </c>
      <c r="AL49" s="83" t="e">
        <f t="shared" si="0"/>
        <v>#REF!</v>
      </c>
      <c r="AM49" s="83" t="e">
        <f t="shared" si="0"/>
        <v>#REF!</v>
      </c>
      <c r="AN49" s="58" t="e">
        <f t="shared" si="0"/>
        <v>#REF!</v>
      </c>
      <c r="AO49" s="58" t="e">
        <f t="shared" si="0"/>
        <v>#REF!</v>
      </c>
      <c r="AP49" s="58" t="e">
        <f t="shared" si="0"/>
        <v>#REF!</v>
      </c>
      <c r="AQ49" s="57" t="e">
        <f t="shared" si="0"/>
        <v>#REF!</v>
      </c>
      <c r="AR49" s="57" t="e">
        <f t="shared" si="0"/>
        <v>#REF!</v>
      </c>
      <c r="AS49" s="57" t="e">
        <f t="shared" si="0"/>
        <v>#REF!</v>
      </c>
      <c r="AT49" s="57" t="e">
        <f t="shared" si="0"/>
        <v>#REF!</v>
      </c>
      <c r="AU49" s="57" t="e">
        <f t="shared" si="0"/>
        <v>#REF!</v>
      </c>
      <c r="AV49" s="57" t="e">
        <f t="shared" si="0"/>
        <v>#REF!</v>
      </c>
      <c r="AW49" s="56" t="e">
        <f t="shared" si="0"/>
        <v>#REF!</v>
      </c>
      <c r="AX49" s="57" t="e">
        <f t="shared" si="0"/>
        <v>#REF!</v>
      </c>
      <c r="AY49" s="56" t="e">
        <f t="shared" si="0"/>
        <v>#REF!</v>
      </c>
    </row>
    <row r="50" spans="19:51" x14ac:dyDescent="0.15">
      <c r="S50" s="82" t="e">
        <f t="shared" si="1"/>
        <v>#REF!</v>
      </c>
      <c r="T50" s="54" t="e">
        <f t="shared" si="2"/>
        <v>#REF!</v>
      </c>
      <c r="U50" s="86" t="e">
        <f t="shared" si="3"/>
        <v>#REF!</v>
      </c>
      <c r="AB50" s="51" t="e">
        <f t="shared" si="4"/>
        <v>#REF!</v>
      </c>
      <c r="AC50" s="51" t="e">
        <f t="shared" si="0"/>
        <v>#REF!</v>
      </c>
      <c r="AD50" s="51" t="e">
        <f t="shared" si="0"/>
        <v>#REF!</v>
      </c>
      <c r="AE50" s="51" t="e">
        <f t="shared" si="0"/>
        <v>#REF!</v>
      </c>
      <c r="AF50" s="51" t="e">
        <f t="shared" si="0"/>
        <v>#REF!</v>
      </c>
      <c r="AG50" s="51" t="e">
        <f t="shared" si="0"/>
        <v>#REF!</v>
      </c>
      <c r="AH50" s="54" t="e">
        <f t="shared" si="0"/>
        <v>#REF!</v>
      </c>
      <c r="AI50" s="55" t="e">
        <f t="shared" si="0"/>
        <v>#REF!</v>
      </c>
      <c r="AJ50" s="54" t="e">
        <f t="shared" si="0"/>
        <v>#REF!</v>
      </c>
      <c r="AK50" s="55" t="e">
        <f t="shared" si="0"/>
        <v>#REF!</v>
      </c>
      <c r="AL50" s="82" t="e">
        <f t="shared" si="0"/>
        <v>#REF!</v>
      </c>
      <c r="AM50" s="82" t="e">
        <f t="shared" si="0"/>
        <v>#REF!</v>
      </c>
      <c r="AN50" s="54" t="e">
        <f t="shared" si="0"/>
        <v>#REF!</v>
      </c>
      <c r="AO50" s="54" t="e">
        <f t="shared" si="0"/>
        <v>#REF!</v>
      </c>
      <c r="AP50" s="54" t="e">
        <f t="shared" si="0"/>
        <v>#REF!</v>
      </c>
      <c r="AQ50" s="53" t="e">
        <f t="shared" si="0"/>
        <v>#REF!</v>
      </c>
      <c r="AR50" s="53" t="e">
        <f t="shared" si="0"/>
        <v>#REF!</v>
      </c>
      <c r="AS50" s="53" t="e">
        <f t="shared" si="0"/>
        <v>#REF!</v>
      </c>
      <c r="AT50" s="53" t="e">
        <f t="shared" si="0"/>
        <v>#REF!</v>
      </c>
      <c r="AU50" s="53" t="e">
        <f t="shared" si="0"/>
        <v>#REF!</v>
      </c>
      <c r="AV50" s="53" t="e">
        <f t="shared" si="0"/>
        <v>#REF!</v>
      </c>
      <c r="AW50" s="51" t="e">
        <f t="shared" si="0"/>
        <v>#REF!</v>
      </c>
      <c r="AX50" s="53" t="e">
        <f t="shared" si="0"/>
        <v>#REF!</v>
      </c>
      <c r="AY50" s="51" t="e">
        <f t="shared" si="0"/>
        <v>#REF!</v>
      </c>
    </row>
    <row r="51" spans="19:51" x14ac:dyDescent="0.15">
      <c r="S51" s="82" t="e">
        <f t="shared" si="1"/>
        <v>#REF!</v>
      </c>
      <c r="T51" s="54" t="e">
        <f t="shared" si="2"/>
        <v>#REF!</v>
      </c>
      <c r="U51" s="86" t="e">
        <f t="shared" si="3"/>
        <v>#REF!</v>
      </c>
      <c r="AB51" s="51" t="e">
        <f t="shared" si="4"/>
        <v>#REF!</v>
      </c>
      <c r="AC51" s="51" t="e">
        <f t="shared" si="0"/>
        <v>#REF!</v>
      </c>
      <c r="AD51" s="51" t="e">
        <f t="shared" si="0"/>
        <v>#REF!</v>
      </c>
      <c r="AE51" s="51" t="e">
        <f t="shared" si="0"/>
        <v>#REF!</v>
      </c>
      <c r="AF51" s="51" t="e">
        <f t="shared" si="0"/>
        <v>#REF!</v>
      </c>
      <c r="AG51" s="51" t="e">
        <f t="shared" si="0"/>
        <v>#REF!</v>
      </c>
      <c r="AH51" s="54" t="e">
        <f t="shared" si="0"/>
        <v>#REF!</v>
      </c>
      <c r="AI51" s="55" t="e">
        <f t="shared" si="0"/>
        <v>#REF!</v>
      </c>
      <c r="AJ51" s="54" t="e">
        <f t="shared" si="0"/>
        <v>#REF!</v>
      </c>
      <c r="AK51" s="55" t="e">
        <f t="shared" si="0"/>
        <v>#REF!</v>
      </c>
      <c r="AL51" s="82" t="e">
        <f t="shared" si="0"/>
        <v>#REF!</v>
      </c>
      <c r="AM51" s="82" t="e">
        <f t="shared" si="0"/>
        <v>#REF!</v>
      </c>
      <c r="AN51" s="54" t="e">
        <f t="shared" si="0"/>
        <v>#REF!</v>
      </c>
      <c r="AO51" s="54" t="e">
        <f t="shared" si="0"/>
        <v>#REF!</v>
      </c>
      <c r="AP51" s="54" t="e">
        <f t="shared" si="0"/>
        <v>#REF!</v>
      </c>
      <c r="AQ51" s="53" t="e">
        <f t="shared" si="0"/>
        <v>#REF!</v>
      </c>
      <c r="AR51" s="53" t="e">
        <f t="shared" si="0"/>
        <v>#REF!</v>
      </c>
      <c r="AS51" s="53" t="e">
        <f t="shared" si="0"/>
        <v>#REF!</v>
      </c>
      <c r="AT51" s="53" t="e">
        <f t="shared" si="0"/>
        <v>#REF!</v>
      </c>
      <c r="AU51" s="53" t="e">
        <f t="shared" si="0"/>
        <v>#REF!</v>
      </c>
      <c r="AV51" s="53" t="e">
        <f t="shared" si="0"/>
        <v>#REF!</v>
      </c>
      <c r="AW51" s="51" t="e">
        <f t="shared" si="0"/>
        <v>#REF!</v>
      </c>
      <c r="AX51" s="53" t="e">
        <f t="shared" si="0"/>
        <v>#REF!</v>
      </c>
      <c r="AY51" s="51" t="e">
        <f t="shared" si="0"/>
        <v>#REF!</v>
      </c>
    </row>
    <row r="52" spans="19:51" x14ac:dyDescent="0.15">
      <c r="S52" s="82" t="e">
        <f t="shared" si="1"/>
        <v>#REF!</v>
      </c>
      <c r="T52" s="54" t="e">
        <f t="shared" si="2"/>
        <v>#REF!</v>
      </c>
      <c r="U52" s="86" t="e">
        <f t="shared" si="3"/>
        <v>#REF!</v>
      </c>
      <c r="AB52" s="51" t="e">
        <f t="shared" si="4"/>
        <v>#REF!</v>
      </c>
      <c r="AC52" s="51" t="e">
        <f t="shared" si="0"/>
        <v>#REF!</v>
      </c>
      <c r="AD52" s="51" t="e">
        <f t="shared" si="0"/>
        <v>#REF!</v>
      </c>
      <c r="AE52" s="51" t="e">
        <f t="shared" si="0"/>
        <v>#REF!</v>
      </c>
      <c r="AF52" s="51" t="e">
        <f t="shared" si="0"/>
        <v>#REF!</v>
      </c>
      <c r="AG52" s="51" t="e">
        <f t="shared" si="0"/>
        <v>#REF!</v>
      </c>
      <c r="AH52" s="54" t="e">
        <f t="shared" si="0"/>
        <v>#REF!</v>
      </c>
      <c r="AI52" s="55" t="e">
        <f t="shared" si="0"/>
        <v>#REF!</v>
      </c>
      <c r="AJ52" s="54" t="e">
        <f t="shared" si="0"/>
        <v>#REF!</v>
      </c>
      <c r="AK52" s="55" t="e">
        <f t="shared" si="0"/>
        <v>#REF!</v>
      </c>
      <c r="AL52" s="82" t="e">
        <f t="shared" si="0"/>
        <v>#REF!</v>
      </c>
      <c r="AM52" s="82" t="e">
        <f t="shared" si="0"/>
        <v>#REF!</v>
      </c>
      <c r="AN52" s="54" t="e">
        <f t="shared" si="0"/>
        <v>#REF!</v>
      </c>
      <c r="AO52" s="54" t="e">
        <f t="shared" si="0"/>
        <v>#REF!</v>
      </c>
      <c r="AP52" s="54" t="e">
        <f t="shared" si="0"/>
        <v>#REF!</v>
      </c>
      <c r="AQ52" s="53" t="e">
        <f t="shared" si="0"/>
        <v>#REF!</v>
      </c>
      <c r="AR52" s="53" t="e">
        <f t="shared" si="0"/>
        <v>#REF!</v>
      </c>
      <c r="AS52" s="53" t="e">
        <f t="shared" si="0"/>
        <v>#REF!</v>
      </c>
      <c r="AT52" s="53" t="e">
        <f t="shared" si="0"/>
        <v>#REF!</v>
      </c>
      <c r="AU52" s="53" t="e">
        <f t="shared" si="0"/>
        <v>#REF!</v>
      </c>
      <c r="AV52" s="53" t="e">
        <f t="shared" si="0"/>
        <v>#REF!</v>
      </c>
      <c r="AW52" s="51" t="e">
        <f t="shared" si="0"/>
        <v>#REF!</v>
      </c>
      <c r="AX52" s="53" t="e">
        <f t="shared" si="0"/>
        <v>#REF!</v>
      </c>
      <c r="AY52" s="51" t="e">
        <f t="shared" si="0"/>
        <v>#REF!</v>
      </c>
    </row>
    <row r="53" spans="19:51" x14ac:dyDescent="0.15">
      <c r="S53" s="82" t="e">
        <f t="shared" si="1"/>
        <v>#REF!</v>
      </c>
      <c r="T53" s="54" t="e">
        <f t="shared" si="2"/>
        <v>#REF!</v>
      </c>
      <c r="U53" s="86" t="e">
        <f t="shared" si="3"/>
        <v>#REF!</v>
      </c>
      <c r="AB53" s="51" t="e">
        <f t="shared" si="4"/>
        <v>#REF!</v>
      </c>
      <c r="AC53" s="51" t="e">
        <f t="shared" si="0"/>
        <v>#REF!</v>
      </c>
      <c r="AD53" s="51" t="e">
        <f t="shared" si="0"/>
        <v>#REF!</v>
      </c>
      <c r="AE53" s="51" t="e">
        <f t="shared" si="0"/>
        <v>#REF!</v>
      </c>
      <c r="AF53" s="51" t="e">
        <f t="shared" si="0"/>
        <v>#REF!</v>
      </c>
      <c r="AG53" s="51" t="e">
        <f t="shared" si="0"/>
        <v>#REF!</v>
      </c>
      <c r="AH53" s="54" t="e">
        <f t="shared" si="0"/>
        <v>#REF!</v>
      </c>
      <c r="AI53" s="55" t="e">
        <f t="shared" si="0"/>
        <v>#REF!</v>
      </c>
      <c r="AJ53" s="54" t="e">
        <f t="shared" si="0"/>
        <v>#REF!</v>
      </c>
      <c r="AK53" s="55" t="e">
        <f>K11</f>
        <v>#REF!</v>
      </c>
      <c r="AL53" s="82" t="e">
        <f t="shared" si="0"/>
        <v>#REF!</v>
      </c>
      <c r="AM53" s="82" t="e">
        <f t="shared" si="0"/>
        <v>#REF!</v>
      </c>
      <c r="AN53" s="54" t="e">
        <f t="shared" si="0"/>
        <v>#REF!</v>
      </c>
      <c r="AO53" s="54" t="e">
        <f t="shared" si="0"/>
        <v>#REF!</v>
      </c>
      <c r="AP53" s="54" t="e">
        <f t="shared" si="0"/>
        <v>#REF!</v>
      </c>
      <c r="AQ53" s="53" t="e">
        <f t="shared" si="0"/>
        <v>#REF!</v>
      </c>
      <c r="AR53" s="53" t="e">
        <f t="shared" si="0"/>
        <v>#REF!</v>
      </c>
      <c r="AS53" s="53" t="e">
        <f t="shared" si="0"/>
        <v>#REF!</v>
      </c>
      <c r="AT53" s="53" t="e">
        <f t="shared" si="0"/>
        <v>#REF!</v>
      </c>
      <c r="AU53" s="53" t="e">
        <f t="shared" si="0"/>
        <v>#REF!</v>
      </c>
      <c r="AV53" s="53" t="e">
        <f t="shared" si="0"/>
        <v>#REF!</v>
      </c>
      <c r="AW53" s="51" t="e">
        <f t="shared" si="0"/>
        <v>#REF!</v>
      </c>
      <c r="AX53" s="53" t="e">
        <f t="shared" si="0"/>
        <v>#REF!</v>
      </c>
      <c r="AY53" s="51" t="e">
        <f t="shared" si="0"/>
        <v>#REF!</v>
      </c>
    </row>
    <row r="54" spans="19:51" x14ac:dyDescent="0.15">
      <c r="S54" s="82" t="e">
        <f t="shared" si="1"/>
        <v>#REF!</v>
      </c>
      <c r="T54" s="54" t="e">
        <f t="shared" si="2"/>
        <v>#REF!</v>
      </c>
      <c r="U54" s="86" t="e">
        <f t="shared" si="3"/>
        <v>#REF!</v>
      </c>
      <c r="AB54" s="51" t="e">
        <f t="shared" si="4"/>
        <v>#REF!</v>
      </c>
      <c r="AC54" s="51" t="e">
        <f t="shared" si="0"/>
        <v>#REF!</v>
      </c>
      <c r="AD54" s="51" t="e">
        <f t="shared" si="0"/>
        <v>#REF!</v>
      </c>
      <c r="AE54" s="51" t="e">
        <f t="shared" si="0"/>
        <v>#REF!</v>
      </c>
      <c r="AF54" s="51" t="e">
        <f t="shared" si="0"/>
        <v>#REF!</v>
      </c>
      <c r="AG54" s="51" t="e">
        <f t="shared" si="0"/>
        <v>#REF!</v>
      </c>
      <c r="AH54" s="54" t="e">
        <f t="shared" si="0"/>
        <v>#REF!</v>
      </c>
      <c r="AI54" s="55" t="e">
        <f t="shared" si="0"/>
        <v>#REF!</v>
      </c>
      <c r="AJ54" s="54" t="e">
        <f t="shared" si="0"/>
        <v>#REF!</v>
      </c>
      <c r="AK54" s="55" t="e">
        <f t="shared" si="0"/>
        <v>#REF!</v>
      </c>
      <c r="AL54" s="82" t="e">
        <f t="shared" si="0"/>
        <v>#REF!</v>
      </c>
      <c r="AM54" s="82" t="e">
        <f t="shared" si="0"/>
        <v>#REF!</v>
      </c>
      <c r="AN54" s="54" t="e">
        <f t="shared" si="0"/>
        <v>#REF!</v>
      </c>
      <c r="AO54" s="54" t="e">
        <f t="shared" si="0"/>
        <v>#REF!</v>
      </c>
      <c r="AP54" s="54" t="e">
        <f t="shared" si="0"/>
        <v>#REF!</v>
      </c>
      <c r="AQ54" s="53" t="e">
        <f t="shared" si="0"/>
        <v>#REF!</v>
      </c>
      <c r="AR54" s="53" t="e">
        <f t="shared" si="0"/>
        <v>#REF!</v>
      </c>
      <c r="AS54" s="53" t="e">
        <f t="shared" si="0"/>
        <v>#REF!</v>
      </c>
      <c r="AT54" s="53" t="e">
        <f t="shared" si="0"/>
        <v>#REF!</v>
      </c>
      <c r="AU54" s="53" t="e">
        <f t="shared" si="0"/>
        <v>#REF!</v>
      </c>
      <c r="AV54" s="53" t="e">
        <f t="shared" si="0"/>
        <v>#REF!</v>
      </c>
      <c r="AW54" s="51" t="e">
        <f t="shared" si="0"/>
        <v>#REF!</v>
      </c>
      <c r="AX54" s="53" t="e">
        <f t="shared" si="0"/>
        <v>#REF!</v>
      </c>
      <c r="AY54" s="51" t="e">
        <f t="shared" si="0"/>
        <v>#REF!</v>
      </c>
    </row>
    <row r="55" spans="19:51" x14ac:dyDescent="0.15">
      <c r="S55" s="82" t="e">
        <f t="shared" si="1"/>
        <v>#REF!</v>
      </c>
      <c r="T55" s="54" t="e">
        <f t="shared" si="2"/>
        <v>#REF!</v>
      </c>
      <c r="U55" s="86" t="e">
        <f t="shared" si="3"/>
        <v>#REF!</v>
      </c>
      <c r="AB55" s="51" t="e">
        <f t="shared" si="4"/>
        <v>#REF!</v>
      </c>
      <c r="AC55" s="51" t="e">
        <f t="shared" si="0"/>
        <v>#REF!</v>
      </c>
      <c r="AD55" s="51" t="e">
        <f t="shared" si="0"/>
        <v>#REF!</v>
      </c>
      <c r="AE55" s="51" t="e">
        <f t="shared" si="0"/>
        <v>#REF!</v>
      </c>
      <c r="AF55" s="51" t="e">
        <f t="shared" si="0"/>
        <v>#REF!</v>
      </c>
      <c r="AG55" s="51" t="e">
        <f t="shared" si="0"/>
        <v>#REF!</v>
      </c>
      <c r="AH55" s="54" t="e">
        <f t="shared" si="0"/>
        <v>#REF!</v>
      </c>
      <c r="AI55" s="55" t="e">
        <f t="shared" si="0"/>
        <v>#REF!</v>
      </c>
      <c r="AJ55" s="54" t="e">
        <f t="shared" si="0"/>
        <v>#REF!</v>
      </c>
      <c r="AK55" s="55" t="e">
        <f t="shared" si="0"/>
        <v>#REF!</v>
      </c>
      <c r="AL55" s="82" t="e">
        <f t="shared" si="0"/>
        <v>#REF!</v>
      </c>
      <c r="AM55" s="82" t="e">
        <f t="shared" si="0"/>
        <v>#REF!</v>
      </c>
      <c r="AN55" s="54" t="e">
        <f t="shared" si="0"/>
        <v>#REF!</v>
      </c>
      <c r="AO55" s="54" t="e">
        <f t="shared" si="0"/>
        <v>#REF!</v>
      </c>
      <c r="AP55" s="54" t="e">
        <f t="shared" si="0"/>
        <v>#REF!</v>
      </c>
      <c r="AQ55" s="53" t="e">
        <f t="shared" si="0"/>
        <v>#REF!</v>
      </c>
      <c r="AR55" s="53" t="e">
        <f t="shared" si="0"/>
        <v>#REF!</v>
      </c>
      <c r="AS55" s="53" t="e">
        <f t="shared" si="0"/>
        <v>#REF!</v>
      </c>
      <c r="AT55" s="53" t="e">
        <f t="shared" si="0"/>
        <v>#REF!</v>
      </c>
      <c r="AU55" s="53" t="e">
        <f t="shared" si="0"/>
        <v>#REF!</v>
      </c>
      <c r="AV55" s="53" t="e">
        <f t="shared" si="0"/>
        <v>#REF!</v>
      </c>
      <c r="AW55" s="51" t="e">
        <f t="shared" si="0"/>
        <v>#REF!</v>
      </c>
      <c r="AX55" s="53" t="e">
        <f t="shared" si="0"/>
        <v>#REF!</v>
      </c>
      <c r="AY55" s="51" t="e">
        <f t="shared" si="0"/>
        <v>#REF!</v>
      </c>
    </row>
    <row r="56" spans="19:51" x14ac:dyDescent="0.15">
      <c r="S56" s="82" t="e">
        <f t="shared" si="1"/>
        <v>#REF!</v>
      </c>
      <c r="T56" s="54" t="e">
        <f t="shared" si="2"/>
        <v>#REF!</v>
      </c>
      <c r="U56" s="86" t="e">
        <f t="shared" si="3"/>
        <v>#REF!</v>
      </c>
      <c r="AB56" s="51" t="e">
        <f t="shared" si="4"/>
        <v>#REF!</v>
      </c>
      <c r="AC56" s="51" t="e">
        <f t="shared" si="0"/>
        <v>#REF!</v>
      </c>
      <c r="AD56" s="51" t="e">
        <f t="shared" si="0"/>
        <v>#REF!</v>
      </c>
      <c r="AE56" s="51" t="e">
        <f t="shared" si="0"/>
        <v>#REF!</v>
      </c>
      <c r="AF56" s="51" t="e">
        <f t="shared" si="0"/>
        <v>#REF!</v>
      </c>
      <c r="AG56" s="51" t="e">
        <f t="shared" si="0"/>
        <v>#REF!</v>
      </c>
      <c r="AH56" s="54" t="e">
        <f t="shared" si="0"/>
        <v>#REF!</v>
      </c>
      <c r="AI56" s="55" t="e">
        <f t="shared" si="0"/>
        <v>#REF!</v>
      </c>
      <c r="AJ56" s="54" t="e">
        <f t="shared" si="0"/>
        <v>#REF!</v>
      </c>
      <c r="AK56" s="55" t="e">
        <f t="shared" si="0"/>
        <v>#REF!</v>
      </c>
      <c r="AL56" s="82" t="e">
        <f t="shared" si="0"/>
        <v>#REF!</v>
      </c>
      <c r="AM56" s="82" t="e">
        <f t="shared" si="0"/>
        <v>#REF!</v>
      </c>
      <c r="AN56" s="54" t="e">
        <f t="shared" si="0"/>
        <v>#REF!</v>
      </c>
      <c r="AO56" s="54" t="e">
        <f t="shared" si="0"/>
        <v>#REF!</v>
      </c>
      <c r="AP56" s="54" t="e">
        <f t="shared" si="0"/>
        <v>#REF!</v>
      </c>
      <c r="AQ56" s="53" t="e">
        <f t="shared" si="0"/>
        <v>#REF!</v>
      </c>
      <c r="AR56" s="53" t="e">
        <f t="shared" si="0"/>
        <v>#REF!</v>
      </c>
      <c r="AS56" s="53" t="e">
        <f t="shared" si="0"/>
        <v>#REF!</v>
      </c>
      <c r="AT56" s="53" t="e">
        <f t="shared" si="0"/>
        <v>#REF!</v>
      </c>
      <c r="AU56" s="53" t="e">
        <f t="shared" si="0"/>
        <v>#REF!</v>
      </c>
      <c r="AV56" s="53" t="e">
        <f t="shared" si="0"/>
        <v>#REF!</v>
      </c>
      <c r="AW56" s="51" t="e">
        <f t="shared" si="0"/>
        <v>#REF!</v>
      </c>
      <c r="AX56" s="53" t="e">
        <f t="shared" si="0"/>
        <v>#REF!</v>
      </c>
      <c r="AY56" s="51" t="e">
        <f t="shared" si="0"/>
        <v>#REF!</v>
      </c>
    </row>
    <row r="57" spans="19:51" x14ac:dyDescent="0.15">
      <c r="S57" s="82" t="e">
        <f t="shared" si="1"/>
        <v>#REF!</v>
      </c>
      <c r="T57" s="54" t="e">
        <f t="shared" si="2"/>
        <v>#REF!</v>
      </c>
      <c r="U57" s="86" t="e">
        <f t="shared" si="3"/>
        <v>#REF!</v>
      </c>
      <c r="AB57" s="51" t="e">
        <f t="shared" si="4"/>
        <v>#REF!</v>
      </c>
      <c r="AC57" s="51" t="e">
        <f t="shared" si="0"/>
        <v>#REF!</v>
      </c>
      <c r="AD57" s="51" t="e">
        <f t="shared" si="0"/>
        <v>#REF!</v>
      </c>
      <c r="AE57" s="51" t="e">
        <f t="shared" ref="AE57:AE83" si="5">E15</f>
        <v>#REF!</v>
      </c>
      <c r="AF57" s="51" t="e">
        <f t="shared" ref="AF57:AF83" si="6">F15</f>
        <v>#REF!</v>
      </c>
      <c r="AG57" s="51" t="e">
        <f t="shared" ref="AG57:AG83" si="7">G15</f>
        <v>#REF!</v>
      </c>
      <c r="AH57" s="54" t="e">
        <f t="shared" ref="AH57:AH83" si="8">H15</f>
        <v>#REF!</v>
      </c>
      <c r="AI57" s="55" t="e">
        <f t="shared" ref="AI57:AI83" si="9">I15</f>
        <v>#REF!</v>
      </c>
      <c r="AJ57" s="54" t="e">
        <f t="shared" ref="AJ57:AJ83" si="10">J15</f>
        <v>#REF!</v>
      </c>
      <c r="AK57" s="55" t="e">
        <f t="shared" ref="AK57:AK83" si="11">K15</f>
        <v>#REF!</v>
      </c>
      <c r="AL57" s="82" t="e">
        <f t="shared" ref="AL57:AL83" si="12">L15</f>
        <v>#REF!</v>
      </c>
      <c r="AM57" s="82" t="e">
        <f t="shared" ref="AM57:AM83" si="13">M15</f>
        <v>#REF!</v>
      </c>
      <c r="AN57" s="54" t="e">
        <f t="shared" ref="AN57:AN83" si="14">N15</f>
        <v>#REF!</v>
      </c>
      <c r="AO57" s="54" t="e">
        <f t="shared" ref="AO57:AO83" si="15">O15</f>
        <v>#REF!</v>
      </c>
      <c r="AP57" s="54" t="e">
        <f t="shared" ref="AP57:AP83" si="16">P15</f>
        <v>#REF!</v>
      </c>
      <c r="AQ57" s="53" t="e">
        <f t="shared" ref="AQ57:AQ83" si="17">Q15</f>
        <v>#REF!</v>
      </c>
      <c r="AR57" s="53" t="e">
        <f t="shared" ref="AR57:AR83" si="18">R15</f>
        <v>#REF!</v>
      </c>
      <c r="AS57" s="53" t="e">
        <f t="shared" ref="AS57:AS83" si="19">S15</f>
        <v>#REF!</v>
      </c>
      <c r="AT57" s="53" t="e">
        <f t="shared" ref="AT57:AT83" si="20">T15</f>
        <v>#REF!</v>
      </c>
      <c r="AU57" s="53" t="e">
        <f t="shared" ref="AU57:AU83" si="21">U15</f>
        <v>#REF!</v>
      </c>
      <c r="AV57" s="53" t="e">
        <f t="shared" ref="AV57:AV83" si="22">V15</f>
        <v>#REF!</v>
      </c>
      <c r="AW57" s="51" t="e">
        <f t="shared" ref="AW57:AW83" si="23">W15</f>
        <v>#REF!</v>
      </c>
      <c r="AX57" s="53" t="e">
        <f t="shared" ref="AX57:AX83" si="24">X15</f>
        <v>#REF!</v>
      </c>
      <c r="AY57" s="51" t="e">
        <f t="shared" ref="AY57:AY83" si="25">Y15</f>
        <v>#REF!</v>
      </c>
    </row>
    <row r="58" spans="19:51" x14ac:dyDescent="0.15">
      <c r="S58" s="82" t="e">
        <f t="shared" si="1"/>
        <v>#REF!</v>
      </c>
      <c r="T58" s="62" t="e">
        <f t="shared" si="2"/>
        <v>#REF!</v>
      </c>
      <c r="U58" s="86" t="e">
        <f t="shared" si="3"/>
        <v>#REF!</v>
      </c>
      <c r="AB58" s="60" t="e">
        <f t="shared" si="4"/>
        <v>#REF!</v>
      </c>
      <c r="AC58" s="60" t="e">
        <f t="shared" ref="AC58:AC83" si="26">C16</f>
        <v>#REF!</v>
      </c>
      <c r="AD58" s="60" t="e">
        <f t="shared" ref="AD58:AD83" si="27">D16</f>
        <v>#REF!</v>
      </c>
      <c r="AE58" s="60" t="e">
        <f t="shared" si="5"/>
        <v>#REF!</v>
      </c>
      <c r="AF58" s="60" t="e">
        <f t="shared" si="6"/>
        <v>#REF!</v>
      </c>
      <c r="AG58" s="60" t="e">
        <f t="shared" si="7"/>
        <v>#REF!</v>
      </c>
      <c r="AH58" s="62" t="e">
        <f t="shared" si="8"/>
        <v>#REF!</v>
      </c>
      <c r="AI58" s="63" t="e">
        <f t="shared" si="9"/>
        <v>#REF!</v>
      </c>
      <c r="AJ58" s="62" t="e">
        <f t="shared" si="10"/>
        <v>#REF!</v>
      </c>
      <c r="AK58" s="63" t="e">
        <f t="shared" si="11"/>
        <v>#REF!</v>
      </c>
      <c r="AL58" s="84" t="e">
        <f t="shared" si="12"/>
        <v>#REF!</v>
      </c>
      <c r="AM58" s="84" t="e">
        <f t="shared" si="13"/>
        <v>#REF!</v>
      </c>
      <c r="AN58" s="62" t="e">
        <f t="shared" si="14"/>
        <v>#REF!</v>
      </c>
      <c r="AO58" s="62" t="e">
        <f t="shared" si="15"/>
        <v>#REF!</v>
      </c>
      <c r="AP58" s="62" t="e">
        <f t="shared" si="16"/>
        <v>#REF!</v>
      </c>
      <c r="AQ58" s="61" t="e">
        <f t="shared" si="17"/>
        <v>#REF!</v>
      </c>
      <c r="AR58" s="61" t="e">
        <f t="shared" si="18"/>
        <v>#REF!</v>
      </c>
      <c r="AS58" s="61" t="e">
        <f t="shared" si="19"/>
        <v>#REF!</v>
      </c>
      <c r="AT58" s="61" t="e">
        <f t="shared" si="20"/>
        <v>#REF!</v>
      </c>
      <c r="AU58" s="61" t="e">
        <f t="shared" si="21"/>
        <v>#REF!</v>
      </c>
      <c r="AV58" s="61" t="e">
        <f t="shared" si="22"/>
        <v>#REF!</v>
      </c>
      <c r="AW58" s="60" t="e">
        <f t="shared" si="23"/>
        <v>#REF!</v>
      </c>
      <c r="AX58" s="61" t="e">
        <f t="shared" si="24"/>
        <v>#REF!</v>
      </c>
      <c r="AY58" s="60" t="e">
        <f t="shared" si="25"/>
        <v>#REF!</v>
      </c>
    </row>
    <row r="59" spans="19:51" x14ac:dyDescent="0.15">
      <c r="S59" s="82" t="e">
        <f t="shared" si="1"/>
        <v>#REF!</v>
      </c>
      <c r="T59" s="54" t="e">
        <f t="shared" si="2"/>
        <v>#REF!</v>
      </c>
      <c r="U59" s="86" t="e">
        <f t="shared" si="3"/>
        <v>#REF!</v>
      </c>
      <c r="AB59" s="51" t="e">
        <f t="shared" si="4"/>
        <v>#REF!</v>
      </c>
      <c r="AC59" s="51" t="e">
        <f t="shared" si="26"/>
        <v>#REF!</v>
      </c>
      <c r="AD59" s="51" t="e">
        <f t="shared" si="27"/>
        <v>#REF!</v>
      </c>
      <c r="AE59" s="51" t="e">
        <f t="shared" si="5"/>
        <v>#REF!</v>
      </c>
      <c r="AF59" s="51" t="e">
        <f t="shared" si="6"/>
        <v>#REF!</v>
      </c>
      <c r="AG59" s="51" t="e">
        <f t="shared" si="7"/>
        <v>#REF!</v>
      </c>
      <c r="AH59" s="54" t="e">
        <f t="shared" si="8"/>
        <v>#REF!</v>
      </c>
      <c r="AI59" s="55" t="e">
        <f t="shared" si="9"/>
        <v>#REF!</v>
      </c>
      <c r="AJ59" s="54" t="e">
        <f t="shared" si="10"/>
        <v>#REF!</v>
      </c>
      <c r="AK59" s="55" t="e">
        <f t="shared" si="11"/>
        <v>#REF!</v>
      </c>
      <c r="AL59" s="82" t="e">
        <f t="shared" si="12"/>
        <v>#REF!</v>
      </c>
      <c r="AM59" s="82" t="e">
        <f t="shared" si="13"/>
        <v>#REF!</v>
      </c>
      <c r="AN59" s="54" t="e">
        <f t="shared" si="14"/>
        <v>#REF!</v>
      </c>
      <c r="AO59" s="54" t="e">
        <f t="shared" si="15"/>
        <v>#REF!</v>
      </c>
      <c r="AP59" s="54" t="e">
        <f t="shared" si="16"/>
        <v>#REF!</v>
      </c>
      <c r="AQ59" s="53" t="e">
        <f t="shared" si="17"/>
        <v>#REF!</v>
      </c>
      <c r="AR59" s="53" t="e">
        <f t="shared" si="18"/>
        <v>#REF!</v>
      </c>
      <c r="AS59" s="53" t="e">
        <f t="shared" si="19"/>
        <v>#REF!</v>
      </c>
      <c r="AT59" s="53" t="e">
        <f t="shared" si="20"/>
        <v>#REF!</v>
      </c>
      <c r="AU59" s="53" t="e">
        <f t="shared" si="21"/>
        <v>#REF!</v>
      </c>
      <c r="AV59" s="53" t="e">
        <f t="shared" si="22"/>
        <v>#REF!</v>
      </c>
      <c r="AW59" s="51" t="e">
        <f t="shared" si="23"/>
        <v>#REF!</v>
      </c>
      <c r="AX59" s="53" t="e">
        <f t="shared" si="24"/>
        <v>#REF!</v>
      </c>
      <c r="AY59" s="51" t="e">
        <f t="shared" si="25"/>
        <v>#REF!</v>
      </c>
    </row>
    <row r="60" spans="19:51" x14ac:dyDescent="0.15">
      <c r="S60" s="82" t="e">
        <f t="shared" si="1"/>
        <v>#REF!</v>
      </c>
      <c r="T60" s="54" t="e">
        <f t="shared" si="2"/>
        <v>#REF!</v>
      </c>
      <c r="U60" s="86" t="e">
        <f t="shared" si="3"/>
        <v>#REF!</v>
      </c>
      <c r="AB60" s="51" t="e">
        <f t="shared" si="4"/>
        <v>#REF!</v>
      </c>
      <c r="AC60" s="51" t="e">
        <f t="shared" si="26"/>
        <v>#REF!</v>
      </c>
      <c r="AD60" s="51" t="e">
        <f t="shared" si="27"/>
        <v>#REF!</v>
      </c>
      <c r="AE60" s="51" t="e">
        <f t="shared" si="5"/>
        <v>#REF!</v>
      </c>
      <c r="AF60" s="51" t="e">
        <f t="shared" si="6"/>
        <v>#REF!</v>
      </c>
      <c r="AG60" s="51" t="e">
        <f t="shared" si="7"/>
        <v>#REF!</v>
      </c>
      <c r="AH60" s="54" t="e">
        <f t="shared" si="8"/>
        <v>#REF!</v>
      </c>
      <c r="AI60" s="55" t="e">
        <f t="shared" si="9"/>
        <v>#REF!</v>
      </c>
      <c r="AJ60" s="54" t="e">
        <f t="shared" si="10"/>
        <v>#REF!</v>
      </c>
      <c r="AK60" s="55" t="e">
        <f t="shared" si="11"/>
        <v>#REF!</v>
      </c>
      <c r="AL60" s="82" t="e">
        <f t="shared" si="12"/>
        <v>#REF!</v>
      </c>
      <c r="AM60" s="82" t="e">
        <f t="shared" si="13"/>
        <v>#REF!</v>
      </c>
      <c r="AN60" s="54" t="e">
        <f t="shared" si="14"/>
        <v>#REF!</v>
      </c>
      <c r="AO60" s="54" t="e">
        <f t="shared" si="15"/>
        <v>#REF!</v>
      </c>
      <c r="AP60" s="54" t="e">
        <f t="shared" si="16"/>
        <v>#REF!</v>
      </c>
      <c r="AQ60" s="53" t="e">
        <f t="shared" si="17"/>
        <v>#REF!</v>
      </c>
      <c r="AR60" s="53" t="e">
        <f t="shared" si="18"/>
        <v>#REF!</v>
      </c>
      <c r="AS60" s="53" t="e">
        <f t="shared" si="19"/>
        <v>#REF!</v>
      </c>
      <c r="AT60" s="53" t="e">
        <f t="shared" si="20"/>
        <v>#REF!</v>
      </c>
      <c r="AU60" s="53" t="e">
        <f t="shared" si="21"/>
        <v>#REF!</v>
      </c>
      <c r="AV60" s="53" t="e">
        <f t="shared" si="22"/>
        <v>#REF!</v>
      </c>
      <c r="AW60" s="51" t="e">
        <f t="shared" si="23"/>
        <v>#REF!</v>
      </c>
      <c r="AX60" s="53" t="e">
        <f t="shared" si="24"/>
        <v>#REF!</v>
      </c>
      <c r="AY60" s="51" t="e">
        <f t="shared" si="25"/>
        <v>#REF!</v>
      </c>
    </row>
    <row r="61" spans="19:51" x14ac:dyDescent="0.15">
      <c r="S61" s="82" t="e">
        <f t="shared" si="1"/>
        <v>#REF!</v>
      </c>
      <c r="T61" s="54" t="e">
        <f t="shared" si="2"/>
        <v>#REF!</v>
      </c>
      <c r="U61" s="86" t="e">
        <f t="shared" si="3"/>
        <v>#REF!</v>
      </c>
      <c r="AB61" s="51" t="e">
        <f t="shared" si="4"/>
        <v>#REF!</v>
      </c>
      <c r="AC61" s="51" t="e">
        <f t="shared" si="26"/>
        <v>#REF!</v>
      </c>
      <c r="AD61" s="51" t="e">
        <f t="shared" si="27"/>
        <v>#REF!</v>
      </c>
      <c r="AE61" s="51" t="e">
        <f t="shared" si="5"/>
        <v>#REF!</v>
      </c>
      <c r="AF61" s="51" t="e">
        <f t="shared" si="6"/>
        <v>#REF!</v>
      </c>
      <c r="AG61" s="51" t="e">
        <f t="shared" si="7"/>
        <v>#REF!</v>
      </c>
      <c r="AH61" s="54" t="e">
        <f t="shared" si="8"/>
        <v>#REF!</v>
      </c>
      <c r="AI61" s="55" t="e">
        <f t="shared" si="9"/>
        <v>#REF!</v>
      </c>
      <c r="AJ61" s="54" t="e">
        <f t="shared" si="10"/>
        <v>#REF!</v>
      </c>
      <c r="AK61" s="55" t="e">
        <f t="shared" si="11"/>
        <v>#REF!</v>
      </c>
      <c r="AL61" s="82" t="e">
        <f t="shared" si="12"/>
        <v>#REF!</v>
      </c>
      <c r="AM61" s="82" t="e">
        <f t="shared" si="13"/>
        <v>#REF!</v>
      </c>
      <c r="AN61" s="54" t="e">
        <f t="shared" si="14"/>
        <v>#REF!</v>
      </c>
      <c r="AO61" s="54" t="e">
        <f t="shared" si="15"/>
        <v>#REF!</v>
      </c>
      <c r="AP61" s="54" t="e">
        <f t="shared" si="16"/>
        <v>#REF!</v>
      </c>
      <c r="AQ61" s="53" t="e">
        <f t="shared" si="17"/>
        <v>#REF!</v>
      </c>
      <c r="AR61" s="53" t="e">
        <f t="shared" si="18"/>
        <v>#REF!</v>
      </c>
      <c r="AS61" s="53" t="e">
        <f t="shared" si="19"/>
        <v>#REF!</v>
      </c>
      <c r="AT61" s="53" t="e">
        <f t="shared" si="20"/>
        <v>#REF!</v>
      </c>
      <c r="AU61" s="53" t="e">
        <f t="shared" si="21"/>
        <v>#REF!</v>
      </c>
      <c r="AV61" s="53" t="e">
        <f t="shared" si="22"/>
        <v>#REF!</v>
      </c>
      <c r="AW61" s="51" t="e">
        <f t="shared" si="23"/>
        <v>#REF!</v>
      </c>
      <c r="AX61" s="53" t="e">
        <f t="shared" si="24"/>
        <v>#REF!</v>
      </c>
      <c r="AY61" s="51" t="e">
        <f t="shared" si="25"/>
        <v>#REF!</v>
      </c>
    </row>
    <row r="62" spans="19:51" x14ac:dyDescent="0.15">
      <c r="S62" s="82" t="e">
        <f t="shared" si="1"/>
        <v>#REF!</v>
      </c>
      <c r="T62" s="54" t="e">
        <f t="shared" si="2"/>
        <v>#REF!</v>
      </c>
      <c r="U62" s="86" t="e">
        <f t="shared" si="3"/>
        <v>#REF!</v>
      </c>
      <c r="AB62" s="51" t="e">
        <f t="shared" si="4"/>
        <v>#REF!</v>
      </c>
      <c r="AC62" s="51" t="e">
        <f t="shared" si="26"/>
        <v>#REF!</v>
      </c>
      <c r="AD62" s="51" t="e">
        <f t="shared" si="27"/>
        <v>#REF!</v>
      </c>
      <c r="AE62" s="51" t="e">
        <f t="shared" si="5"/>
        <v>#REF!</v>
      </c>
      <c r="AF62" s="51" t="e">
        <f t="shared" si="6"/>
        <v>#REF!</v>
      </c>
      <c r="AG62" s="51" t="e">
        <f t="shared" si="7"/>
        <v>#REF!</v>
      </c>
      <c r="AH62" s="54" t="e">
        <f t="shared" si="8"/>
        <v>#REF!</v>
      </c>
      <c r="AI62" s="55" t="e">
        <f t="shared" si="9"/>
        <v>#REF!</v>
      </c>
      <c r="AJ62" s="54" t="e">
        <f t="shared" si="10"/>
        <v>#REF!</v>
      </c>
      <c r="AK62" s="55" t="e">
        <f t="shared" si="11"/>
        <v>#REF!</v>
      </c>
      <c r="AL62" s="82" t="e">
        <f t="shared" si="12"/>
        <v>#REF!</v>
      </c>
      <c r="AM62" s="82" t="e">
        <f t="shared" si="13"/>
        <v>#REF!</v>
      </c>
      <c r="AN62" s="54" t="e">
        <f t="shared" si="14"/>
        <v>#REF!</v>
      </c>
      <c r="AO62" s="54" t="e">
        <f t="shared" si="15"/>
        <v>#REF!</v>
      </c>
      <c r="AP62" s="54" t="e">
        <f t="shared" si="16"/>
        <v>#REF!</v>
      </c>
      <c r="AQ62" s="53" t="e">
        <f t="shared" si="17"/>
        <v>#REF!</v>
      </c>
      <c r="AR62" s="53" t="e">
        <f t="shared" si="18"/>
        <v>#REF!</v>
      </c>
      <c r="AS62" s="53" t="e">
        <f t="shared" si="19"/>
        <v>#REF!</v>
      </c>
      <c r="AT62" s="53" t="e">
        <f t="shared" si="20"/>
        <v>#REF!</v>
      </c>
      <c r="AU62" s="53" t="e">
        <f t="shared" si="21"/>
        <v>#REF!</v>
      </c>
      <c r="AV62" s="53" t="e">
        <f t="shared" si="22"/>
        <v>#REF!</v>
      </c>
      <c r="AW62" s="51" t="e">
        <f t="shared" si="23"/>
        <v>#REF!</v>
      </c>
      <c r="AX62" s="53" t="e">
        <f t="shared" si="24"/>
        <v>#REF!</v>
      </c>
      <c r="AY62" s="51" t="e">
        <f t="shared" si="25"/>
        <v>#REF!</v>
      </c>
    </row>
    <row r="63" spans="19:51" x14ac:dyDescent="0.15">
      <c r="S63" s="82" t="e">
        <f t="shared" si="1"/>
        <v>#REF!</v>
      </c>
      <c r="T63" s="54" t="e">
        <f t="shared" si="2"/>
        <v>#REF!</v>
      </c>
      <c r="U63" s="86" t="e">
        <f t="shared" si="3"/>
        <v>#REF!</v>
      </c>
      <c r="AB63" s="51" t="e">
        <f t="shared" si="4"/>
        <v>#REF!</v>
      </c>
      <c r="AC63" s="51" t="e">
        <f t="shared" si="26"/>
        <v>#REF!</v>
      </c>
      <c r="AD63" s="51" t="e">
        <f t="shared" si="27"/>
        <v>#REF!</v>
      </c>
      <c r="AE63" s="51" t="e">
        <f t="shared" si="5"/>
        <v>#REF!</v>
      </c>
      <c r="AF63" s="51" t="e">
        <f t="shared" si="6"/>
        <v>#REF!</v>
      </c>
      <c r="AG63" s="51" t="e">
        <f t="shared" si="7"/>
        <v>#REF!</v>
      </c>
      <c r="AH63" s="54" t="e">
        <f t="shared" si="8"/>
        <v>#REF!</v>
      </c>
      <c r="AI63" s="55" t="e">
        <f t="shared" si="9"/>
        <v>#REF!</v>
      </c>
      <c r="AJ63" s="54" t="e">
        <f t="shared" si="10"/>
        <v>#REF!</v>
      </c>
      <c r="AK63" s="55" t="e">
        <f t="shared" si="11"/>
        <v>#REF!</v>
      </c>
      <c r="AL63" s="82" t="e">
        <f t="shared" si="12"/>
        <v>#REF!</v>
      </c>
      <c r="AM63" s="82" t="e">
        <f t="shared" si="13"/>
        <v>#REF!</v>
      </c>
      <c r="AN63" s="54" t="e">
        <f t="shared" si="14"/>
        <v>#REF!</v>
      </c>
      <c r="AO63" s="54" t="e">
        <f t="shared" si="15"/>
        <v>#REF!</v>
      </c>
      <c r="AP63" s="54" t="e">
        <f t="shared" si="16"/>
        <v>#REF!</v>
      </c>
      <c r="AQ63" s="53" t="e">
        <f t="shared" si="17"/>
        <v>#REF!</v>
      </c>
      <c r="AR63" s="53" t="e">
        <f t="shared" si="18"/>
        <v>#REF!</v>
      </c>
      <c r="AS63" s="53" t="e">
        <f t="shared" si="19"/>
        <v>#REF!</v>
      </c>
      <c r="AT63" s="53" t="e">
        <f t="shared" si="20"/>
        <v>#REF!</v>
      </c>
      <c r="AU63" s="53" t="e">
        <f t="shared" si="21"/>
        <v>#REF!</v>
      </c>
      <c r="AV63" s="53" t="e">
        <f t="shared" si="22"/>
        <v>#REF!</v>
      </c>
      <c r="AW63" s="51" t="e">
        <f t="shared" si="23"/>
        <v>#REF!</v>
      </c>
      <c r="AX63" s="53" t="e">
        <f t="shared" si="24"/>
        <v>#REF!</v>
      </c>
      <c r="AY63" s="51" t="e">
        <f t="shared" si="25"/>
        <v>#REF!</v>
      </c>
    </row>
    <row r="64" spans="19:51" x14ac:dyDescent="0.15">
      <c r="S64" s="82" t="e">
        <f t="shared" si="1"/>
        <v>#REF!</v>
      </c>
      <c r="T64" s="54" t="e">
        <f t="shared" si="2"/>
        <v>#REF!</v>
      </c>
      <c r="U64" s="86" t="e">
        <f t="shared" si="3"/>
        <v>#REF!</v>
      </c>
      <c r="AB64" s="51" t="e">
        <f t="shared" si="4"/>
        <v>#REF!</v>
      </c>
      <c r="AC64" s="51" t="e">
        <f t="shared" si="26"/>
        <v>#REF!</v>
      </c>
      <c r="AD64" s="51" t="e">
        <f t="shared" si="27"/>
        <v>#REF!</v>
      </c>
      <c r="AE64" s="51" t="e">
        <f t="shared" si="5"/>
        <v>#REF!</v>
      </c>
      <c r="AF64" s="51" t="e">
        <f t="shared" si="6"/>
        <v>#REF!</v>
      </c>
      <c r="AG64" s="51" t="e">
        <f t="shared" si="7"/>
        <v>#REF!</v>
      </c>
      <c r="AH64" s="54" t="e">
        <f t="shared" si="8"/>
        <v>#REF!</v>
      </c>
      <c r="AI64" s="55" t="e">
        <f t="shared" si="9"/>
        <v>#REF!</v>
      </c>
      <c r="AJ64" s="54" t="e">
        <f t="shared" si="10"/>
        <v>#REF!</v>
      </c>
      <c r="AK64" s="55" t="e">
        <f t="shared" si="11"/>
        <v>#REF!</v>
      </c>
      <c r="AL64" s="82" t="e">
        <f t="shared" si="12"/>
        <v>#REF!</v>
      </c>
      <c r="AM64" s="82" t="e">
        <f t="shared" si="13"/>
        <v>#REF!</v>
      </c>
      <c r="AN64" s="54" t="e">
        <f t="shared" si="14"/>
        <v>#REF!</v>
      </c>
      <c r="AO64" s="54" t="e">
        <f t="shared" si="15"/>
        <v>#REF!</v>
      </c>
      <c r="AP64" s="54" t="e">
        <f t="shared" si="16"/>
        <v>#REF!</v>
      </c>
      <c r="AQ64" s="53" t="e">
        <f t="shared" si="17"/>
        <v>#REF!</v>
      </c>
      <c r="AR64" s="53" t="e">
        <f t="shared" si="18"/>
        <v>#REF!</v>
      </c>
      <c r="AS64" s="53" t="e">
        <f t="shared" si="19"/>
        <v>#REF!</v>
      </c>
      <c r="AT64" s="53" t="e">
        <f t="shared" si="20"/>
        <v>#REF!</v>
      </c>
      <c r="AU64" s="53" t="e">
        <f t="shared" si="21"/>
        <v>#REF!</v>
      </c>
      <c r="AV64" s="53" t="e">
        <f t="shared" si="22"/>
        <v>#REF!</v>
      </c>
      <c r="AW64" s="51" t="e">
        <f t="shared" si="23"/>
        <v>#REF!</v>
      </c>
      <c r="AX64" s="53" t="e">
        <f t="shared" si="24"/>
        <v>#REF!</v>
      </c>
      <c r="AY64" s="51" t="e">
        <f t="shared" si="25"/>
        <v>#REF!</v>
      </c>
    </row>
    <row r="65" spans="19:51" x14ac:dyDescent="0.15">
      <c r="S65" s="82" t="e">
        <f t="shared" si="1"/>
        <v>#REF!</v>
      </c>
      <c r="T65" s="54" t="e">
        <f t="shared" si="2"/>
        <v>#REF!</v>
      </c>
      <c r="U65" s="86" t="e">
        <f t="shared" si="3"/>
        <v>#REF!</v>
      </c>
      <c r="AB65" s="51" t="e">
        <f t="shared" si="4"/>
        <v>#REF!</v>
      </c>
      <c r="AC65" s="51" t="e">
        <f t="shared" si="26"/>
        <v>#REF!</v>
      </c>
      <c r="AD65" s="51" t="e">
        <f t="shared" si="27"/>
        <v>#REF!</v>
      </c>
      <c r="AE65" s="51" t="e">
        <f t="shared" si="5"/>
        <v>#REF!</v>
      </c>
      <c r="AF65" s="51" t="e">
        <f t="shared" si="6"/>
        <v>#REF!</v>
      </c>
      <c r="AG65" s="51" t="e">
        <f t="shared" si="7"/>
        <v>#REF!</v>
      </c>
      <c r="AH65" s="54" t="e">
        <f t="shared" si="8"/>
        <v>#REF!</v>
      </c>
      <c r="AI65" s="55" t="e">
        <f t="shared" si="9"/>
        <v>#REF!</v>
      </c>
      <c r="AJ65" s="54" t="e">
        <f t="shared" si="10"/>
        <v>#REF!</v>
      </c>
      <c r="AK65" s="55" t="e">
        <f t="shared" si="11"/>
        <v>#REF!</v>
      </c>
      <c r="AL65" s="82" t="e">
        <f t="shared" si="12"/>
        <v>#REF!</v>
      </c>
      <c r="AM65" s="82" t="e">
        <f t="shared" si="13"/>
        <v>#REF!</v>
      </c>
      <c r="AN65" s="54" t="e">
        <f t="shared" si="14"/>
        <v>#REF!</v>
      </c>
      <c r="AO65" s="54" t="e">
        <f t="shared" si="15"/>
        <v>#REF!</v>
      </c>
      <c r="AP65" s="54" t="e">
        <f t="shared" si="16"/>
        <v>#REF!</v>
      </c>
      <c r="AQ65" s="53" t="e">
        <f t="shared" si="17"/>
        <v>#REF!</v>
      </c>
      <c r="AR65" s="53" t="e">
        <f t="shared" si="18"/>
        <v>#REF!</v>
      </c>
      <c r="AS65" s="53" t="e">
        <f t="shared" si="19"/>
        <v>#REF!</v>
      </c>
      <c r="AT65" s="53" t="e">
        <f t="shared" si="20"/>
        <v>#REF!</v>
      </c>
      <c r="AU65" s="53" t="e">
        <f t="shared" si="21"/>
        <v>#REF!</v>
      </c>
      <c r="AV65" s="53" t="e">
        <f t="shared" si="22"/>
        <v>#REF!</v>
      </c>
      <c r="AW65" s="51" t="e">
        <f t="shared" si="23"/>
        <v>#REF!</v>
      </c>
      <c r="AX65" s="53" t="e">
        <f t="shared" si="24"/>
        <v>#REF!</v>
      </c>
      <c r="AY65" s="51" t="e">
        <f t="shared" si="25"/>
        <v>#REF!</v>
      </c>
    </row>
    <row r="66" spans="19:51" x14ac:dyDescent="0.15">
      <c r="S66" s="82" t="e">
        <f t="shared" si="1"/>
        <v>#REF!</v>
      </c>
      <c r="T66" s="54" t="e">
        <f t="shared" si="2"/>
        <v>#REF!</v>
      </c>
      <c r="U66" s="86" t="e">
        <f t="shared" si="3"/>
        <v>#REF!</v>
      </c>
      <c r="AB66" s="51" t="e">
        <f t="shared" si="4"/>
        <v>#REF!</v>
      </c>
      <c r="AC66" s="51" t="e">
        <f t="shared" si="26"/>
        <v>#REF!</v>
      </c>
      <c r="AD66" s="51" t="e">
        <f t="shared" si="27"/>
        <v>#REF!</v>
      </c>
      <c r="AE66" s="51" t="e">
        <f t="shared" si="5"/>
        <v>#REF!</v>
      </c>
      <c r="AF66" s="51" t="e">
        <f t="shared" si="6"/>
        <v>#REF!</v>
      </c>
      <c r="AG66" s="51" t="e">
        <f t="shared" si="7"/>
        <v>#REF!</v>
      </c>
      <c r="AH66" s="54" t="e">
        <f t="shared" si="8"/>
        <v>#REF!</v>
      </c>
      <c r="AI66" s="55" t="e">
        <f t="shared" si="9"/>
        <v>#REF!</v>
      </c>
      <c r="AJ66" s="54" t="e">
        <f t="shared" si="10"/>
        <v>#REF!</v>
      </c>
      <c r="AK66" s="55" t="e">
        <f t="shared" si="11"/>
        <v>#REF!</v>
      </c>
      <c r="AL66" s="82" t="e">
        <f t="shared" si="12"/>
        <v>#REF!</v>
      </c>
      <c r="AM66" s="82" t="e">
        <f t="shared" si="13"/>
        <v>#REF!</v>
      </c>
      <c r="AN66" s="54" t="e">
        <f t="shared" si="14"/>
        <v>#REF!</v>
      </c>
      <c r="AO66" s="54" t="e">
        <f t="shared" si="15"/>
        <v>#REF!</v>
      </c>
      <c r="AP66" s="54" t="e">
        <f t="shared" si="16"/>
        <v>#REF!</v>
      </c>
      <c r="AQ66" s="53" t="e">
        <f t="shared" si="17"/>
        <v>#REF!</v>
      </c>
      <c r="AR66" s="53" t="e">
        <f t="shared" si="18"/>
        <v>#REF!</v>
      </c>
      <c r="AS66" s="53" t="e">
        <f t="shared" si="19"/>
        <v>#REF!</v>
      </c>
      <c r="AT66" s="53" t="e">
        <f t="shared" si="20"/>
        <v>#REF!</v>
      </c>
      <c r="AU66" s="53" t="e">
        <f t="shared" si="21"/>
        <v>#REF!</v>
      </c>
      <c r="AV66" s="53" t="e">
        <f t="shared" si="22"/>
        <v>#REF!</v>
      </c>
      <c r="AW66" s="51" t="e">
        <f t="shared" si="23"/>
        <v>#REF!</v>
      </c>
      <c r="AX66" s="53" t="e">
        <f t="shared" si="24"/>
        <v>#REF!</v>
      </c>
      <c r="AY66" s="51" t="e">
        <f t="shared" si="25"/>
        <v>#REF!</v>
      </c>
    </row>
    <row r="67" spans="19:51" x14ac:dyDescent="0.15">
      <c r="S67" s="82" t="e">
        <f t="shared" si="1"/>
        <v>#REF!</v>
      </c>
      <c r="T67" s="54" t="e">
        <f t="shared" si="2"/>
        <v>#REF!</v>
      </c>
      <c r="U67" s="86" t="e">
        <f t="shared" si="3"/>
        <v>#REF!</v>
      </c>
      <c r="AB67" s="51" t="e">
        <f t="shared" si="4"/>
        <v>#REF!</v>
      </c>
      <c r="AC67" s="51" t="e">
        <f t="shared" si="26"/>
        <v>#REF!</v>
      </c>
      <c r="AD67" s="51" t="e">
        <f t="shared" si="27"/>
        <v>#REF!</v>
      </c>
      <c r="AE67" s="51" t="e">
        <f t="shared" si="5"/>
        <v>#REF!</v>
      </c>
      <c r="AF67" s="51" t="e">
        <f t="shared" si="6"/>
        <v>#REF!</v>
      </c>
      <c r="AG67" s="51" t="e">
        <f t="shared" si="7"/>
        <v>#REF!</v>
      </c>
      <c r="AH67" s="54" t="e">
        <f t="shared" si="8"/>
        <v>#REF!</v>
      </c>
      <c r="AI67" s="55" t="e">
        <f t="shared" si="9"/>
        <v>#REF!</v>
      </c>
      <c r="AJ67" s="54" t="e">
        <f t="shared" si="10"/>
        <v>#REF!</v>
      </c>
      <c r="AK67" s="55" t="e">
        <f t="shared" si="11"/>
        <v>#REF!</v>
      </c>
      <c r="AL67" s="82" t="e">
        <f t="shared" si="12"/>
        <v>#REF!</v>
      </c>
      <c r="AM67" s="82" t="e">
        <f t="shared" si="13"/>
        <v>#REF!</v>
      </c>
      <c r="AN67" s="54" t="e">
        <f t="shared" si="14"/>
        <v>#REF!</v>
      </c>
      <c r="AO67" s="54" t="e">
        <f t="shared" si="15"/>
        <v>#REF!</v>
      </c>
      <c r="AP67" s="54" t="e">
        <f t="shared" si="16"/>
        <v>#REF!</v>
      </c>
      <c r="AQ67" s="53" t="e">
        <f t="shared" si="17"/>
        <v>#REF!</v>
      </c>
      <c r="AR67" s="53" t="e">
        <f t="shared" si="18"/>
        <v>#REF!</v>
      </c>
      <c r="AS67" s="53" t="e">
        <f t="shared" si="19"/>
        <v>#REF!</v>
      </c>
      <c r="AT67" s="53" t="e">
        <f t="shared" si="20"/>
        <v>#REF!</v>
      </c>
      <c r="AU67" s="53" t="e">
        <f t="shared" si="21"/>
        <v>#REF!</v>
      </c>
      <c r="AV67" s="53" t="e">
        <f t="shared" si="22"/>
        <v>#REF!</v>
      </c>
      <c r="AW67" s="51" t="e">
        <f t="shared" si="23"/>
        <v>#REF!</v>
      </c>
      <c r="AX67" s="53" t="e">
        <f t="shared" si="24"/>
        <v>#REF!</v>
      </c>
      <c r="AY67" s="51" t="e">
        <f t="shared" si="25"/>
        <v>#REF!</v>
      </c>
    </row>
    <row r="68" spans="19:51" x14ac:dyDescent="0.15">
      <c r="S68" s="82" t="e">
        <f t="shared" si="1"/>
        <v>#REF!</v>
      </c>
      <c r="T68" s="62" t="e">
        <f t="shared" si="2"/>
        <v>#REF!</v>
      </c>
      <c r="U68" s="86" t="e">
        <f t="shared" si="3"/>
        <v>#REF!</v>
      </c>
      <c r="AB68" s="60" t="e">
        <f t="shared" si="4"/>
        <v>#REF!</v>
      </c>
      <c r="AC68" s="60" t="e">
        <f t="shared" si="26"/>
        <v>#REF!</v>
      </c>
      <c r="AD68" s="60" t="e">
        <f t="shared" si="27"/>
        <v>#REF!</v>
      </c>
      <c r="AE68" s="60" t="e">
        <f t="shared" si="5"/>
        <v>#REF!</v>
      </c>
      <c r="AF68" s="60" t="e">
        <f t="shared" si="6"/>
        <v>#REF!</v>
      </c>
      <c r="AG68" s="60" t="e">
        <f t="shared" si="7"/>
        <v>#REF!</v>
      </c>
      <c r="AH68" s="62" t="e">
        <f t="shared" si="8"/>
        <v>#REF!</v>
      </c>
      <c r="AI68" s="63" t="e">
        <f t="shared" si="9"/>
        <v>#REF!</v>
      </c>
      <c r="AJ68" s="62" t="e">
        <f t="shared" si="10"/>
        <v>#REF!</v>
      </c>
      <c r="AK68" s="63" t="e">
        <f t="shared" si="11"/>
        <v>#REF!</v>
      </c>
      <c r="AL68" s="84" t="e">
        <f t="shared" si="12"/>
        <v>#REF!</v>
      </c>
      <c r="AM68" s="84" t="e">
        <f t="shared" si="13"/>
        <v>#REF!</v>
      </c>
      <c r="AN68" s="62" t="e">
        <f t="shared" si="14"/>
        <v>#REF!</v>
      </c>
      <c r="AO68" s="62" t="e">
        <f t="shared" si="15"/>
        <v>#REF!</v>
      </c>
      <c r="AP68" s="62" t="e">
        <f t="shared" si="16"/>
        <v>#REF!</v>
      </c>
      <c r="AQ68" s="61" t="e">
        <f t="shared" si="17"/>
        <v>#REF!</v>
      </c>
      <c r="AR68" s="61" t="e">
        <f t="shared" si="18"/>
        <v>#REF!</v>
      </c>
      <c r="AS68" s="61" t="e">
        <f t="shared" si="19"/>
        <v>#REF!</v>
      </c>
      <c r="AT68" s="61" t="e">
        <f t="shared" si="20"/>
        <v>#REF!</v>
      </c>
      <c r="AU68" s="61" t="e">
        <f t="shared" si="21"/>
        <v>#REF!</v>
      </c>
      <c r="AV68" s="61" t="e">
        <f t="shared" si="22"/>
        <v>#REF!</v>
      </c>
      <c r="AW68" s="60" t="e">
        <f t="shared" si="23"/>
        <v>#REF!</v>
      </c>
      <c r="AX68" s="61" t="e">
        <f t="shared" si="24"/>
        <v>#REF!</v>
      </c>
      <c r="AY68" s="60" t="e">
        <f t="shared" si="25"/>
        <v>#REF!</v>
      </c>
    </row>
    <row r="69" spans="19:51" x14ac:dyDescent="0.15">
      <c r="S69" s="82" t="e">
        <f t="shared" si="1"/>
        <v>#REF!</v>
      </c>
      <c r="T69" s="54" t="e">
        <f t="shared" si="2"/>
        <v>#REF!</v>
      </c>
      <c r="U69" s="86" t="e">
        <f t="shared" si="3"/>
        <v>#REF!</v>
      </c>
      <c r="AB69" s="51" t="e">
        <f t="shared" si="4"/>
        <v>#REF!</v>
      </c>
      <c r="AC69" s="51" t="e">
        <f t="shared" si="26"/>
        <v>#REF!</v>
      </c>
      <c r="AD69" s="51" t="e">
        <f t="shared" si="27"/>
        <v>#REF!</v>
      </c>
      <c r="AE69" s="51" t="e">
        <f t="shared" si="5"/>
        <v>#REF!</v>
      </c>
      <c r="AF69" s="51" t="e">
        <f t="shared" si="6"/>
        <v>#REF!</v>
      </c>
      <c r="AG69" s="51" t="e">
        <f t="shared" si="7"/>
        <v>#REF!</v>
      </c>
      <c r="AH69" s="54" t="e">
        <f t="shared" si="8"/>
        <v>#REF!</v>
      </c>
      <c r="AI69" s="55" t="e">
        <f t="shared" si="9"/>
        <v>#REF!</v>
      </c>
      <c r="AJ69" s="54" t="e">
        <f t="shared" si="10"/>
        <v>#REF!</v>
      </c>
      <c r="AK69" s="55" t="e">
        <f t="shared" si="11"/>
        <v>#REF!</v>
      </c>
      <c r="AL69" s="82" t="e">
        <f t="shared" si="12"/>
        <v>#REF!</v>
      </c>
      <c r="AM69" s="82" t="e">
        <f t="shared" si="13"/>
        <v>#REF!</v>
      </c>
      <c r="AN69" s="54" t="e">
        <f t="shared" si="14"/>
        <v>#REF!</v>
      </c>
      <c r="AO69" s="54" t="e">
        <f t="shared" si="15"/>
        <v>#REF!</v>
      </c>
      <c r="AP69" s="54" t="e">
        <f t="shared" si="16"/>
        <v>#REF!</v>
      </c>
      <c r="AQ69" s="53" t="e">
        <f t="shared" si="17"/>
        <v>#REF!</v>
      </c>
      <c r="AR69" s="53" t="e">
        <f t="shared" si="18"/>
        <v>#REF!</v>
      </c>
      <c r="AS69" s="53" t="e">
        <f t="shared" si="19"/>
        <v>#REF!</v>
      </c>
      <c r="AT69" s="53" t="e">
        <f t="shared" si="20"/>
        <v>#REF!</v>
      </c>
      <c r="AU69" s="53" t="e">
        <f t="shared" si="21"/>
        <v>#REF!</v>
      </c>
      <c r="AV69" s="53" t="e">
        <f t="shared" si="22"/>
        <v>#REF!</v>
      </c>
      <c r="AW69" s="51" t="e">
        <f t="shared" si="23"/>
        <v>#REF!</v>
      </c>
      <c r="AX69" s="53" t="e">
        <f t="shared" si="24"/>
        <v>#REF!</v>
      </c>
      <c r="AY69" s="51" t="e">
        <f t="shared" si="25"/>
        <v>#REF!</v>
      </c>
    </row>
    <row r="70" spans="19:51" x14ac:dyDescent="0.15">
      <c r="S70" s="82" t="e">
        <f t="shared" si="1"/>
        <v>#REF!</v>
      </c>
      <c r="T70" s="54" t="e">
        <f t="shared" si="2"/>
        <v>#REF!</v>
      </c>
      <c r="U70" s="86" t="e">
        <f t="shared" si="3"/>
        <v>#REF!</v>
      </c>
      <c r="AB70" s="51" t="e">
        <f t="shared" si="4"/>
        <v>#REF!</v>
      </c>
      <c r="AC70" s="51" t="e">
        <f t="shared" si="26"/>
        <v>#REF!</v>
      </c>
      <c r="AD70" s="51" t="e">
        <f t="shared" si="27"/>
        <v>#REF!</v>
      </c>
      <c r="AE70" s="51" t="e">
        <f t="shared" si="5"/>
        <v>#REF!</v>
      </c>
      <c r="AF70" s="51" t="e">
        <f t="shared" si="6"/>
        <v>#REF!</v>
      </c>
      <c r="AG70" s="51" t="e">
        <f t="shared" si="7"/>
        <v>#REF!</v>
      </c>
      <c r="AH70" s="54" t="e">
        <f t="shared" si="8"/>
        <v>#REF!</v>
      </c>
      <c r="AI70" s="55" t="e">
        <f t="shared" si="9"/>
        <v>#REF!</v>
      </c>
      <c r="AJ70" s="54" t="e">
        <f t="shared" si="10"/>
        <v>#REF!</v>
      </c>
      <c r="AK70" s="55" t="e">
        <f t="shared" si="11"/>
        <v>#REF!</v>
      </c>
      <c r="AL70" s="82" t="e">
        <f t="shared" si="12"/>
        <v>#REF!</v>
      </c>
      <c r="AM70" s="82" t="e">
        <f t="shared" si="13"/>
        <v>#REF!</v>
      </c>
      <c r="AN70" s="54" t="e">
        <f t="shared" si="14"/>
        <v>#REF!</v>
      </c>
      <c r="AO70" s="54" t="e">
        <f t="shared" si="15"/>
        <v>#REF!</v>
      </c>
      <c r="AP70" s="54" t="e">
        <f t="shared" si="16"/>
        <v>#REF!</v>
      </c>
      <c r="AQ70" s="53" t="e">
        <f t="shared" si="17"/>
        <v>#REF!</v>
      </c>
      <c r="AR70" s="53" t="e">
        <f t="shared" si="18"/>
        <v>#REF!</v>
      </c>
      <c r="AS70" s="53" t="e">
        <f t="shared" si="19"/>
        <v>#REF!</v>
      </c>
      <c r="AT70" s="53" t="e">
        <f t="shared" si="20"/>
        <v>#REF!</v>
      </c>
      <c r="AU70" s="53" t="e">
        <f t="shared" si="21"/>
        <v>#REF!</v>
      </c>
      <c r="AV70" s="53" t="e">
        <f t="shared" si="22"/>
        <v>#REF!</v>
      </c>
      <c r="AW70" s="51" t="e">
        <f t="shared" si="23"/>
        <v>#REF!</v>
      </c>
      <c r="AX70" s="53" t="e">
        <f t="shared" si="24"/>
        <v>#REF!</v>
      </c>
      <c r="AY70" s="51" t="e">
        <f t="shared" si="25"/>
        <v>#REF!</v>
      </c>
    </row>
    <row r="71" spans="19:51" x14ac:dyDescent="0.15">
      <c r="S71" s="82" t="e">
        <f t="shared" si="1"/>
        <v>#REF!</v>
      </c>
      <c r="T71" s="54" t="e">
        <f t="shared" si="2"/>
        <v>#REF!</v>
      </c>
      <c r="U71" s="86" t="e">
        <f t="shared" si="3"/>
        <v>#REF!</v>
      </c>
      <c r="AB71" s="51" t="e">
        <f t="shared" si="4"/>
        <v>#REF!</v>
      </c>
      <c r="AC71" s="51" t="e">
        <f t="shared" si="26"/>
        <v>#REF!</v>
      </c>
      <c r="AD71" s="51" t="e">
        <f t="shared" si="27"/>
        <v>#REF!</v>
      </c>
      <c r="AE71" s="51" t="e">
        <f t="shared" si="5"/>
        <v>#REF!</v>
      </c>
      <c r="AF71" s="51" t="e">
        <f t="shared" si="6"/>
        <v>#REF!</v>
      </c>
      <c r="AG71" s="51" t="e">
        <f t="shared" si="7"/>
        <v>#REF!</v>
      </c>
      <c r="AH71" s="54" t="e">
        <f t="shared" si="8"/>
        <v>#REF!</v>
      </c>
      <c r="AI71" s="55" t="e">
        <f t="shared" si="9"/>
        <v>#REF!</v>
      </c>
      <c r="AJ71" s="54" t="e">
        <f t="shared" si="10"/>
        <v>#REF!</v>
      </c>
      <c r="AK71" s="55" t="e">
        <f t="shared" si="11"/>
        <v>#REF!</v>
      </c>
      <c r="AL71" s="82" t="e">
        <f t="shared" si="12"/>
        <v>#REF!</v>
      </c>
      <c r="AM71" s="82" t="e">
        <f t="shared" si="13"/>
        <v>#REF!</v>
      </c>
      <c r="AN71" s="54" t="e">
        <f t="shared" si="14"/>
        <v>#REF!</v>
      </c>
      <c r="AO71" s="54" t="e">
        <f t="shared" si="15"/>
        <v>#REF!</v>
      </c>
      <c r="AP71" s="54" t="e">
        <f t="shared" si="16"/>
        <v>#REF!</v>
      </c>
      <c r="AQ71" s="53" t="e">
        <f t="shared" si="17"/>
        <v>#REF!</v>
      </c>
      <c r="AR71" s="53" t="e">
        <f t="shared" si="18"/>
        <v>#REF!</v>
      </c>
      <c r="AS71" s="53" t="e">
        <f t="shared" si="19"/>
        <v>#REF!</v>
      </c>
      <c r="AT71" s="53" t="e">
        <f t="shared" si="20"/>
        <v>#REF!</v>
      </c>
      <c r="AU71" s="53" t="e">
        <f t="shared" si="21"/>
        <v>#REF!</v>
      </c>
      <c r="AV71" s="53" t="e">
        <f t="shared" si="22"/>
        <v>#REF!</v>
      </c>
      <c r="AW71" s="51" t="e">
        <f t="shared" si="23"/>
        <v>#REF!</v>
      </c>
      <c r="AX71" s="53" t="e">
        <f t="shared" si="24"/>
        <v>#REF!</v>
      </c>
      <c r="AY71" s="51" t="e">
        <f t="shared" si="25"/>
        <v>#REF!</v>
      </c>
    </row>
    <row r="72" spans="19:51" x14ac:dyDescent="0.15">
      <c r="S72" s="82" t="e">
        <f t="shared" si="1"/>
        <v>#REF!</v>
      </c>
      <c r="T72" s="54" t="e">
        <f t="shared" si="2"/>
        <v>#REF!</v>
      </c>
      <c r="U72" s="86" t="e">
        <f t="shared" si="3"/>
        <v>#REF!</v>
      </c>
      <c r="AB72" s="51" t="e">
        <f t="shared" si="4"/>
        <v>#REF!</v>
      </c>
      <c r="AC72" s="51" t="e">
        <f t="shared" si="26"/>
        <v>#REF!</v>
      </c>
      <c r="AD72" s="51" t="e">
        <f t="shared" si="27"/>
        <v>#REF!</v>
      </c>
      <c r="AE72" s="51" t="e">
        <f t="shared" si="5"/>
        <v>#REF!</v>
      </c>
      <c r="AF72" s="51" t="e">
        <f t="shared" si="6"/>
        <v>#REF!</v>
      </c>
      <c r="AG72" s="51" t="e">
        <f t="shared" si="7"/>
        <v>#REF!</v>
      </c>
      <c r="AH72" s="54" t="e">
        <f t="shared" si="8"/>
        <v>#REF!</v>
      </c>
      <c r="AI72" s="55" t="e">
        <f t="shared" si="9"/>
        <v>#REF!</v>
      </c>
      <c r="AJ72" s="54" t="e">
        <f t="shared" si="10"/>
        <v>#REF!</v>
      </c>
      <c r="AK72" s="55" t="e">
        <f t="shared" si="11"/>
        <v>#REF!</v>
      </c>
      <c r="AL72" s="82" t="e">
        <f t="shared" si="12"/>
        <v>#REF!</v>
      </c>
      <c r="AM72" s="82" t="e">
        <f t="shared" si="13"/>
        <v>#REF!</v>
      </c>
      <c r="AN72" s="54" t="e">
        <f t="shared" si="14"/>
        <v>#REF!</v>
      </c>
      <c r="AO72" s="54" t="e">
        <f t="shared" si="15"/>
        <v>#REF!</v>
      </c>
      <c r="AP72" s="54" t="e">
        <f t="shared" si="16"/>
        <v>#REF!</v>
      </c>
      <c r="AQ72" s="53" t="e">
        <f t="shared" si="17"/>
        <v>#REF!</v>
      </c>
      <c r="AR72" s="53" t="e">
        <f t="shared" si="18"/>
        <v>#REF!</v>
      </c>
      <c r="AS72" s="53" t="e">
        <f t="shared" si="19"/>
        <v>#REF!</v>
      </c>
      <c r="AT72" s="53" t="e">
        <f t="shared" si="20"/>
        <v>#REF!</v>
      </c>
      <c r="AU72" s="53" t="e">
        <f t="shared" si="21"/>
        <v>#REF!</v>
      </c>
      <c r="AV72" s="53" t="e">
        <f t="shared" si="22"/>
        <v>#REF!</v>
      </c>
      <c r="AW72" s="51" t="e">
        <f t="shared" si="23"/>
        <v>#REF!</v>
      </c>
      <c r="AX72" s="53" t="e">
        <f t="shared" si="24"/>
        <v>#REF!</v>
      </c>
      <c r="AY72" s="51" t="e">
        <f t="shared" si="25"/>
        <v>#REF!</v>
      </c>
    </row>
    <row r="73" spans="19:51" x14ac:dyDescent="0.15">
      <c r="S73" s="82" t="e">
        <f t="shared" si="1"/>
        <v>#REF!</v>
      </c>
      <c r="T73" s="54" t="e">
        <f t="shared" si="2"/>
        <v>#REF!</v>
      </c>
      <c r="U73" s="86" t="e">
        <f t="shared" si="3"/>
        <v>#REF!</v>
      </c>
      <c r="AB73" s="51" t="e">
        <f t="shared" si="4"/>
        <v>#REF!</v>
      </c>
      <c r="AC73" s="51" t="e">
        <f t="shared" si="26"/>
        <v>#REF!</v>
      </c>
      <c r="AD73" s="51" t="e">
        <f t="shared" si="27"/>
        <v>#REF!</v>
      </c>
      <c r="AE73" s="51" t="e">
        <f t="shared" si="5"/>
        <v>#REF!</v>
      </c>
      <c r="AF73" s="51" t="e">
        <f t="shared" si="6"/>
        <v>#REF!</v>
      </c>
      <c r="AG73" s="51" t="e">
        <f t="shared" si="7"/>
        <v>#REF!</v>
      </c>
      <c r="AH73" s="54" t="e">
        <f t="shared" si="8"/>
        <v>#REF!</v>
      </c>
      <c r="AI73" s="55" t="e">
        <f t="shared" si="9"/>
        <v>#REF!</v>
      </c>
      <c r="AJ73" s="54" t="e">
        <f t="shared" si="10"/>
        <v>#REF!</v>
      </c>
      <c r="AK73" s="55" t="e">
        <f t="shared" si="11"/>
        <v>#REF!</v>
      </c>
      <c r="AL73" s="82" t="e">
        <f t="shared" si="12"/>
        <v>#REF!</v>
      </c>
      <c r="AM73" s="82" t="e">
        <f t="shared" si="13"/>
        <v>#REF!</v>
      </c>
      <c r="AN73" s="54" t="e">
        <f t="shared" si="14"/>
        <v>#REF!</v>
      </c>
      <c r="AO73" s="54" t="e">
        <f t="shared" si="15"/>
        <v>#REF!</v>
      </c>
      <c r="AP73" s="54" t="e">
        <f t="shared" si="16"/>
        <v>#REF!</v>
      </c>
      <c r="AQ73" s="53" t="e">
        <f t="shared" si="17"/>
        <v>#REF!</v>
      </c>
      <c r="AR73" s="53" t="e">
        <f t="shared" si="18"/>
        <v>#REF!</v>
      </c>
      <c r="AS73" s="53" t="e">
        <f t="shared" si="19"/>
        <v>#REF!</v>
      </c>
      <c r="AT73" s="53" t="e">
        <f t="shared" si="20"/>
        <v>#REF!</v>
      </c>
      <c r="AU73" s="53" t="e">
        <f t="shared" si="21"/>
        <v>#REF!</v>
      </c>
      <c r="AV73" s="53" t="e">
        <f t="shared" si="22"/>
        <v>#REF!</v>
      </c>
      <c r="AW73" s="51" t="e">
        <f t="shared" si="23"/>
        <v>#REF!</v>
      </c>
      <c r="AX73" s="53" t="e">
        <f t="shared" si="24"/>
        <v>#REF!</v>
      </c>
      <c r="AY73" s="51" t="e">
        <f t="shared" si="25"/>
        <v>#REF!</v>
      </c>
    </row>
    <row r="74" spans="19:51" x14ac:dyDescent="0.15">
      <c r="S74" s="82" t="e">
        <f t="shared" si="1"/>
        <v>#REF!</v>
      </c>
      <c r="T74" s="54" t="e">
        <f t="shared" si="2"/>
        <v>#REF!</v>
      </c>
      <c r="U74" s="86" t="e">
        <f t="shared" si="3"/>
        <v>#REF!</v>
      </c>
      <c r="AB74" s="51" t="e">
        <f t="shared" si="4"/>
        <v>#REF!</v>
      </c>
      <c r="AC74" s="51" t="e">
        <f t="shared" si="26"/>
        <v>#REF!</v>
      </c>
      <c r="AD74" s="51" t="e">
        <f t="shared" si="27"/>
        <v>#REF!</v>
      </c>
      <c r="AE74" s="51" t="e">
        <f t="shared" si="5"/>
        <v>#REF!</v>
      </c>
      <c r="AF74" s="51" t="e">
        <f t="shared" si="6"/>
        <v>#REF!</v>
      </c>
      <c r="AG74" s="51" t="e">
        <f t="shared" si="7"/>
        <v>#REF!</v>
      </c>
      <c r="AH74" s="54" t="e">
        <f t="shared" si="8"/>
        <v>#REF!</v>
      </c>
      <c r="AI74" s="55" t="e">
        <f t="shared" si="9"/>
        <v>#REF!</v>
      </c>
      <c r="AJ74" s="54" t="e">
        <f t="shared" si="10"/>
        <v>#REF!</v>
      </c>
      <c r="AK74" s="55" t="e">
        <f t="shared" si="11"/>
        <v>#REF!</v>
      </c>
      <c r="AL74" s="82" t="e">
        <f t="shared" si="12"/>
        <v>#REF!</v>
      </c>
      <c r="AM74" s="82" t="e">
        <f t="shared" si="13"/>
        <v>#REF!</v>
      </c>
      <c r="AN74" s="54" t="e">
        <f t="shared" si="14"/>
        <v>#REF!</v>
      </c>
      <c r="AO74" s="54" t="e">
        <f t="shared" si="15"/>
        <v>#REF!</v>
      </c>
      <c r="AP74" s="54" t="e">
        <f t="shared" si="16"/>
        <v>#REF!</v>
      </c>
      <c r="AQ74" s="53" t="e">
        <f t="shared" si="17"/>
        <v>#REF!</v>
      </c>
      <c r="AR74" s="53" t="e">
        <f t="shared" si="18"/>
        <v>#REF!</v>
      </c>
      <c r="AS74" s="53" t="e">
        <f t="shared" si="19"/>
        <v>#REF!</v>
      </c>
      <c r="AT74" s="53" t="e">
        <f t="shared" si="20"/>
        <v>#REF!</v>
      </c>
      <c r="AU74" s="53" t="e">
        <f t="shared" si="21"/>
        <v>#REF!</v>
      </c>
      <c r="AV74" s="53" t="e">
        <f t="shared" si="22"/>
        <v>#REF!</v>
      </c>
      <c r="AW74" s="51" t="e">
        <f t="shared" si="23"/>
        <v>#REF!</v>
      </c>
      <c r="AX74" s="53" t="e">
        <f t="shared" si="24"/>
        <v>#REF!</v>
      </c>
      <c r="AY74" s="51" t="e">
        <f t="shared" si="25"/>
        <v>#REF!</v>
      </c>
    </row>
    <row r="75" spans="19:51" x14ac:dyDescent="0.15">
      <c r="S75" s="82" t="e">
        <f t="shared" si="1"/>
        <v>#REF!</v>
      </c>
      <c r="T75" s="54" t="e">
        <f t="shared" si="2"/>
        <v>#REF!</v>
      </c>
      <c r="U75" s="86" t="e">
        <f t="shared" si="3"/>
        <v>#REF!</v>
      </c>
      <c r="AB75" s="51" t="e">
        <f t="shared" si="4"/>
        <v>#REF!</v>
      </c>
      <c r="AC75" s="51" t="e">
        <f t="shared" si="26"/>
        <v>#REF!</v>
      </c>
      <c r="AD75" s="51" t="e">
        <f t="shared" si="27"/>
        <v>#REF!</v>
      </c>
      <c r="AE75" s="51" t="e">
        <f t="shared" si="5"/>
        <v>#REF!</v>
      </c>
      <c r="AF75" s="51" t="e">
        <f t="shared" si="6"/>
        <v>#REF!</v>
      </c>
      <c r="AG75" s="51" t="e">
        <f t="shared" si="7"/>
        <v>#REF!</v>
      </c>
      <c r="AH75" s="54" t="e">
        <f t="shared" si="8"/>
        <v>#REF!</v>
      </c>
      <c r="AI75" s="55" t="e">
        <f t="shared" si="9"/>
        <v>#REF!</v>
      </c>
      <c r="AJ75" s="54" t="e">
        <f t="shared" si="10"/>
        <v>#REF!</v>
      </c>
      <c r="AK75" s="55" t="e">
        <f t="shared" si="11"/>
        <v>#REF!</v>
      </c>
      <c r="AL75" s="82" t="e">
        <f t="shared" si="12"/>
        <v>#REF!</v>
      </c>
      <c r="AM75" s="82" t="e">
        <f t="shared" si="13"/>
        <v>#REF!</v>
      </c>
      <c r="AN75" s="54" t="e">
        <f t="shared" si="14"/>
        <v>#REF!</v>
      </c>
      <c r="AO75" s="54" t="e">
        <f t="shared" si="15"/>
        <v>#REF!</v>
      </c>
      <c r="AP75" s="54" t="e">
        <f t="shared" si="16"/>
        <v>#REF!</v>
      </c>
      <c r="AQ75" s="53" t="e">
        <f t="shared" si="17"/>
        <v>#REF!</v>
      </c>
      <c r="AR75" s="53" t="e">
        <f t="shared" si="18"/>
        <v>#REF!</v>
      </c>
      <c r="AS75" s="53" t="e">
        <f t="shared" si="19"/>
        <v>#REF!</v>
      </c>
      <c r="AT75" s="53" t="e">
        <f t="shared" si="20"/>
        <v>#REF!</v>
      </c>
      <c r="AU75" s="53" t="e">
        <f t="shared" si="21"/>
        <v>#REF!</v>
      </c>
      <c r="AV75" s="53" t="e">
        <f t="shared" si="22"/>
        <v>#REF!</v>
      </c>
      <c r="AW75" s="51" t="e">
        <f t="shared" si="23"/>
        <v>#REF!</v>
      </c>
      <c r="AX75" s="53" t="e">
        <f t="shared" si="24"/>
        <v>#REF!</v>
      </c>
      <c r="AY75" s="51" t="e">
        <f t="shared" si="25"/>
        <v>#REF!</v>
      </c>
    </row>
    <row r="76" spans="19:51" x14ac:dyDescent="0.15">
      <c r="S76" s="82" t="e">
        <f t="shared" si="1"/>
        <v>#REF!</v>
      </c>
      <c r="T76" s="54" t="e">
        <f t="shared" si="2"/>
        <v>#REF!</v>
      </c>
      <c r="U76" s="86" t="e">
        <f t="shared" si="3"/>
        <v>#REF!</v>
      </c>
      <c r="AB76" s="51" t="e">
        <f t="shared" si="4"/>
        <v>#REF!</v>
      </c>
      <c r="AC76" s="51" t="e">
        <f t="shared" si="26"/>
        <v>#REF!</v>
      </c>
      <c r="AD76" s="51" t="e">
        <f t="shared" si="27"/>
        <v>#REF!</v>
      </c>
      <c r="AE76" s="51" t="e">
        <f t="shared" si="5"/>
        <v>#REF!</v>
      </c>
      <c r="AF76" s="51" t="e">
        <f t="shared" si="6"/>
        <v>#REF!</v>
      </c>
      <c r="AG76" s="51" t="e">
        <f t="shared" si="7"/>
        <v>#REF!</v>
      </c>
      <c r="AH76" s="54" t="e">
        <f t="shared" si="8"/>
        <v>#REF!</v>
      </c>
      <c r="AI76" s="55" t="e">
        <f t="shared" si="9"/>
        <v>#REF!</v>
      </c>
      <c r="AJ76" s="54" t="e">
        <f t="shared" si="10"/>
        <v>#REF!</v>
      </c>
      <c r="AK76" s="55" t="e">
        <f t="shared" si="11"/>
        <v>#REF!</v>
      </c>
      <c r="AL76" s="82" t="e">
        <f t="shared" si="12"/>
        <v>#REF!</v>
      </c>
      <c r="AM76" s="82" t="e">
        <f t="shared" si="13"/>
        <v>#REF!</v>
      </c>
      <c r="AN76" s="54" t="e">
        <f t="shared" si="14"/>
        <v>#REF!</v>
      </c>
      <c r="AO76" s="54" t="e">
        <f t="shared" si="15"/>
        <v>#REF!</v>
      </c>
      <c r="AP76" s="54" t="e">
        <f t="shared" si="16"/>
        <v>#REF!</v>
      </c>
      <c r="AQ76" s="53" t="e">
        <f t="shared" si="17"/>
        <v>#REF!</v>
      </c>
      <c r="AR76" s="53" t="e">
        <f t="shared" si="18"/>
        <v>#REF!</v>
      </c>
      <c r="AS76" s="53" t="e">
        <f t="shared" si="19"/>
        <v>#REF!</v>
      </c>
      <c r="AT76" s="53" t="e">
        <f t="shared" si="20"/>
        <v>#REF!</v>
      </c>
      <c r="AU76" s="53" t="e">
        <f t="shared" si="21"/>
        <v>#REF!</v>
      </c>
      <c r="AV76" s="53" t="e">
        <f t="shared" si="22"/>
        <v>#REF!</v>
      </c>
      <c r="AW76" s="51" t="e">
        <f t="shared" si="23"/>
        <v>#REF!</v>
      </c>
      <c r="AX76" s="53" t="e">
        <f t="shared" si="24"/>
        <v>#REF!</v>
      </c>
      <c r="AY76" s="51" t="e">
        <f t="shared" si="25"/>
        <v>#REF!</v>
      </c>
    </row>
    <row r="77" spans="19:51" x14ac:dyDescent="0.15">
      <c r="S77" s="82" t="e">
        <f t="shared" si="1"/>
        <v>#REF!</v>
      </c>
      <c r="T77" s="54" t="e">
        <f t="shared" si="2"/>
        <v>#REF!</v>
      </c>
      <c r="U77" s="86" t="e">
        <f t="shared" si="3"/>
        <v>#REF!</v>
      </c>
      <c r="AB77" s="51" t="e">
        <f t="shared" si="4"/>
        <v>#REF!</v>
      </c>
      <c r="AC77" s="51" t="e">
        <f t="shared" si="26"/>
        <v>#REF!</v>
      </c>
      <c r="AD77" s="51" t="e">
        <f t="shared" si="27"/>
        <v>#REF!</v>
      </c>
      <c r="AE77" s="51" t="e">
        <f t="shared" si="5"/>
        <v>#REF!</v>
      </c>
      <c r="AF77" s="51" t="e">
        <f t="shared" si="6"/>
        <v>#REF!</v>
      </c>
      <c r="AG77" s="51" t="e">
        <f t="shared" si="7"/>
        <v>#REF!</v>
      </c>
      <c r="AH77" s="54" t="e">
        <f t="shared" si="8"/>
        <v>#REF!</v>
      </c>
      <c r="AI77" s="55" t="e">
        <f t="shared" si="9"/>
        <v>#REF!</v>
      </c>
      <c r="AJ77" s="54" t="e">
        <f t="shared" si="10"/>
        <v>#REF!</v>
      </c>
      <c r="AK77" s="55" t="e">
        <f t="shared" si="11"/>
        <v>#REF!</v>
      </c>
      <c r="AL77" s="82" t="e">
        <f t="shared" si="12"/>
        <v>#REF!</v>
      </c>
      <c r="AM77" s="82" t="e">
        <f t="shared" si="13"/>
        <v>#REF!</v>
      </c>
      <c r="AN77" s="54" t="e">
        <f t="shared" si="14"/>
        <v>#REF!</v>
      </c>
      <c r="AO77" s="54" t="e">
        <f t="shared" si="15"/>
        <v>#REF!</v>
      </c>
      <c r="AP77" s="54" t="e">
        <f t="shared" si="16"/>
        <v>#REF!</v>
      </c>
      <c r="AQ77" s="53" t="e">
        <f t="shared" si="17"/>
        <v>#REF!</v>
      </c>
      <c r="AR77" s="53" t="e">
        <f t="shared" si="18"/>
        <v>#REF!</v>
      </c>
      <c r="AS77" s="53" t="e">
        <f t="shared" si="19"/>
        <v>#REF!</v>
      </c>
      <c r="AT77" s="53" t="e">
        <f t="shared" si="20"/>
        <v>#REF!</v>
      </c>
      <c r="AU77" s="53" t="e">
        <f t="shared" si="21"/>
        <v>#REF!</v>
      </c>
      <c r="AV77" s="53" t="e">
        <f t="shared" si="22"/>
        <v>#REF!</v>
      </c>
      <c r="AW77" s="51" t="e">
        <f t="shared" si="23"/>
        <v>#REF!</v>
      </c>
      <c r="AX77" s="53" t="e">
        <f t="shared" si="24"/>
        <v>#REF!</v>
      </c>
      <c r="AY77" s="51" t="e">
        <f t="shared" si="25"/>
        <v>#REF!</v>
      </c>
    </row>
    <row r="78" spans="19:51" x14ac:dyDescent="0.15">
      <c r="S78" s="82" t="e">
        <f t="shared" si="1"/>
        <v>#REF!</v>
      </c>
      <c r="T78" s="62" t="e">
        <f t="shared" si="2"/>
        <v>#REF!</v>
      </c>
      <c r="U78" s="86" t="e">
        <f t="shared" si="3"/>
        <v>#REF!</v>
      </c>
      <c r="AB78" s="60" t="e">
        <f t="shared" si="4"/>
        <v>#REF!</v>
      </c>
      <c r="AC78" s="60" t="e">
        <f t="shared" si="26"/>
        <v>#REF!</v>
      </c>
      <c r="AD78" s="60" t="e">
        <f t="shared" si="27"/>
        <v>#REF!</v>
      </c>
      <c r="AE78" s="60" t="e">
        <f t="shared" si="5"/>
        <v>#REF!</v>
      </c>
      <c r="AF78" s="60" t="e">
        <f t="shared" si="6"/>
        <v>#REF!</v>
      </c>
      <c r="AG78" s="60" t="e">
        <f t="shared" si="7"/>
        <v>#REF!</v>
      </c>
      <c r="AH78" s="62" t="e">
        <f t="shared" si="8"/>
        <v>#REF!</v>
      </c>
      <c r="AI78" s="63" t="e">
        <f t="shared" si="9"/>
        <v>#REF!</v>
      </c>
      <c r="AJ78" s="62" t="e">
        <f t="shared" si="10"/>
        <v>#REF!</v>
      </c>
      <c r="AK78" s="63" t="e">
        <f t="shared" si="11"/>
        <v>#REF!</v>
      </c>
      <c r="AL78" s="84" t="e">
        <f t="shared" si="12"/>
        <v>#REF!</v>
      </c>
      <c r="AM78" s="84" t="e">
        <f t="shared" si="13"/>
        <v>#REF!</v>
      </c>
      <c r="AN78" s="62" t="e">
        <f t="shared" si="14"/>
        <v>#REF!</v>
      </c>
      <c r="AO78" s="62" t="e">
        <f t="shared" si="15"/>
        <v>#REF!</v>
      </c>
      <c r="AP78" s="62" t="e">
        <f t="shared" si="16"/>
        <v>#REF!</v>
      </c>
      <c r="AQ78" s="61" t="e">
        <f t="shared" si="17"/>
        <v>#REF!</v>
      </c>
      <c r="AR78" s="61" t="e">
        <f t="shared" si="18"/>
        <v>#REF!</v>
      </c>
      <c r="AS78" s="61" t="e">
        <f t="shared" si="19"/>
        <v>#REF!</v>
      </c>
      <c r="AT78" s="61" t="e">
        <f t="shared" si="20"/>
        <v>#REF!</v>
      </c>
      <c r="AU78" s="61" t="e">
        <f t="shared" si="21"/>
        <v>#REF!</v>
      </c>
      <c r="AV78" s="61" t="e">
        <f t="shared" si="22"/>
        <v>#REF!</v>
      </c>
      <c r="AW78" s="60" t="e">
        <f t="shared" si="23"/>
        <v>#REF!</v>
      </c>
      <c r="AX78" s="61" t="e">
        <f t="shared" si="24"/>
        <v>#REF!</v>
      </c>
      <c r="AY78" s="60" t="e">
        <f t="shared" si="25"/>
        <v>#REF!</v>
      </c>
    </row>
    <row r="79" spans="19:51" x14ac:dyDescent="0.15">
      <c r="S79" s="82" t="e">
        <f t="shared" si="1"/>
        <v>#REF!</v>
      </c>
      <c r="T79" s="54" t="e">
        <f t="shared" si="2"/>
        <v>#REF!</v>
      </c>
      <c r="U79" s="86" t="e">
        <f t="shared" si="3"/>
        <v>#REF!</v>
      </c>
      <c r="AB79" s="51" t="e">
        <f t="shared" si="4"/>
        <v>#REF!</v>
      </c>
      <c r="AC79" s="51" t="e">
        <f t="shared" si="26"/>
        <v>#REF!</v>
      </c>
      <c r="AD79" s="51" t="e">
        <f t="shared" si="27"/>
        <v>#REF!</v>
      </c>
      <c r="AE79" s="51" t="e">
        <f t="shared" si="5"/>
        <v>#REF!</v>
      </c>
      <c r="AF79" s="51" t="e">
        <f t="shared" si="6"/>
        <v>#REF!</v>
      </c>
      <c r="AG79" s="51" t="e">
        <f t="shared" si="7"/>
        <v>#REF!</v>
      </c>
      <c r="AH79" s="54" t="e">
        <f t="shared" si="8"/>
        <v>#REF!</v>
      </c>
      <c r="AI79" s="55" t="e">
        <f t="shared" si="9"/>
        <v>#REF!</v>
      </c>
      <c r="AJ79" s="54" t="e">
        <f t="shared" si="10"/>
        <v>#REF!</v>
      </c>
      <c r="AK79" s="55" t="e">
        <f t="shared" si="11"/>
        <v>#REF!</v>
      </c>
      <c r="AL79" s="82" t="e">
        <f t="shared" si="12"/>
        <v>#REF!</v>
      </c>
      <c r="AM79" s="82" t="e">
        <f t="shared" si="13"/>
        <v>#REF!</v>
      </c>
      <c r="AN79" s="54" t="e">
        <f t="shared" si="14"/>
        <v>#REF!</v>
      </c>
      <c r="AO79" s="54" t="e">
        <f t="shared" si="15"/>
        <v>#REF!</v>
      </c>
      <c r="AP79" s="54" t="e">
        <f t="shared" si="16"/>
        <v>#REF!</v>
      </c>
      <c r="AQ79" s="53" t="e">
        <f t="shared" si="17"/>
        <v>#REF!</v>
      </c>
      <c r="AR79" s="53" t="e">
        <f t="shared" si="18"/>
        <v>#REF!</v>
      </c>
      <c r="AS79" s="53" t="e">
        <f t="shared" si="19"/>
        <v>#REF!</v>
      </c>
      <c r="AT79" s="53" t="e">
        <f t="shared" si="20"/>
        <v>#REF!</v>
      </c>
      <c r="AU79" s="53" t="e">
        <f t="shared" si="21"/>
        <v>#REF!</v>
      </c>
      <c r="AV79" s="53" t="e">
        <f t="shared" si="22"/>
        <v>#REF!</v>
      </c>
      <c r="AW79" s="51" t="e">
        <f t="shared" si="23"/>
        <v>#REF!</v>
      </c>
      <c r="AX79" s="53" t="e">
        <f t="shared" si="24"/>
        <v>#REF!</v>
      </c>
      <c r="AY79" s="51" t="e">
        <f t="shared" si="25"/>
        <v>#REF!</v>
      </c>
    </row>
    <row r="80" spans="19:51" x14ac:dyDescent="0.15">
      <c r="S80" s="82" t="e">
        <f t="shared" si="1"/>
        <v>#REF!</v>
      </c>
      <c r="T80" s="54" t="e">
        <f t="shared" si="2"/>
        <v>#REF!</v>
      </c>
      <c r="U80" s="86" t="e">
        <f t="shared" si="3"/>
        <v>#REF!</v>
      </c>
      <c r="AB80" s="51" t="e">
        <f t="shared" si="4"/>
        <v>#REF!</v>
      </c>
      <c r="AC80" s="51" t="e">
        <f t="shared" si="26"/>
        <v>#REF!</v>
      </c>
      <c r="AD80" s="51" t="e">
        <f t="shared" si="27"/>
        <v>#REF!</v>
      </c>
      <c r="AE80" s="51" t="e">
        <f t="shared" si="5"/>
        <v>#REF!</v>
      </c>
      <c r="AF80" s="51" t="e">
        <f t="shared" si="6"/>
        <v>#REF!</v>
      </c>
      <c r="AG80" s="51" t="e">
        <f t="shared" si="7"/>
        <v>#REF!</v>
      </c>
      <c r="AH80" s="54" t="e">
        <f t="shared" si="8"/>
        <v>#REF!</v>
      </c>
      <c r="AI80" s="55" t="e">
        <f t="shared" si="9"/>
        <v>#REF!</v>
      </c>
      <c r="AJ80" s="54" t="e">
        <f t="shared" si="10"/>
        <v>#REF!</v>
      </c>
      <c r="AK80" s="55" t="e">
        <f t="shared" si="11"/>
        <v>#REF!</v>
      </c>
      <c r="AL80" s="82" t="e">
        <f t="shared" si="12"/>
        <v>#REF!</v>
      </c>
      <c r="AM80" s="82" t="e">
        <f t="shared" si="13"/>
        <v>#REF!</v>
      </c>
      <c r="AN80" s="54" t="e">
        <f t="shared" si="14"/>
        <v>#REF!</v>
      </c>
      <c r="AO80" s="54" t="e">
        <f t="shared" si="15"/>
        <v>#REF!</v>
      </c>
      <c r="AP80" s="54" t="e">
        <f t="shared" si="16"/>
        <v>#REF!</v>
      </c>
      <c r="AQ80" s="53" t="e">
        <f t="shared" si="17"/>
        <v>#REF!</v>
      </c>
      <c r="AR80" s="53" t="e">
        <f t="shared" si="18"/>
        <v>#REF!</v>
      </c>
      <c r="AS80" s="53" t="e">
        <f t="shared" si="19"/>
        <v>#REF!</v>
      </c>
      <c r="AT80" s="53" t="e">
        <f t="shared" si="20"/>
        <v>#REF!</v>
      </c>
      <c r="AU80" s="53" t="e">
        <f t="shared" si="21"/>
        <v>#REF!</v>
      </c>
      <c r="AV80" s="53" t="e">
        <f t="shared" si="22"/>
        <v>#REF!</v>
      </c>
      <c r="AW80" s="51" t="e">
        <f t="shared" si="23"/>
        <v>#REF!</v>
      </c>
      <c r="AX80" s="53" t="e">
        <f t="shared" si="24"/>
        <v>#REF!</v>
      </c>
      <c r="AY80" s="51" t="e">
        <f t="shared" si="25"/>
        <v>#REF!</v>
      </c>
    </row>
    <row r="81" spans="19:51" x14ac:dyDescent="0.15">
      <c r="S81" s="82" t="e">
        <f t="shared" si="1"/>
        <v>#REF!</v>
      </c>
      <c r="T81" s="54" t="e">
        <f t="shared" si="2"/>
        <v>#REF!</v>
      </c>
      <c r="U81" s="86" t="e">
        <f t="shared" si="3"/>
        <v>#REF!</v>
      </c>
      <c r="AB81" s="51" t="e">
        <f t="shared" si="4"/>
        <v>#REF!</v>
      </c>
      <c r="AC81" s="51" t="e">
        <f t="shared" si="26"/>
        <v>#REF!</v>
      </c>
      <c r="AD81" s="51" t="e">
        <f t="shared" si="27"/>
        <v>#REF!</v>
      </c>
      <c r="AE81" s="51" t="e">
        <f t="shared" si="5"/>
        <v>#REF!</v>
      </c>
      <c r="AF81" s="51" t="e">
        <f t="shared" si="6"/>
        <v>#REF!</v>
      </c>
      <c r="AG81" s="51" t="e">
        <f t="shared" si="7"/>
        <v>#REF!</v>
      </c>
      <c r="AH81" s="54" t="e">
        <f t="shared" si="8"/>
        <v>#REF!</v>
      </c>
      <c r="AI81" s="55" t="e">
        <f t="shared" si="9"/>
        <v>#REF!</v>
      </c>
      <c r="AJ81" s="54" t="e">
        <f t="shared" si="10"/>
        <v>#REF!</v>
      </c>
      <c r="AK81" s="55" t="e">
        <f t="shared" si="11"/>
        <v>#REF!</v>
      </c>
      <c r="AL81" s="82" t="e">
        <f t="shared" si="12"/>
        <v>#REF!</v>
      </c>
      <c r="AM81" s="82" t="e">
        <f t="shared" si="13"/>
        <v>#REF!</v>
      </c>
      <c r="AN81" s="54" t="e">
        <f t="shared" si="14"/>
        <v>#REF!</v>
      </c>
      <c r="AO81" s="54" t="e">
        <f t="shared" si="15"/>
        <v>#REF!</v>
      </c>
      <c r="AP81" s="54" t="e">
        <f t="shared" si="16"/>
        <v>#REF!</v>
      </c>
      <c r="AQ81" s="53" t="e">
        <f t="shared" si="17"/>
        <v>#REF!</v>
      </c>
      <c r="AR81" s="53" t="e">
        <f t="shared" si="18"/>
        <v>#REF!</v>
      </c>
      <c r="AS81" s="53" t="e">
        <f t="shared" si="19"/>
        <v>#REF!</v>
      </c>
      <c r="AT81" s="53" t="e">
        <f t="shared" si="20"/>
        <v>#REF!</v>
      </c>
      <c r="AU81" s="53" t="e">
        <f t="shared" si="21"/>
        <v>#REF!</v>
      </c>
      <c r="AV81" s="53" t="e">
        <f t="shared" si="22"/>
        <v>#REF!</v>
      </c>
      <c r="AW81" s="51" t="e">
        <f t="shared" si="23"/>
        <v>#REF!</v>
      </c>
      <c r="AX81" s="53" t="e">
        <f t="shared" si="24"/>
        <v>#REF!</v>
      </c>
      <c r="AY81" s="51" t="e">
        <f t="shared" si="25"/>
        <v>#REF!</v>
      </c>
    </row>
    <row r="82" spans="19:51" x14ac:dyDescent="0.15">
      <c r="S82" s="82" t="e">
        <f t="shared" si="1"/>
        <v>#REF!</v>
      </c>
      <c r="T82" s="54" t="e">
        <f t="shared" si="2"/>
        <v>#REF!</v>
      </c>
      <c r="U82" s="86" t="e">
        <f t="shared" si="3"/>
        <v>#REF!</v>
      </c>
      <c r="AB82" s="51" t="e">
        <f t="shared" si="4"/>
        <v>#REF!</v>
      </c>
      <c r="AC82" s="51" t="e">
        <f t="shared" si="26"/>
        <v>#REF!</v>
      </c>
      <c r="AD82" s="51" t="e">
        <f t="shared" si="27"/>
        <v>#REF!</v>
      </c>
      <c r="AE82" s="51" t="e">
        <f t="shared" si="5"/>
        <v>#REF!</v>
      </c>
      <c r="AF82" s="51" t="e">
        <f t="shared" si="6"/>
        <v>#REF!</v>
      </c>
      <c r="AG82" s="51" t="e">
        <f t="shared" si="7"/>
        <v>#REF!</v>
      </c>
      <c r="AH82" s="54" t="e">
        <f t="shared" si="8"/>
        <v>#REF!</v>
      </c>
      <c r="AI82" s="55" t="e">
        <f t="shared" si="9"/>
        <v>#REF!</v>
      </c>
      <c r="AJ82" s="54" t="e">
        <f t="shared" si="10"/>
        <v>#REF!</v>
      </c>
      <c r="AK82" s="55" t="e">
        <f t="shared" si="11"/>
        <v>#REF!</v>
      </c>
      <c r="AL82" s="82" t="e">
        <f t="shared" si="12"/>
        <v>#REF!</v>
      </c>
      <c r="AM82" s="82" t="e">
        <f t="shared" si="13"/>
        <v>#REF!</v>
      </c>
      <c r="AN82" s="54" t="e">
        <f t="shared" si="14"/>
        <v>#REF!</v>
      </c>
      <c r="AO82" s="54" t="e">
        <f t="shared" si="15"/>
        <v>#REF!</v>
      </c>
      <c r="AP82" s="54" t="e">
        <f t="shared" si="16"/>
        <v>#REF!</v>
      </c>
      <c r="AQ82" s="53" t="e">
        <f t="shared" si="17"/>
        <v>#REF!</v>
      </c>
      <c r="AR82" s="53" t="e">
        <f t="shared" si="18"/>
        <v>#REF!</v>
      </c>
      <c r="AS82" s="53" t="e">
        <f t="shared" si="19"/>
        <v>#REF!</v>
      </c>
      <c r="AT82" s="53" t="e">
        <f t="shared" si="20"/>
        <v>#REF!</v>
      </c>
      <c r="AU82" s="53" t="e">
        <f t="shared" si="21"/>
        <v>#REF!</v>
      </c>
      <c r="AV82" s="53" t="e">
        <f t="shared" si="22"/>
        <v>#REF!</v>
      </c>
      <c r="AW82" s="51" t="e">
        <f t="shared" si="23"/>
        <v>#REF!</v>
      </c>
      <c r="AX82" s="53" t="e">
        <f t="shared" si="24"/>
        <v>#REF!</v>
      </c>
      <c r="AY82" s="51" t="e">
        <f t="shared" si="25"/>
        <v>#REF!</v>
      </c>
    </row>
    <row r="83" spans="19:51" x14ac:dyDescent="0.15">
      <c r="S83" s="82" t="e">
        <f t="shared" si="1"/>
        <v>#REF!</v>
      </c>
      <c r="T83" s="58" t="e">
        <f t="shared" si="2"/>
        <v>#REF!</v>
      </c>
      <c r="U83" s="86" t="e">
        <f t="shared" si="3"/>
        <v>#REF!</v>
      </c>
      <c r="AB83" s="56" t="e">
        <f t="shared" si="4"/>
        <v>#REF!</v>
      </c>
      <c r="AC83" s="56" t="e">
        <f t="shared" si="26"/>
        <v>#REF!</v>
      </c>
      <c r="AD83" s="56" t="e">
        <f t="shared" si="27"/>
        <v>#REF!</v>
      </c>
      <c r="AE83" s="56" t="e">
        <f t="shared" si="5"/>
        <v>#REF!</v>
      </c>
      <c r="AF83" s="56" t="e">
        <f t="shared" si="6"/>
        <v>#REF!</v>
      </c>
      <c r="AG83" s="56" t="e">
        <f t="shared" si="7"/>
        <v>#REF!</v>
      </c>
      <c r="AH83" s="58" t="e">
        <f t="shared" si="8"/>
        <v>#REF!</v>
      </c>
      <c r="AI83" s="59" t="e">
        <f t="shared" si="9"/>
        <v>#REF!</v>
      </c>
      <c r="AJ83" s="58" t="e">
        <f t="shared" si="10"/>
        <v>#REF!</v>
      </c>
      <c r="AK83" s="59" t="e">
        <f t="shared" si="11"/>
        <v>#REF!</v>
      </c>
      <c r="AL83" s="83" t="e">
        <f t="shared" si="12"/>
        <v>#REF!</v>
      </c>
      <c r="AM83" s="83" t="e">
        <f t="shared" si="13"/>
        <v>#REF!</v>
      </c>
      <c r="AN83" s="58" t="e">
        <f t="shared" si="14"/>
        <v>#REF!</v>
      </c>
      <c r="AO83" s="58" t="e">
        <f t="shared" si="15"/>
        <v>#REF!</v>
      </c>
      <c r="AP83" s="58" t="e">
        <f t="shared" si="16"/>
        <v>#REF!</v>
      </c>
      <c r="AQ83" s="57" t="e">
        <f t="shared" si="17"/>
        <v>#REF!</v>
      </c>
      <c r="AR83" s="57" t="e">
        <f t="shared" si="18"/>
        <v>#REF!</v>
      </c>
      <c r="AS83" s="57" t="e">
        <f t="shared" si="19"/>
        <v>#REF!</v>
      </c>
      <c r="AT83" s="57" t="e">
        <f t="shared" si="20"/>
        <v>#REF!</v>
      </c>
      <c r="AU83" s="57" t="e">
        <f t="shared" si="21"/>
        <v>#REF!</v>
      </c>
      <c r="AV83" s="57" t="e">
        <f t="shared" si="22"/>
        <v>#REF!</v>
      </c>
      <c r="AW83" s="56" t="e">
        <f t="shared" si="23"/>
        <v>#REF!</v>
      </c>
      <c r="AX83" s="57" t="e">
        <f t="shared" si="24"/>
        <v>#REF!</v>
      </c>
      <c r="AY83" s="56" t="e">
        <f t="shared" si="25"/>
        <v>#REF!</v>
      </c>
    </row>
    <row r="84" spans="19:51" x14ac:dyDescent="0.15">
      <c r="AW84"/>
    </row>
    <row r="85" spans="19:51" ht="12.75" thickBot="1" x14ac:dyDescent="0.2">
      <c r="AW85"/>
    </row>
    <row r="86" spans="19:51" ht="60.75" thickBot="1" x14ac:dyDescent="0.2">
      <c r="AA86" s="93" t="s">
        <v>115</v>
      </c>
      <c r="AB86" s="91" t="s">
        <v>20</v>
      </c>
      <c r="AC86" s="91" t="s">
        <v>4</v>
      </c>
      <c r="AD86" s="91" t="s">
        <v>155</v>
      </c>
      <c r="AE86" s="91" t="s">
        <v>156</v>
      </c>
      <c r="AF86" s="91" t="s">
        <v>157</v>
      </c>
      <c r="AG86" s="91" t="s">
        <v>158</v>
      </c>
      <c r="AH86" s="90" t="s">
        <v>50</v>
      </c>
      <c r="AI86" s="90" t="s">
        <v>28</v>
      </c>
      <c r="AJ86" s="90" t="s">
        <v>51</v>
      </c>
      <c r="AK86" s="90" t="s">
        <v>29</v>
      </c>
      <c r="AL86" s="90" t="s">
        <v>110</v>
      </c>
      <c r="AM86" s="90" t="s">
        <v>111</v>
      </c>
      <c r="AN86" s="91" t="s">
        <v>43</v>
      </c>
      <c r="AO86" s="91" t="s">
        <v>44</v>
      </c>
      <c r="AP86" s="91" t="s">
        <v>5</v>
      </c>
      <c r="AQ86" s="46" t="s">
        <v>45</v>
      </c>
      <c r="AR86" s="45" t="s">
        <v>46</v>
      </c>
      <c r="AS86" s="45" t="s">
        <v>93</v>
      </c>
      <c r="AT86" s="45" t="s">
        <v>30</v>
      </c>
      <c r="AU86" s="45" t="s">
        <v>31</v>
      </c>
      <c r="AV86" s="45" t="s">
        <v>32</v>
      </c>
      <c r="AW86" s="45" t="s">
        <v>26</v>
      </c>
      <c r="AX86" s="46" t="s">
        <v>138</v>
      </c>
      <c r="AY86" s="87" t="s">
        <v>152</v>
      </c>
    </row>
    <row r="87" spans="19:51" x14ac:dyDescent="0.15">
      <c r="AB87" s="44" t="s">
        <v>120</v>
      </c>
      <c r="AC87" s="44" t="s">
        <v>120</v>
      </c>
      <c r="AD87" s="44" t="s">
        <v>159</v>
      </c>
      <c r="AE87" s="44" t="s">
        <v>159</v>
      </c>
      <c r="AF87" s="44" t="s">
        <v>159</v>
      </c>
      <c r="AG87" s="44" t="s">
        <v>159</v>
      </c>
      <c r="AH87" s="43" t="s">
        <v>2</v>
      </c>
      <c r="AI87" s="43" t="s">
        <v>2</v>
      </c>
      <c r="AJ87" s="43" t="s">
        <v>2</v>
      </c>
      <c r="AK87" s="43" t="s">
        <v>2</v>
      </c>
      <c r="AL87" s="92">
        <v>0</v>
      </c>
      <c r="AM87" s="92">
        <v>0</v>
      </c>
      <c r="AN87" s="39" t="s">
        <v>2</v>
      </c>
      <c r="AO87" s="39" t="s">
        <v>2</v>
      </c>
      <c r="AP87" s="39" t="s">
        <v>2</v>
      </c>
      <c r="AQ87" s="43" t="s">
        <v>19</v>
      </c>
      <c r="AR87" s="43" t="s">
        <v>19</v>
      </c>
      <c r="AS87" s="43" t="s">
        <v>19</v>
      </c>
      <c r="AT87" s="43" t="s">
        <v>19</v>
      </c>
      <c r="AU87" s="43" t="s">
        <v>19</v>
      </c>
      <c r="AV87" s="43" t="s">
        <v>19</v>
      </c>
      <c r="AW87" s="43" t="s">
        <v>101</v>
      </c>
      <c r="AX87" s="43" t="s">
        <v>101</v>
      </c>
      <c r="AY87" s="43" t="s">
        <v>154</v>
      </c>
    </row>
    <row r="88" spans="19:51" ht="15.75" x14ac:dyDescent="0.15">
      <c r="AB88" s="76">
        <v>3774.1230475025018</v>
      </c>
      <c r="AC88" s="76">
        <v>3986.9977551411043</v>
      </c>
      <c r="AD88" s="76">
        <v>1477.2465149919908</v>
      </c>
      <c r="AE88" s="76">
        <v>1004.7882444413592</v>
      </c>
      <c r="AF88" s="76">
        <v>101.91683614249841</v>
      </c>
      <c r="AG88" s="76">
        <v>69.321428635892815</v>
      </c>
      <c r="AH88" s="54">
        <v>0.73504510649358956</v>
      </c>
      <c r="AI88" s="55">
        <v>1.0934659892767227</v>
      </c>
      <c r="AJ88" s="54">
        <v>0</v>
      </c>
      <c r="AK88" s="55">
        <v>1.0934659892767227</v>
      </c>
      <c r="AL88" s="82">
        <v>5705</v>
      </c>
      <c r="AM88" s="82">
        <v>0</v>
      </c>
      <c r="AN88" s="54">
        <v>0.41755321579381505</v>
      </c>
      <c r="AO88" s="54">
        <v>0.27836881052921009</v>
      </c>
      <c r="AP88" s="54">
        <v>0.69592202632302513</v>
      </c>
      <c r="AQ88" s="53">
        <v>0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</row>
    <row r="89" spans="19:51" ht="15.75" x14ac:dyDescent="0.15">
      <c r="AB89" s="76">
        <v>3821.0849776344953</v>
      </c>
      <c r="AC89" s="76">
        <v>4039.8365560202242</v>
      </c>
      <c r="AD89" s="76">
        <v>1503.5971463926646</v>
      </c>
      <c r="AE89" s="76">
        <v>1023.1784883032761</v>
      </c>
      <c r="AF89" s="76">
        <v>103.20003091132158</v>
      </c>
      <c r="AG89" s="76">
        <v>70.226291579514609</v>
      </c>
      <c r="AH89" s="78">
        <v>0.75550056927092557</v>
      </c>
      <c r="AI89" s="79">
        <v>1.0944786286488752</v>
      </c>
      <c r="AJ89" s="78">
        <v>0</v>
      </c>
      <c r="AK89" s="79">
        <v>1.0944786286488752</v>
      </c>
      <c r="AL89" s="81">
        <v>5939</v>
      </c>
      <c r="AM89" s="81">
        <v>0</v>
      </c>
      <c r="AN89" s="78">
        <v>0.41702842080111552</v>
      </c>
      <c r="AO89" s="78">
        <v>0.27801894720074366</v>
      </c>
      <c r="AP89" s="78">
        <v>0.69504736800185918</v>
      </c>
      <c r="AQ89" s="77">
        <v>2.5911658084036371</v>
      </c>
      <c r="AR89" s="77">
        <v>34.017473169605502</v>
      </c>
      <c r="AS89" s="77">
        <v>36.608638978009139</v>
      </c>
      <c r="AT89" s="77">
        <v>25.26948125480731</v>
      </c>
      <c r="AU89" s="77">
        <v>30.939060116408228</v>
      </c>
      <c r="AV89" s="77">
        <v>12.040463911071834</v>
      </c>
      <c r="AW89" s="77">
        <v>0</v>
      </c>
      <c r="AX89" s="77">
        <v>0</v>
      </c>
      <c r="AY89" s="76">
        <v>0</v>
      </c>
    </row>
    <row r="90" spans="19:51" x14ac:dyDescent="0.15">
      <c r="AB90" s="51">
        <v>3866.1874161307605</v>
      </c>
      <c r="AC90" s="51">
        <v>4088.750894449935</v>
      </c>
      <c r="AD90" s="51">
        <v>1529.8227315366241</v>
      </c>
      <c r="AE90" s="51">
        <v>1040.8598496651471</v>
      </c>
      <c r="AF90" s="51">
        <v>104.43539048022549</v>
      </c>
      <c r="AG90" s="51">
        <v>71.055686776063624</v>
      </c>
      <c r="AH90" s="54">
        <v>0.77614866772091773</v>
      </c>
      <c r="AI90" s="55">
        <v>1.0954740495672763</v>
      </c>
      <c r="AJ90" s="54">
        <v>0</v>
      </c>
      <c r="AK90" s="55">
        <v>1.0954740495672763</v>
      </c>
      <c r="AL90" s="82">
        <v>6174</v>
      </c>
      <c r="AM90" s="82">
        <v>0</v>
      </c>
      <c r="AN90" s="54">
        <v>0.4165136742434038</v>
      </c>
      <c r="AO90" s="54">
        <v>0.2776757828289359</v>
      </c>
      <c r="AP90" s="54">
        <v>0.6941894570723397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1">
        <v>0</v>
      </c>
    </row>
    <row r="91" spans="19:51" x14ac:dyDescent="0.15">
      <c r="AB91" s="56">
        <v>3923.1391275705723</v>
      </c>
      <c r="AC91" s="56">
        <v>4155.7508440913807</v>
      </c>
      <c r="AD91" s="56">
        <v>1561.3439652585464</v>
      </c>
      <c r="AE91" s="56">
        <v>1063.6364576708986</v>
      </c>
      <c r="AF91" s="56">
        <v>105.99157869168987</v>
      </c>
      <c r="AG91" s="56">
        <v>72.204786268160348</v>
      </c>
      <c r="AH91" s="58">
        <v>0.79697538358465825</v>
      </c>
      <c r="AI91" s="59">
        <v>1.0964522597533219</v>
      </c>
      <c r="AJ91" s="58">
        <v>0</v>
      </c>
      <c r="AK91" s="59">
        <v>1.0964522597533219</v>
      </c>
      <c r="AL91" s="83">
        <v>6439</v>
      </c>
      <c r="AM91" s="83">
        <v>0</v>
      </c>
      <c r="AN91" s="58">
        <v>0.40442584348281335</v>
      </c>
      <c r="AO91" s="58">
        <v>0.23391407945509562</v>
      </c>
      <c r="AP91" s="58">
        <v>0.63833992293790898</v>
      </c>
      <c r="AQ91" s="57">
        <v>0</v>
      </c>
      <c r="AR91" s="57">
        <v>0</v>
      </c>
      <c r="AS91" s="57">
        <v>0</v>
      </c>
      <c r="AT91" s="57">
        <v>0</v>
      </c>
      <c r="AU91" s="57">
        <v>0</v>
      </c>
      <c r="AV91" s="57">
        <v>0</v>
      </c>
      <c r="AW91" s="57">
        <v>0</v>
      </c>
      <c r="AX91" s="57">
        <v>0</v>
      </c>
      <c r="AY91" s="56">
        <v>0</v>
      </c>
    </row>
    <row r="92" spans="19:51" x14ac:dyDescent="0.15">
      <c r="AB92" s="51">
        <v>3972.9220858225458</v>
      </c>
      <c r="AC92" s="51">
        <v>4211.6719691442759</v>
      </c>
      <c r="AD92" s="51">
        <v>1590.6089518024137</v>
      </c>
      <c r="AE92" s="51">
        <v>1084.0758054283326</v>
      </c>
      <c r="AF92" s="51">
        <v>107.35317348643559</v>
      </c>
      <c r="AG92" s="51">
        <v>73.166303937067141</v>
      </c>
      <c r="AH92" s="54">
        <v>0.81842266920165019</v>
      </c>
      <c r="AI92" s="55">
        <v>1.0973451375046974</v>
      </c>
      <c r="AJ92" s="54">
        <v>0.10000020813089452</v>
      </c>
      <c r="AK92" s="55">
        <v>1.0973451375046974</v>
      </c>
      <c r="AL92" s="82">
        <v>6699</v>
      </c>
      <c r="AM92" s="82">
        <v>819</v>
      </c>
      <c r="AN92" s="54">
        <v>0.38993442357891628</v>
      </c>
      <c r="AO92" s="54">
        <v>0.19704922053297255</v>
      </c>
      <c r="AP92" s="54">
        <v>0.58698364411188886</v>
      </c>
      <c r="AQ92" s="53">
        <v>0.28686252086855696</v>
      </c>
      <c r="AR92" s="53">
        <v>3.7653368376290928</v>
      </c>
      <c r="AS92" s="53">
        <v>4.0521993584976501</v>
      </c>
      <c r="AT92" s="53">
        <v>2.7970870792879525</v>
      </c>
      <c r="AU92" s="53">
        <v>3.4246432188928013</v>
      </c>
      <c r="AV92" s="53">
        <v>1.3327894202099719</v>
      </c>
      <c r="AW92" s="53">
        <v>4098.0360124079562</v>
      </c>
      <c r="AX92" s="53">
        <v>4098.0360124079562</v>
      </c>
      <c r="AY92" s="51">
        <v>245</v>
      </c>
    </row>
    <row r="93" spans="19:51" x14ac:dyDescent="0.15">
      <c r="AB93" s="51">
        <v>4012.9511920845075</v>
      </c>
      <c r="AC93" s="51">
        <v>4254.7398096775687</v>
      </c>
      <c r="AD93" s="51">
        <v>1616.5044287060839</v>
      </c>
      <c r="AE93" s="51">
        <v>1101.6674501560701</v>
      </c>
      <c r="AF93" s="51">
        <v>108.44853236024177</v>
      </c>
      <c r="AG93" s="51">
        <v>73.908995234926536</v>
      </c>
      <c r="AH93" s="54">
        <v>0.83986995481864213</v>
      </c>
      <c r="AI93" s="55">
        <v>1.0982380152560729</v>
      </c>
      <c r="AJ93" s="54">
        <v>0.20000041626178905</v>
      </c>
      <c r="AK93" s="55">
        <v>1.0982380152560729</v>
      </c>
      <c r="AL93" s="82">
        <v>6944</v>
      </c>
      <c r="AM93" s="82">
        <v>1654</v>
      </c>
      <c r="AN93" s="54">
        <v>0.37376486193216862</v>
      </c>
      <c r="AO93" s="54">
        <v>0.16599426337697609</v>
      </c>
      <c r="AP93" s="54">
        <v>0.53975912530914472</v>
      </c>
      <c r="AQ93" s="53">
        <v>0.58239334496451478</v>
      </c>
      <c r="AR93" s="53">
        <v>7.5147288952943612</v>
      </c>
      <c r="AS93" s="53">
        <v>8.0971222402588765</v>
      </c>
      <c r="AT93" s="53">
        <v>5.5922126084940897</v>
      </c>
      <c r="AU93" s="53">
        <v>6.8446674243764836</v>
      </c>
      <c r="AV93" s="53">
        <v>2.6698180381018379</v>
      </c>
      <c r="AW93" s="53">
        <v>8319.9049280644958</v>
      </c>
      <c r="AX93" s="53">
        <v>4221.8689156565397</v>
      </c>
      <c r="AY93" s="51">
        <v>498</v>
      </c>
    </row>
    <row r="94" spans="19:51" x14ac:dyDescent="0.15">
      <c r="AB94" s="51">
        <v>4054.4051193906776</v>
      </c>
      <c r="AC94" s="51">
        <v>4296.0186248709451</v>
      </c>
      <c r="AD94" s="51">
        <v>1643.4668159086002</v>
      </c>
      <c r="AE94" s="51">
        <v>1119.037658970592</v>
      </c>
      <c r="AF94" s="51">
        <v>109.57777410615681</v>
      </c>
      <c r="AG94" s="51">
        <v>74.61157999905825</v>
      </c>
      <c r="AH94" s="54">
        <v>0.86131724043563407</v>
      </c>
      <c r="AI94" s="55">
        <v>1.0991308930074484</v>
      </c>
      <c r="AJ94" s="54">
        <v>0.3000006243926836</v>
      </c>
      <c r="AK94" s="55">
        <v>1.0991308930074484</v>
      </c>
      <c r="AL94" s="82">
        <v>7192</v>
      </c>
      <c r="AM94" s="82">
        <v>2505</v>
      </c>
      <c r="AN94" s="54">
        <v>0.35650038710895227</v>
      </c>
      <c r="AO94" s="54">
        <v>0.13983356746876466</v>
      </c>
      <c r="AP94" s="54">
        <v>0.4963339545777169</v>
      </c>
      <c r="AQ94" s="53">
        <v>0.88754507056973009</v>
      </c>
      <c r="AR94" s="53">
        <v>11.24953190481903</v>
      </c>
      <c r="AS94" s="53">
        <v>12.13707697538876</v>
      </c>
      <c r="AT94" s="53">
        <v>8.3872330071157499</v>
      </c>
      <c r="AU94" s="53">
        <v>10.262154991252256</v>
      </c>
      <c r="AV94" s="53">
        <v>4.0124150441305719</v>
      </c>
      <c r="AW94" s="53">
        <v>12679.215293853285</v>
      </c>
      <c r="AX94" s="53">
        <v>4359.3103657887896</v>
      </c>
      <c r="AY94" s="51">
        <v>759</v>
      </c>
    </row>
    <row r="95" spans="19:51" x14ac:dyDescent="0.15">
      <c r="AB95" s="51">
        <v>4065.6074812515094</v>
      </c>
      <c r="AC95" s="51">
        <v>4306.0579934591497</v>
      </c>
      <c r="AD95" s="51">
        <v>1658.5755300177991</v>
      </c>
      <c r="AE95" s="51">
        <v>1128.463916766327</v>
      </c>
      <c r="AF95" s="51">
        <v>109.89607511673555</v>
      </c>
      <c r="AG95" s="51">
        <v>74.771243828821596</v>
      </c>
      <c r="AH95" s="54">
        <v>0.88276452605262601</v>
      </c>
      <c r="AI95" s="55">
        <v>1.1000237707588238</v>
      </c>
      <c r="AJ95" s="54">
        <v>0.4000008325235781</v>
      </c>
      <c r="AK95" s="55">
        <v>1.1000237707588238</v>
      </c>
      <c r="AL95" s="82">
        <v>7391</v>
      </c>
      <c r="AM95" s="82">
        <v>3349</v>
      </c>
      <c r="AN95" s="54">
        <v>0.33860666622551072</v>
      </c>
      <c r="AO95" s="54">
        <v>0.11779579723568735</v>
      </c>
      <c r="AP95" s="54">
        <v>0.45640246346119806</v>
      </c>
      <c r="AQ95" s="53">
        <v>1.1927293108591954</v>
      </c>
      <c r="AR95" s="53">
        <v>14.834797709995735</v>
      </c>
      <c r="AS95" s="53">
        <v>16.027527020854929</v>
      </c>
      <c r="AT95" s="53">
        <v>11.082594450856353</v>
      </c>
      <c r="AU95" s="53">
        <v>13.555060735855642</v>
      </c>
      <c r="AV95" s="53">
        <v>5.3135064525246767</v>
      </c>
      <c r="AW95" s="53">
        <v>17038.990155131363</v>
      </c>
      <c r="AX95" s="53">
        <v>4359.7748612780779</v>
      </c>
      <c r="AY95" s="51">
        <v>1020</v>
      </c>
    </row>
    <row r="96" spans="19:51" x14ac:dyDescent="0.15">
      <c r="AB96" s="51">
        <v>4133.6837368366341</v>
      </c>
      <c r="AC96" s="51">
        <v>4382.1341965299089</v>
      </c>
      <c r="AD96" s="51">
        <v>1697.3422809003991</v>
      </c>
      <c r="AE96" s="51">
        <v>1155.4392260092764</v>
      </c>
      <c r="AF96" s="51">
        <v>111.75673087604056</v>
      </c>
      <c r="AG96" s="51">
        <v>76.076647637764594</v>
      </c>
      <c r="AH96" s="54">
        <v>0.90421181166961795</v>
      </c>
      <c r="AI96" s="55">
        <v>1.1009166485101993</v>
      </c>
      <c r="AJ96" s="54">
        <v>0.50000104065447259</v>
      </c>
      <c r="AK96" s="55">
        <v>1.1009166485101993</v>
      </c>
      <c r="AL96" s="82">
        <v>7700</v>
      </c>
      <c r="AM96" s="82">
        <v>4258</v>
      </c>
      <c r="AN96" s="54">
        <v>0.32045239581641949</v>
      </c>
      <c r="AO96" s="54">
        <v>9.9231179591343033E-2</v>
      </c>
      <c r="AP96" s="54">
        <v>0.41968357540776252</v>
      </c>
      <c r="AQ96" s="53">
        <v>1.5247666605100738</v>
      </c>
      <c r="AR96" s="53">
        <v>18.604900031750255</v>
      </c>
      <c r="AS96" s="53">
        <v>20.129666692260329</v>
      </c>
      <c r="AT96" s="53">
        <v>13.928033348343575</v>
      </c>
      <c r="AU96" s="53">
        <v>17.028850020301949</v>
      </c>
      <c r="AV96" s="53">
        <v>6.6927944471073664</v>
      </c>
      <c r="AW96" s="53">
        <v>21782.380864429622</v>
      </c>
      <c r="AX96" s="53">
        <v>4743.390709298259</v>
      </c>
      <c r="AY96" s="51">
        <v>1304</v>
      </c>
    </row>
    <row r="97" spans="28:51" x14ac:dyDescent="0.15">
      <c r="AB97" s="51">
        <v>4185.4614319928305</v>
      </c>
      <c r="AC97" s="51">
        <v>4439.6333514386288</v>
      </c>
      <c r="AD97" s="51">
        <v>1729.9468423338847</v>
      </c>
      <c r="AE97" s="51">
        <v>1178.0148060166418</v>
      </c>
      <c r="AF97" s="51">
        <v>113.16734724645454</v>
      </c>
      <c r="AG97" s="51">
        <v>77.061795976399338</v>
      </c>
      <c r="AH97" s="54">
        <v>0.92565909728660989</v>
      </c>
      <c r="AI97" s="55">
        <v>1.1018095262615748</v>
      </c>
      <c r="AJ97" s="54">
        <v>0.60000124878536709</v>
      </c>
      <c r="AK97" s="55">
        <v>1.1018095262615748</v>
      </c>
      <c r="AL97" s="82">
        <v>7984</v>
      </c>
      <c r="AM97" s="82">
        <v>5175</v>
      </c>
      <c r="AN97" s="54">
        <v>0.30232648159311698</v>
      </c>
      <c r="AO97" s="54">
        <v>8.3592345687747371E-2</v>
      </c>
      <c r="AP97" s="54">
        <v>0.38591882728086435</v>
      </c>
      <c r="AQ97" s="53">
        <v>1.8633489287603171</v>
      </c>
      <c r="AR97" s="53">
        <v>22.296527679426084</v>
      </c>
      <c r="AS97" s="53">
        <v>24.159876608186401</v>
      </c>
      <c r="AT97" s="53">
        <v>16.727700715044378</v>
      </c>
      <c r="AU97" s="53">
        <v>20.44378866161539</v>
      </c>
      <c r="AV97" s="53">
        <v>8.0568288397120078</v>
      </c>
      <c r="AW97" s="53">
        <v>26619.270410861667</v>
      </c>
      <c r="AX97" s="53">
        <v>4836.8895464320449</v>
      </c>
      <c r="AY97" s="51">
        <v>1594</v>
      </c>
    </row>
    <row r="98" spans="28:51" x14ac:dyDescent="0.15">
      <c r="AB98" s="51">
        <v>4217.6239429462194</v>
      </c>
      <c r="AC98" s="51">
        <v>4474.5325661028819</v>
      </c>
      <c r="AD98" s="51">
        <v>1754.8705339104115</v>
      </c>
      <c r="AE98" s="51">
        <v>1195.030256070823</v>
      </c>
      <c r="AF98" s="51">
        <v>114.0496624959541</v>
      </c>
      <c r="AG98" s="51">
        <v>77.66544297352074</v>
      </c>
      <c r="AH98" s="54">
        <v>0.94710638290360183</v>
      </c>
      <c r="AI98" s="55">
        <v>1.1027024040129503</v>
      </c>
      <c r="AJ98" s="54">
        <v>0.70000145691626159</v>
      </c>
      <c r="AK98" s="55">
        <v>1.1027024040129503</v>
      </c>
      <c r="AL98" s="82">
        <v>8232</v>
      </c>
      <c r="AM98" s="82">
        <v>6084</v>
      </c>
      <c r="AN98" s="54">
        <v>0.28445235803771951</v>
      </c>
      <c r="AO98" s="54">
        <v>7.0418192007358382E-2</v>
      </c>
      <c r="AP98" s="54">
        <v>0.35487055004507789</v>
      </c>
      <c r="AQ98" s="53">
        <v>2.2031108267394521</v>
      </c>
      <c r="AR98" s="53">
        <v>25.847781564325615</v>
      </c>
      <c r="AS98" s="53">
        <v>28.050892391065066</v>
      </c>
      <c r="AT98" s="53">
        <v>19.434965202956523</v>
      </c>
      <c r="AU98" s="53">
        <v>23.742928797010791</v>
      </c>
      <c r="AV98" s="53">
        <v>9.3830501501632337</v>
      </c>
      <c r="AW98" s="53">
        <v>31473.011810563599</v>
      </c>
      <c r="AX98" s="53">
        <v>4853.7413997019321</v>
      </c>
      <c r="AY98" s="51">
        <v>1885</v>
      </c>
    </row>
    <row r="99" spans="28:51" x14ac:dyDescent="0.15">
      <c r="AB99" s="51">
        <v>4250.8048905063451</v>
      </c>
      <c r="AC99" s="51">
        <v>4507.9008799530338</v>
      </c>
      <c r="AD99" s="51">
        <v>1780.5713812061363</v>
      </c>
      <c r="AE99" s="51">
        <v>1211.6410050330526</v>
      </c>
      <c r="AF99" s="51">
        <v>114.95905531402634</v>
      </c>
      <c r="AG99" s="51">
        <v>78.227195375893615</v>
      </c>
      <c r="AH99" s="54">
        <v>0.96855366852059377</v>
      </c>
      <c r="AI99" s="55">
        <v>1.1035952817643258</v>
      </c>
      <c r="AJ99" s="54">
        <v>0.80000166504715609</v>
      </c>
      <c r="AK99" s="55">
        <v>1.1035952817643258</v>
      </c>
      <c r="AL99" s="82">
        <v>8484</v>
      </c>
      <c r="AM99" s="82">
        <v>7007</v>
      </c>
      <c r="AN99" s="54">
        <v>0.26699991087398522</v>
      </c>
      <c r="AO99" s="54">
        <v>5.9320284946998703E-2</v>
      </c>
      <c r="AP99" s="54">
        <v>0.32632019582098393</v>
      </c>
      <c r="AQ99" s="53">
        <v>2.5533627418029496</v>
      </c>
      <c r="AR99" s="53">
        <v>29.387515658674257</v>
      </c>
      <c r="AS99" s="53">
        <v>31.940878400477207</v>
      </c>
      <c r="AT99" s="53">
        <v>22.145039847585785</v>
      </c>
      <c r="AU99" s="53">
        <v>27.042959124031494</v>
      </c>
      <c r="AV99" s="53">
        <v>10.716561535879134</v>
      </c>
      <c r="AW99" s="53">
        <v>36476.61059718499</v>
      </c>
      <c r="AX99" s="53">
        <v>5003.5987866213909</v>
      </c>
      <c r="AY99" s="51">
        <v>2184</v>
      </c>
    </row>
    <row r="100" spans="28:51" x14ac:dyDescent="0.15">
      <c r="AB100" s="60">
        <v>4226.2739238379654</v>
      </c>
      <c r="AC100" s="60">
        <v>4482.1114437963879</v>
      </c>
      <c r="AD100" s="60">
        <v>1782.2700538408442</v>
      </c>
      <c r="AE100" s="60">
        <v>1212.6283339959741</v>
      </c>
      <c r="AF100" s="60">
        <v>114.30628471480459</v>
      </c>
      <c r="AG100" s="60">
        <v>77.772186824478197</v>
      </c>
      <c r="AH100" s="62">
        <v>0.99000095413758615</v>
      </c>
      <c r="AI100" s="63">
        <v>1.1044881595157015</v>
      </c>
      <c r="AJ100" s="62">
        <v>0.90000187317805069</v>
      </c>
      <c r="AK100" s="63">
        <v>1.1044881595157015</v>
      </c>
      <c r="AL100" s="84">
        <v>8621</v>
      </c>
      <c r="AM100" s="84">
        <v>7837</v>
      </c>
      <c r="AN100" s="62">
        <v>0.25009539149393989</v>
      </c>
      <c r="AO100" s="62">
        <v>4.9971408039351711E-2</v>
      </c>
      <c r="AP100" s="62">
        <v>0.30006679953329157</v>
      </c>
      <c r="AQ100" s="61">
        <v>2.8718855435572959</v>
      </c>
      <c r="AR100" s="61">
        <v>32.416088390305255</v>
      </c>
      <c r="AS100" s="61">
        <v>35.287973933862553</v>
      </c>
      <c r="AT100" s="61">
        <v>24.482611137094139</v>
      </c>
      <c r="AU100" s="61">
        <v>29.885292535478349</v>
      </c>
      <c r="AV100" s="61">
        <v>11.876354540864313</v>
      </c>
      <c r="AW100" s="61">
        <v>41026.936336532795</v>
      </c>
      <c r="AX100" s="61">
        <v>4550.3257393478052</v>
      </c>
      <c r="AY100" s="60">
        <v>2457</v>
      </c>
    </row>
    <row r="101" spans="28:51" x14ac:dyDescent="0.15">
      <c r="AB101" s="51">
        <v>4249.9139465189501</v>
      </c>
      <c r="AC101" s="51">
        <v>4512.7893474789462</v>
      </c>
      <c r="AD101" s="51">
        <v>1804.4112222374522</v>
      </c>
      <c r="AE101" s="51">
        <v>1228.9697517585478</v>
      </c>
      <c r="AF101" s="51">
        <v>114.95950953958396</v>
      </c>
      <c r="AG101" s="51">
        <v>78.297983386491538</v>
      </c>
      <c r="AH101" s="54">
        <v>0.99100085872382748</v>
      </c>
      <c r="AI101" s="55">
        <v>1.1052246177695439</v>
      </c>
      <c r="AJ101" s="54">
        <v>0.90500574564082903</v>
      </c>
      <c r="AK101" s="55">
        <v>1.1052246177695439</v>
      </c>
      <c r="AL101" s="82">
        <v>8684</v>
      </c>
      <c r="AM101" s="82">
        <v>7931</v>
      </c>
      <c r="AN101" s="54">
        <v>0.24559438950094051</v>
      </c>
      <c r="AO101" s="54">
        <v>4.9971408039351711E-2</v>
      </c>
      <c r="AP101" s="54">
        <v>0.29556579754029222</v>
      </c>
      <c r="AQ101" s="53">
        <v>2.9238877518588238</v>
      </c>
      <c r="AR101" s="53">
        <v>32.697197295926408</v>
      </c>
      <c r="AS101" s="53">
        <v>35.621085047785229</v>
      </c>
      <c r="AT101" s="53">
        <v>24.722019282476431</v>
      </c>
      <c r="AU101" s="53">
        <v>30.17155216513083</v>
      </c>
      <c r="AV101" s="53">
        <v>12.006442556282824</v>
      </c>
      <c r="AW101" s="53">
        <v>41769.825026554623</v>
      </c>
      <c r="AX101" s="53">
        <v>742.88869002182764</v>
      </c>
      <c r="AY101" s="51">
        <v>2501</v>
      </c>
    </row>
    <row r="102" spans="28:51" x14ac:dyDescent="0.15">
      <c r="AB102" s="51">
        <v>4275.0579159939634</v>
      </c>
      <c r="AC102" s="51">
        <v>4541.8933194584179</v>
      </c>
      <c r="AD102" s="51">
        <v>1827.4323583247958</v>
      </c>
      <c r="AE102" s="51">
        <v>1245.0459482617694</v>
      </c>
      <c r="AF102" s="51">
        <v>115.6485692022603</v>
      </c>
      <c r="AG102" s="51">
        <v>78.792400633388368</v>
      </c>
      <c r="AH102" s="54">
        <v>0.99200076331006892</v>
      </c>
      <c r="AI102" s="55">
        <v>1.1059610760233864</v>
      </c>
      <c r="AJ102" s="54">
        <v>0.91000961810360737</v>
      </c>
      <c r="AK102" s="55">
        <v>1.1059610760233864</v>
      </c>
      <c r="AL102" s="82">
        <v>8746</v>
      </c>
      <c r="AM102" s="82">
        <v>8024</v>
      </c>
      <c r="AN102" s="54">
        <v>0.24116090253783615</v>
      </c>
      <c r="AO102" s="54">
        <v>4.9971408039351711E-2</v>
      </c>
      <c r="AP102" s="54">
        <v>0.29113231057718786</v>
      </c>
      <c r="AQ102" s="53">
        <v>2.9757662443703392</v>
      </c>
      <c r="AR102" s="53">
        <v>32.960109896172241</v>
      </c>
      <c r="AS102" s="53">
        <v>35.935876140542582</v>
      </c>
      <c r="AT102" s="53">
        <v>24.949172841818502</v>
      </c>
      <c r="AU102" s="53">
        <v>30.442524491180542</v>
      </c>
      <c r="AV102" s="53">
        <v>12.131352326640407</v>
      </c>
      <c r="AW102" s="53">
        <v>42510.9463481477</v>
      </c>
      <c r="AX102" s="53">
        <v>741.12132159307657</v>
      </c>
      <c r="AY102" s="51">
        <v>2546</v>
      </c>
    </row>
    <row r="103" spans="28:51" x14ac:dyDescent="0.15">
      <c r="AB103" s="51">
        <v>4301.2667481902236</v>
      </c>
      <c r="AC103" s="51">
        <v>4569.6901231686152</v>
      </c>
      <c r="AD103" s="51">
        <v>1851.1436623788052</v>
      </c>
      <c r="AE103" s="51">
        <v>1260.9203936133797</v>
      </c>
      <c r="AF103" s="51">
        <v>116.3666236710002</v>
      </c>
      <c r="AG103" s="51">
        <v>79.263998740186381</v>
      </c>
      <c r="AH103" s="54">
        <v>0.99300066789631036</v>
      </c>
      <c r="AI103" s="55">
        <v>1.1066975342772289</v>
      </c>
      <c r="AJ103" s="54">
        <v>0.9150134905663857</v>
      </c>
      <c r="AK103" s="55">
        <v>1.1066975342772289</v>
      </c>
      <c r="AL103" s="82">
        <v>8809</v>
      </c>
      <c r="AM103" s="82">
        <v>8117</v>
      </c>
      <c r="AN103" s="54">
        <v>0.23679391787917833</v>
      </c>
      <c r="AO103" s="54">
        <v>4.9971408039351711E-2</v>
      </c>
      <c r="AP103" s="54">
        <v>0.28676532591853005</v>
      </c>
      <c r="AQ103" s="53">
        <v>3.0273875563853827</v>
      </c>
      <c r="AR103" s="53">
        <v>33.204257907076787</v>
      </c>
      <c r="AS103" s="53">
        <v>36.231645463462172</v>
      </c>
      <c r="AT103" s="53">
        <v>25.163559494436573</v>
      </c>
      <c r="AU103" s="53">
        <v>30.697602478949367</v>
      </c>
      <c r="AV103" s="53">
        <v>12.25079253057338</v>
      </c>
      <c r="AW103" s="53">
        <v>43248.393662648319</v>
      </c>
      <c r="AX103" s="53">
        <v>737.44731450061954</v>
      </c>
      <c r="AY103" s="51">
        <v>2590</v>
      </c>
    </row>
    <row r="104" spans="28:51" x14ac:dyDescent="0.15">
      <c r="AB104" s="51">
        <v>4328.3205124180668</v>
      </c>
      <c r="AC104" s="51">
        <v>4596.2289308851177</v>
      </c>
      <c r="AD104" s="51">
        <v>1875.4458454236735</v>
      </c>
      <c r="AE104" s="51">
        <v>1276.5979165558647</v>
      </c>
      <c r="AF104" s="51">
        <v>117.1127994295851</v>
      </c>
      <c r="AG104" s="51">
        <v>79.717554158466768</v>
      </c>
      <c r="AH104" s="54">
        <v>0.9940005724825518</v>
      </c>
      <c r="AI104" s="55">
        <v>1.1074339925310714</v>
      </c>
      <c r="AJ104" s="54">
        <v>0.92001736302916404</v>
      </c>
      <c r="AK104" s="55">
        <v>1.1074339925310714</v>
      </c>
      <c r="AL104" s="82">
        <v>8871</v>
      </c>
      <c r="AM104" s="82">
        <v>8211</v>
      </c>
      <c r="AN104" s="54">
        <v>0.2324924379904004</v>
      </c>
      <c r="AO104" s="54">
        <v>4.9971408039351711E-2</v>
      </c>
      <c r="AP104" s="54">
        <v>0.28246384602975211</v>
      </c>
      <c r="AQ104" s="53">
        <v>3.0818711575249096</v>
      </c>
      <c r="AR104" s="53">
        <v>33.4857024243639</v>
      </c>
      <c r="AS104" s="53">
        <v>36.567573581888809</v>
      </c>
      <c r="AT104" s="53">
        <v>25.405672773767513</v>
      </c>
      <c r="AU104" s="53">
        <v>30.986623177828164</v>
      </c>
      <c r="AV104" s="53">
        <v>12.383455164292661</v>
      </c>
      <c r="AW104" s="53">
        <v>44026.730821784418</v>
      </c>
      <c r="AX104" s="53">
        <v>778.33715913609922</v>
      </c>
      <c r="AY104" s="51">
        <v>2636</v>
      </c>
    </row>
    <row r="105" spans="28:51" x14ac:dyDescent="0.15">
      <c r="AB105" s="51">
        <v>4354.4416213550685</v>
      </c>
      <c r="AC105" s="51">
        <v>4623.5227496442922</v>
      </c>
      <c r="AD105" s="51">
        <v>1899.5384806472371</v>
      </c>
      <c r="AE105" s="51">
        <v>1292.6192717231863</v>
      </c>
      <c r="AF105" s="51">
        <v>117.82447825594195</v>
      </c>
      <c r="AG105" s="51">
        <v>80.178523797246555</v>
      </c>
      <c r="AH105" s="54">
        <v>0.99500047706879324</v>
      </c>
      <c r="AI105" s="55">
        <v>1.1081704507849139</v>
      </c>
      <c r="AJ105" s="54">
        <v>0.92502123549194237</v>
      </c>
      <c r="AK105" s="55">
        <v>1.1081704507849139</v>
      </c>
      <c r="AL105" s="82">
        <v>8933</v>
      </c>
      <c r="AM105" s="82">
        <v>8305</v>
      </c>
      <c r="AN105" s="54">
        <v>0.2282554802999541</v>
      </c>
      <c r="AO105" s="54">
        <v>4.9971408039351711E-2</v>
      </c>
      <c r="AP105" s="54">
        <v>0.27822688833930581</v>
      </c>
      <c r="AQ105" s="53">
        <v>3.1357956308029937</v>
      </c>
      <c r="AR105" s="53">
        <v>33.749218974931289</v>
      </c>
      <c r="AS105" s="53">
        <v>36.885014605734284</v>
      </c>
      <c r="AT105" s="53">
        <v>25.635274947423859</v>
      </c>
      <c r="AU105" s="53">
        <v>31.260144776579075</v>
      </c>
      <c r="AV105" s="53">
        <v>12.510578679395021</v>
      </c>
      <c r="AW105" s="53">
        <v>44797.080440042766</v>
      </c>
      <c r="AX105" s="53">
        <v>770.34961825834762</v>
      </c>
      <c r="AY105" s="51">
        <v>2682</v>
      </c>
    </row>
    <row r="106" spans="28:51" x14ac:dyDescent="0.15">
      <c r="AB106" s="51">
        <v>4373.2100942885836</v>
      </c>
      <c r="AC106" s="51">
        <v>4648.1277576899474</v>
      </c>
      <c r="AD106" s="51">
        <v>1920.5946681665284</v>
      </c>
      <c r="AE106" s="51">
        <v>1308.0265902722965</v>
      </c>
      <c r="AF106" s="51">
        <v>118.34617997363094</v>
      </c>
      <c r="AG106" s="51">
        <v>80.600010417834739</v>
      </c>
      <c r="AH106" s="54">
        <v>0.99600038165503468</v>
      </c>
      <c r="AI106" s="55">
        <v>1.1089069090387564</v>
      </c>
      <c r="AJ106" s="54">
        <v>0.93002510795472071</v>
      </c>
      <c r="AK106" s="55">
        <v>1.1089069090387564</v>
      </c>
      <c r="AL106" s="82">
        <v>8985</v>
      </c>
      <c r="AM106" s="82">
        <v>8390</v>
      </c>
      <c r="AN106" s="54">
        <v>0.22408207697486451</v>
      </c>
      <c r="AO106" s="54">
        <v>4.9971408039351711E-2</v>
      </c>
      <c r="AP106" s="54">
        <v>0.27405348501421622</v>
      </c>
      <c r="AQ106" s="53">
        <v>3.1867199230688086</v>
      </c>
      <c r="AR106" s="53">
        <v>33.981190360363662</v>
      </c>
      <c r="AS106" s="53">
        <v>37.167910283432469</v>
      </c>
      <c r="AT106" s="53">
        <v>25.840846829977913</v>
      </c>
      <c r="AU106" s="53">
        <v>31.504378556705191</v>
      </c>
      <c r="AV106" s="53">
        <v>12.625939467614272</v>
      </c>
      <c r="AW106" s="53">
        <v>45524.570329554401</v>
      </c>
      <c r="AX106" s="53">
        <v>727.48988951163483</v>
      </c>
      <c r="AY106" s="51">
        <v>2726</v>
      </c>
    </row>
    <row r="107" spans="28:51" x14ac:dyDescent="0.15">
      <c r="AB107" s="51">
        <v>4392.5323807944906</v>
      </c>
      <c r="AC107" s="51">
        <v>4671.0458584103999</v>
      </c>
      <c r="AD107" s="51">
        <v>1942.0135524345142</v>
      </c>
      <c r="AE107" s="51">
        <v>1323.0736342224352</v>
      </c>
      <c r="AF107" s="51">
        <v>118.87739452914406</v>
      </c>
      <c r="AG107" s="51">
        <v>80.989932438626766</v>
      </c>
      <c r="AH107" s="54">
        <v>0.99700028624127612</v>
      </c>
      <c r="AI107" s="55">
        <v>1.1096433672925989</v>
      </c>
      <c r="AJ107" s="54">
        <v>0.93502898041749904</v>
      </c>
      <c r="AK107" s="55">
        <v>1.1096433672925989</v>
      </c>
      <c r="AL107" s="82">
        <v>9037</v>
      </c>
      <c r="AM107" s="82">
        <v>8475</v>
      </c>
      <c r="AN107" s="54">
        <v>0.21997127469965125</v>
      </c>
      <c r="AO107" s="54">
        <v>4.9971408039351711E-2</v>
      </c>
      <c r="AP107" s="54">
        <v>0.26994268273900296</v>
      </c>
      <c r="AQ107" s="53">
        <v>3.2379899003931079</v>
      </c>
      <c r="AR107" s="53">
        <v>34.210187720266696</v>
      </c>
      <c r="AS107" s="53">
        <v>37.448177620659806</v>
      </c>
      <c r="AT107" s="53">
        <v>26.044781713904239</v>
      </c>
      <c r="AU107" s="53">
        <v>31.746479667282021</v>
      </c>
      <c r="AV107" s="53">
        <v>12.740819822689414</v>
      </c>
      <c r="AW107" s="53">
        <v>46256.998577044389</v>
      </c>
      <c r="AX107" s="53">
        <v>732.42824748998828</v>
      </c>
      <c r="AY107" s="51">
        <v>2770</v>
      </c>
    </row>
    <row r="108" spans="28:51" x14ac:dyDescent="0.15">
      <c r="AB108" s="51">
        <v>4412.7394886787861</v>
      </c>
      <c r="AC108" s="51">
        <v>4692.8907829892878</v>
      </c>
      <c r="AD108" s="51">
        <v>1963.9360051329111</v>
      </c>
      <c r="AE108" s="51">
        <v>1337.9241821371038</v>
      </c>
      <c r="AF108" s="51">
        <v>119.43234201520124</v>
      </c>
      <c r="AG108" s="51">
        <v>81.362843847141008</v>
      </c>
      <c r="AH108" s="54">
        <v>0.99800019082751756</v>
      </c>
      <c r="AI108" s="55">
        <v>1.1103798255464414</v>
      </c>
      <c r="AJ108" s="54">
        <v>0.94003285288027738</v>
      </c>
      <c r="AK108" s="55">
        <v>1.1103798255464414</v>
      </c>
      <c r="AL108" s="82">
        <v>9088</v>
      </c>
      <c r="AM108" s="82">
        <v>8560</v>
      </c>
      <c r="AN108" s="54">
        <v>0.2159221344585662</v>
      </c>
      <c r="AO108" s="54">
        <v>4.9971408039351711E-2</v>
      </c>
      <c r="AP108" s="54">
        <v>0.26589354249791791</v>
      </c>
      <c r="AQ108" s="53">
        <v>3.2898783085993268</v>
      </c>
      <c r="AR108" s="53">
        <v>34.439405701661222</v>
      </c>
      <c r="AS108" s="53">
        <v>37.72928401026055</v>
      </c>
      <c r="AT108" s="53">
        <v>26.249482109706808</v>
      </c>
      <c r="AU108" s="53">
        <v>31.98938305998368</v>
      </c>
      <c r="AV108" s="53">
        <v>12.856379892394111</v>
      </c>
      <c r="AW108" s="53">
        <v>46998.261551418953</v>
      </c>
      <c r="AX108" s="53">
        <v>741.26297437456378</v>
      </c>
      <c r="AY108" s="51">
        <v>2814</v>
      </c>
    </row>
    <row r="109" spans="28:51" x14ac:dyDescent="0.15">
      <c r="AB109" s="51">
        <v>4433.6053387409047</v>
      </c>
      <c r="AC109" s="51">
        <v>4713.7062758667216</v>
      </c>
      <c r="AD109" s="51">
        <v>1986.2512279195298</v>
      </c>
      <c r="AE109" s="51">
        <v>1352.5785145855605</v>
      </c>
      <c r="AF109" s="51">
        <v>120.00366266003518</v>
      </c>
      <c r="AG109" s="51">
        <v>81.71895553995499</v>
      </c>
      <c r="AH109" s="54">
        <v>0.999000095413759</v>
      </c>
      <c r="AI109" s="55">
        <v>1.1111162838002839</v>
      </c>
      <c r="AJ109" s="54">
        <v>0.94503672534305572</v>
      </c>
      <c r="AK109" s="55">
        <v>1.1111162838002839</v>
      </c>
      <c r="AL109" s="82">
        <v>9138</v>
      </c>
      <c r="AM109" s="82">
        <v>8644</v>
      </c>
      <c r="AN109" s="54">
        <v>0.21193373132109741</v>
      </c>
      <c r="AO109" s="54">
        <v>4.9971408039351711E-2</v>
      </c>
      <c r="AP109" s="54">
        <v>0.26190513936044912</v>
      </c>
      <c r="AQ109" s="53">
        <v>3.342285908428686</v>
      </c>
      <c r="AR109" s="53">
        <v>34.668275964761243</v>
      </c>
      <c r="AS109" s="53">
        <v>38.010561873189928</v>
      </c>
      <c r="AT109" s="53">
        <v>26.454469884936181</v>
      </c>
      <c r="AU109" s="53">
        <v>32.232515879063058</v>
      </c>
      <c r="AV109" s="53">
        <v>12.97236256530681</v>
      </c>
      <c r="AW109" s="53">
        <v>47746.941548981224</v>
      </c>
      <c r="AX109" s="53">
        <v>748.67999756227073</v>
      </c>
      <c r="AY109" s="51">
        <v>2859</v>
      </c>
    </row>
    <row r="110" spans="28:51" x14ac:dyDescent="0.15">
      <c r="AB110" s="60">
        <v>4455.8568006422411</v>
      </c>
      <c r="AC110" s="60">
        <v>4734.3434107427556</v>
      </c>
      <c r="AD110" s="60">
        <v>2009.2816483840381</v>
      </c>
      <c r="AE110" s="60">
        <v>1367.0849746696881</v>
      </c>
      <c r="AF110" s="60">
        <v>120.6154783543728</v>
      </c>
      <c r="AG110" s="60">
        <v>82.064955056686003</v>
      </c>
      <c r="AH110" s="62">
        <v>1</v>
      </c>
      <c r="AI110" s="63">
        <v>1.1118527420541255</v>
      </c>
      <c r="AJ110" s="62">
        <v>0.95004059780583416</v>
      </c>
      <c r="AK110" s="63">
        <v>1.1118527420541255</v>
      </c>
      <c r="AL110" s="84">
        <v>9190</v>
      </c>
      <c r="AM110" s="84">
        <v>8731</v>
      </c>
      <c r="AN110" s="62">
        <v>0.20800515423069069</v>
      </c>
      <c r="AO110" s="62">
        <v>4.9971408039351711E-2</v>
      </c>
      <c r="AP110" s="62">
        <v>0.2579765622700424</v>
      </c>
      <c r="AQ110" s="61">
        <v>3.3955543778725894</v>
      </c>
      <c r="AR110" s="61">
        <v>34.902128908738312</v>
      </c>
      <c r="AS110" s="61">
        <v>38.297683286610905</v>
      </c>
      <c r="AT110" s="61">
        <v>26.663640317031469</v>
      </c>
      <c r="AU110" s="61">
        <v>32.480661801821192</v>
      </c>
      <c r="AV110" s="61">
        <v>13.090590185855456</v>
      </c>
      <c r="AW110" s="61">
        <v>48507.919683894135</v>
      </c>
      <c r="AX110" s="61">
        <v>760.97813491291163</v>
      </c>
      <c r="AY110" s="60">
        <v>2905</v>
      </c>
    </row>
    <row r="111" spans="28:51" x14ac:dyDescent="0.15">
      <c r="AB111" s="51">
        <v>4470.6026223781018</v>
      </c>
      <c r="AC111" s="51">
        <v>4753.9320749393692</v>
      </c>
      <c r="AD111" s="51">
        <v>2028.9821392421318</v>
      </c>
      <c r="AE111" s="51">
        <v>1381.3689096091755</v>
      </c>
      <c r="AF111" s="51">
        <v>121.02023412165791</v>
      </c>
      <c r="AG111" s="51">
        <v>82.392834129000576</v>
      </c>
      <c r="AH111" s="54">
        <v>1</v>
      </c>
      <c r="AI111" s="55">
        <v>1.1124390398398296</v>
      </c>
      <c r="AJ111" s="54">
        <v>0.95503653802525079</v>
      </c>
      <c r="AK111" s="55">
        <v>1.1124390398398296</v>
      </c>
      <c r="AL111" s="82">
        <v>9225</v>
      </c>
      <c r="AM111" s="82">
        <v>8810</v>
      </c>
      <c r="AN111" s="54">
        <v>0.20542538860799028</v>
      </c>
      <c r="AO111" s="54">
        <v>4.9971408039351711E-2</v>
      </c>
      <c r="AP111" s="54">
        <v>0.25539679664734199</v>
      </c>
      <c r="AQ111" s="53">
        <v>3.4462186442757621</v>
      </c>
      <c r="AR111" s="53">
        <v>35.146615353301868</v>
      </c>
      <c r="AS111" s="53">
        <v>38.592833997577628</v>
      </c>
      <c r="AT111" s="53">
        <v>26.877295546477008</v>
      </c>
      <c r="AU111" s="53">
        <v>32.735064772027314</v>
      </c>
      <c r="AV111" s="53">
        <v>13.209167353526281</v>
      </c>
      <c r="AW111" s="53">
        <v>49231.69491822517</v>
      </c>
      <c r="AX111" s="53">
        <v>723.77523433103488</v>
      </c>
      <c r="AY111" s="51">
        <v>2948</v>
      </c>
    </row>
    <row r="112" spans="28:51" x14ac:dyDescent="0.15">
      <c r="AB112" s="51">
        <v>4485.8090690336949</v>
      </c>
      <c r="AC112" s="51">
        <v>4772.8894426421775</v>
      </c>
      <c r="AD112" s="51">
        <v>2048.9176703635767</v>
      </c>
      <c r="AE112" s="51">
        <v>1395.7345315086118</v>
      </c>
      <c r="AF112" s="51">
        <v>121.43998191479132</v>
      </c>
      <c r="AG112" s="51">
        <v>82.725615926860769</v>
      </c>
      <c r="AH112" s="54">
        <v>1</v>
      </c>
      <c r="AI112" s="55">
        <v>1.1130253376255337</v>
      </c>
      <c r="AJ112" s="54">
        <v>0.96003247824466742</v>
      </c>
      <c r="AK112" s="55">
        <v>1.1130253376255337</v>
      </c>
      <c r="AL112" s="82">
        <v>9259</v>
      </c>
      <c r="AM112" s="82">
        <v>8889</v>
      </c>
      <c r="AN112" s="54">
        <v>0.20287142064151684</v>
      </c>
      <c r="AO112" s="54">
        <v>4.9971408039351711E-2</v>
      </c>
      <c r="AP112" s="54">
        <v>0.25284282868086855</v>
      </c>
      <c r="AQ112" s="53">
        <v>3.4963696194719862</v>
      </c>
      <c r="AR112" s="53">
        <v>35.371921017703094</v>
      </c>
      <c r="AS112" s="53">
        <v>38.868290637175079</v>
      </c>
      <c r="AT112" s="53">
        <v>27.077650297940714</v>
      </c>
      <c r="AU112" s="53">
        <v>32.9729704675579</v>
      </c>
      <c r="AV112" s="53">
        <v>13.321903235500624</v>
      </c>
      <c r="AW112" s="53">
        <v>49948.137421028376</v>
      </c>
      <c r="AX112" s="53">
        <v>716.44250280320557</v>
      </c>
      <c r="AY112" s="51">
        <v>2991</v>
      </c>
    </row>
    <row r="113" spans="27:51" x14ac:dyDescent="0.15">
      <c r="AB113" s="51">
        <v>4501.8243059648885</v>
      </c>
      <c r="AC113" s="51">
        <v>4790.9788043620347</v>
      </c>
      <c r="AD113" s="51">
        <v>2069.2344525722742</v>
      </c>
      <c r="AE113" s="51">
        <v>1409.5330394927814</v>
      </c>
      <c r="AF113" s="51">
        <v>121.88015055577451</v>
      </c>
      <c r="AG113" s="51">
        <v>83.023022767265772</v>
      </c>
      <c r="AH113" s="54">
        <v>1</v>
      </c>
      <c r="AI113" s="55">
        <v>1.1136116354112378</v>
      </c>
      <c r="AJ113" s="54">
        <v>0.96502841846408405</v>
      </c>
      <c r="AK113" s="55">
        <v>1.1136116354112378</v>
      </c>
      <c r="AL113" s="82">
        <v>9293</v>
      </c>
      <c r="AM113" s="82">
        <v>8968</v>
      </c>
      <c r="AN113" s="54">
        <v>0.20034299235470812</v>
      </c>
      <c r="AO113" s="54">
        <v>4.9971408039351711E-2</v>
      </c>
      <c r="AP113" s="54">
        <v>0.25031440039405983</v>
      </c>
      <c r="AQ113" s="53">
        <v>3.5477759116013261</v>
      </c>
      <c r="AR113" s="53">
        <v>35.616764936612434</v>
      </c>
      <c r="AS113" s="53">
        <v>39.164540848213761</v>
      </c>
      <c r="AT113" s="53">
        <v>27.292285869342948</v>
      </c>
      <c r="AU113" s="53">
        <v>33.228413358778347</v>
      </c>
      <c r="AV113" s="53">
        <v>13.441321727327001</v>
      </c>
      <c r="AW113" s="53">
        <v>50682.513022876083</v>
      </c>
      <c r="AX113" s="53">
        <v>734.375601847707</v>
      </c>
      <c r="AY113" s="51">
        <v>3035</v>
      </c>
    </row>
    <row r="114" spans="27:51" x14ac:dyDescent="0.15">
      <c r="AB114" s="51">
        <v>4518.2825463802164</v>
      </c>
      <c r="AC114" s="51">
        <v>4808.2371432452155</v>
      </c>
      <c r="AD114" s="51">
        <v>2089.7589042808868</v>
      </c>
      <c r="AE114" s="51">
        <v>1423.3339070118132</v>
      </c>
      <c r="AF114" s="51">
        <v>122.33276909338664</v>
      </c>
      <c r="AG114" s="51">
        <v>83.320797357330136</v>
      </c>
      <c r="AH114" s="54">
        <v>1</v>
      </c>
      <c r="AI114" s="55">
        <v>1.1141979331969418</v>
      </c>
      <c r="AJ114" s="54">
        <v>0.97002435868350068</v>
      </c>
      <c r="AK114" s="55">
        <v>1.1141979331969418</v>
      </c>
      <c r="AL114" s="82">
        <v>9327</v>
      </c>
      <c r="AM114" s="82">
        <v>9047</v>
      </c>
      <c r="AN114" s="54">
        <v>0.19783984835076751</v>
      </c>
      <c r="AO114" s="54">
        <v>4.9971408039351711E-2</v>
      </c>
      <c r="AP114" s="54">
        <v>0.24781125639011922</v>
      </c>
      <c r="AQ114" s="53">
        <v>3.5985588849345924</v>
      </c>
      <c r="AR114" s="53">
        <v>35.841535790230459</v>
      </c>
      <c r="AS114" s="53">
        <v>39.440094675165049</v>
      </c>
      <c r="AT114" s="53">
        <v>27.492916078421562</v>
      </c>
      <c r="AU114" s="53">
        <v>33.466505376793307</v>
      </c>
      <c r="AV114" s="53">
        <v>13.554541048887497</v>
      </c>
      <c r="AW114" s="53">
        <v>51407.984070494167</v>
      </c>
      <c r="AX114" s="53">
        <v>725.47104761808441</v>
      </c>
      <c r="AY114" s="51">
        <v>3078</v>
      </c>
    </row>
    <row r="115" spans="27:51" x14ac:dyDescent="0.15">
      <c r="AB115" s="51">
        <v>4535.5785460132129</v>
      </c>
      <c r="AC115" s="51">
        <v>4822.4005300367244</v>
      </c>
      <c r="AD115" s="51">
        <v>2110.6692179647443</v>
      </c>
      <c r="AE115" s="51">
        <v>1436.0772143972024</v>
      </c>
      <c r="AF115" s="51">
        <v>122.81204068228925</v>
      </c>
      <c r="AG115" s="51">
        <v>83.560025311556799</v>
      </c>
      <c r="AH115" s="54">
        <v>1</v>
      </c>
      <c r="AI115" s="55">
        <v>1.1147842309826459</v>
      </c>
      <c r="AJ115" s="54">
        <v>0.9750202989029173</v>
      </c>
      <c r="AK115" s="55">
        <v>1.1147842309826459</v>
      </c>
      <c r="AL115" s="82">
        <v>9358</v>
      </c>
      <c r="AM115" s="82">
        <v>9124</v>
      </c>
      <c r="AN115" s="54">
        <v>0.1953617357868663</v>
      </c>
      <c r="AO115" s="54">
        <v>4.9971408039351711E-2</v>
      </c>
      <c r="AP115" s="54">
        <v>0.24533314382621801</v>
      </c>
      <c r="AQ115" s="53">
        <v>3.6512669295091835</v>
      </c>
      <c r="AR115" s="53">
        <v>36.097516610679143</v>
      </c>
      <c r="AS115" s="53">
        <v>39.748783540188327</v>
      </c>
      <c r="AT115" s="53">
        <v>27.71627800329528</v>
      </c>
      <c r="AU115" s="53">
        <v>33.7325307717418</v>
      </c>
      <c r="AV115" s="53">
        <v>13.678354876920057</v>
      </c>
      <c r="AW115" s="53">
        <v>52160.956135845474</v>
      </c>
      <c r="AX115" s="53">
        <v>752.97206535130681</v>
      </c>
      <c r="AY115" s="51">
        <v>3123</v>
      </c>
    </row>
    <row r="116" spans="27:51" x14ac:dyDescent="0.15">
      <c r="AB116" s="51">
        <v>4547.060942073128</v>
      </c>
      <c r="AC116" s="51">
        <v>4837.4280313705722</v>
      </c>
      <c r="AD116" s="51">
        <v>2128.8331410893556</v>
      </c>
      <c r="AE116" s="51">
        <v>1449.1072622043064</v>
      </c>
      <c r="AF116" s="51">
        <v>123.1248555707371</v>
      </c>
      <c r="AG116" s="51">
        <v>83.811698963926645</v>
      </c>
      <c r="AH116" s="54">
        <v>1</v>
      </c>
      <c r="AI116" s="55">
        <v>1.11537052876835</v>
      </c>
      <c r="AJ116" s="54">
        <v>0.98001623912233393</v>
      </c>
      <c r="AK116" s="55">
        <v>1.11537052876835</v>
      </c>
      <c r="AL116" s="82">
        <v>9384</v>
      </c>
      <c r="AM116" s="82">
        <v>9196</v>
      </c>
      <c r="AN116" s="54">
        <v>0.19290840434860412</v>
      </c>
      <c r="AO116" s="54">
        <v>4.9971408039351711E-2</v>
      </c>
      <c r="AP116" s="54">
        <v>0.24287981238795583</v>
      </c>
      <c r="AQ116" s="53">
        <v>3.6996319983623982</v>
      </c>
      <c r="AR116" s="53">
        <v>36.299474861260101</v>
      </c>
      <c r="AS116" s="53">
        <v>39.999106859622501</v>
      </c>
      <c r="AT116" s="53">
        <v>27.899281905869138</v>
      </c>
      <c r="AU116" s="53">
        <v>33.949194382745823</v>
      </c>
      <c r="AV116" s="53">
        <v>13.782819459823539</v>
      </c>
      <c r="AW116" s="53">
        <v>52851.885690891395</v>
      </c>
      <c r="AX116" s="53">
        <v>690.92955504592101</v>
      </c>
      <c r="AY116" s="51">
        <v>3165</v>
      </c>
    </row>
    <row r="117" spans="27:51" x14ac:dyDescent="0.15">
      <c r="AB117" s="51">
        <v>4558.5096322443351</v>
      </c>
      <c r="AC117" s="51">
        <v>4851.9636223689431</v>
      </c>
      <c r="AD117" s="51">
        <v>2146.924480721369</v>
      </c>
      <c r="AE117" s="51">
        <v>1462.0229299250709</v>
      </c>
      <c r="AF117" s="51">
        <v>123.4399280212107</v>
      </c>
      <c r="AG117" s="51">
        <v>84.060714224410702</v>
      </c>
      <c r="AH117" s="54">
        <v>1</v>
      </c>
      <c r="AI117" s="55">
        <v>1.115956826554054</v>
      </c>
      <c r="AJ117" s="54">
        <v>0.98501217934175056</v>
      </c>
      <c r="AK117" s="55">
        <v>1.115956826554054</v>
      </c>
      <c r="AL117" s="82">
        <v>9410</v>
      </c>
      <c r="AM117" s="82">
        <v>9269</v>
      </c>
      <c r="AN117" s="54">
        <v>0.19047960622472457</v>
      </c>
      <c r="AO117" s="54">
        <v>4.9971408039351711E-2</v>
      </c>
      <c r="AP117" s="54">
        <v>0.24045101426407628</v>
      </c>
      <c r="AQ117" s="53">
        <v>3.7492270886607555</v>
      </c>
      <c r="AR117" s="53">
        <v>36.51964484381584</v>
      </c>
      <c r="AS117" s="53">
        <v>40.268871932476593</v>
      </c>
      <c r="AT117" s="53">
        <v>28.095656984537978</v>
      </c>
      <c r="AU117" s="53">
        <v>34.182264458507284</v>
      </c>
      <c r="AV117" s="53">
        <v>13.8935728786096</v>
      </c>
      <c r="AW117" s="53">
        <v>53560.38698086793</v>
      </c>
      <c r="AX117" s="53">
        <v>708.50128997653519</v>
      </c>
      <c r="AY117" s="51">
        <v>3207</v>
      </c>
    </row>
    <row r="118" spans="27:51" x14ac:dyDescent="0.15">
      <c r="AB118" s="51">
        <v>4570.5275483590103</v>
      </c>
      <c r="AC118" s="51">
        <v>4865.8051795385318</v>
      </c>
      <c r="AD118" s="51">
        <v>2165.2103521094855</v>
      </c>
      <c r="AE118" s="51">
        <v>1474.7499853452864</v>
      </c>
      <c r="AF118" s="51">
        <v>123.76619835874116</v>
      </c>
      <c r="AG118" s="51">
        <v>84.298598996614203</v>
      </c>
      <c r="AH118" s="54">
        <v>1</v>
      </c>
      <c r="AI118" s="55">
        <v>1.1165431243397581</v>
      </c>
      <c r="AJ118" s="54">
        <v>0.99000811956116719</v>
      </c>
      <c r="AK118" s="55">
        <v>1.1165431243397581</v>
      </c>
      <c r="AL118" s="82">
        <v>9436</v>
      </c>
      <c r="AM118" s="82">
        <v>9342</v>
      </c>
      <c r="AN118" s="54">
        <v>0.18807509608208381</v>
      </c>
      <c r="AO118" s="54">
        <v>4.9971408039351711E-2</v>
      </c>
      <c r="AP118" s="54">
        <v>0.23804650412143552</v>
      </c>
      <c r="AQ118" s="53">
        <v>3.7979514727492627</v>
      </c>
      <c r="AR118" s="53">
        <v>36.72024138683549</v>
      </c>
      <c r="AS118" s="53">
        <v>40.518192859584751</v>
      </c>
      <c r="AT118" s="53">
        <v>28.278112397306256</v>
      </c>
      <c r="AU118" s="53">
        <v>34.398152628445509</v>
      </c>
      <c r="AV118" s="53">
        <v>13.998018524648012</v>
      </c>
      <c r="AW118" s="53">
        <v>54256.449610703748</v>
      </c>
      <c r="AX118" s="53">
        <v>696.06262983581837</v>
      </c>
      <c r="AY118" s="51">
        <v>3249</v>
      </c>
    </row>
    <row r="119" spans="27:51" x14ac:dyDescent="0.15">
      <c r="AB119" s="51">
        <v>4583.0097273892143</v>
      </c>
      <c r="AC119" s="51">
        <v>4878.9837913266074</v>
      </c>
      <c r="AD119" s="51">
        <v>2183.6461782849615</v>
      </c>
      <c r="AE119" s="51">
        <v>1487.107881199493</v>
      </c>
      <c r="AF119" s="51">
        <v>124.11189458501826</v>
      </c>
      <c r="AG119" s="51">
        <v>84.522748430307118</v>
      </c>
      <c r="AH119" s="54">
        <v>1</v>
      </c>
      <c r="AI119" s="55">
        <v>1.1171294221254622</v>
      </c>
      <c r="AJ119" s="54">
        <v>0.99500405978058382</v>
      </c>
      <c r="AK119" s="55">
        <v>1.1171294221254622</v>
      </c>
      <c r="AL119" s="82">
        <v>9462</v>
      </c>
      <c r="AM119" s="82">
        <v>9415</v>
      </c>
      <c r="AN119" s="54">
        <v>0.18569463104086945</v>
      </c>
      <c r="AO119" s="54">
        <v>4.9971408039351711E-2</v>
      </c>
      <c r="AP119" s="54">
        <v>0.23566603908022116</v>
      </c>
      <c r="AQ119" s="53">
        <v>3.84787335313806</v>
      </c>
      <c r="AR119" s="53">
        <v>36.94017563771223</v>
      </c>
      <c r="AS119" s="53">
        <v>40.788048990850292</v>
      </c>
      <c r="AT119" s="53">
        <v>28.474657111612881</v>
      </c>
      <c r="AU119" s="53">
        <v>34.631353051231592</v>
      </c>
      <c r="AV119" s="53">
        <v>14.10903325250257</v>
      </c>
      <c r="AW119" s="53">
        <v>54969.619330543705</v>
      </c>
      <c r="AX119" s="53">
        <v>713.16971983995609</v>
      </c>
      <c r="AY119" s="51">
        <v>3292</v>
      </c>
    </row>
    <row r="120" spans="27:51" x14ac:dyDescent="0.15">
      <c r="AB120" s="60">
        <v>4597.9197217592236</v>
      </c>
      <c r="AC120" s="60">
        <v>4891.9112788342236</v>
      </c>
      <c r="AD120" s="60">
        <v>2203.1540669319666</v>
      </c>
      <c r="AE120" s="60">
        <v>1499.394317859907</v>
      </c>
      <c r="AF120" s="60">
        <v>124.51750151687533</v>
      </c>
      <c r="AG120" s="60">
        <v>84.742523026775018</v>
      </c>
      <c r="AH120" s="62">
        <v>1</v>
      </c>
      <c r="AI120" s="63">
        <v>1.1177157199111663</v>
      </c>
      <c r="AJ120" s="62">
        <v>1</v>
      </c>
      <c r="AK120" s="63">
        <v>1.1177157199111663</v>
      </c>
      <c r="AL120" s="84">
        <v>9490</v>
      </c>
      <c r="AM120" s="84">
        <v>9490</v>
      </c>
      <c r="AN120" s="62">
        <v>0.18333797065006724</v>
      </c>
      <c r="AO120" s="62">
        <v>4.9971408039351711E-2</v>
      </c>
      <c r="AP120" s="62">
        <v>0.23330937868941895</v>
      </c>
      <c r="AQ120" s="61">
        <v>3.8978923154814837</v>
      </c>
      <c r="AR120" s="61">
        <v>37.148177630083801</v>
      </c>
      <c r="AS120" s="61">
        <v>41.046069945565286</v>
      </c>
      <c r="AT120" s="61">
        <v>28.663344068870686</v>
      </c>
      <c r="AU120" s="61">
        <v>34.854707007217989</v>
      </c>
      <c r="AV120" s="61">
        <v>14.216830546060319</v>
      </c>
      <c r="AW120" s="61">
        <v>55684.175935449763</v>
      </c>
      <c r="AX120" s="61">
        <v>714.55660490605806</v>
      </c>
      <c r="AY120" s="60">
        <v>3334</v>
      </c>
    </row>
    <row r="121" spans="27:51" x14ac:dyDescent="0.15">
      <c r="AB121" s="51">
        <v>4607.3415238164243</v>
      </c>
      <c r="AC121" s="51">
        <v>4903.8515017507589</v>
      </c>
      <c r="AD121" s="51">
        <v>2219.9475640489563</v>
      </c>
      <c r="AE121" s="51">
        <v>1511.1994399708497</v>
      </c>
      <c r="AF121" s="51">
        <v>124.78628065136131</v>
      </c>
      <c r="AG121" s="51">
        <v>84.946581842878075</v>
      </c>
      <c r="AH121" s="54">
        <v>1</v>
      </c>
      <c r="AI121" s="55">
        <v>1.1182017571880594</v>
      </c>
      <c r="AJ121" s="54">
        <v>1</v>
      </c>
      <c r="AK121" s="55">
        <v>1.1182017571880594</v>
      </c>
      <c r="AL121" s="82">
        <v>9511</v>
      </c>
      <c r="AM121" s="82">
        <v>9511</v>
      </c>
      <c r="AN121" s="54">
        <v>0.18100487686317304</v>
      </c>
      <c r="AO121" s="54">
        <v>4.9971408039351711E-2</v>
      </c>
      <c r="AP121" s="54">
        <v>0.23097628490252475</v>
      </c>
      <c r="AQ121" s="53">
        <v>3.9257077488414871</v>
      </c>
      <c r="AR121" s="53">
        <v>37.149336135046099</v>
      </c>
      <c r="AS121" s="53">
        <v>41.075043883887588</v>
      </c>
      <c r="AT121" s="53">
        <v>28.691931838872218</v>
      </c>
      <c r="AU121" s="53">
        <v>34.883487861379905</v>
      </c>
      <c r="AV121" s="53">
        <v>14.244967786354293</v>
      </c>
      <c r="AW121" s="53">
        <v>56081.539269164095</v>
      </c>
      <c r="AX121" s="53">
        <v>397.36333371433284</v>
      </c>
      <c r="AY121" s="51">
        <v>3358</v>
      </c>
    </row>
    <row r="122" spans="27:51" x14ac:dyDescent="0.15">
      <c r="AB122" s="51">
        <v>4617.1095458248856</v>
      </c>
      <c r="AC122" s="51">
        <v>4915.0632697444635</v>
      </c>
      <c r="AD122" s="51">
        <v>2236.7751647408891</v>
      </c>
      <c r="AE122" s="51">
        <v>1522.7645851972688</v>
      </c>
      <c r="AF122" s="51">
        <v>125.05057591180218</v>
      </c>
      <c r="AG122" s="51">
        <v>85.132646033770598</v>
      </c>
      <c r="AH122" s="54">
        <v>1</v>
      </c>
      <c r="AI122" s="55">
        <v>1.1186877944649525</v>
      </c>
      <c r="AJ122" s="54">
        <v>1</v>
      </c>
      <c r="AK122" s="55">
        <v>1.1186877944649525</v>
      </c>
      <c r="AL122" s="82">
        <v>9532</v>
      </c>
      <c r="AM122" s="82">
        <v>9532</v>
      </c>
      <c r="AN122" s="54">
        <v>0.17869511401414778</v>
      </c>
      <c r="AO122" s="54">
        <v>4.9971408039351711E-2</v>
      </c>
      <c r="AP122" s="54">
        <v>0.22866652205349949</v>
      </c>
      <c r="AQ122" s="53">
        <v>3.9544763693451808</v>
      </c>
      <c r="AR122" s="53">
        <v>37.169090485368393</v>
      </c>
      <c r="AS122" s="53">
        <v>41.123566854713573</v>
      </c>
      <c r="AT122" s="53">
        <v>28.733870026257442</v>
      </c>
      <c r="AU122" s="53">
        <v>34.928718440485511</v>
      </c>
      <c r="AV122" s="53">
        <v>14.279223726391955</v>
      </c>
      <c r="AW122" s="53">
        <v>56492.519562074005</v>
      </c>
      <c r="AX122" s="53">
        <v>410.98029290990962</v>
      </c>
      <c r="AY122" s="51">
        <v>3383</v>
      </c>
    </row>
    <row r="123" spans="27:51" x14ac:dyDescent="0.15">
      <c r="AB123" s="51">
        <v>4627.178858454653</v>
      </c>
      <c r="AC123" s="51">
        <v>4925.7250634575157</v>
      </c>
      <c r="AD123" s="51">
        <v>2253.6286881899141</v>
      </c>
      <c r="AE123" s="51">
        <v>1534.1496728659915</v>
      </c>
      <c r="AF123" s="51">
        <v>125.32817467179214</v>
      </c>
      <c r="AG123" s="51">
        <v>85.316706865340947</v>
      </c>
      <c r="AH123" s="54">
        <v>1</v>
      </c>
      <c r="AI123" s="55">
        <v>1.1191738317418456</v>
      </c>
      <c r="AJ123" s="54">
        <v>1</v>
      </c>
      <c r="AK123" s="55">
        <v>1.1191738317418456</v>
      </c>
      <c r="AL123" s="82">
        <v>9553</v>
      </c>
      <c r="AM123" s="82">
        <v>9553</v>
      </c>
      <c r="AN123" s="54">
        <v>0.17640844879361278</v>
      </c>
      <c r="AO123" s="54">
        <v>4.9971408039351711E-2</v>
      </c>
      <c r="AP123" s="54">
        <v>0.22637985683296449</v>
      </c>
      <c r="AQ123" s="53">
        <v>3.9830482176153117</v>
      </c>
      <c r="AR123" s="53">
        <v>37.188221157410013</v>
      </c>
      <c r="AS123" s="53">
        <v>41.171269375025325</v>
      </c>
      <c r="AT123" s="53">
        <v>28.775195655888652</v>
      </c>
      <c r="AU123" s="53">
        <v>34.973232515456992</v>
      </c>
      <c r="AV123" s="53">
        <v>14.313109650229205</v>
      </c>
      <c r="AW123" s="53">
        <v>56900.688823075878</v>
      </c>
      <c r="AX123" s="53">
        <v>408.16926100187266</v>
      </c>
      <c r="AY123" s="51">
        <v>3407</v>
      </c>
    </row>
    <row r="124" spans="27:51" x14ac:dyDescent="0.15">
      <c r="AB124" s="51">
        <v>4637.4393700805203</v>
      </c>
      <c r="AC124" s="51">
        <v>4936.2183018796604</v>
      </c>
      <c r="AD124" s="51">
        <v>2270.4470295371807</v>
      </c>
      <c r="AE124" s="51">
        <v>1545.2767975626223</v>
      </c>
      <c r="AF124" s="51">
        <v>125.61411123500078</v>
      </c>
      <c r="AG124" s="51">
        <v>85.493547751900238</v>
      </c>
      <c r="AH124" s="54">
        <v>1</v>
      </c>
      <c r="AI124" s="55">
        <v>1.1196598690187387</v>
      </c>
      <c r="AJ124" s="54">
        <v>1</v>
      </c>
      <c r="AK124" s="55">
        <v>1.1196598690187387</v>
      </c>
      <c r="AL124" s="82">
        <v>9574</v>
      </c>
      <c r="AM124" s="82">
        <v>9574</v>
      </c>
      <c r="AN124" s="54">
        <v>0.17414465022528314</v>
      </c>
      <c r="AO124" s="54">
        <v>4.9971408039351711E-2</v>
      </c>
      <c r="AP124" s="54">
        <v>0.22411605826463485</v>
      </c>
      <c r="AQ124" s="53">
        <v>4.0112890448411633</v>
      </c>
      <c r="AR124" s="53">
        <v>37.207743430339278</v>
      </c>
      <c r="AS124" s="53">
        <v>41.219032475180441</v>
      </c>
      <c r="AT124" s="53">
        <v>28.816451331734015</v>
      </c>
      <c r="AU124" s="53">
        <v>35.017741903457228</v>
      </c>
      <c r="AV124" s="53">
        <v>14.346773331046519</v>
      </c>
      <c r="AW124" s="53">
        <v>57304.129212016618</v>
      </c>
      <c r="AX124" s="53">
        <v>403.44038894074038</v>
      </c>
      <c r="AY124" s="51">
        <v>3431</v>
      </c>
    </row>
    <row r="125" spans="27:51" x14ac:dyDescent="0.15">
      <c r="AB125" s="56">
        <v>4646.4678900468434</v>
      </c>
      <c r="AC125" s="56">
        <v>4945.19620279832</v>
      </c>
      <c r="AD125" s="56">
        <v>2286.5183988822464</v>
      </c>
      <c r="AE125" s="56">
        <v>1555.9011015540852</v>
      </c>
      <c r="AF125" s="56">
        <v>125.86402380023435</v>
      </c>
      <c r="AG125" s="56">
        <v>85.646357961757829</v>
      </c>
      <c r="AH125" s="58">
        <v>1</v>
      </c>
      <c r="AI125" s="59">
        <v>1.120145906295632</v>
      </c>
      <c r="AJ125" s="58">
        <v>1</v>
      </c>
      <c r="AK125" s="59">
        <v>1.120145906295632</v>
      </c>
      <c r="AL125" s="83">
        <v>9592</v>
      </c>
      <c r="AM125" s="83">
        <v>9592</v>
      </c>
      <c r="AN125" s="58">
        <v>0.1719034896426368</v>
      </c>
      <c r="AO125" s="58">
        <v>4.9971408039351711E-2</v>
      </c>
      <c r="AP125" s="58">
        <v>0.22187489768198851</v>
      </c>
      <c r="AQ125" s="57">
        <v>4.0370957515263566</v>
      </c>
      <c r="AR125" s="57">
        <v>37.19861343754453</v>
      </c>
      <c r="AS125" s="57">
        <v>41.235709189070889</v>
      </c>
      <c r="AT125" s="57">
        <v>28.836171376556045</v>
      </c>
      <c r="AU125" s="57">
        <v>35.035940282813463</v>
      </c>
      <c r="AV125" s="57">
        <v>14.370043928622058</v>
      </c>
      <c r="AW125" s="57">
        <v>57672.796450376518</v>
      </c>
      <c r="AX125" s="57">
        <v>368.66723835989978</v>
      </c>
      <c r="AY125" s="56">
        <v>3453</v>
      </c>
    </row>
    <row r="127" spans="27:51" ht="12.75" thickBot="1" x14ac:dyDescent="0.2"/>
    <row r="128" spans="27:51" ht="60.75" thickBot="1" x14ac:dyDescent="0.2">
      <c r="AA128" s="93" t="s">
        <v>116</v>
      </c>
      <c r="AB128" s="91" t="s">
        <v>20</v>
      </c>
      <c r="AC128" s="91" t="s">
        <v>4</v>
      </c>
      <c r="AD128" s="91" t="s">
        <v>155</v>
      </c>
      <c r="AE128" s="91" t="s">
        <v>156</v>
      </c>
      <c r="AF128" s="91" t="s">
        <v>157</v>
      </c>
      <c r="AG128" s="91" t="s">
        <v>158</v>
      </c>
      <c r="AH128" s="90" t="s">
        <v>50</v>
      </c>
      <c r="AI128" s="90" t="s">
        <v>28</v>
      </c>
      <c r="AJ128" s="90" t="s">
        <v>51</v>
      </c>
      <c r="AK128" s="90" t="s">
        <v>29</v>
      </c>
      <c r="AL128" s="90" t="s">
        <v>110</v>
      </c>
      <c r="AM128" s="90" t="s">
        <v>111</v>
      </c>
      <c r="AN128" s="91" t="s">
        <v>43</v>
      </c>
      <c r="AO128" s="91" t="s">
        <v>44</v>
      </c>
      <c r="AP128" s="91" t="s">
        <v>5</v>
      </c>
      <c r="AQ128" s="46" t="s">
        <v>45</v>
      </c>
      <c r="AR128" s="45" t="s">
        <v>46</v>
      </c>
      <c r="AS128" s="45" t="s">
        <v>93</v>
      </c>
      <c r="AT128" s="45" t="s">
        <v>30</v>
      </c>
      <c r="AU128" s="45" t="s">
        <v>31</v>
      </c>
      <c r="AV128" s="45" t="s">
        <v>32</v>
      </c>
      <c r="AW128" s="45" t="s">
        <v>26</v>
      </c>
      <c r="AX128" s="46" t="s">
        <v>138</v>
      </c>
      <c r="AY128" s="87" t="s">
        <v>152</v>
      </c>
    </row>
    <row r="129" spans="28:51" x14ac:dyDescent="0.15">
      <c r="AB129" s="44" t="s">
        <v>120</v>
      </c>
      <c r="AC129" s="44" t="s">
        <v>120</v>
      </c>
      <c r="AD129" s="44" t="s">
        <v>159</v>
      </c>
      <c r="AE129" s="44" t="s">
        <v>159</v>
      </c>
      <c r="AF129" s="44" t="s">
        <v>159</v>
      </c>
      <c r="AG129" s="44" t="s">
        <v>159</v>
      </c>
      <c r="AH129" s="43" t="s">
        <v>2</v>
      </c>
      <c r="AI129" s="43" t="s">
        <v>2</v>
      </c>
      <c r="AJ129" s="43" t="s">
        <v>2</v>
      </c>
      <c r="AK129" s="43" t="s">
        <v>2</v>
      </c>
      <c r="AL129" s="92">
        <v>0</v>
      </c>
      <c r="AM129" s="92">
        <v>0</v>
      </c>
      <c r="AN129" s="39" t="s">
        <v>2</v>
      </c>
      <c r="AO129" s="39" t="s">
        <v>2</v>
      </c>
      <c r="AP129" s="39" t="s">
        <v>2</v>
      </c>
      <c r="AQ129" s="43" t="s">
        <v>19</v>
      </c>
      <c r="AR129" s="43" t="s">
        <v>19</v>
      </c>
      <c r="AS129" s="43" t="s">
        <v>19</v>
      </c>
      <c r="AT129" s="43" t="s">
        <v>19</v>
      </c>
      <c r="AU129" s="43" t="s">
        <v>19</v>
      </c>
      <c r="AV129" s="43" t="s">
        <v>19</v>
      </c>
      <c r="AW129" s="43" t="s">
        <v>101</v>
      </c>
      <c r="AX129" s="43" t="s">
        <v>101</v>
      </c>
      <c r="AY129" s="43" t="s">
        <v>154</v>
      </c>
    </row>
    <row r="130" spans="28:51" ht="15.75" x14ac:dyDescent="0.15">
      <c r="AB130" s="76">
        <v>6324.4745127598826</v>
      </c>
      <c r="AC130" s="76">
        <v>10402.311506172253</v>
      </c>
      <c r="AD130" s="76">
        <v>2475.4910784672852</v>
      </c>
      <c r="AE130" s="76">
        <v>2621.5515930354609</v>
      </c>
      <c r="AF130" s="76">
        <v>170.7868091452122</v>
      </c>
      <c r="AG130" s="76">
        <v>180.8636821512145</v>
      </c>
      <c r="AH130" s="54">
        <v>0.73504510649358956</v>
      </c>
      <c r="AI130" s="55">
        <v>1.0934659892767227</v>
      </c>
      <c r="AJ130" s="54">
        <v>0</v>
      </c>
      <c r="AK130" s="55">
        <v>1.0934659892767227</v>
      </c>
      <c r="AL130" s="82">
        <v>12295</v>
      </c>
      <c r="AM130" s="82">
        <v>0</v>
      </c>
      <c r="AN130" s="54">
        <v>0.41755321579381505</v>
      </c>
      <c r="AO130" s="54">
        <v>0.27836881052921009</v>
      </c>
      <c r="AP130" s="54">
        <v>0.69592202632302513</v>
      </c>
      <c r="AQ130" s="53">
        <v>0</v>
      </c>
      <c r="AR130" s="53">
        <v>0</v>
      </c>
      <c r="AS130" s="53">
        <v>0</v>
      </c>
      <c r="AT130" s="53">
        <v>0</v>
      </c>
      <c r="AU130" s="53">
        <v>0</v>
      </c>
      <c r="AV130" s="53">
        <v>0</v>
      </c>
      <c r="AW130" s="53">
        <v>0</v>
      </c>
      <c r="AX130" s="53">
        <v>0</v>
      </c>
      <c r="AY130" s="53">
        <v>0</v>
      </c>
    </row>
    <row r="131" spans="28:51" ht="15.75" x14ac:dyDescent="0.15">
      <c r="AB131" s="76">
        <v>6403.1708155702408</v>
      </c>
      <c r="AC131" s="76">
        <v>10504.357841864827</v>
      </c>
      <c r="AD131" s="76">
        <v>2519.648063968586</v>
      </c>
      <c r="AE131" s="76">
        <v>2660.4623301453466</v>
      </c>
      <c r="AF131" s="76">
        <v>172.93711863649906</v>
      </c>
      <c r="AG131" s="76">
        <v>182.60196580454607</v>
      </c>
      <c r="AH131" s="78">
        <v>0.75550056927092557</v>
      </c>
      <c r="AI131" s="79">
        <v>1.0944786286488752</v>
      </c>
      <c r="AJ131" s="78">
        <v>0</v>
      </c>
      <c r="AK131" s="79">
        <v>1.0944786286488752</v>
      </c>
      <c r="AL131" s="81">
        <v>12774</v>
      </c>
      <c r="AM131" s="81">
        <v>0</v>
      </c>
      <c r="AN131" s="78">
        <v>0.41702842080111552</v>
      </c>
      <c r="AO131" s="78">
        <v>0.27801894720074366</v>
      </c>
      <c r="AP131" s="78">
        <v>0.69504736800185918</v>
      </c>
      <c r="AQ131" s="77">
        <v>2.5911658084036371</v>
      </c>
      <c r="AR131" s="77">
        <v>34.017473169605502</v>
      </c>
      <c r="AS131" s="77">
        <v>36.608638978009139</v>
      </c>
      <c r="AT131" s="77">
        <v>25.26948125480731</v>
      </c>
      <c r="AU131" s="77">
        <v>30.939060116408228</v>
      </c>
      <c r="AV131" s="77">
        <v>12.040463911071834</v>
      </c>
      <c r="AW131" s="77">
        <v>0</v>
      </c>
      <c r="AX131" s="77">
        <v>0</v>
      </c>
      <c r="AY131" s="76">
        <v>0</v>
      </c>
    </row>
    <row r="132" spans="28:51" x14ac:dyDescent="0.15">
      <c r="AB132" s="51">
        <v>6478.751081275067</v>
      </c>
      <c r="AC132" s="51">
        <v>10632.248029200273</v>
      </c>
      <c r="AD132" s="51">
        <v>2563.5955036088872</v>
      </c>
      <c r="AE132" s="51">
        <v>2706.6163654767643</v>
      </c>
      <c r="AF132" s="51">
        <v>175.00726844594868</v>
      </c>
      <c r="AG132" s="51">
        <v>184.77077845797947</v>
      </c>
      <c r="AH132" s="54">
        <v>0.77614866772091773</v>
      </c>
      <c r="AI132" s="55">
        <v>1.0954740495672763</v>
      </c>
      <c r="AJ132" s="54">
        <v>0</v>
      </c>
      <c r="AK132" s="55">
        <v>1.0954740495672763</v>
      </c>
      <c r="AL132" s="82">
        <v>13281</v>
      </c>
      <c r="AM132" s="82">
        <v>0</v>
      </c>
      <c r="AN132" s="54">
        <v>0.4165136742434038</v>
      </c>
      <c r="AO132" s="54">
        <v>0.2776757828289359</v>
      </c>
      <c r="AP132" s="54">
        <v>0.6941894570723397</v>
      </c>
      <c r="AQ132" s="53">
        <v>0</v>
      </c>
      <c r="AR132" s="53">
        <v>0</v>
      </c>
      <c r="AS132" s="53">
        <v>0</v>
      </c>
      <c r="AT132" s="53">
        <v>0</v>
      </c>
      <c r="AU132" s="53">
        <v>0</v>
      </c>
      <c r="AV132" s="53">
        <v>0</v>
      </c>
      <c r="AW132" s="53">
        <v>0</v>
      </c>
      <c r="AX132" s="53">
        <v>0</v>
      </c>
      <c r="AY132" s="51">
        <v>0</v>
      </c>
    </row>
    <row r="133" spans="28:51" x14ac:dyDescent="0.15">
      <c r="AB133" s="56">
        <v>6568.2102612127801</v>
      </c>
      <c r="AC133" s="56">
        <v>10734.688777186911</v>
      </c>
      <c r="AD133" s="56">
        <v>2614.0381771891052</v>
      </c>
      <c r="AE133" s="56">
        <v>2747.4713411657967</v>
      </c>
      <c r="AF133" s="56">
        <v>177.45355240460461</v>
      </c>
      <c r="AG133" s="56">
        <v>186.51164082996621</v>
      </c>
      <c r="AH133" s="58">
        <v>0.79697538358465825</v>
      </c>
      <c r="AI133" s="59">
        <v>1.0964522597533219</v>
      </c>
      <c r="AJ133" s="58">
        <v>0</v>
      </c>
      <c r="AK133" s="59">
        <v>1.0964522597533219</v>
      </c>
      <c r="AL133" s="83">
        <v>13790</v>
      </c>
      <c r="AM133" s="83">
        <v>0</v>
      </c>
      <c r="AN133" s="58">
        <v>0.40442584348281335</v>
      </c>
      <c r="AO133" s="58">
        <v>0.23391407945509562</v>
      </c>
      <c r="AP133" s="58">
        <v>0.63833992293790898</v>
      </c>
      <c r="AQ133" s="57">
        <v>0</v>
      </c>
      <c r="AR133" s="57">
        <v>0</v>
      </c>
      <c r="AS133" s="57">
        <v>0</v>
      </c>
      <c r="AT133" s="57">
        <v>0</v>
      </c>
      <c r="AU133" s="57">
        <v>0</v>
      </c>
      <c r="AV133" s="57">
        <v>0</v>
      </c>
      <c r="AW133" s="57">
        <v>0</v>
      </c>
      <c r="AX133" s="57">
        <v>0</v>
      </c>
      <c r="AY133" s="56">
        <v>0</v>
      </c>
    </row>
    <row r="134" spans="28:51" x14ac:dyDescent="0.15">
      <c r="AB134" s="51">
        <v>6643.1812599245477</v>
      </c>
      <c r="AC134" s="51">
        <v>10841.600668075387</v>
      </c>
      <c r="AD134" s="51">
        <v>2659.6805455081849</v>
      </c>
      <c r="AE134" s="51">
        <v>2790.6059784528193</v>
      </c>
      <c r="AF134" s="51">
        <v>179.50681510807058</v>
      </c>
      <c r="AG134" s="51">
        <v>188.34321748136614</v>
      </c>
      <c r="AH134" s="54">
        <v>0.81842266920165019</v>
      </c>
      <c r="AI134" s="55">
        <v>1.0973451375046974</v>
      </c>
      <c r="AJ134" s="54">
        <v>0.10000020813089452</v>
      </c>
      <c r="AK134" s="55">
        <v>1.0973451375046974</v>
      </c>
      <c r="AL134" s="82">
        <v>14310</v>
      </c>
      <c r="AM134" s="82">
        <v>1749</v>
      </c>
      <c r="AN134" s="54">
        <v>0.38993442357891628</v>
      </c>
      <c r="AO134" s="54">
        <v>0.19704922053297255</v>
      </c>
      <c r="AP134" s="54">
        <v>0.58698364411188886</v>
      </c>
      <c r="AQ134" s="53">
        <v>0.5844515537504601</v>
      </c>
      <c r="AR134" s="53">
        <v>8.068375256045023</v>
      </c>
      <c r="AS134" s="53">
        <v>8.6528268097954832</v>
      </c>
      <c r="AT134" s="53">
        <v>5.9633683911138089</v>
      </c>
      <c r="AU134" s="53">
        <v>7.308097600454647</v>
      </c>
      <c r="AV134" s="53">
        <v>2.8256669026518555</v>
      </c>
      <c r="AW134" s="53">
        <v>8349.3079107208578</v>
      </c>
      <c r="AX134" s="53">
        <v>8349.3079107208578</v>
      </c>
      <c r="AY134" s="51">
        <v>500</v>
      </c>
    </row>
    <row r="135" spans="28:51" x14ac:dyDescent="0.15">
      <c r="AB135" s="51">
        <v>6709.2308205226664</v>
      </c>
      <c r="AC135" s="51">
        <v>10954.77842265771</v>
      </c>
      <c r="AD135" s="51">
        <v>2702.6247804804725</v>
      </c>
      <c r="AE135" s="51">
        <v>2836.4890338214659</v>
      </c>
      <c r="AF135" s="51">
        <v>181.31449921119832</v>
      </c>
      <c r="AG135" s="51">
        <v>190.29522425749505</v>
      </c>
      <c r="AH135" s="54">
        <v>0.83986995481864213</v>
      </c>
      <c r="AI135" s="55">
        <v>1.0982380152560729</v>
      </c>
      <c r="AJ135" s="54">
        <v>0.20000041626178905</v>
      </c>
      <c r="AK135" s="55">
        <v>1.0982380152560729</v>
      </c>
      <c r="AL135" s="82">
        <v>14835</v>
      </c>
      <c r="AM135" s="82">
        <v>3533</v>
      </c>
      <c r="AN135" s="54">
        <v>0.37376486193216862</v>
      </c>
      <c r="AO135" s="54">
        <v>0.16599426337697609</v>
      </c>
      <c r="AP135" s="54">
        <v>0.53975912530914472</v>
      </c>
      <c r="AQ135" s="53">
        <v>1.1868339075436136</v>
      </c>
      <c r="AR135" s="53">
        <v>16.108937709988272</v>
      </c>
      <c r="AS135" s="53">
        <v>17.295771617531884</v>
      </c>
      <c r="AT135" s="53">
        <v>11.926125714202461</v>
      </c>
      <c r="AU135" s="53">
        <v>14.610948665867175</v>
      </c>
      <c r="AV135" s="53">
        <v>5.6615388269847999</v>
      </c>
      <c r="AW135" s="53">
        <v>16954.770107765908</v>
      </c>
      <c r="AX135" s="53">
        <v>8605.4621970450498</v>
      </c>
      <c r="AY135" s="51">
        <v>1015</v>
      </c>
    </row>
    <row r="136" spans="28:51" x14ac:dyDescent="0.15">
      <c r="AB136" s="51">
        <v>6777.6621936671372</v>
      </c>
      <c r="AC136" s="51">
        <v>11086.370524014581</v>
      </c>
      <c r="AD136" s="51">
        <v>2747.3482734759982</v>
      </c>
      <c r="AE136" s="51">
        <v>2887.8054778094765</v>
      </c>
      <c r="AF136" s="51">
        <v>183.17881784272996</v>
      </c>
      <c r="AG136" s="51">
        <v>192.54376982049604</v>
      </c>
      <c r="AH136" s="54">
        <v>0.86131724043563407</v>
      </c>
      <c r="AI136" s="55">
        <v>1.0991308930074484</v>
      </c>
      <c r="AJ136" s="54">
        <v>0.3000006243926836</v>
      </c>
      <c r="AK136" s="55">
        <v>1.0991308930074484</v>
      </c>
      <c r="AL136" s="82">
        <v>15387</v>
      </c>
      <c r="AM136" s="82">
        <v>5359</v>
      </c>
      <c r="AN136" s="54">
        <v>0.35650038710895227</v>
      </c>
      <c r="AO136" s="54">
        <v>0.13983356746876466</v>
      </c>
      <c r="AP136" s="54">
        <v>0.4963339545777169</v>
      </c>
      <c r="AQ136" s="53">
        <v>1.8099951326106027</v>
      </c>
      <c r="AR136" s="53">
        <v>24.135850771525575</v>
      </c>
      <c r="AS136" s="53">
        <v>25.945845904136178</v>
      </c>
      <c r="AT136" s="53">
        <v>17.900562313627653</v>
      </c>
      <c r="AU136" s="53">
        <v>21.923204108881912</v>
      </c>
      <c r="AV136" s="53">
        <v>8.5143981247010405</v>
      </c>
      <c r="AW136" s="53">
        <v>25857.073323008608</v>
      </c>
      <c r="AX136" s="53">
        <v>8902.3032152427004</v>
      </c>
      <c r="AY136" s="51">
        <v>1548</v>
      </c>
    </row>
    <row r="137" spans="28:51" x14ac:dyDescent="0.15">
      <c r="AB137" s="51">
        <v>6812.9286116085568</v>
      </c>
      <c r="AC137" s="51">
        <v>11198.816140570325</v>
      </c>
      <c r="AD137" s="51">
        <v>2779.3525900079526</v>
      </c>
      <c r="AE137" s="51">
        <v>2934.8095042681962</v>
      </c>
      <c r="AF137" s="51">
        <v>184.15799309672053</v>
      </c>
      <c r="AG137" s="51">
        <v>194.45846143100033</v>
      </c>
      <c r="AH137" s="54">
        <v>0.88276452605262601</v>
      </c>
      <c r="AI137" s="55">
        <v>1.1000237707588238</v>
      </c>
      <c r="AJ137" s="54">
        <v>0.4000008325235781</v>
      </c>
      <c r="AK137" s="55">
        <v>1.1000237707588238</v>
      </c>
      <c r="AL137" s="82">
        <v>15900</v>
      </c>
      <c r="AM137" s="82">
        <v>7205</v>
      </c>
      <c r="AN137" s="54">
        <v>0.33860666622551072</v>
      </c>
      <c r="AO137" s="54">
        <v>0.11779579723568735</v>
      </c>
      <c r="AP137" s="54">
        <v>0.45640246346119806</v>
      </c>
      <c r="AQ137" s="53">
        <v>2.4452684239346016</v>
      </c>
      <c r="AR137" s="53">
        <v>32.020913980355893</v>
      </c>
      <c r="AS137" s="53">
        <v>34.466182404290493</v>
      </c>
      <c r="AT137" s="53">
        <v>23.792544410838531</v>
      </c>
      <c r="AU137" s="53">
        <v>29.129363407564512</v>
      </c>
      <c r="AV137" s="53">
        <v>11.339966751811238</v>
      </c>
      <c r="AW137" s="53">
        <v>34932.406056208594</v>
      </c>
      <c r="AX137" s="53">
        <v>9075.3327331999863</v>
      </c>
      <c r="AY137" s="51">
        <v>2092</v>
      </c>
    </row>
    <row r="138" spans="28:51" x14ac:dyDescent="0.15">
      <c r="AB138" s="51">
        <v>6864.1537486929401</v>
      </c>
      <c r="AC138" s="51">
        <v>11260.053432143077</v>
      </c>
      <c r="AD138" s="51">
        <v>2818.5074432359629</v>
      </c>
      <c r="AE138" s="51">
        <v>2968.9431767655578</v>
      </c>
      <c r="AF138" s="51">
        <v>185.5766991432898</v>
      </c>
      <c r="AG138" s="51">
        <v>195.48171710895804</v>
      </c>
      <c r="AH138" s="54">
        <v>0.90421181166961795</v>
      </c>
      <c r="AI138" s="55">
        <v>1.1009166485101993</v>
      </c>
      <c r="AJ138" s="54">
        <v>0.50000104065447259</v>
      </c>
      <c r="AK138" s="55">
        <v>1.1009166485101993</v>
      </c>
      <c r="AL138" s="82">
        <v>16388</v>
      </c>
      <c r="AM138" s="82">
        <v>9062</v>
      </c>
      <c r="AN138" s="54">
        <v>0.32045239581641949</v>
      </c>
      <c r="AO138" s="54">
        <v>9.9231179591343033E-2</v>
      </c>
      <c r="AP138" s="54">
        <v>0.41968357540776252</v>
      </c>
      <c r="AQ138" s="53">
        <v>3.0930692324104507</v>
      </c>
      <c r="AR138" s="53">
        <v>39.723996630405658</v>
      </c>
      <c r="AS138" s="53">
        <v>42.817065862816108</v>
      </c>
      <c r="AT138" s="53">
        <v>29.575733652680888</v>
      </c>
      <c r="AU138" s="53">
        <v>36.196399757748502</v>
      </c>
      <c r="AV138" s="53">
        <v>14.127512740856467</v>
      </c>
      <c r="AW138" s="53">
        <v>44186.703320149289</v>
      </c>
      <c r="AX138" s="53">
        <v>9254.2972639406944</v>
      </c>
      <c r="AY138" s="51">
        <v>2646</v>
      </c>
    </row>
    <row r="139" spans="28:51" x14ac:dyDescent="0.15">
      <c r="AB139" s="51">
        <v>6915.1536335216952</v>
      </c>
      <c r="AC139" s="51">
        <v>11334.829411125047</v>
      </c>
      <c r="AD139" s="51">
        <v>2858.1909992343794</v>
      </c>
      <c r="AE139" s="51">
        <v>3007.5899996677413</v>
      </c>
      <c r="AF139" s="51">
        <v>186.97331350983814</v>
      </c>
      <c r="AG139" s="51">
        <v>196.74649737108669</v>
      </c>
      <c r="AH139" s="54">
        <v>0.92565909728660989</v>
      </c>
      <c r="AI139" s="55">
        <v>1.1018095262615748</v>
      </c>
      <c r="AJ139" s="54">
        <v>0.60000124878536709</v>
      </c>
      <c r="AK139" s="55">
        <v>1.1018095262615748</v>
      </c>
      <c r="AL139" s="82">
        <v>16893</v>
      </c>
      <c r="AM139" s="82">
        <v>10950</v>
      </c>
      <c r="AN139" s="54">
        <v>0.30232648159311698</v>
      </c>
      <c r="AO139" s="54">
        <v>8.3592345687747371E-2</v>
      </c>
      <c r="AP139" s="54">
        <v>0.38591882728086435</v>
      </c>
      <c r="AQ139" s="53">
        <v>3.7591661467262538</v>
      </c>
      <c r="AR139" s="53">
        <v>47.34428187636901</v>
      </c>
      <c r="AS139" s="53">
        <v>51.103448023095261</v>
      </c>
      <c r="AT139" s="53">
        <v>35.322020730972255</v>
      </c>
      <c r="AU139" s="53">
        <v>43.212734377033769</v>
      </c>
      <c r="AV139" s="53">
        <v>16.910355556828758</v>
      </c>
      <c r="AW139" s="53">
        <v>53702.373524660761</v>
      </c>
      <c r="AX139" s="53">
        <v>9515.6702045114725</v>
      </c>
      <c r="AY139" s="51">
        <v>3216</v>
      </c>
    </row>
    <row r="140" spans="28:51" x14ac:dyDescent="0.15">
      <c r="AB140" s="51">
        <v>6968.4220275069729</v>
      </c>
      <c r="AC140" s="51">
        <v>11426.574774511053</v>
      </c>
      <c r="AD140" s="51">
        <v>2899.4236208223665</v>
      </c>
      <c r="AE140" s="51">
        <v>3051.7383384895852</v>
      </c>
      <c r="AF140" s="51">
        <v>188.43457622525085</v>
      </c>
      <c r="AG140" s="51">
        <v>198.33356410352113</v>
      </c>
      <c r="AH140" s="54">
        <v>0.94710638290360183</v>
      </c>
      <c r="AI140" s="55">
        <v>1.1027024040129503</v>
      </c>
      <c r="AJ140" s="54">
        <v>0.70000145691626159</v>
      </c>
      <c r="AK140" s="55">
        <v>1.1027024040129503</v>
      </c>
      <c r="AL140" s="82">
        <v>17422</v>
      </c>
      <c r="AM140" s="82">
        <v>12877</v>
      </c>
      <c r="AN140" s="54">
        <v>0.28445235803771951</v>
      </c>
      <c r="AO140" s="54">
        <v>7.0418192007358382E-2</v>
      </c>
      <c r="AP140" s="54">
        <v>0.35487055004507789</v>
      </c>
      <c r="AQ140" s="53">
        <v>4.4459500232616831</v>
      </c>
      <c r="AR140" s="53">
        <v>54.908938248804809</v>
      </c>
      <c r="AS140" s="53">
        <v>59.354888272066489</v>
      </c>
      <c r="AT140" s="53">
        <v>41.051908855798217</v>
      </c>
      <c r="AU140" s="53">
        <v>50.203398563932353</v>
      </c>
      <c r="AV140" s="53">
        <v>19.698432870151908</v>
      </c>
      <c r="AW140" s="53">
        <v>63513.571760881183</v>
      </c>
      <c r="AX140" s="53">
        <v>9811.1982362204217</v>
      </c>
      <c r="AY140" s="51">
        <v>3803</v>
      </c>
    </row>
    <row r="141" spans="28:51" x14ac:dyDescent="0.15">
      <c r="AB141" s="51">
        <v>7005.3824306510642</v>
      </c>
      <c r="AC141" s="51">
        <v>11514.409639427206</v>
      </c>
      <c r="AD141" s="51">
        <v>2934.4050813246672</v>
      </c>
      <c r="AE141" s="51">
        <v>3094.8619411576774</v>
      </c>
      <c r="AF141" s="51">
        <v>189.45403684364231</v>
      </c>
      <c r="AG141" s="51">
        <v>199.81361535858107</v>
      </c>
      <c r="AH141" s="54">
        <v>0.96855366852059377</v>
      </c>
      <c r="AI141" s="55">
        <v>1.1035952817643258</v>
      </c>
      <c r="AJ141" s="54">
        <v>0.80000166504715609</v>
      </c>
      <c r="AK141" s="55">
        <v>1.1035952817643258</v>
      </c>
      <c r="AL141" s="82">
        <v>17938</v>
      </c>
      <c r="AM141" s="82">
        <v>14816</v>
      </c>
      <c r="AN141" s="54">
        <v>0.26699991087398522</v>
      </c>
      <c r="AO141" s="54">
        <v>5.9320284946998703E-2</v>
      </c>
      <c r="AP141" s="54">
        <v>0.32632019582098393</v>
      </c>
      <c r="AQ141" s="53">
        <v>5.1432072391217032</v>
      </c>
      <c r="AR141" s="53">
        <v>62.312124948283582</v>
      </c>
      <c r="AS141" s="53">
        <v>67.45533218740529</v>
      </c>
      <c r="AT141" s="53">
        <v>46.684623871310755</v>
      </c>
      <c r="AU141" s="53">
        <v>57.069978029358012</v>
      </c>
      <c r="AV141" s="53">
        <v>22.452130835867145</v>
      </c>
      <c r="AW141" s="53">
        <v>73474.389130310039</v>
      </c>
      <c r="AX141" s="53">
        <v>9960.8173694288562</v>
      </c>
      <c r="AY141" s="51">
        <v>4400</v>
      </c>
    </row>
    <row r="142" spans="28:51" x14ac:dyDescent="0.15">
      <c r="AB142" s="60">
        <v>7082.1648840894622</v>
      </c>
      <c r="AC142" s="60">
        <v>11656.099508679583</v>
      </c>
      <c r="AD142" s="60">
        <v>2986.6332889784076</v>
      </c>
      <c r="AE142" s="60">
        <v>3153.5397335255352</v>
      </c>
      <c r="AF142" s="60">
        <v>191.54838759309879</v>
      </c>
      <c r="AG142" s="60">
        <v>202.25296938754968</v>
      </c>
      <c r="AH142" s="62">
        <v>0.99000095413758615</v>
      </c>
      <c r="AI142" s="63">
        <v>1.1044881595157015</v>
      </c>
      <c r="AJ142" s="62">
        <v>0.90000187317805069</v>
      </c>
      <c r="AK142" s="63">
        <v>1.1044881595157015</v>
      </c>
      <c r="AL142" s="84">
        <v>18551</v>
      </c>
      <c r="AM142" s="84">
        <v>16864</v>
      </c>
      <c r="AN142" s="62">
        <v>0.25009539149393989</v>
      </c>
      <c r="AO142" s="62">
        <v>4.9971408039351711E-2</v>
      </c>
      <c r="AP142" s="62">
        <v>0.30006679953329157</v>
      </c>
      <c r="AQ142" s="61">
        <v>5.8883490188258687</v>
      </c>
      <c r="AR142" s="61">
        <v>69.990349129547027</v>
      </c>
      <c r="AS142" s="61">
        <v>75.878698148372891</v>
      </c>
      <c r="AT142" s="61">
        <v>52.548581771857222</v>
      </c>
      <c r="AU142" s="61">
        <v>64.21363996011506</v>
      </c>
      <c r="AV142" s="61">
        <v>25.330112665922265</v>
      </c>
      <c r="AW142" s="61">
        <v>84119.271697512391</v>
      </c>
      <c r="AX142" s="61">
        <v>10644.882567202352</v>
      </c>
      <c r="AY142" s="60">
        <v>5037</v>
      </c>
    </row>
    <row r="143" spans="28:51" x14ac:dyDescent="0.15">
      <c r="AB143" s="51">
        <v>7154.4882476911216</v>
      </c>
      <c r="AC143" s="51">
        <v>11736.254158887041</v>
      </c>
      <c r="AD143" s="51">
        <v>3037.6235956669061</v>
      </c>
      <c r="AE143" s="51">
        <v>3196.1388510811548</v>
      </c>
      <c r="AF143" s="51">
        <v>193.52779145915855</v>
      </c>
      <c r="AG143" s="51">
        <v>203.62683972065616</v>
      </c>
      <c r="AH143" s="54">
        <v>0.99100085872382748</v>
      </c>
      <c r="AI143" s="55">
        <v>1.1052246177695439</v>
      </c>
      <c r="AJ143" s="54">
        <v>0.90500574564082903</v>
      </c>
      <c r="AK143" s="55">
        <v>1.1052246177695439</v>
      </c>
      <c r="AL143" s="82">
        <v>18721</v>
      </c>
      <c r="AM143" s="82">
        <v>17096</v>
      </c>
      <c r="AN143" s="54">
        <v>0.24559438950094051</v>
      </c>
      <c r="AO143" s="54">
        <v>4.9971408039351711E-2</v>
      </c>
      <c r="AP143" s="54">
        <v>0.29556579754029222</v>
      </c>
      <c r="AQ143" s="53">
        <v>6.0069700231014762</v>
      </c>
      <c r="AR143" s="53">
        <v>70.687814868320046</v>
      </c>
      <c r="AS143" s="53">
        <v>76.69478489142152</v>
      </c>
      <c r="AT143" s="53">
        <v>53.132179935314838</v>
      </c>
      <c r="AU143" s="53">
        <v>64.913482413368172</v>
      </c>
      <c r="AV143" s="53">
        <v>25.642474153190381</v>
      </c>
      <c r="AW143" s="53">
        <v>85813.857472878211</v>
      </c>
      <c r="AX143" s="53">
        <v>1694.5857753658202</v>
      </c>
      <c r="AY143" s="51">
        <v>5139</v>
      </c>
    </row>
    <row r="144" spans="28:51" x14ac:dyDescent="0.15">
      <c r="AB144" s="51">
        <v>7211.03738237785</v>
      </c>
      <c r="AC144" s="51">
        <v>11813.126233928537</v>
      </c>
      <c r="AD144" s="51">
        <v>3082.4571990817508</v>
      </c>
      <c r="AE144" s="51">
        <v>3238.2717777288813</v>
      </c>
      <c r="AF144" s="51">
        <v>195.07248138464482</v>
      </c>
      <c r="AG144" s="51">
        <v>204.93316541998297</v>
      </c>
      <c r="AH144" s="54">
        <v>0.99200076331006892</v>
      </c>
      <c r="AI144" s="55">
        <v>1.1059610760233864</v>
      </c>
      <c r="AJ144" s="54">
        <v>0.91000961810360737</v>
      </c>
      <c r="AK144" s="55">
        <v>1.1059610760233864</v>
      </c>
      <c r="AL144" s="82">
        <v>18872</v>
      </c>
      <c r="AM144" s="82">
        <v>17312</v>
      </c>
      <c r="AN144" s="54">
        <v>0.24116090253783615</v>
      </c>
      <c r="AO144" s="54">
        <v>4.9971408039351711E-2</v>
      </c>
      <c r="AP144" s="54">
        <v>0.29113231057718786</v>
      </c>
      <c r="AQ144" s="53">
        <v>6.1205426621296759</v>
      </c>
      <c r="AR144" s="53">
        <v>71.327235303959483</v>
      </c>
      <c r="AS144" s="53">
        <v>77.447777966089163</v>
      </c>
      <c r="AT144" s="53">
        <v>53.672032864769335</v>
      </c>
      <c r="AU144" s="53">
        <v>65.559905415429256</v>
      </c>
      <c r="AV144" s="53">
        <v>25.933663579896201</v>
      </c>
      <c r="AW144" s="53">
        <v>87436.323744709647</v>
      </c>
      <c r="AX144" s="53">
        <v>1622.4662718314357</v>
      </c>
      <c r="AY144" s="51">
        <v>5236</v>
      </c>
    </row>
    <row r="145" spans="28:51" x14ac:dyDescent="0.15">
      <c r="AB145" s="51">
        <v>7252.3914478662764</v>
      </c>
      <c r="AC145" s="51">
        <v>11886.598684378807</v>
      </c>
      <c r="AD145" s="51">
        <v>3121.2243396568288</v>
      </c>
      <c r="AE145" s="51">
        <v>3279.8842564489946</v>
      </c>
      <c r="AF145" s="51">
        <v>196.20645631515998</v>
      </c>
      <c r="AG145" s="51">
        <v>206.18013864152289</v>
      </c>
      <c r="AH145" s="54">
        <v>0.99300066789631036</v>
      </c>
      <c r="AI145" s="55">
        <v>1.1066975342772289</v>
      </c>
      <c r="AJ145" s="54">
        <v>0.9150134905663857</v>
      </c>
      <c r="AK145" s="55">
        <v>1.1066975342772289</v>
      </c>
      <c r="AL145" s="82">
        <v>19005</v>
      </c>
      <c r="AM145" s="82">
        <v>17512</v>
      </c>
      <c r="AN145" s="54">
        <v>0.23679391787917833</v>
      </c>
      <c r="AO145" s="54">
        <v>4.9971408039351711E-2</v>
      </c>
      <c r="AP145" s="54">
        <v>0.28676532591853005</v>
      </c>
      <c r="AQ145" s="53">
        <v>6.2279140458252007</v>
      </c>
      <c r="AR145" s="53">
        <v>71.890847715253344</v>
      </c>
      <c r="AS145" s="53">
        <v>78.118761761078545</v>
      </c>
      <c r="AT145" s="53">
        <v>54.1551458559941</v>
      </c>
      <c r="AU145" s="53">
        <v>66.136953808536305</v>
      </c>
      <c r="AV145" s="53">
        <v>26.19759396672891</v>
      </c>
      <c r="AW145" s="53">
        <v>88970.200654645712</v>
      </c>
      <c r="AX145" s="53">
        <v>1533.8769099360652</v>
      </c>
      <c r="AY145" s="51">
        <v>5328</v>
      </c>
    </row>
    <row r="146" spans="28:51" x14ac:dyDescent="0.15">
      <c r="AB146" s="51">
        <v>7280.1751251595342</v>
      </c>
      <c r="AC146" s="51">
        <v>11956.79842250937</v>
      </c>
      <c r="AD146" s="51">
        <v>3154.4739243003728</v>
      </c>
      <c r="AE146" s="51">
        <v>3320.9886157507926</v>
      </c>
      <c r="AF146" s="51">
        <v>196.98210583040836</v>
      </c>
      <c r="AG146" s="51">
        <v>207.38016755503622</v>
      </c>
      <c r="AH146" s="54">
        <v>0.9940005724825518</v>
      </c>
      <c r="AI146" s="55">
        <v>1.1074339925310714</v>
      </c>
      <c r="AJ146" s="54">
        <v>0.92001736302916404</v>
      </c>
      <c r="AK146" s="55">
        <v>1.1074339925310714</v>
      </c>
      <c r="AL146" s="82">
        <v>19122</v>
      </c>
      <c r="AM146" s="82">
        <v>17698</v>
      </c>
      <c r="AN146" s="54">
        <v>0.2324924379904004</v>
      </c>
      <c r="AO146" s="54">
        <v>4.9971408039351711E-2</v>
      </c>
      <c r="AP146" s="54">
        <v>0.28246384602975211</v>
      </c>
      <c r="AQ146" s="53">
        <v>6.3305376276904788</v>
      </c>
      <c r="AR146" s="53">
        <v>72.402711249738047</v>
      </c>
      <c r="AS146" s="53">
        <v>78.733248877428522</v>
      </c>
      <c r="AT146" s="53">
        <v>54.599011794182516</v>
      </c>
      <c r="AU146" s="53">
        <v>66.666130335805533</v>
      </c>
      <c r="AV146" s="53">
        <v>26.442401863728833</v>
      </c>
      <c r="AW146" s="53">
        <v>90436.251824149687</v>
      </c>
      <c r="AX146" s="53">
        <v>1466.051169503975</v>
      </c>
      <c r="AY146" s="51">
        <v>5415</v>
      </c>
    </row>
    <row r="147" spans="28:51" x14ac:dyDescent="0.15">
      <c r="AB147" s="51">
        <v>7296.9414894368747</v>
      </c>
      <c r="AC147" s="51">
        <v>12021.560316351919</v>
      </c>
      <c r="AD147" s="51">
        <v>3183.1454766187289</v>
      </c>
      <c r="AE147" s="51">
        <v>3360.9222626393871</v>
      </c>
      <c r="AF147" s="51">
        <v>197.44398906179057</v>
      </c>
      <c r="AG147" s="51">
        <v>208.47111868949105</v>
      </c>
      <c r="AH147" s="54">
        <v>0.99500047706879324</v>
      </c>
      <c r="AI147" s="55">
        <v>1.1081704507849139</v>
      </c>
      <c r="AJ147" s="54">
        <v>0.92502123549194237</v>
      </c>
      <c r="AK147" s="55">
        <v>1.1081704507849139</v>
      </c>
      <c r="AL147" s="82">
        <v>19222</v>
      </c>
      <c r="AM147" s="82">
        <v>17870</v>
      </c>
      <c r="AN147" s="54">
        <v>0.2282554802999541</v>
      </c>
      <c r="AO147" s="54">
        <v>4.9971408039351711E-2</v>
      </c>
      <c r="AP147" s="54">
        <v>0.27822688833930581</v>
      </c>
      <c r="AQ147" s="53">
        <v>6.428621294611335</v>
      </c>
      <c r="AR147" s="53">
        <v>72.863103526202735</v>
      </c>
      <c r="AS147" s="53">
        <v>79.291724820814068</v>
      </c>
      <c r="AT147" s="53">
        <v>55.004023645413156</v>
      </c>
      <c r="AU147" s="53">
        <v>67.147874233113612</v>
      </c>
      <c r="AV147" s="53">
        <v>26.668372274112098</v>
      </c>
      <c r="AW147" s="53">
        <v>91837.4470658762</v>
      </c>
      <c r="AX147" s="53">
        <v>1401.1952417265129</v>
      </c>
      <c r="AY147" s="51">
        <v>5499</v>
      </c>
    </row>
    <row r="148" spans="28:51" x14ac:dyDescent="0.15">
      <c r="AB148" s="51">
        <v>7355.9892763130711</v>
      </c>
      <c r="AC148" s="51">
        <v>12083.531437231853</v>
      </c>
      <c r="AD148" s="51">
        <v>3230.549980122853</v>
      </c>
      <c r="AE148" s="51">
        <v>3400.4186735490312</v>
      </c>
      <c r="AF148" s="51">
        <v>199.06503735450289</v>
      </c>
      <c r="AG148" s="51">
        <v>209.53226987227896</v>
      </c>
      <c r="AH148" s="54">
        <v>0.99600038165503468</v>
      </c>
      <c r="AI148" s="55">
        <v>1.1089069090387564</v>
      </c>
      <c r="AJ148" s="54">
        <v>0.93002510795472071</v>
      </c>
      <c r="AK148" s="55">
        <v>1.1089069090387564</v>
      </c>
      <c r="AL148" s="82">
        <v>19362</v>
      </c>
      <c r="AM148" s="82">
        <v>18080</v>
      </c>
      <c r="AN148" s="54">
        <v>0.22408207697486451</v>
      </c>
      <c r="AO148" s="54">
        <v>4.9971408039351711E-2</v>
      </c>
      <c r="AP148" s="54">
        <v>0.27405348501421622</v>
      </c>
      <c r="AQ148" s="53">
        <v>6.5441418061508161</v>
      </c>
      <c r="AR148" s="53">
        <v>73.450858588559441</v>
      </c>
      <c r="AS148" s="53">
        <v>79.99500039471026</v>
      </c>
      <c r="AT148" s="53">
        <v>55.511380865190446</v>
      </c>
      <c r="AU148" s="53">
        <v>67.753190629950353</v>
      </c>
      <c r="AV148" s="53">
        <v>26.947158080750661</v>
      </c>
      <c r="AW148" s="53">
        <v>93487.740087868791</v>
      </c>
      <c r="AX148" s="53">
        <v>1650.2930219925911</v>
      </c>
      <c r="AY148" s="51">
        <v>5598</v>
      </c>
    </row>
    <row r="149" spans="28:51" x14ac:dyDescent="0.15">
      <c r="AB149" s="51">
        <v>7401.8418230179741</v>
      </c>
      <c r="AC149" s="51">
        <v>12145.920014864061</v>
      </c>
      <c r="AD149" s="51">
        <v>3272.4806301092176</v>
      </c>
      <c r="AE149" s="51">
        <v>3440.3315707352008</v>
      </c>
      <c r="AF149" s="51">
        <v>200.31990532032785</v>
      </c>
      <c r="AG149" s="51">
        <v>210.59464437447551</v>
      </c>
      <c r="AH149" s="54">
        <v>0.99700028624127612</v>
      </c>
      <c r="AI149" s="55">
        <v>1.1096433672925989</v>
      </c>
      <c r="AJ149" s="54">
        <v>0.93502898041749904</v>
      </c>
      <c r="AK149" s="55">
        <v>1.1096433672925989</v>
      </c>
      <c r="AL149" s="82">
        <v>19489</v>
      </c>
      <c r="AM149" s="82">
        <v>18278</v>
      </c>
      <c r="AN149" s="54">
        <v>0.21997127469965125</v>
      </c>
      <c r="AO149" s="54">
        <v>4.9971408039351711E-2</v>
      </c>
      <c r="AP149" s="54">
        <v>0.26994268273900296</v>
      </c>
      <c r="AQ149" s="53">
        <v>6.6568971519798952</v>
      </c>
      <c r="AR149" s="53">
        <v>74.01978936164727</v>
      </c>
      <c r="AS149" s="53">
        <v>80.67668651362716</v>
      </c>
      <c r="AT149" s="53">
        <v>56.003423393078087</v>
      </c>
      <c r="AU149" s="53">
        <v>68.340054953352634</v>
      </c>
      <c r="AV149" s="53">
        <v>27.217949752437473</v>
      </c>
      <c r="AW149" s="53">
        <v>95098.530742569928</v>
      </c>
      <c r="AX149" s="53">
        <v>1610.7906547011371</v>
      </c>
      <c r="AY149" s="51">
        <v>5695</v>
      </c>
    </row>
    <row r="150" spans="28:51" x14ac:dyDescent="0.15">
      <c r="AB150" s="51">
        <v>7435.1911792257042</v>
      </c>
      <c r="AC150" s="51">
        <v>12205.518501258706</v>
      </c>
      <c r="AD150" s="51">
        <v>3309.1098396792127</v>
      </c>
      <c r="AE150" s="51">
        <v>3479.7439602789746</v>
      </c>
      <c r="AF150" s="51">
        <v>201.23605713501289</v>
      </c>
      <c r="AG150" s="51">
        <v>211.61278661992026</v>
      </c>
      <c r="AH150" s="54">
        <v>0.99800019082751756</v>
      </c>
      <c r="AI150" s="55">
        <v>1.1103798255464414</v>
      </c>
      <c r="AJ150" s="54">
        <v>0.94003285288027738</v>
      </c>
      <c r="AK150" s="55">
        <v>1.1103798255464414</v>
      </c>
      <c r="AL150" s="82">
        <v>19602</v>
      </c>
      <c r="AM150" s="82">
        <v>18463</v>
      </c>
      <c r="AN150" s="54">
        <v>0.2159221344585662</v>
      </c>
      <c r="AO150" s="54">
        <v>4.9971408039351711E-2</v>
      </c>
      <c r="AP150" s="54">
        <v>0.26589354249791791</v>
      </c>
      <c r="AQ150" s="53">
        <v>6.763921571439937</v>
      </c>
      <c r="AR150" s="53">
        <v>74.522659583834297</v>
      </c>
      <c r="AS150" s="53">
        <v>81.286581155274234</v>
      </c>
      <c r="AT150" s="53">
        <v>56.445694627329466</v>
      </c>
      <c r="AU150" s="53">
        <v>68.866137891301861</v>
      </c>
      <c r="AV150" s="53">
        <v>27.464660344727243</v>
      </c>
      <c r="AW150" s="53">
        <v>96627.451020570516</v>
      </c>
      <c r="AX150" s="53">
        <v>1528.9202780005871</v>
      </c>
      <c r="AY150" s="51">
        <v>5786</v>
      </c>
    </row>
    <row r="151" spans="28:51" x14ac:dyDescent="0.15">
      <c r="AB151" s="51">
        <v>7457.6540759880827</v>
      </c>
      <c r="AC151" s="51">
        <v>12262.438779621025</v>
      </c>
      <c r="AD151" s="51">
        <v>3341.0223585749022</v>
      </c>
      <c r="AE151" s="51">
        <v>3518.6560763560697</v>
      </c>
      <c r="AF151" s="51">
        <v>201.85508984078066</v>
      </c>
      <c r="AG151" s="51">
        <v>212.58721498488291</v>
      </c>
      <c r="AH151" s="54">
        <v>0.999000095413759</v>
      </c>
      <c r="AI151" s="55">
        <v>1.1111162838002839</v>
      </c>
      <c r="AJ151" s="54">
        <v>0.94503672534305572</v>
      </c>
      <c r="AK151" s="55">
        <v>1.1111162838002839</v>
      </c>
      <c r="AL151" s="82">
        <v>19700</v>
      </c>
      <c r="AM151" s="82">
        <v>18636</v>
      </c>
      <c r="AN151" s="54">
        <v>0.21193373132109741</v>
      </c>
      <c r="AO151" s="54">
        <v>4.9971408039351711E-2</v>
      </c>
      <c r="AP151" s="54">
        <v>0.26190513936044912</v>
      </c>
      <c r="AQ151" s="53">
        <v>6.8667657153993531</v>
      </c>
      <c r="AR151" s="53">
        <v>74.983739329549039</v>
      </c>
      <c r="AS151" s="53">
        <v>81.850505044948392</v>
      </c>
      <c r="AT151" s="53">
        <v>56.855925268432046</v>
      </c>
      <c r="AU151" s="53">
        <v>69.353215156690226</v>
      </c>
      <c r="AV151" s="53">
        <v>27.695582195829644</v>
      </c>
      <c r="AW151" s="53">
        <v>98096.653077133611</v>
      </c>
      <c r="AX151" s="53">
        <v>1469.2020565630955</v>
      </c>
      <c r="AY151" s="51">
        <v>5874</v>
      </c>
    </row>
    <row r="152" spans="28:51" x14ac:dyDescent="0.15">
      <c r="AB152" s="60">
        <v>7466.8876487262878</v>
      </c>
      <c r="AC152" s="60">
        <v>12312.106569638532</v>
      </c>
      <c r="AD152" s="60">
        <v>3367.0472356671594</v>
      </c>
      <c r="AE152" s="60">
        <v>3555.2334162519328</v>
      </c>
      <c r="AF152" s="60">
        <v>202.1209984664832</v>
      </c>
      <c r="AG152" s="60">
        <v>213.41765576147708</v>
      </c>
      <c r="AH152" s="62">
        <v>1</v>
      </c>
      <c r="AI152" s="63">
        <v>1.1118527420541255</v>
      </c>
      <c r="AJ152" s="62">
        <v>0.95004059780583416</v>
      </c>
      <c r="AK152" s="63">
        <v>1.1118527420541255</v>
      </c>
      <c r="AL152" s="84">
        <v>19779</v>
      </c>
      <c r="AM152" s="84">
        <v>18791</v>
      </c>
      <c r="AN152" s="62">
        <v>0.20800515423069069</v>
      </c>
      <c r="AO152" s="62">
        <v>4.9971408039351711E-2</v>
      </c>
      <c r="AP152" s="62">
        <v>0.2579765622700424</v>
      </c>
      <c r="AQ152" s="61">
        <v>6.9614044202289636</v>
      </c>
      <c r="AR152" s="61">
        <v>75.360021339849212</v>
      </c>
      <c r="AS152" s="61">
        <v>82.321425760078171</v>
      </c>
      <c r="AT152" s="61">
        <v>57.201418646795105</v>
      </c>
      <c r="AU152" s="61">
        <v>69.761422203436638</v>
      </c>
      <c r="AV152" s="61">
        <v>27.894743681298188</v>
      </c>
      <c r="AW152" s="61">
        <v>99448.634574699463</v>
      </c>
      <c r="AX152" s="61">
        <v>1351.9814975658519</v>
      </c>
      <c r="AY152" s="60">
        <v>5955</v>
      </c>
    </row>
    <row r="153" spans="28:51" x14ac:dyDescent="0.15">
      <c r="AB153" s="51">
        <v>7513.6514556784032</v>
      </c>
      <c r="AC153" s="51">
        <v>12361.023720107503</v>
      </c>
      <c r="AD153" s="51">
        <v>3410.0692662217944</v>
      </c>
      <c r="AE153" s="51">
        <v>3591.7917186723434</v>
      </c>
      <c r="AF153" s="51">
        <v>203.3962611042891</v>
      </c>
      <c r="AG153" s="51">
        <v>214.235239582898</v>
      </c>
      <c r="AH153" s="54">
        <v>1</v>
      </c>
      <c r="AI153" s="55">
        <v>1.1124390398398296</v>
      </c>
      <c r="AJ153" s="54">
        <v>0.95503653802525079</v>
      </c>
      <c r="AK153" s="55">
        <v>1.1124390398398296</v>
      </c>
      <c r="AL153" s="82">
        <v>19875</v>
      </c>
      <c r="AM153" s="82">
        <v>18981</v>
      </c>
      <c r="AN153" s="54">
        <v>0.20542538860799028</v>
      </c>
      <c r="AO153" s="54">
        <v>4.9971408039351711E-2</v>
      </c>
      <c r="AP153" s="54">
        <v>0.25539679664734199</v>
      </c>
      <c r="AQ153" s="53">
        <v>7.0734510883940676</v>
      </c>
      <c r="AR153" s="53">
        <v>75.937157288393024</v>
      </c>
      <c r="AS153" s="53">
        <v>83.01060837678709</v>
      </c>
      <c r="AT153" s="53">
        <v>57.698222613989415</v>
      </c>
      <c r="AU153" s="53">
        <v>70.354415495388267</v>
      </c>
      <c r="AV153" s="53">
        <v>28.167105890725466</v>
      </c>
      <c r="AW153" s="53">
        <v>101049.30126277238</v>
      </c>
      <c r="AX153" s="53">
        <v>1600.6666880729172</v>
      </c>
      <c r="AY153" s="51">
        <v>6051</v>
      </c>
    </row>
    <row r="154" spans="28:51" x14ac:dyDescent="0.15">
      <c r="AB154" s="51">
        <v>7550.3123234136647</v>
      </c>
      <c r="AC154" s="51">
        <v>12408.511945116488</v>
      </c>
      <c r="AD154" s="51">
        <v>3448.6461858124903</v>
      </c>
      <c r="AE154" s="51">
        <v>3628.617175102368</v>
      </c>
      <c r="AF154" s="51">
        <v>204.40232250096557</v>
      </c>
      <c r="AG154" s="51">
        <v>215.06925851341728</v>
      </c>
      <c r="AH154" s="54">
        <v>1</v>
      </c>
      <c r="AI154" s="55">
        <v>1.1130253376255337</v>
      </c>
      <c r="AJ154" s="54">
        <v>0.96003247824466742</v>
      </c>
      <c r="AK154" s="55">
        <v>1.1130253376255337</v>
      </c>
      <c r="AL154" s="82">
        <v>19959</v>
      </c>
      <c r="AM154" s="82">
        <v>19161</v>
      </c>
      <c r="AN154" s="54">
        <v>0.20287142064151684</v>
      </c>
      <c r="AO154" s="54">
        <v>4.9971408039351711E-2</v>
      </c>
      <c r="AP154" s="54">
        <v>0.25284282868086855</v>
      </c>
      <c r="AQ154" s="53">
        <v>7.1844950470889888</v>
      </c>
      <c r="AR154" s="53">
        <v>76.517117807885796</v>
      </c>
      <c r="AS154" s="53">
        <v>83.701612854974783</v>
      </c>
      <c r="AT154" s="53">
        <v>58.195906919012849</v>
      </c>
      <c r="AU154" s="53">
        <v>70.948759886993827</v>
      </c>
      <c r="AV154" s="53">
        <v>28.439249993723934</v>
      </c>
      <c r="AW154" s="53">
        <v>102635.64352984269</v>
      </c>
      <c r="AX154" s="53">
        <v>1586.3422670703148</v>
      </c>
      <c r="AY154" s="51">
        <v>6146</v>
      </c>
    </row>
    <row r="155" spans="28:51" x14ac:dyDescent="0.15">
      <c r="AB155" s="51">
        <v>7576.3384190084043</v>
      </c>
      <c r="AC155" s="51">
        <v>12453.743149350434</v>
      </c>
      <c r="AD155" s="51">
        <v>3482.4149978902838</v>
      </c>
      <c r="AE155" s="51">
        <v>3663.9616143540429</v>
      </c>
      <c r="AF155" s="51">
        <v>205.1180153669562</v>
      </c>
      <c r="AG155" s="51">
        <v>215.81130771958851</v>
      </c>
      <c r="AH155" s="54">
        <v>1</v>
      </c>
      <c r="AI155" s="55">
        <v>1.1136116354112378</v>
      </c>
      <c r="AJ155" s="54">
        <v>0.96502841846408405</v>
      </c>
      <c r="AK155" s="55">
        <v>1.1136116354112378</v>
      </c>
      <c r="AL155" s="82">
        <v>20030</v>
      </c>
      <c r="AM155" s="82">
        <v>19330</v>
      </c>
      <c r="AN155" s="54">
        <v>0.20034299235470812</v>
      </c>
      <c r="AO155" s="54">
        <v>4.9971408039351711E-2</v>
      </c>
      <c r="AP155" s="54">
        <v>0.25031440039405983</v>
      </c>
      <c r="AQ155" s="53">
        <v>7.2879948470831426</v>
      </c>
      <c r="AR155" s="53">
        <v>77.018027303503175</v>
      </c>
      <c r="AS155" s="53">
        <v>84.306022150586315</v>
      </c>
      <c r="AT155" s="53">
        <v>58.633346382751917</v>
      </c>
      <c r="AU155" s="53">
        <v>71.46968426666912</v>
      </c>
      <c r="AV155" s="53">
        <v>28.681891320278467</v>
      </c>
      <c r="AW155" s="53">
        <v>104114.21210118773</v>
      </c>
      <c r="AX155" s="53">
        <v>1478.5685713450366</v>
      </c>
      <c r="AY155" s="51">
        <v>6234</v>
      </c>
    </row>
    <row r="156" spans="28:51" x14ac:dyDescent="0.15">
      <c r="AB156" s="51">
        <v>7594.1133860288719</v>
      </c>
      <c r="AC156" s="51">
        <v>12496.814431185181</v>
      </c>
      <c r="AD156" s="51">
        <v>3512.3669017305074</v>
      </c>
      <c r="AE156" s="51">
        <v>3699.3058328099364</v>
      </c>
      <c r="AF156" s="51">
        <v>205.61107230142883</v>
      </c>
      <c r="AG156" s="51">
        <v>216.55432371835423</v>
      </c>
      <c r="AH156" s="54">
        <v>1</v>
      </c>
      <c r="AI156" s="55">
        <v>1.1141979331969418</v>
      </c>
      <c r="AJ156" s="54">
        <v>0.97002435868350068</v>
      </c>
      <c r="AK156" s="55">
        <v>1.1141979331969418</v>
      </c>
      <c r="AL156" s="82">
        <v>20091</v>
      </c>
      <c r="AM156" s="82">
        <v>19489</v>
      </c>
      <c r="AN156" s="54">
        <v>0.19783984835076751</v>
      </c>
      <c r="AO156" s="54">
        <v>4.9971408039351711E-2</v>
      </c>
      <c r="AP156" s="54">
        <v>0.24781125639011922</v>
      </c>
      <c r="AQ156" s="53">
        <v>7.3884512009345995</v>
      </c>
      <c r="AR156" s="53">
        <v>77.485976340446371</v>
      </c>
      <c r="AS156" s="53">
        <v>84.874427541380967</v>
      </c>
      <c r="AT156" s="53">
        <v>59.045768761232175</v>
      </c>
      <c r="AU156" s="53">
        <v>71.960098151306568</v>
      </c>
      <c r="AV156" s="53">
        <v>28.912333517725259</v>
      </c>
      <c r="AW156" s="53">
        <v>105549.30287049427</v>
      </c>
      <c r="AX156" s="53">
        <v>1435.0907693065383</v>
      </c>
      <c r="AY156" s="51">
        <v>6320</v>
      </c>
    </row>
    <row r="157" spans="28:51" x14ac:dyDescent="0.15">
      <c r="AB157" s="51">
        <v>7600.4811061640621</v>
      </c>
      <c r="AC157" s="51">
        <v>12539.926349285044</v>
      </c>
      <c r="AD157" s="51">
        <v>3536.9471280800931</v>
      </c>
      <c r="AE157" s="51">
        <v>3734.302530090798</v>
      </c>
      <c r="AF157" s="51">
        <v>205.80188069627411</v>
      </c>
      <c r="AG157" s="51">
        <v>217.28526210645069</v>
      </c>
      <c r="AH157" s="54">
        <v>1</v>
      </c>
      <c r="AI157" s="55">
        <v>1.1147842309826459</v>
      </c>
      <c r="AJ157" s="54">
        <v>0.9750202989029173</v>
      </c>
      <c r="AK157" s="55">
        <v>1.1147842309826459</v>
      </c>
      <c r="AL157" s="82">
        <v>20140</v>
      </c>
      <c r="AM157" s="82">
        <v>19637</v>
      </c>
      <c r="AN157" s="54">
        <v>0.1953617357868663</v>
      </c>
      <c r="AO157" s="54">
        <v>4.9971408039351711E-2</v>
      </c>
      <c r="AP157" s="54">
        <v>0.24533314382621801</v>
      </c>
      <c r="AQ157" s="53">
        <v>7.4839624063194474</v>
      </c>
      <c r="AR157" s="53">
        <v>77.918220627253788</v>
      </c>
      <c r="AS157" s="53">
        <v>85.402183033573237</v>
      </c>
      <c r="AT157" s="53">
        <v>59.429442824488639</v>
      </c>
      <c r="AU157" s="53">
        <v>72.415812929030935</v>
      </c>
      <c r="AV157" s="53">
        <v>29.127912580556611</v>
      </c>
      <c r="AW157" s="53">
        <v>106913.74866170638</v>
      </c>
      <c r="AX157" s="53">
        <v>1364.4457912121143</v>
      </c>
      <c r="AY157" s="51">
        <v>6402</v>
      </c>
    </row>
    <row r="158" spans="28:51" x14ac:dyDescent="0.15">
      <c r="AB158" s="51">
        <v>7636.4229277824425</v>
      </c>
      <c r="AC158" s="51">
        <v>12579.71359026392</v>
      </c>
      <c r="AD158" s="51">
        <v>3575.203942752968</v>
      </c>
      <c r="AE158" s="51">
        <v>3768.3980416628115</v>
      </c>
      <c r="AF158" s="51">
        <v>206.77828646642257</v>
      </c>
      <c r="AG158" s="51">
        <v>217.95201120147672</v>
      </c>
      <c r="AH158" s="54">
        <v>1</v>
      </c>
      <c r="AI158" s="55">
        <v>1.11537052876835</v>
      </c>
      <c r="AJ158" s="54">
        <v>0.98001623912233393</v>
      </c>
      <c r="AK158" s="55">
        <v>1.11537052876835</v>
      </c>
      <c r="AL158" s="82">
        <v>20216</v>
      </c>
      <c r="AM158" s="82">
        <v>19812</v>
      </c>
      <c r="AN158" s="54">
        <v>0.19290840434860412</v>
      </c>
      <c r="AO158" s="54">
        <v>4.9971408039351711E-2</v>
      </c>
      <c r="AP158" s="54">
        <v>0.24287981238795583</v>
      </c>
      <c r="AQ158" s="53">
        <v>7.5935296750833805</v>
      </c>
      <c r="AR158" s="53">
        <v>78.455995480951785</v>
      </c>
      <c r="AS158" s="53">
        <v>86.049525156035159</v>
      </c>
      <c r="AT158" s="53">
        <v>59.897526662384557</v>
      </c>
      <c r="AU158" s="53">
        <v>72.973525909209854</v>
      </c>
      <c r="AV158" s="53">
        <v>29.386861753125544</v>
      </c>
      <c r="AW158" s="53">
        <v>108478.995358334</v>
      </c>
      <c r="AX158" s="53">
        <v>1565.2466966276115</v>
      </c>
      <c r="AY158" s="51">
        <v>6496</v>
      </c>
    </row>
    <row r="159" spans="28:51" x14ac:dyDescent="0.15">
      <c r="AB159" s="51">
        <v>7665.4938289582378</v>
      </c>
      <c r="AC159" s="51">
        <v>12617.106227900436</v>
      </c>
      <c r="AD159" s="51">
        <v>3610.2230083709342</v>
      </c>
      <c r="AE159" s="51">
        <v>3801.8625138587627</v>
      </c>
      <c r="AF159" s="51">
        <v>207.57398422514117</v>
      </c>
      <c r="AG159" s="51">
        <v>218.59252119551917</v>
      </c>
      <c r="AH159" s="54">
        <v>1</v>
      </c>
      <c r="AI159" s="55">
        <v>1.115956826554054</v>
      </c>
      <c r="AJ159" s="54">
        <v>0.98501217934175056</v>
      </c>
      <c r="AK159" s="55">
        <v>1.115956826554054</v>
      </c>
      <c r="AL159" s="82">
        <v>20283</v>
      </c>
      <c r="AM159" s="82">
        <v>19979</v>
      </c>
      <c r="AN159" s="54">
        <v>0.19047960622472457</v>
      </c>
      <c r="AO159" s="54">
        <v>4.9971408039351711E-2</v>
      </c>
      <c r="AP159" s="54">
        <v>0.24045101426407628</v>
      </c>
      <c r="AQ159" s="53">
        <v>7.6988203976159877</v>
      </c>
      <c r="AR159" s="53">
        <v>78.944858418760305</v>
      </c>
      <c r="AS159" s="53">
        <v>86.643678816376294</v>
      </c>
      <c r="AT159" s="53">
        <v>60.328726010122857</v>
      </c>
      <c r="AU159" s="53">
        <v>73.486202413249586</v>
      </c>
      <c r="AV159" s="53">
        <v>29.627947736160522</v>
      </c>
      <c r="AW159" s="53">
        <v>109983.14853737123</v>
      </c>
      <c r="AX159" s="53">
        <v>1504.1531790372392</v>
      </c>
      <c r="AY159" s="51">
        <v>6586</v>
      </c>
    </row>
    <row r="160" spans="28:51" x14ac:dyDescent="0.15">
      <c r="AB160" s="51">
        <v>7686.5236918924829</v>
      </c>
      <c r="AC160" s="51">
        <v>12652.694060609241</v>
      </c>
      <c r="AD160" s="51">
        <v>3641.3609793022383</v>
      </c>
      <c r="AE160" s="51">
        <v>3834.8350770245029</v>
      </c>
      <c r="AF160" s="51">
        <v>208.14485983822416</v>
      </c>
      <c r="AG160" s="51">
        <v>219.20408719349842</v>
      </c>
      <c r="AH160" s="54">
        <v>1</v>
      </c>
      <c r="AI160" s="55">
        <v>1.1165431243397581</v>
      </c>
      <c r="AJ160" s="54">
        <v>0.99000811956116719</v>
      </c>
      <c r="AK160" s="55">
        <v>1.1165431243397581</v>
      </c>
      <c r="AL160" s="82">
        <v>20339</v>
      </c>
      <c r="AM160" s="82">
        <v>20136</v>
      </c>
      <c r="AN160" s="54">
        <v>0.18807509608208381</v>
      </c>
      <c r="AO160" s="54">
        <v>4.9971408039351711E-2</v>
      </c>
      <c r="AP160" s="54">
        <v>0.23804650412143552</v>
      </c>
      <c r="AQ160" s="53">
        <v>7.8004477704108917</v>
      </c>
      <c r="AR160" s="53">
        <v>79.402231984975842</v>
      </c>
      <c r="AS160" s="53">
        <v>87.20267975538674</v>
      </c>
      <c r="AT160" s="53">
        <v>60.735269093728121</v>
      </c>
      <c r="AU160" s="53">
        <v>73.96897442455743</v>
      </c>
      <c r="AV160" s="53">
        <v>29.856623321793069</v>
      </c>
      <c r="AW160" s="53">
        <v>111434.96814872701</v>
      </c>
      <c r="AX160" s="53">
        <v>1451.8196113557788</v>
      </c>
      <c r="AY160" s="51">
        <v>6673</v>
      </c>
    </row>
    <row r="161" spans="27:51" x14ac:dyDescent="0.15">
      <c r="AB161" s="51">
        <v>7700.3361519091904</v>
      </c>
      <c r="AC161" s="51">
        <v>12686.558099464264</v>
      </c>
      <c r="AD161" s="51">
        <v>3668.944778610552</v>
      </c>
      <c r="AE161" s="51">
        <v>3866.846323315779</v>
      </c>
      <c r="AF161" s="51">
        <v>208.53180892098837</v>
      </c>
      <c r="AG161" s="51">
        <v>219.7799387228404</v>
      </c>
      <c r="AH161" s="54">
        <v>1</v>
      </c>
      <c r="AI161" s="55">
        <v>1.1171294221254622</v>
      </c>
      <c r="AJ161" s="54">
        <v>0.99500405978058382</v>
      </c>
      <c r="AK161" s="55">
        <v>1.1171294221254622</v>
      </c>
      <c r="AL161" s="82">
        <v>20387</v>
      </c>
      <c r="AM161" s="82">
        <v>20285</v>
      </c>
      <c r="AN161" s="54">
        <v>0.18569463104086945</v>
      </c>
      <c r="AO161" s="54">
        <v>4.9971408039351711E-2</v>
      </c>
      <c r="AP161" s="54">
        <v>0.23566603908022116</v>
      </c>
      <c r="AQ161" s="53">
        <v>7.8993322474499985</v>
      </c>
      <c r="AR161" s="53">
        <v>79.850500876887281</v>
      </c>
      <c r="AS161" s="53">
        <v>87.749833124337286</v>
      </c>
      <c r="AT161" s="53">
        <v>61.13299949870818</v>
      </c>
      <c r="AU161" s="53">
        <v>74.441416311522744</v>
      </c>
      <c r="AV161" s="53">
        <v>30.080026935474244</v>
      </c>
      <c r="AW161" s="53">
        <v>112847.60353499996</v>
      </c>
      <c r="AX161" s="53">
        <v>1412.6353862729447</v>
      </c>
      <c r="AY161" s="51">
        <v>6757</v>
      </c>
    </row>
    <row r="162" spans="27:51" x14ac:dyDescent="0.15">
      <c r="AB162" s="60">
        <v>7704.9491301629187</v>
      </c>
      <c r="AC162" s="60">
        <v>12718.150429031131</v>
      </c>
      <c r="AD162" s="60">
        <v>3691.9283151658474</v>
      </c>
      <c r="AE162" s="60">
        <v>3898.1742308951311</v>
      </c>
      <c r="AF162" s="60">
        <v>208.65980118405139</v>
      </c>
      <c r="AG162" s="60">
        <v>220.31637414466741</v>
      </c>
      <c r="AH162" s="62">
        <v>1</v>
      </c>
      <c r="AI162" s="63">
        <v>1.1177157199111663</v>
      </c>
      <c r="AJ162" s="62">
        <v>1</v>
      </c>
      <c r="AK162" s="63">
        <v>1.1177157199111663</v>
      </c>
      <c r="AL162" s="84">
        <v>20423</v>
      </c>
      <c r="AM162" s="84">
        <v>20423</v>
      </c>
      <c r="AN162" s="62">
        <v>0.18333797065006724</v>
      </c>
      <c r="AO162" s="62">
        <v>4.9971408039351711E-2</v>
      </c>
      <c r="AP162" s="62">
        <v>0.23330937868941895</v>
      </c>
      <c r="AQ162" s="61">
        <v>7.9912021630572312</v>
      </c>
      <c r="AR162" s="61">
        <v>80.22185616288526</v>
      </c>
      <c r="AS162" s="61">
        <v>88.213058325942484</v>
      </c>
      <c r="AT162" s="61">
        <v>61.472439604980728</v>
      </c>
      <c r="AU162" s="61">
        <v>74.842748965461595</v>
      </c>
      <c r="AV162" s="61">
        <v>30.275051097192023</v>
      </c>
      <c r="AW162" s="61">
        <v>114160.03090081757</v>
      </c>
      <c r="AX162" s="61">
        <v>1312.4273658176098</v>
      </c>
      <c r="AY162" s="60">
        <v>6836</v>
      </c>
    </row>
    <row r="163" spans="27:51" x14ac:dyDescent="0.15">
      <c r="AB163" s="51">
        <v>7732.8948231762633</v>
      </c>
      <c r="AC163" s="51">
        <v>12749.213765616341</v>
      </c>
      <c r="AD163" s="51">
        <v>3725.9276172644586</v>
      </c>
      <c r="AE163" s="51">
        <v>3928.8719684496064</v>
      </c>
      <c r="AF163" s="51">
        <v>209.43947364531863</v>
      </c>
      <c r="AG163" s="51">
        <v>220.84725244771911</v>
      </c>
      <c r="AH163" s="54">
        <v>1</v>
      </c>
      <c r="AI163" s="55">
        <v>1.1182017571880594</v>
      </c>
      <c r="AJ163" s="54">
        <v>1</v>
      </c>
      <c r="AK163" s="55">
        <v>1.1182017571880594</v>
      </c>
      <c r="AL163" s="82">
        <v>20482</v>
      </c>
      <c r="AM163" s="82">
        <v>20482</v>
      </c>
      <c r="AN163" s="54">
        <v>0.18100487686317304</v>
      </c>
      <c r="AO163" s="54">
        <v>4.9971408039351711E-2</v>
      </c>
      <c r="AP163" s="54">
        <v>0.23097628490252475</v>
      </c>
      <c r="AQ163" s="53">
        <v>8.0553817343606742</v>
      </c>
      <c r="AR163" s="53">
        <v>80.2882872805951</v>
      </c>
      <c r="AS163" s="53">
        <v>88.343669014955779</v>
      </c>
      <c r="AT163" s="53">
        <v>61.580906588090741</v>
      </c>
      <c r="AU163" s="53">
        <v>74.96228780152326</v>
      </c>
      <c r="AV163" s="53">
        <v>30.357683756748202</v>
      </c>
      <c r="AW163" s="53">
        <v>115076.88191943819</v>
      </c>
      <c r="AX163" s="53">
        <v>916.85101862062584</v>
      </c>
      <c r="AY163" s="51">
        <v>6891</v>
      </c>
    </row>
    <row r="164" spans="27:51" x14ac:dyDescent="0.15">
      <c r="AB164" s="51">
        <v>7753.504661730617</v>
      </c>
      <c r="AC164" s="51">
        <v>12777.764198409752</v>
      </c>
      <c r="AD164" s="51">
        <v>3756.2129498842778</v>
      </c>
      <c r="AE164" s="51">
        <v>3958.7540854487402</v>
      </c>
      <c r="AF164" s="51">
        <v>209.99723174448374</v>
      </c>
      <c r="AG164" s="51">
        <v>221.32062537269422</v>
      </c>
      <c r="AH164" s="54">
        <v>1</v>
      </c>
      <c r="AI164" s="55">
        <v>1.1186877944649525</v>
      </c>
      <c r="AJ164" s="54">
        <v>1</v>
      </c>
      <c r="AK164" s="55">
        <v>1.1186877944649525</v>
      </c>
      <c r="AL164" s="82">
        <v>20531</v>
      </c>
      <c r="AM164" s="82">
        <v>20531</v>
      </c>
      <c r="AN164" s="54">
        <v>0.17869511401414778</v>
      </c>
      <c r="AO164" s="54">
        <v>4.9971408039351711E-2</v>
      </c>
      <c r="AP164" s="54">
        <v>0.22866652205349949</v>
      </c>
      <c r="AQ164" s="53">
        <v>8.1150652343996388</v>
      </c>
      <c r="AR164" s="53">
        <v>80.322127382803188</v>
      </c>
      <c r="AS164" s="53">
        <v>88.437192617202825</v>
      </c>
      <c r="AT164" s="53">
        <v>61.663150156268429</v>
      </c>
      <c r="AU164" s="53">
        <v>75.050171386735627</v>
      </c>
      <c r="AV164" s="53">
        <v>30.426767285178308</v>
      </c>
      <c r="AW164" s="53">
        <v>115929.50334856626</v>
      </c>
      <c r="AX164" s="53">
        <v>852.62142912806303</v>
      </c>
      <c r="AY164" s="51">
        <v>6942</v>
      </c>
    </row>
    <row r="165" spans="27:51" x14ac:dyDescent="0.15">
      <c r="AB165" s="51">
        <v>7768.6213764461218</v>
      </c>
      <c r="AC165" s="51">
        <v>12804.884870547527</v>
      </c>
      <c r="AD165" s="51">
        <v>3783.6419419264548</v>
      </c>
      <c r="AE165" s="51">
        <v>3988.1661445082818</v>
      </c>
      <c r="AF165" s="51">
        <v>210.41484814170806</v>
      </c>
      <c r="AG165" s="51">
        <v>221.78879147146395</v>
      </c>
      <c r="AH165" s="54">
        <v>1</v>
      </c>
      <c r="AI165" s="55">
        <v>1.1191738317418456</v>
      </c>
      <c r="AJ165" s="54">
        <v>1</v>
      </c>
      <c r="AK165" s="55">
        <v>1.1191738317418456</v>
      </c>
      <c r="AL165" s="82">
        <v>20574</v>
      </c>
      <c r="AM165" s="82">
        <v>20574</v>
      </c>
      <c r="AN165" s="54">
        <v>0.17640844879361278</v>
      </c>
      <c r="AO165" s="54">
        <v>4.9971408039351711E-2</v>
      </c>
      <c r="AP165" s="54">
        <v>0.22637985683296449</v>
      </c>
      <c r="AQ165" s="53">
        <v>8.1713752389308656</v>
      </c>
      <c r="AR165" s="53">
        <v>80.333545057338213</v>
      </c>
      <c r="AS165" s="53">
        <v>88.504920296269077</v>
      </c>
      <c r="AT165" s="53">
        <v>61.727071943823006</v>
      </c>
      <c r="AU165" s="53">
        <v>75.115996120046049</v>
      </c>
      <c r="AV165" s="53">
        <v>30.486248865969259</v>
      </c>
      <c r="AW165" s="53">
        <v>116733.93198472665</v>
      </c>
      <c r="AX165" s="53">
        <v>804.42863616038812</v>
      </c>
      <c r="AY165" s="51">
        <v>6990</v>
      </c>
    </row>
    <row r="166" spans="27:51" x14ac:dyDescent="0.15">
      <c r="AB166" s="51">
        <v>7779.0595729250645</v>
      </c>
      <c r="AC166" s="51">
        <v>12829.567381445333</v>
      </c>
      <c r="AD166" s="51">
        <v>3808.5549568346842</v>
      </c>
      <c r="AE166" s="51">
        <v>4016.2795858855106</v>
      </c>
      <c r="AF166" s="51">
        <v>210.71103609493446</v>
      </c>
      <c r="AG166" s="51">
        <v>222.20355026522046</v>
      </c>
      <c r="AH166" s="54">
        <v>1</v>
      </c>
      <c r="AI166" s="55">
        <v>1.1196598690187387</v>
      </c>
      <c r="AJ166" s="54">
        <v>1</v>
      </c>
      <c r="AK166" s="55">
        <v>1.1196598690187387</v>
      </c>
      <c r="AL166" s="82">
        <v>20609</v>
      </c>
      <c r="AM166" s="82">
        <v>20609</v>
      </c>
      <c r="AN166" s="54">
        <v>0.17414465022528314</v>
      </c>
      <c r="AO166" s="54">
        <v>4.9971408039351711E-2</v>
      </c>
      <c r="AP166" s="54">
        <v>0.22411605826463485</v>
      </c>
      <c r="AQ166" s="53">
        <v>8.2238372181499368</v>
      </c>
      <c r="AR166" s="53">
        <v>80.321717087470361</v>
      </c>
      <c r="AS166" s="53">
        <v>88.5455543056203</v>
      </c>
      <c r="AT166" s="53">
        <v>61.771648609796848</v>
      </c>
      <c r="AU166" s="53">
        <v>75.158601457708585</v>
      </c>
      <c r="AV166" s="53">
        <v>30.535425298002821</v>
      </c>
      <c r="AW166" s="53">
        <v>117483.38883071336</v>
      </c>
      <c r="AX166" s="53">
        <v>749.45684598671505</v>
      </c>
      <c r="AY166" s="51">
        <v>7035</v>
      </c>
    </row>
    <row r="167" spans="27:51" x14ac:dyDescent="0.15">
      <c r="AB167" s="56">
        <v>7786.3035664416739</v>
      </c>
      <c r="AC167" s="56">
        <v>12857.706246753065</v>
      </c>
      <c r="AD167" s="56">
        <v>3831.6258253044452</v>
      </c>
      <c r="AE167" s="56">
        <v>4045.4045688746592</v>
      </c>
      <c r="AF167" s="56">
        <v>210.91623155337987</v>
      </c>
      <c r="AG167" s="56">
        <v>222.68392731382465</v>
      </c>
      <c r="AH167" s="58">
        <v>1</v>
      </c>
      <c r="AI167" s="59">
        <v>1.120145906295632</v>
      </c>
      <c r="AJ167" s="58">
        <v>1</v>
      </c>
      <c r="AK167" s="59">
        <v>1.120145906295632</v>
      </c>
      <c r="AL167" s="83">
        <v>20644</v>
      </c>
      <c r="AM167" s="83">
        <v>20644</v>
      </c>
      <c r="AN167" s="58">
        <v>0.1719034896426368</v>
      </c>
      <c r="AO167" s="58">
        <v>4.9971408039351711E-2</v>
      </c>
      <c r="AP167" s="58">
        <v>0.22187489768198851</v>
      </c>
      <c r="AQ167" s="57">
        <v>8.2754143348255891</v>
      </c>
      <c r="AR167" s="57">
        <v>80.312830352395849</v>
      </c>
      <c r="AS167" s="57">
        <v>88.588244687221433</v>
      </c>
      <c r="AT167" s="57">
        <v>61.817301236422821</v>
      </c>
      <c r="AU167" s="57">
        <v>75.20277296182212</v>
      </c>
      <c r="AV167" s="57">
        <v>30.584533877157767</v>
      </c>
      <c r="AW167" s="57">
        <v>118220.2047832227</v>
      </c>
      <c r="AX167" s="57">
        <v>736.81595250933606</v>
      </c>
      <c r="AY167" s="56">
        <v>7079</v>
      </c>
    </row>
    <row r="169" spans="27:51" ht="12.75" thickBot="1" x14ac:dyDescent="0.2"/>
    <row r="170" spans="27:51" ht="60.75" thickBot="1" x14ac:dyDescent="0.2">
      <c r="AA170" s="93" t="s">
        <v>117</v>
      </c>
      <c r="AB170" s="91" t="s">
        <v>20</v>
      </c>
      <c r="AC170" s="91" t="s">
        <v>4</v>
      </c>
      <c r="AD170" s="91" t="s">
        <v>155</v>
      </c>
      <c r="AE170" s="91" t="s">
        <v>156</v>
      </c>
      <c r="AF170" s="91" t="s">
        <v>157</v>
      </c>
      <c r="AG170" s="91" t="s">
        <v>158</v>
      </c>
      <c r="AH170" s="90" t="s">
        <v>50</v>
      </c>
      <c r="AI170" s="90" t="s">
        <v>28</v>
      </c>
      <c r="AJ170" s="90" t="s">
        <v>51</v>
      </c>
      <c r="AK170" s="90" t="s">
        <v>29</v>
      </c>
      <c r="AL170" s="90" t="s">
        <v>110</v>
      </c>
      <c r="AM170" s="90" t="s">
        <v>111</v>
      </c>
      <c r="AN170" s="91" t="s">
        <v>43</v>
      </c>
      <c r="AO170" s="91" t="s">
        <v>44</v>
      </c>
      <c r="AP170" s="91" t="s">
        <v>5</v>
      </c>
      <c r="AQ170" s="46" t="s">
        <v>45</v>
      </c>
      <c r="AR170" s="45" t="s">
        <v>46</v>
      </c>
      <c r="AS170" s="45" t="s">
        <v>93</v>
      </c>
      <c r="AT170" s="45" t="s">
        <v>30</v>
      </c>
      <c r="AU170" s="45" t="s">
        <v>31</v>
      </c>
      <c r="AV170" s="45" t="s">
        <v>32</v>
      </c>
      <c r="AW170" s="45" t="s">
        <v>26</v>
      </c>
      <c r="AX170" s="46" t="s">
        <v>138</v>
      </c>
      <c r="AY170" s="87" t="s">
        <v>152</v>
      </c>
    </row>
    <row r="171" spans="27:51" x14ac:dyDescent="0.15">
      <c r="AB171" s="44" t="s">
        <v>120</v>
      </c>
      <c r="AC171" s="44" t="s">
        <v>120</v>
      </c>
      <c r="AD171" s="44" t="s">
        <v>159</v>
      </c>
      <c r="AE171" s="44" t="s">
        <v>159</v>
      </c>
      <c r="AF171" s="44" t="s">
        <v>159</v>
      </c>
      <c r="AG171" s="44" t="s">
        <v>159</v>
      </c>
      <c r="AH171" s="43" t="s">
        <v>2</v>
      </c>
      <c r="AI171" s="43" t="s">
        <v>2</v>
      </c>
      <c r="AJ171" s="43" t="s">
        <v>2</v>
      </c>
      <c r="AK171" s="43" t="s">
        <v>2</v>
      </c>
      <c r="AL171" s="92">
        <v>0</v>
      </c>
      <c r="AM171" s="92">
        <v>0</v>
      </c>
      <c r="AN171" s="39" t="s">
        <v>2</v>
      </c>
      <c r="AO171" s="39" t="s">
        <v>2</v>
      </c>
      <c r="AP171" s="39" t="s">
        <v>2</v>
      </c>
      <c r="AQ171" s="43" t="s">
        <v>19</v>
      </c>
      <c r="AR171" s="43" t="s">
        <v>19</v>
      </c>
      <c r="AS171" s="43" t="s">
        <v>19</v>
      </c>
      <c r="AT171" s="43" t="s">
        <v>19</v>
      </c>
      <c r="AU171" s="43" t="s">
        <v>19</v>
      </c>
      <c r="AV171" s="43" t="s">
        <v>19</v>
      </c>
      <c r="AW171" s="43" t="s">
        <v>101</v>
      </c>
      <c r="AX171" s="43" t="s">
        <v>101</v>
      </c>
      <c r="AY171" s="43" t="s">
        <v>154</v>
      </c>
    </row>
    <row r="172" spans="27:51" ht="15.75" x14ac:dyDescent="0.15">
      <c r="AB172" s="76">
        <v>1176.0996469867309</v>
      </c>
      <c r="AC172" s="76">
        <v>929.75958212741625</v>
      </c>
      <c r="AD172" s="76">
        <v>460.34246444194849</v>
      </c>
      <c r="AE172" s="76">
        <v>234.31452828728155</v>
      </c>
      <c r="AF172" s="76">
        <v>31.759524928185957</v>
      </c>
      <c r="AG172" s="76">
        <v>16.165612944696068</v>
      </c>
      <c r="AH172" s="54">
        <v>0.73504510649358956</v>
      </c>
      <c r="AI172" s="55">
        <v>1.0934659892767227</v>
      </c>
      <c r="AJ172" s="54">
        <v>0</v>
      </c>
      <c r="AK172" s="55">
        <v>1.0934659892767227</v>
      </c>
      <c r="AL172" s="82">
        <v>1548</v>
      </c>
      <c r="AM172" s="82">
        <v>0</v>
      </c>
      <c r="AN172" s="54">
        <v>0.41755321579381505</v>
      </c>
      <c r="AO172" s="54">
        <v>0.27836881052921009</v>
      </c>
      <c r="AP172" s="54">
        <v>0.69592202632302513</v>
      </c>
      <c r="AQ172" s="53">
        <v>0</v>
      </c>
      <c r="AR172" s="53">
        <v>0</v>
      </c>
      <c r="AS172" s="53">
        <v>0</v>
      </c>
      <c r="AT172" s="53">
        <v>0</v>
      </c>
      <c r="AU172" s="53">
        <v>0</v>
      </c>
      <c r="AV172" s="53">
        <v>0</v>
      </c>
      <c r="AW172" s="53">
        <v>0</v>
      </c>
      <c r="AX172" s="53">
        <v>0</v>
      </c>
      <c r="AY172" s="53">
        <v>0</v>
      </c>
    </row>
    <row r="173" spans="27:51" ht="15.75" x14ac:dyDescent="0.15">
      <c r="AB173" s="76">
        <v>1190.7340160189233</v>
      </c>
      <c r="AC173" s="76">
        <v>945.09078098835721</v>
      </c>
      <c r="AD173" s="76">
        <v>468.55390002530038</v>
      </c>
      <c r="AE173" s="76">
        <v>239.36526718141536</v>
      </c>
      <c r="AF173" s="76">
        <v>32.159396605826906</v>
      </c>
      <c r="AG173" s="76">
        <v>16.42893712021435</v>
      </c>
      <c r="AH173" s="78">
        <v>0.75550056927092557</v>
      </c>
      <c r="AI173" s="79">
        <v>1.0944786286488752</v>
      </c>
      <c r="AJ173" s="78">
        <v>0</v>
      </c>
      <c r="AK173" s="79">
        <v>1.0944786286488752</v>
      </c>
      <c r="AL173" s="81">
        <v>1614</v>
      </c>
      <c r="AM173" s="81">
        <v>0</v>
      </c>
      <c r="AN173" s="78">
        <v>0.41702842080111552</v>
      </c>
      <c r="AO173" s="78">
        <v>0.27801894720074366</v>
      </c>
      <c r="AP173" s="78">
        <v>0.69504736800185918</v>
      </c>
      <c r="AQ173" s="77">
        <v>2.5911658084036371</v>
      </c>
      <c r="AR173" s="77">
        <v>34.017473169605502</v>
      </c>
      <c r="AS173" s="77">
        <v>36.608638978009139</v>
      </c>
      <c r="AT173" s="77">
        <v>25.26948125480731</v>
      </c>
      <c r="AU173" s="77">
        <v>30.939060116408228</v>
      </c>
      <c r="AV173" s="77">
        <v>12.040463911071834</v>
      </c>
      <c r="AW173" s="77">
        <v>0</v>
      </c>
      <c r="AX173" s="77">
        <v>0</v>
      </c>
      <c r="AY173" s="76">
        <v>0</v>
      </c>
    </row>
    <row r="174" spans="27:51" x14ac:dyDescent="0.15">
      <c r="AB174" s="51">
        <v>1204.7889266103521</v>
      </c>
      <c r="AC174" s="51">
        <v>956.59148993715064</v>
      </c>
      <c r="AD174" s="51">
        <v>476.72636844819459</v>
      </c>
      <c r="AE174" s="51">
        <v>243.51634523846224</v>
      </c>
      <c r="AF174" s="51">
        <v>32.544361784387007</v>
      </c>
      <c r="AG174" s="51">
        <v>16.62396830628305</v>
      </c>
      <c r="AH174" s="54">
        <v>0.77614866772091773</v>
      </c>
      <c r="AI174" s="55">
        <v>1.0954740495672763</v>
      </c>
      <c r="AJ174" s="54">
        <v>0</v>
      </c>
      <c r="AK174" s="55">
        <v>1.0954740495672763</v>
      </c>
      <c r="AL174" s="82">
        <v>1677</v>
      </c>
      <c r="AM174" s="82">
        <v>0</v>
      </c>
      <c r="AN174" s="54">
        <v>0.4165136742434038</v>
      </c>
      <c r="AO174" s="54">
        <v>0.2776757828289359</v>
      </c>
      <c r="AP174" s="54">
        <v>0.6941894570723397</v>
      </c>
      <c r="AQ174" s="53">
        <v>0</v>
      </c>
      <c r="AR174" s="53">
        <v>0</v>
      </c>
      <c r="AS174" s="53">
        <v>0</v>
      </c>
      <c r="AT174" s="53">
        <v>0</v>
      </c>
      <c r="AU174" s="53">
        <v>0</v>
      </c>
      <c r="AV174" s="53">
        <v>0</v>
      </c>
      <c r="AW174" s="53">
        <v>0</v>
      </c>
      <c r="AX174" s="53">
        <v>0</v>
      </c>
      <c r="AY174" s="51">
        <v>0</v>
      </c>
    </row>
    <row r="175" spans="27:51" x14ac:dyDescent="0.15">
      <c r="AB175" s="56">
        <v>1216.1131732688198</v>
      </c>
      <c r="AC175" s="56">
        <v>967.87357086617646</v>
      </c>
      <c r="AD175" s="56">
        <v>483.99276763108787</v>
      </c>
      <c r="AE175" s="56">
        <v>247.72072605196504</v>
      </c>
      <c r="AF175" s="56">
        <v>32.855769553689903</v>
      </c>
      <c r="AG175" s="56">
        <v>16.816480809564318</v>
      </c>
      <c r="AH175" s="58">
        <v>0.79697538358465825</v>
      </c>
      <c r="AI175" s="59">
        <v>1.0964522597533219</v>
      </c>
      <c r="AJ175" s="58">
        <v>0</v>
      </c>
      <c r="AK175" s="59">
        <v>1.0964522597533219</v>
      </c>
      <c r="AL175" s="83">
        <v>1741</v>
      </c>
      <c r="AM175" s="83">
        <v>0</v>
      </c>
      <c r="AN175" s="58">
        <v>0.40442584348281335</v>
      </c>
      <c r="AO175" s="58">
        <v>0.23391407945509562</v>
      </c>
      <c r="AP175" s="58">
        <v>0.63833992293790898</v>
      </c>
      <c r="AQ175" s="57">
        <v>0</v>
      </c>
      <c r="AR175" s="57">
        <v>0</v>
      </c>
      <c r="AS175" s="57">
        <v>0</v>
      </c>
      <c r="AT175" s="57">
        <v>0</v>
      </c>
      <c r="AU175" s="57">
        <v>0</v>
      </c>
      <c r="AV175" s="57">
        <v>0</v>
      </c>
      <c r="AW175" s="57">
        <v>0</v>
      </c>
      <c r="AX175" s="57">
        <v>0</v>
      </c>
      <c r="AY175" s="56">
        <v>0</v>
      </c>
    </row>
    <row r="176" spans="27:51" x14ac:dyDescent="0.15">
      <c r="AB176" s="51">
        <v>1227.7398148041007</v>
      </c>
      <c r="AC176" s="51">
        <v>978.31752588063671</v>
      </c>
      <c r="AD176" s="51">
        <v>491.540960966851</v>
      </c>
      <c r="AE176" s="51">
        <v>251.81694291571111</v>
      </c>
      <c r="AF176" s="51">
        <v>33.175018912453943</v>
      </c>
      <c r="AG176" s="51">
        <v>16.995596516051972</v>
      </c>
      <c r="AH176" s="54">
        <v>0.81842266920165019</v>
      </c>
      <c r="AI176" s="55">
        <v>1.0973451375046974</v>
      </c>
      <c r="AJ176" s="54">
        <v>0.10000020813089452</v>
      </c>
      <c r="AK176" s="55">
        <v>1.0973451375046974</v>
      </c>
      <c r="AL176" s="82">
        <v>1805</v>
      </c>
      <c r="AM176" s="82">
        <v>221</v>
      </c>
      <c r="AN176" s="54">
        <v>0.38993442357891628</v>
      </c>
      <c r="AO176" s="54">
        <v>0.19704922053297255</v>
      </c>
      <c r="AP176" s="54">
        <v>0.58698364411188886</v>
      </c>
      <c r="AQ176" s="53">
        <v>7.9807195817283141E-2</v>
      </c>
      <c r="AR176" s="53">
        <v>1.0152813660221545</v>
      </c>
      <c r="AS176" s="53">
        <v>1.0950885618394377</v>
      </c>
      <c r="AT176" s="53">
        <v>0.75666143983205292</v>
      </c>
      <c r="AU176" s="53">
        <v>0.92587500083574537</v>
      </c>
      <c r="AV176" s="53">
        <v>0.36182979749010391</v>
      </c>
      <c r="AW176" s="53">
        <v>1140.1027973897592</v>
      </c>
      <c r="AX176" s="53">
        <v>1140.1027973897592</v>
      </c>
      <c r="AY176" s="51">
        <v>68</v>
      </c>
    </row>
    <row r="177" spans="28:51" x14ac:dyDescent="0.15">
      <c r="AB177" s="51">
        <v>1239.7491733574491</v>
      </c>
      <c r="AC177" s="51">
        <v>988.33330010632176</v>
      </c>
      <c r="AD177" s="51">
        <v>499.398057262696</v>
      </c>
      <c r="AE177" s="51">
        <v>255.90627754860938</v>
      </c>
      <c r="AF177" s="51">
        <v>33.503766158590992</v>
      </c>
      <c r="AG177" s="51">
        <v>17.168316850287717</v>
      </c>
      <c r="AH177" s="54">
        <v>0.83986995481864213</v>
      </c>
      <c r="AI177" s="55">
        <v>1.0982380152560729</v>
      </c>
      <c r="AJ177" s="54">
        <v>0.20000041626178905</v>
      </c>
      <c r="AK177" s="55">
        <v>1.0982380152560729</v>
      </c>
      <c r="AL177" s="82">
        <v>1871</v>
      </c>
      <c r="AM177" s="82">
        <v>446</v>
      </c>
      <c r="AN177" s="54">
        <v>0.37376486193216862</v>
      </c>
      <c r="AO177" s="54">
        <v>0.16599426337697609</v>
      </c>
      <c r="AP177" s="54">
        <v>0.53975912530914472</v>
      </c>
      <c r="AQ177" s="53">
        <v>0.16193080059468642</v>
      </c>
      <c r="AR177" s="53">
        <v>2.024618516883764</v>
      </c>
      <c r="AS177" s="53">
        <v>2.1865493174784505</v>
      </c>
      <c r="AT177" s="53">
        <v>1.5116764785171961</v>
      </c>
      <c r="AU177" s="53">
        <v>1.8491128979978235</v>
      </c>
      <c r="AV177" s="53">
        <v>0.7243248330623987</v>
      </c>
      <c r="AW177" s="53">
        <v>2313.2971513526627</v>
      </c>
      <c r="AX177" s="53">
        <v>1173.1943539629035</v>
      </c>
      <c r="AY177" s="51">
        <v>139</v>
      </c>
    </row>
    <row r="178" spans="28:51" x14ac:dyDescent="0.15">
      <c r="AB178" s="51">
        <v>1252.1985739700567</v>
      </c>
      <c r="AC178" s="51">
        <v>997.93349697025428</v>
      </c>
      <c r="AD178" s="51">
        <v>507.582923424569</v>
      </c>
      <c r="AE178" s="51">
        <v>259.94420922499529</v>
      </c>
      <c r="AF178" s="51">
        <v>33.8429753401564</v>
      </c>
      <c r="AG178" s="51">
        <v>17.331720703415904</v>
      </c>
      <c r="AH178" s="54">
        <v>0.86131724043563407</v>
      </c>
      <c r="AI178" s="55">
        <v>1.0991308930074484</v>
      </c>
      <c r="AJ178" s="54">
        <v>0.3000006243926836</v>
      </c>
      <c r="AK178" s="55">
        <v>1.0991308930074484</v>
      </c>
      <c r="AL178" s="82">
        <v>1938</v>
      </c>
      <c r="AM178" s="82">
        <v>675</v>
      </c>
      <c r="AN178" s="54">
        <v>0.35650038710895227</v>
      </c>
      <c r="AO178" s="54">
        <v>0.13983356746876466</v>
      </c>
      <c r="AP178" s="54">
        <v>0.4963339545777169</v>
      </c>
      <c r="AQ178" s="53">
        <v>0.2468036850345357</v>
      </c>
      <c r="AR178" s="53">
        <v>3.0317109077262145</v>
      </c>
      <c r="AS178" s="53">
        <v>3.2785145927607502</v>
      </c>
      <c r="AT178" s="53">
        <v>2.2679442901853455</v>
      </c>
      <c r="AU178" s="53">
        <v>2.7732294414730481</v>
      </c>
      <c r="AV178" s="53">
        <v>1.0889456038473733</v>
      </c>
      <c r="AW178" s="53">
        <v>3525.7669290647955</v>
      </c>
      <c r="AX178" s="53">
        <v>1212.4697777121328</v>
      </c>
      <c r="AY178" s="51">
        <v>211</v>
      </c>
    </row>
    <row r="179" spans="28:51" x14ac:dyDescent="0.15">
      <c r="AB179" s="51">
        <v>1266.9325995215434</v>
      </c>
      <c r="AC179" s="51">
        <v>1007.489401922313</v>
      </c>
      <c r="AD179" s="51">
        <v>516.84856874117884</v>
      </c>
      <c r="AE179" s="51">
        <v>264.02696812740993</v>
      </c>
      <c r="AF179" s="51">
        <v>34.246031070860127</v>
      </c>
      <c r="AG179" s="51">
        <v>17.494245511907682</v>
      </c>
      <c r="AH179" s="54">
        <v>0.88276452605262601</v>
      </c>
      <c r="AI179" s="55">
        <v>1.1000237707588238</v>
      </c>
      <c r="AJ179" s="54">
        <v>0.4000008325235781</v>
      </c>
      <c r="AK179" s="55">
        <v>1.1000237707588238</v>
      </c>
      <c r="AL179" s="82">
        <v>2007</v>
      </c>
      <c r="AM179" s="82">
        <v>910</v>
      </c>
      <c r="AN179" s="54">
        <v>0.33860666622551072</v>
      </c>
      <c r="AO179" s="54">
        <v>0.11779579723568735</v>
      </c>
      <c r="AP179" s="54">
        <v>0.45640246346119806</v>
      </c>
      <c r="AQ179" s="53">
        <v>0.33425796855754891</v>
      </c>
      <c r="AR179" s="53">
        <v>4.0267400467217316</v>
      </c>
      <c r="AS179" s="53">
        <v>4.3609980152792804</v>
      </c>
      <c r="AT179" s="53">
        <v>3.0187513330387032</v>
      </c>
      <c r="AU179" s="53">
        <v>3.6898746741589923</v>
      </c>
      <c r="AV179" s="53">
        <v>1.4527968704246965</v>
      </c>
      <c r="AW179" s="53">
        <v>4775.1138365364122</v>
      </c>
      <c r="AX179" s="53">
        <v>1249.3469074716168</v>
      </c>
      <c r="AY179" s="51">
        <v>286</v>
      </c>
    </row>
    <row r="180" spans="28:51" x14ac:dyDescent="0.15">
      <c r="AB180" s="51">
        <v>1276.2848481480612</v>
      </c>
      <c r="AC180" s="51">
        <v>1016.727185127743</v>
      </c>
      <c r="AD180" s="51">
        <v>524.05853305362905</v>
      </c>
      <c r="AE180" s="51">
        <v>268.08089829308625</v>
      </c>
      <c r="AF180" s="51">
        <v>34.505160862839411</v>
      </c>
      <c r="AG180" s="51">
        <v>17.651033112575661</v>
      </c>
      <c r="AH180" s="54">
        <v>0.90421181166961795</v>
      </c>
      <c r="AI180" s="55">
        <v>1.1009166485101993</v>
      </c>
      <c r="AJ180" s="54">
        <v>0.50000104065447259</v>
      </c>
      <c r="AK180" s="55">
        <v>1.1009166485101993</v>
      </c>
      <c r="AL180" s="82">
        <v>2073</v>
      </c>
      <c r="AM180" s="82">
        <v>1147</v>
      </c>
      <c r="AN180" s="54">
        <v>0.32045239581641949</v>
      </c>
      <c r="AO180" s="54">
        <v>9.9231179591343033E-2</v>
      </c>
      <c r="AP180" s="54">
        <v>0.41968357540776252</v>
      </c>
      <c r="AQ180" s="53">
        <v>0.42326767729447584</v>
      </c>
      <c r="AR180" s="53">
        <v>5.0011540562412904</v>
      </c>
      <c r="AS180" s="53">
        <v>5.4244217335357661</v>
      </c>
      <c r="AT180" s="53">
        <v>3.7573703814553365</v>
      </c>
      <c r="AU180" s="53">
        <v>4.5908960574955513</v>
      </c>
      <c r="AV180" s="53">
        <v>1.8124771373615014</v>
      </c>
      <c r="AW180" s="53">
        <v>6046.6811042067975</v>
      </c>
      <c r="AX180" s="53">
        <v>1271.5672676703853</v>
      </c>
      <c r="AY180" s="51">
        <v>362</v>
      </c>
    </row>
    <row r="181" spans="28:51" x14ac:dyDescent="0.15">
      <c r="AB181" s="51">
        <v>1285.9128343219795</v>
      </c>
      <c r="AC181" s="51">
        <v>1025.0697974911286</v>
      </c>
      <c r="AD181" s="51">
        <v>531.49715590444237</v>
      </c>
      <c r="AE181" s="51">
        <v>271.99259557182438</v>
      </c>
      <c r="AF181" s="51">
        <v>34.768769612362611</v>
      </c>
      <c r="AG181" s="51">
        <v>17.792847594099868</v>
      </c>
      <c r="AH181" s="54">
        <v>0.92565909728660989</v>
      </c>
      <c r="AI181" s="55">
        <v>1.1018095262615748</v>
      </c>
      <c r="AJ181" s="54">
        <v>0.60000124878536709</v>
      </c>
      <c r="AK181" s="55">
        <v>1.1018095262615748</v>
      </c>
      <c r="AL181" s="82">
        <v>2139</v>
      </c>
      <c r="AM181" s="82">
        <v>1387</v>
      </c>
      <c r="AN181" s="54">
        <v>0.30232648159311698</v>
      </c>
      <c r="AO181" s="54">
        <v>8.3592345687747371E-2</v>
      </c>
      <c r="AP181" s="54">
        <v>0.38591882728086435</v>
      </c>
      <c r="AQ181" s="53">
        <v>0.51520798197275397</v>
      </c>
      <c r="AR181" s="53">
        <v>5.97308333695893</v>
      </c>
      <c r="AS181" s="53">
        <v>6.488291318931684</v>
      </c>
      <c r="AT181" s="53">
        <v>4.497263539945374</v>
      </c>
      <c r="AU181" s="53">
        <v>5.4927774294385294</v>
      </c>
      <c r="AV181" s="53">
        <v>2.1743977977946791</v>
      </c>
      <c r="AW181" s="53">
        <v>7360.114028182199</v>
      </c>
      <c r="AX181" s="53">
        <v>1313.4329239754015</v>
      </c>
      <c r="AY181" s="51">
        <v>441</v>
      </c>
    </row>
    <row r="182" spans="28:51" x14ac:dyDescent="0.15">
      <c r="AB182" s="51">
        <v>1295.962628287431</v>
      </c>
      <c r="AC182" s="51">
        <v>1033.0464447915381</v>
      </c>
      <c r="AD182" s="51">
        <v>539.22461086988949</v>
      </c>
      <c r="AE182" s="51">
        <v>275.89960274386789</v>
      </c>
      <c r="AF182" s="51">
        <v>35.044399966181587</v>
      </c>
      <c r="AG182" s="51">
        <v>17.93081367979271</v>
      </c>
      <c r="AH182" s="54">
        <v>0.94710638290360183</v>
      </c>
      <c r="AI182" s="55">
        <v>1.1027024040129503</v>
      </c>
      <c r="AJ182" s="54">
        <v>0.70000145691626159</v>
      </c>
      <c r="AK182" s="55">
        <v>1.1027024040129503</v>
      </c>
      <c r="AL182" s="82">
        <v>2206</v>
      </c>
      <c r="AM182" s="82">
        <v>1630</v>
      </c>
      <c r="AN182" s="54">
        <v>0.28445235803771951</v>
      </c>
      <c r="AO182" s="54">
        <v>7.0418192007358382E-2</v>
      </c>
      <c r="AP182" s="54">
        <v>0.35487055004507789</v>
      </c>
      <c r="AQ182" s="53">
        <v>0.60895125901710245</v>
      </c>
      <c r="AR182" s="53">
        <v>6.9202495349957873</v>
      </c>
      <c r="AS182" s="53">
        <v>7.5292007940128896</v>
      </c>
      <c r="AT182" s="53">
        <v>5.2224509490142941</v>
      </c>
      <c r="AU182" s="53">
        <v>6.3758258715135936</v>
      </c>
      <c r="AV182" s="53">
        <v>2.5312427965159325</v>
      </c>
      <c r="AW182" s="53">
        <v>8699.3037002443198</v>
      </c>
      <c r="AX182" s="53">
        <v>1339.1896720621207</v>
      </c>
      <c r="AY182" s="51">
        <v>521</v>
      </c>
    </row>
    <row r="183" spans="28:51" x14ac:dyDescent="0.15">
      <c r="AB183" s="51">
        <v>1306.3254154459894</v>
      </c>
      <c r="AC183" s="51">
        <v>1040.6696814985917</v>
      </c>
      <c r="AD183" s="51">
        <v>547.19181642050785</v>
      </c>
      <c r="AE183" s="51">
        <v>279.71290682228073</v>
      </c>
      <c r="AF183" s="51">
        <v>35.328352996809883</v>
      </c>
      <c r="AG183" s="51">
        <v>18.059108366466006</v>
      </c>
      <c r="AH183" s="54">
        <v>0.96855366852059377</v>
      </c>
      <c r="AI183" s="55">
        <v>1.1035952817643258</v>
      </c>
      <c r="AJ183" s="54">
        <v>0.80000166504715609</v>
      </c>
      <c r="AK183" s="55">
        <v>1.1035952817643258</v>
      </c>
      <c r="AL183" s="82">
        <v>2273</v>
      </c>
      <c r="AM183" s="82">
        <v>1878</v>
      </c>
      <c r="AN183" s="54">
        <v>0.26699991087398522</v>
      </c>
      <c r="AO183" s="54">
        <v>5.9320284946998703E-2</v>
      </c>
      <c r="AP183" s="54">
        <v>0.32632019582098393</v>
      </c>
      <c r="AQ183" s="53">
        <v>0.70599015997143377</v>
      </c>
      <c r="AR183" s="53">
        <v>7.8713950842465668</v>
      </c>
      <c r="AS183" s="53">
        <v>8.5773852442180001</v>
      </c>
      <c r="AT183" s="53">
        <v>5.9535868828024778</v>
      </c>
      <c r="AU183" s="53">
        <v>7.2654860635102381</v>
      </c>
      <c r="AV183" s="53">
        <v>2.8924887944843687</v>
      </c>
      <c r="AW183" s="53">
        <v>10085.573713877624</v>
      </c>
      <c r="AX183" s="53">
        <v>1386.2700136333042</v>
      </c>
      <c r="AY183" s="51">
        <v>604</v>
      </c>
    </row>
    <row r="184" spans="28:51" x14ac:dyDescent="0.15">
      <c r="AB184" s="60">
        <v>1316.9997923581911</v>
      </c>
      <c r="AC184" s="60">
        <v>1048.6405581695694</v>
      </c>
      <c r="AD184" s="60">
        <v>555.39449953661051</v>
      </c>
      <c r="AE184" s="60">
        <v>283.70808467375082</v>
      </c>
      <c r="AF184" s="60">
        <v>35.620349259785847</v>
      </c>
      <c r="AG184" s="60">
        <v>18.195680858084817</v>
      </c>
      <c r="AH184" s="62">
        <v>0.99000095413758615</v>
      </c>
      <c r="AI184" s="63">
        <v>1.1044881595157015</v>
      </c>
      <c r="AJ184" s="62">
        <v>0.90000187317805069</v>
      </c>
      <c r="AK184" s="63">
        <v>1.1044881595157015</v>
      </c>
      <c r="AL184" s="84">
        <v>2342</v>
      </c>
      <c r="AM184" s="84">
        <v>2129</v>
      </c>
      <c r="AN184" s="62">
        <v>0.25009539149393989</v>
      </c>
      <c r="AO184" s="62">
        <v>4.9971408039351711E-2</v>
      </c>
      <c r="AP184" s="62">
        <v>0.30006679953329157</v>
      </c>
      <c r="AQ184" s="61">
        <v>0.8059059647529383</v>
      </c>
      <c r="AR184" s="61">
        <v>8.8170504271266719</v>
      </c>
      <c r="AS184" s="61">
        <v>9.6229563918796099</v>
      </c>
      <c r="AT184" s="61">
        <v>6.683939582837386</v>
      </c>
      <c r="AU184" s="61">
        <v>8.1534479873584971</v>
      </c>
      <c r="AV184" s="61">
        <v>3.2550866389547917</v>
      </c>
      <c r="AW184" s="61">
        <v>11512.942353613404</v>
      </c>
      <c r="AX184" s="61">
        <v>1427.3686397357797</v>
      </c>
      <c r="AY184" s="60">
        <v>689</v>
      </c>
    </row>
    <row r="185" spans="28:51" x14ac:dyDescent="0.15">
      <c r="AB185" s="51">
        <v>1324.3499480568223</v>
      </c>
      <c r="AC185" s="51">
        <v>1055.6524970266714</v>
      </c>
      <c r="AD185" s="51">
        <v>562.28712828424841</v>
      </c>
      <c r="AE185" s="51">
        <v>287.48627230715476</v>
      </c>
      <c r="AF185" s="51">
        <v>35.823459581361419</v>
      </c>
      <c r="AG185" s="51">
        <v>18.315825381984165</v>
      </c>
      <c r="AH185" s="54">
        <v>0.99100085872382748</v>
      </c>
      <c r="AI185" s="55">
        <v>1.1052246177695439</v>
      </c>
      <c r="AJ185" s="54">
        <v>0.90500574564082903</v>
      </c>
      <c r="AK185" s="55">
        <v>1.1052246177695439</v>
      </c>
      <c r="AL185" s="82">
        <v>2359</v>
      </c>
      <c r="AM185" s="82">
        <v>2154</v>
      </c>
      <c r="AN185" s="54">
        <v>0.24559438950094051</v>
      </c>
      <c r="AO185" s="54">
        <v>4.9971408039351711E-2</v>
      </c>
      <c r="AP185" s="54">
        <v>0.29556579754029222</v>
      </c>
      <c r="AQ185" s="53">
        <v>0.81979042936717494</v>
      </c>
      <c r="AR185" s="53">
        <v>8.8815890592644653</v>
      </c>
      <c r="AS185" s="53">
        <v>9.7013794886316411</v>
      </c>
      <c r="AT185" s="53">
        <v>6.7408498022101524</v>
      </c>
      <c r="AU185" s="53">
        <v>8.2211146454208972</v>
      </c>
      <c r="AV185" s="53">
        <v>3.2868985013850822</v>
      </c>
      <c r="AW185" s="53">
        <v>11711.291848102499</v>
      </c>
      <c r="AX185" s="53">
        <v>198.34949448909538</v>
      </c>
      <c r="AY185" s="51">
        <v>701</v>
      </c>
    </row>
    <row r="186" spans="28:51" x14ac:dyDescent="0.15">
      <c r="AB186" s="51">
        <v>1332.0832636792784</v>
      </c>
      <c r="AC186" s="51">
        <v>1062.9111294104978</v>
      </c>
      <c r="AD186" s="51">
        <v>569.41732904323351</v>
      </c>
      <c r="AE186" s="51">
        <v>291.37038277963836</v>
      </c>
      <c r="AF186" s="51">
        <v>36.035423736936181</v>
      </c>
      <c r="AG186" s="51">
        <v>18.439296930951613</v>
      </c>
      <c r="AH186" s="54">
        <v>0.99200076331006892</v>
      </c>
      <c r="AI186" s="55">
        <v>1.1059610760233864</v>
      </c>
      <c r="AJ186" s="54">
        <v>0.91000961810360737</v>
      </c>
      <c r="AK186" s="55">
        <v>1.1059610760233864</v>
      </c>
      <c r="AL186" s="82">
        <v>2376</v>
      </c>
      <c r="AM186" s="82">
        <v>2179</v>
      </c>
      <c r="AN186" s="54">
        <v>0.24116090253783615</v>
      </c>
      <c r="AO186" s="54">
        <v>4.9971408039351711E-2</v>
      </c>
      <c r="AP186" s="54">
        <v>0.29113231057718786</v>
      </c>
      <c r="AQ186" s="53">
        <v>0.83408497363120293</v>
      </c>
      <c r="AR186" s="53">
        <v>8.9485074150905461</v>
      </c>
      <c r="AS186" s="53">
        <v>9.7825923887217492</v>
      </c>
      <c r="AT186" s="53">
        <v>6.7997565836915674</v>
      </c>
      <c r="AU186" s="53">
        <v>8.291174486206657</v>
      </c>
      <c r="AV186" s="53">
        <v>3.3197814778230215</v>
      </c>
      <c r="AW186" s="53">
        <v>11915.499623302898</v>
      </c>
      <c r="AX186" s="53">
        <v>204.20777520039883</v>
      </c>
      <c r="AY186" s="51">
        <v>714</v>
      </c>
    </row>
    <row r="187" spans="28:51" x14ac:dyDescent="0.15">
      <c r="AB187" s="51">
        <v>1340.1483990062943</v>
      </c>
      <c r="AC187" s="51">
        <v>1069.8639381662831</v>
      </c>
      <c r="AD187" s="51">
        <v>576.76200075510644</v>
      </c>
      <c r="AE187" s="51">
        <v>295.20891387926036</v>
      </c>
      <c r="AF187" s="51">
        <v>36.25642247741898</v>
      </c>
      <c r="AG187" s="51">
        <v>18.557427650735704</v>
      </c>
      <c r="AH187" s="54">
        <v>0.99300066789631036</v>
      </c>
      <c r="AI187" s="55">
        <v>1.1066975342772289</v>
      </c>
      <c r="AJ187" s="54">
        <v>0.9150134905663857</v>
      </c>
      <c r="AK187" s="55">
        <v>1.1066975342772289</v>
      </c>
      <c r="AL187" s="82">
        <v>2393</v>
      </c>
      <c r="AM187" s="82">
        <v>2205</v>
      </c>
      <c r="AN187" s="54">
        <v>0.23679391787917833</v>
      </c>
      <c r="AO187" s="54">
        <v>4.9971408039351711E-2</v>
      </c>
      <c r="AP187" s="54">
        <v>0.28676532591853005</v>
      </c>
      <c r="AQ187" s="53">
        <v>0.84863347700617942</v>
      </c>
      <c r="AR187" s="53">
        <v>9.0157402205366317</v>
      </c>
      <c r="AS187" s="53">
        <v>9.8643736975428116</v>
      </c>
      <c r="AT187" s="53">
        <v>6.8591269573639337</v>
      </c>
      <c r="AU187" s="53">
        <v>8.3617503274533735</v>
      </c>
      <c r="AV187" s="53">
        <v>3.3530057604885775</v>
      </c>
      <c r="AW187" s="53">
        <v>12123.335385802562</v>
      </c>
      <c r="AX187" s="53">
        <v>207.83576249966427</v>
      </c>
      <c r="AY187" s="51">
        <v>726</v>
      </c>
    </row>
    <row r="188" spans="28:51" x14ac:dyDescent="0.15">
      <c r="AB188" s="51">
        <v>1348.4767601043816</v>
      </c>
      <c r="AC188" s="51">
        <v>1076.5220569508897</v>
      </c>
      <c r="AD188" s="51">
        <v>584.29017216548175</v>
      </c>
      <c r="AE188" s="51">
        <v>299.00290775230968</v>
      </c>
      <c r="AF188" s="51">
        <v>36.486181623674433</v>
      </c>
      <c r="AG188" s="51">
        <v>18.67132962005012</v>
      </c>
      <c r="AH188" s="54">
        <v>0.9940005724825518</v>
      </c>
      <c r="AI188" s="55">
        <v>1.1074339925310714</v>
      </c>
      <c r="AJ188" s="54">
        <v>0.92001736302916404</v>
      </c>
      <c r="AK188" s="55">
        <v>1.1074339925310714</v>
      </c>
      <c r="AL188" s="82">
        <v>2410</v>
      </c>
      <c r="AM188" s="82">
        <v>2231</v>
      </c>
      <c r="AN188" s="54">
        <v>0.2324924379904004</v>
      </c>
      <c r="AO188" s="54">
        <v>4.9971408039351711E-2</v>
      </c>
      <c r="AP188" s="54">
        <v>0.28246384602975211</v>
      </c>
      <c r="AQ188" s="53">
        <v>0.86448367106502377</v>
      </c>
      <c r="AR188" s="53">
        <v>9.1020097399930329</v>
      </c>
      <c r="AS188" s="53">
        <v>9.9664934110580568</v>
      </c>
      <c r="AT188" s="53">
        <v>6.9324901643937125</v>
      </c>
      <c r="AU188" s="53">
        <v>8.4494917877258828</v>
      </c>
      <c r="AV188" s="53">
        <v>3.3928197099519775</v>
      </c>
      <c r="AW188" s="53">
        <v>12349.766729500339</v>
      </c>
      <c r="AX188" s="53">
        <v>226.43134369777727</v>
      </c>
      <c r="AY188" s="51">
        <v>740</v>
      </c>
    </row>
    <row r="189" spans="28:51" x14ac:dyDescent="0.15">
      <c r="AB189" s="51">
        <v>1356.9396623379776</v>
      </c>
      <c r="AC189" s="51">
        <v>1081.5043220053308</v>
      </c>
      <c r="AD189" s="51">
        <v>591.93791734090132</v>
      </c>
      <c r="AE189" s="51">
        <v>302.36107937039162</v>
      </c>
      <c r="AF189" s="51">
        <v>36.71669565063835</v>
      </c>
      <c r="AG189" s="51">
        <v>18.754837969684623</v>
      </c>
      <c r="AH189" s="54">
        <v>0.99500047706879324</v>
      </c>
      <c r="AI189" s="55">
        <v>1.1081704507849139</v>
      </c>
      <c r="AJ189" s="54">
        <v>0.92502123549194237</v>
      </c>
      <c r="AK189" s="55">
        <v>1.1081704507849139</v>
      </c>
      <c r="AL189" s="82">
        <v>2426</v>
      </c>
      <c r="AM189" s="82">
        <v>2255</v>
      </c>
      <c r="AN189" s="54">
        <v>0.2282554802999541</v>
      </c>
      <c r="AO189" s="54">
        <v>4.9971408039351711E-2</v>
      </c>
      <c r="AP189" s="54">
        <v>0.27822688833930581</v>
      </c>
      <c r="AQ189" s="53">
        <v>0.8790812322946675</v>
      </c>
      <c r="AR189" s="53">
        <v>9.1643362754935236</v>
      </c>
      <c r="AS189" s="53">
        <v>10.043417507788192</v>
      </c>
      <c r="AT189" s="53">
        <v>6.9886387492903497</v>
      </c>
      <c r="AU189" s="53">
        <v>8.5160281285392703</v>
      </c>
      <c r="AV189" s="53">
        <v>3.4247301977095352</v>
      </c>
      <c r="AW189" s="53">
        <v>12558.303318495249</v>
      </c>
      <c r="AX189" s="53">
        <v>208.53658899490983</v>
      </c>
      <c r="AY189" s="51">
        <v>752</v>
      </c>
    </row>
    <row r="190" spans="28:51" x14ac:dyDescent="0.15">
      <c r="AB190" s="51">
        <v>1362.4423676606491</v>
      </c>
      <c r="AC190" s="51">
        <v>1087.4978201913416</v>
      </c>
      <c r="AD190" s="51">
        <v>598.34755033393787</v>
      </c>
      <c r="AE190" s="51">
        <v>306.03204985492607</v>
      </c>
      <c r="AF190" s="51">
        <v>36.869907040927771</v>
      </c>
      <c r="AG190" s="51">
        <v>18.857557323328962</v>
      </c>
      <c r="AH190" s="54">
        <v>0.99600038165503468</v>
      </c>
      <c r="AI190" s="55">
        <v>1.1089069090387564</v>
      </c>
      <c r="AJ190" s="54">
        <v>0.93002510795472071</v>
      </c>
      <c r="AK190" s="55">
        <v>1.1089069090387564</v>
      </c>
      <c r="AL190" s="82">
        <v>2440</v>
      </c>
      <c r="AM190" s="82">
        <v>2279</v>
      </c>
      <c r="AN190" s="54">
        <v>0.22408207697486451</v>
      </c>
      <c r="AO190" s="54">
        <v>4.9971408039351711E-2</v>
      </c>
      <c r="AP190" s="54">
        <v>0.27405348501421622</v>
      </c>
      <c r="AQ190" s="53">
        <v>0.89292239431998011</v>
      </c>
      <c r="AR190" s="53">
        <v>9.2210679141519432</v>
      </c>
      <c r="AS190" s="53">
        <v>10.113990308471923</v>
      </c>
      <c r="AT190" s="53">
        <v>7.0403010037546077</v>
      </c>
      <c r="AU190" s="53">
        <v>8.5771456561132666</v>
      </c>
      <c r="AV190" s="53">
        <v>3.4543301482510755</v>
      </c>
      <c r="AW190" s="53">
        <v>12756.034204571142</v>
      </c>
      <c r="AX190" s="53">
        <v>197.73088607589307</v>
      </c>
      <c r="AY190" s="51">
        <v>764</v>
      </c>
    </row>
    <row r="191" spans="28:51" x14ac:dyDescent="0.15">
      <c r="AB191" s="51">
        <v>1368.2313604795581</v>
      </c>
      <c r="AC191" s="51">
        <v>1092.7125272888081</v>
      </c>
      <c r="AD191" s="51">
        <v>604.91844215764513</v>
      </c>
      <c r="AE191" s="51">
        <v>309.51079875126374</v>
      </c>
      <c r="AF191" s="51">
        <v>37.029158841956367</v>
      </c>
      <c r="AG191" s="51">
        <v>18.946230981786723</v>
      </c>
      <c r="AH191" s="54">
        <v>0.99700028624127612</v>
      </c>
      <c r="AI191" s="55">
        <v>1.1096433672925989</v>
      </c>
      <c r="AJ191" s="54">
        <v>0.93502898041749904</v>
      </c>
      <c r="AK191" s="55">
        <v>1.1096433672925989</v>
      </c>
      <c r="AL191" s="82">
        <v>2454</v>
      </c>
      <c r="AM191" s="82">
        <v>2301</v>
      </c>
      <c r="AN191" s="54">
        <v>0.21997127469965125</v>
      </c>
      <c r="AO191" s="54">
        <v>4.9971408039351711E-2</v>
      </c>
      <c r="AP191" s="54">
        <v>0.26994268273900296</v>
      </c>
      <c r="AQ191" s="53">
        <v>0.90682658681915129</v>
      </c>
      <c r="AR191" s="53">
        <v>9.276279019945429</v>
      </c>
      <c r="AS191" s="53">
        <v>10.183105606764581</v>
      </c>
      <c r="AT191" s="53">
        <v>7.0910126001161036</v>
      </c>
      <c r="AU191" s="53">
        <v>8.6370591034403432</v>
      </c>
      <c r="AV191" s="53">
        <v>3.483570759026215</v>
      </c>
      <c r="AW191" s="53">
        <v>12954.665525987875</v>
      </c>
      <c r="AX191" s="53">
        <v>198.63132141673304</v>
      </c>
      <c r="AY191" s="51">
        <v>776</v>
      </c>
    </row>
    <row r="192" spans="28:51" x14ac:dyDescent="0.15">
      <c r="AB192" s="51">
        <v>1374.2959902453747</v>
      </c>
      <c r="AC192" s="51">
        <v>1097.6761596885392</v>
      </c>
      <c r="AD192" s="51">
        <v>611.64484871070272</v>
      </c>
      <c r="AE192" s="51">
        <v>312.94303364699425</v>
      </c>
      <c r="AF192" s="51">
        <v>37.195803005866743</v>
      </c>
      <c r="AG192" s="51">
        <v>19.030925309235329</v>
      </c>
      <c r="AH192" s="54">
        <v>0.99800019082751756</v>
      </c>
      <c r="AI192" s="55">
        <v>1.1103798255464414</v>
      </c>
      <c r="AJ192" s="54">
        <v>0.94003285288027738</v>
      </c>
      <c r="AK192" s="55">
        <v>1.1103798255464414</v>
      </c>
      <c r="AL192" s="82">
        <v>2467</v>
      </c>
      <c r="AM192" s="82">
        <v>2324</v>
      </c>
      <c r="AN192" s="54">
        <v>0.2159221344585662</v>
      </c>
      <c r="AO192" s="54">
        <v>4.9971408039351711E-2</v>
      </c>
      <c r="AP192" s="54">
        <v>0.26589354249791791</v>
      </c>
      <c r="AQ192" s="53">
        <v>0.92201943596186531</v>
      </c>
      <c r="AR192" s="53">
        <v>9.3508266072261996</v>
      </c>
      <c r="AS192" s="53">
        <v>10.272846043188064</v>
      </c>
      <c r="AT192" s="53">
        <v>7.1559038407793318</v>
      </c>
      <c r="AU192" s="53">
        <v>8.7143749419836976</v>
      </c>
      <c r="AV192" s="53">
        <v>3.5194712713024763</v>
      </c>
      <c r="AW192" s="53">
        <v>13171.706228026645</v>
      </c>
      <c r="AX192" s="53">
        <v>217.04070203877018</v>
      </c>
      <c r="AY192" s="51">
        <v>789</v>
      </c>
    </row>
    <row r="193" spans="28:51" x14ac:dyDescent="0.15">
      <c r="AB193" s="51">
        <v>1380.5657210374723</v>
      </c>
      <c r="AC193" s="51">
        <v>1102.3990483881848</v>
      </c>
      <c r="AD193" s="51">
        <v>618.49220873886588</v>
      </c>
      <c r="AE193" s="51">
        <v>316.32884615307466</v>
      </c>
      <c r="AF193" s="51">
        <v>37.367544111275883</v>
      </c>
      <c r="AG193" s="51">
        <v>19.111691214989474</v>
      </c>
      <c r="AH193" s="54">
        <v>0.999000095413759</v>
      </c>
      <c r="AI193" s="55">
        <v>1.1111162838002839</v>
      </c>
      <c r="AJ193" s="54">
        <v>0.94503672534305572</v>
      </c>
      <c r="AK193" s="55">
        <v>1.1111162838002839</v>
      </c>
      <c r="AL193" s="82">
        <v>2481</v>
      </c>
      <c r="AM193" s="82">
        <v>2347</v>
      </c>
      <c r="AN193" s="54">
        <v>0.21193373132109741</v>
      </c>
      <c r="AO193" s="54">
        <v>4.9971408039351711E-2</v>
      </c>
      <c r="AP193" s="54">
        <v>0.26190513936044912</v>
      </c>
      <c r="AQ193" s="53">
        <v>0.93627824432623175</v>
      </c>
      <c r="AR193" s="53">
        <v>9.4064611809631256</v>
      </c>
      <c r="AS193" s="53">
        <v>10.342739425289357</v>
      </c>
      <c r="AT193" s="53">
        <v>7.2072523649683156</v>
      </c>
      <c r="AU193" s="53">
        <v>8.7749958951288356</v>
      </c>
      <c r="AV193" s="53">
        <v>3.5491841279271004</v>
      </c>
      <c r="AW193" s="53">
        <v>13375.403490374738</v>
      </c>
      <c r="AX193" s="53">
        <v>203.69726234809241</v>
      </c>
      <c r="AY193" s="51">
        <v>801</v>
      </c>
    </row>
    <row r="194" spans="28:51" x14ac:dyDescent="0.15">
      <c r="AB194" s="60">
        <v>1388.5428599702514</v>
      </c>
      <c r="AC194" s="60">
        <v>1107.6176086310129</v>
      </c>
      <c r="AD194" s="60">
        <v>626.13629911328894</v>
      </c>
      <c r="AE194" s="60">
        <v>319.83471815819752</v>
      </c>
      <c r="AF194" s="60">
        <v>37.586432590634686</v>
      </c>
      <c r="AG194" s="60">
        <v>19.199407686828032</v>
      </c>
      <c r="AH194" s="62">
        <v>1</v>
      </c>
      <c r="AI194" s="63">
        <v>1.1118527420541255</v>
      </c>
      <c r="AJ194" s="62">
        <v>0.95004059780583416</v>
      </c>
      <c r="AK194" s="63">
        <v>1.1118527420541255</v>
      </c>
      <c r="AL194" s="84">
        <v>2496</v>
      </c>
      <c r="AM194" s="84">
        <v>2371</v>
      </c>
      <c r="AN194" s="62">
        <v>0.20800515423069069</v>
      </c>
      <c r="AO194" s="62">
        <v>4.9971408039351711E-2</v>
      </c>
      <c r="AP194" s="62">
        <v>0.2579765622700424</v>
      </c>
      <c r="AQ194" s="61">
        <v>0.95148534090452619</v>
      </c>
      <c r="AR194" s="61">
        <v>9.4696147667448258</v>
      </c>
      <c r="AS194" s="61">
        <v>10.421100107649352</v>
      </c>
      <c r="AT194" s="61">
        <v>7.2645618520677431</v>
      </c>
      <c r="AU194" s="61">
        <v>8.8428309798585474</v>
      </c>
      <c r="AV194" s="61">
        <v>3.5819338872225339</v>
      </c>
      <c r="AW194" s="61">
        <v>13592.647727207515</v>
      </c>
      <c r="AX194" s="61">
        <v>217.24423683277746</v>
      </c>
      <c r="AY194" s="60">
        <v>814</v>
      </c>
    </row>
    <row r="195" spans="28:51" x14ac:dyDescent="0.15">
      <c r="AB195" s="51">
        <v>1393.5644131473782</v>
      </c>
      <c r="AC195" s="51">
        <v>1112.452118546418</v>
      </c>
      <c r="AD195" s="51">
        <v>632.46894054193478</v>
      </c>
      <c r="AE195" s="51">
        <v>323.24962699608653</v>
      </c>
      <c r="AF195" s="51">
        <v>37.724106969049899</v>
      </c>
      <c r="AG195" s="51">
        <v>19.280478020085994</v>
      </c>
      <c r="AH195" s="54">
        <v>1</v>
      </c>
      <c r="AI195" s="55">
        <v>1.1124390398398296</v>
      </c>
      <c r="AJ195" s="54">
        <v>0.95503653802525079</v>
      </c>
      <c r="AK195" s="55">
        <v>1.1124390398398296</v>
      </c>
      <c r="AL195" s="82">
        <v>2506</v>
      </c>
      <c r="AM195" s="82">
        <v>2393</v>
      </c>
      <c r="AN195" s="54">
        <v>0.20542538860799028</v>
      </c>
      <c r="AO195" s="54">
        <v>4.9971408039351711E-2</v>
      </c>
      <c r="AP195" s="54">
        <v>0.25539679664734199</v>
      </c>
      <c r="AQ195" s="53">
        <v>0.96558136847029519</v>
      </c>
      <c r="AR195" s="53">
        <v>9.5323374872525815</v>
      </c>
      <c r="AS195" s="53">
        <v>10.497918855722876</v>
      </c>
      <c r="AT195" s="53">
        <v>7.320473026638683</v>
      </c>
      <c r="AU195" s="53">
        <v>8.90919594118078</v>
      </c>
      <c r="AV195" s="53">
        <v>3.6134528927071239</v>
      </c>
      <c r="AW195" s="53">
        <v>13794.019549575643</v>
      </c>
      <c r="AX195" s="53">
        <v>201.37182236812805</v>
      </c>
      <c r="AY195" s="51">
        <v>826</v>
      </c>
    </row>
    <row r="196" spans="28:51" x14ac:dyDescent="0.15">
      <c r="AB196" s="51">
        <v>1398.3170426867512</v>
      </c>
      <c r="AC196" s="51">
        <v>1116.6760205426983</v>
      </c>
      <c r="AD196" s="51">
        <v>638.68890838650714</v>
      </c>
      <c r="AE196" s="51">
        <v>326.54921114541111</v>
      </c>
      <c r="AF196" s="51">
        <v>37.855288480123228</v>
      </c>
      <c r="AG196" s="51">
        <v>19.354672405529691</v>
      </c>
      <c r="AH196" s="54">
        <v>1</v>
      </c>
      <c r="AI196" s="55">
        <v>1.1130253376255337</v>
      </c>
      <c r="AJ196" s="54">
        <v>0.96003247824466742</v>
      </c>
      <c r="AK196" s="55">
        <v>1.1130253376255337</v>
      </c>
      <c r="AL196" s="82">
        <v>2515</v>
      </c>
      <c r="AM196" s="82">
        <v>2414</v>
      </c>
      <c r="AN196" s="54">
        <v>0.20287142064151684</v>
      </c>
      <c r="AO196" s="54">
        <v>4.9971408039351711E-2</v>
      </c>
      <c r="AP196" s="54">
        <v>0.25284282868086855</v>
      </c>
      <c r="AQ196" s="53">
        <v>0.97954648148860912</v>
      </c>
      <c r="AR196" s="53">
        <v>9.5922262042617188</v>
      </c>
      <c r="AS196" s="53">
        <v>10.571772685750329</v>
      </c>
      <c r="AT196" s="53">
        <v>7.3743639509964218</v>
      </c>
      <c r="AU196" s="53">
        <v>8.9730683183733753</v>
      </c>
      <c r="AV196" s="53">
        <v>3.6440537604501975</v>
      </c>
      <c r="AW196" s="53">
        <v>13993.521164122987</v>
      </c>
      <c r="AX196" s="53">
        <v>199.50161454734371</v>
      </c>
      <c r="AY196" s="51">
        <v>838</v>
      </c>
    </row>
    <row r="197" spans="28:51" x14ac:dyDescent="0.15">
      <c r="AB197" s="51">
        <v>1403.3217863176517</v>
      </c>
      <c r="AC197" s="51">
        <v>1120.6967963419963</v>
      </c>
      <c r="AD197" s="51">
        <v>645.02779116595764</v>
      </c>
      <c r="AE197" s="51">
        <v>329.71533087550438</v>
      </c>
      <c r="AF197" s="51">
        <v>37.992835564011415</v>
      </c>
      <c r="AG197" s="51">
        <v>19.42059012099784</v>
      </c>
      <c r="AH197" s="54">
        <v>1</v>
      </c>
      <c r="AI197" s="55">
        <v>1.1136116354112378</v>
      </c>
      <c r="AJ197" s="54">
        <v>0.96502841846408405</v>
      </c>
      <c r="AK197" s="55">
        <v>1.1136116354112378</v>
      </c>
      <c r="AL197" s="82">
        <v>2524</v>
      </c>
      <c r="AM197" s="82">
        <v>2436</v>
      </c>
      <c r="AN197" s="54">
        <v>0.20034299235470812</v>
      </c>
      <c r="AO197" s="54">
        <v>4.9971408039351711E-2</v>
      </c>
      <c r="AP197" s="54">
        <v>0.25031440039405983</v>
      </c>
      <c r="AQ197" s="53">
        <v>0.99358213223671321</v>
      </c>
      <c r="AR197" s="53">
        <v>9.6523913139373416</v>
      </c>
      <c r="AS197" s="53">
        <v>10.645973446174056</v>
      </c>
      <c r="AT197" s="53">
        <v>7.4285096748616084</v>
      </c>
      <c r="AU197" s="53">
        <v>9.0372415605178329</v>
      </c>
      <c r="AV197" s="53">
        <v>3.6748019416637527</v>
      </c>
      <c r="AW197" s="53">
        <v>14194.030460524473</v>
      </c>
      <c r="AX197" s="53">
        <v>200.5092964014857</v>
      </c>
      <c r="AY197" s="51">
        <v>850</v>
      </c>
    </row>
    <row r="198" spans="28:51" x14ac:dyDescent="0.15">
      <c r="AB198" s="51">
        <v>1408.46462563047</v>
      </c>
      <c r="AC198" s="51">
        <v>1124.5232103636333</v>
      </c>
      <c r="AD198" s="51">
        <v>651.43148144508154</v>
      </c>
      <c r="AE198" s="51">
        <v>332.88125498986221</v>
      </c>
      <c r="AF198" s="51">
        <v>38.134263639951719</v>
      </c>
      <c r="AG198" s="51">
        <v>19.486595137253236</v>
      </c>
      <c r="AH198" s="54">
        <v>1</v>
      </c>
      <c r="AI198" s="55">
        <v>1.1141979331969418</v>
      </c>
      <c r="AJ198" s="54">
        <v>0.97002435868350068</v>
      </c>
      <c r="AK198" s="55">
        <v>1.1141979331969418</v>
      </c>
      <c r="AL198" s="82">
        <v>2533</v>
      </c>
      <c r="AM198" s="82">
        <v>2457</v>
      </c>
      <c r="AN198" s="54">
        <v>0.19783984835076751</v>
      </c>
      <c r="AO198" s="54">
        <v>4.9971408039351711E-2</v>
      </c>
      <c r="AP198" s="54">
        <v>0.24781125639011922</v>
      </c>
      <c r="AQ198" s="53">
        <v>1.0088965507491905</v>
      </c>
      <c r="AR198" s="53">
        <v>9.7318606095801776</v>
      </c>
      <c r="AS198" s="53">
        <v>10.740757160329368</v>
      </c>
      <c r="AT198" s="53">
        <v>7.4968036238026432</v>
      </c>
      <c r="AU198" s="53">
        <v>9.1187803920660055</v>
      </c>
      <c r="AV198" s="53">
        <v>3.712191164521462</v>
      </c>
      <c r="AW198" s="53">
        <v>14412.807867845575</v>
      </c>
      <c r="AX198" s="53">
        <v>218.77740732110215</v>
      </c>
      <c r="AY198" s="51">
        <v>863</v>
      </c>
    </row>
    <row r="199" spans="28:51" x14ac:dyDescent="0.15">
      <c r="AB199" s="51">
        <v>1413.3859070590345</v>
      </c>
      <c r="AC199" s="51">
        <v>1128.1919780455962</v>
      </c>
      <c r="AD199" s="51">
        <v>657.73089295453087</v>
      </c>
      <c r="AE199" s="51">
        <v>335.96769555859584</v>
      </c>
      <c r="AF199" s="51">
        <v>38.270929663446459</v>
      </c>
      <c r="AG199" s="51">
        <v>19.548718455591956</v>
      </c>
      <c r="AH199" s="54">
        <v>1</v>
      </c>
      <c r="AI199" s="55">
        <v>1.1147842309826459</v>
      </c>
      <c r="AJ199" s="54">
        <v>0.9750202989029173</v>
      </c>
      <c r="AK199" s="55">
        <v>1.1147842309826459</v>
      </c>
      <c r="AL199" s="82">
        <v>2542</v>
      </c>
      <c r="AM199" s="82">
        <v>2479</v>
      </c>
      <c r="AN199" s="54">
        <v>0.1953617357868663</v>
      </c>
      <c r="AO199" s="54">
        <v>4.9971408039351711E-2</v>
      </c>
      <c r="AP199" s="54">
        <v>0.24533314382621801</v>
      </c>
      <c r="AQ199" s="53">
        <v>1.0229873325776933</v>
      </c>
      <c r="AR199" s="53">
        <v>9.7909187763680467</v>
      </c>
      <c r="AS199" s="53">
        <v>10.813906108945741</v>
      </c>
      <c r="AT199" s="53">
        <v>7.5502665168230578</v>
      </c>
      <c r="AU199" s="53">
        <v>9.182086312884401</v>
      </c>
      <c r="AV199" s="53">
        <v>3.7426869926799293</v>
      </c>
      <c r="AW199" s="53">
        <v>14614.104751109904</v>
      </c>
      <c r="AX199" s="53">
        <v>201.29688326432915</v>
      </c>
      <c r="AY199" s="51">
        <v>875</v>
      </c>
    </row>
    <row r="200" spans="28:51" x14ac:dyDescent="0.15">
      <c r="AB200" s="51">
        <v>1416.7074219255985</v>
      </c>
      <c r="AC200" s="51">
        <v>1131.3339750786017</v>
      </c>
      <c r="AD200" s="51">
        <v>663.27101163667919</v>
      </c>
      <c r="AE200" s="51">
        <v>338.90411777358781</v>
      </c>
      <c r="AF200" s="51">
        <v>38.361460057989106</v>
      </c>
      <c r="AG200" s="51">
        <v>19.601123144789298</v>
      </c>
      <c r="AH200" s="54">
        <v>1</v>
      </c>
      <c r="AI200" s="55">
        <v>1.11537052876835</v>
      </c>
      <c r="AJ200" s="54">
        <v>0.98001623912233393</v>
      </c>
      <c r="AK200" s="55">
        <v>1.11537052876835</v>
      </c>
      <c r="AL200" s="82">
        <v>2548</v>
      </c>
      <c r="AM200" s="82">
        <v>2497</v>
      </c>
      <c r="AN200" s="54">
        <v>0.19290840434860412</v>
      </c>
      <c r="AO200" s="54">
        <v>4.9971408039351711E-2</v>
      </c>
      <c r="AP200" s="54">
        <v>0.24287981238795583</v>
      </c>
      <c r="AQ200" s="53">
        <v>1.0374288878930933</v>
      </c>
      <c r="AR200" s="53">
        <v>9.8625108395920265</v>
      </c>
      <c r="AS200" s="53">
        <v>10.899939727485119</v>
      </c>
      <c r="AT200" s="53">
        <v>7.612436114287779</v>
      </c>
      <c r="AU200" s="53">
        <v>9.2561879208864521</v>
      </c>
      <c r="AV200" s="53">
        <v>3.7770152322242128</v>
      </c>
      <c r="AW200" s="53">
        <v>14820.412684187047</v>
      </c>
      <c r="AX200" s="53">
        <v>206.30793307714339</v>
      </c>
      <c r="AY200" s="51">
        <v>887</v>
      </c>
    </row>
    <row r="201" spans="28:51" x14ac:dyDescent="0.15">
      <c r="AB201" s="51">
        <v>1420.5355674164914</v>
      </c>
      <c r="AC201" s="51">
        <v>1134.4591232508003</v>
      </c>
      <c r="AD201" s="51">
        <v>669.03063313707582</v>
      </c>
      <c r="AE201" s="51">
        <v>341.84206237835684</v>
      </c>
      <c r="AF201" s="51">
        <v>38.466696868013251</v>
      </c>
      <c r="AG201" s="51">
        <v>19.654608233089018</v>
      </c>
      <c r="AH201" s="54">
        <v>1</v>
      </c>
      <c r="AI201" s="55">
        <v>1.115956826554054</v>
      </c>
      <c r="AJ201" s="54">
        <v>0.98501217934175056</v>
      </c>
      <c r="AK201" s="55">
        <v>1.115956826554054</v>
      </c>
      <c r="AL201" s="82">
        <v>2555</v>
      </c>
      <c r="AM201" s="82">
        <v>2517</v>
      </c>
      <c r="AN201" s="54">
        <v>0.19047960622472457</v>
      </c>
      <c r="AO201" s="54">
        <v>4.9971408039351711E-2</v>
      </c>
      <c r="AP201" s="54">
        <v>0.24045101426407628</v>
      </c>
      <c r="AQ201" s="53">
        <v>1.0510160273530356</v>
      </c>
      <c r="AR201" s="53">
        <v>9.9164129141969326</v>
      </c>
      <c r="AS201" s="53">
        <v>10.967428941549969</v>
      </c>
      <c r="AT201" s="53">
        <v>7.6619579701509899</v>
      </c>
      <c r="AU201" s="53">
        <v>9.314693455850481</v>
      </c>
      <c r="AV201" s="53">
        <v>3.8055751701855174</v>
      </c>
      <c r="AW201" s="53">
        <v>15014.514676471936</v>
      </c>
      <c r="AX201" s="53">
        <v>194.10199228488818</v>
      </c>
      <c r="AY201" s="51">
        <v>899</v>
      </c>
    </row>
    <row r="202" spans="28:51" x14ac:dyDescent="0.15">
      <c r="AB202" s="51">
        <v>1424.5410665817126</v>
      </c>
      <c r="AC202" s="51">
        <v>1137.4219755623583</v>
      </c>
      <c r="AD202" s="51">
        <v>674.85230790814023</v>
      </c>
      <c r="AE202" s="51">
        <v>344.73493695262965</v>
      </c>
      <c r="AF202" s="51">
        <v>38.575422716799252</v>
      </c>
      <c r="AG202" s="51">
        <v>19.705490760516106</v>
      </c>
      <c r="AH202" s="54">
        <v>1</v>
      </c>
      <c r="AI202" s="55">
        <v>1.1165431243397581</v>
      </c>
      <c r="AJ202" s="54">
        <v>0.99000811956116719</v>
      </c>
      <c r="AK202" s="55">
        <v>1.1165431243397581</v>
      </c>
      <c r="AL202" s="82">
        <v>2562</v>
      </c>
      <c r="AM202" s="82">
        <v>2536</v>
      </c>
      <c r="AN202" s="54">
        <v>0.18807509608208381</v>
      </c>
      <c r="AO202" s="54">
        <v>4.9971408039351711E-2</v>
      </c>
      <c r="AP202" s="54">
        <v>0.23804650412143552</v>
      </c>
      <c r="AQ202" s="53">
        <v>1.0646952715979263</v>
      </c>
      <c r="AR202" s="53">
        <v>9.9704566359866202</v>
      </c>
      <c r="AS202" s="53">
        <v>11.035151907584547</v>
      </c>
      <c r="AT202" s="53">
        <v>7.7116663622556736</v>
      </c>
      <c r="AU202" s="53">
        <v>9.3734091349201094</v>
      </c>
      <c r="AV202" s="53">
        <v>3.8342665593719873</v>
      </c>
      <c r="AW202" s="53">
        <v>15209.932451398949</v>
      </c>
      <c r="AX202" s="53">
        <v>195.41777492701294</v>
      </c>
      <c r="AY202" s="51">
        <v>911</v>
      </c>
    </row>
    <row r="203" spans="28:51" x14ac:dyDescent="0.15">
      <c r="AB203" s="51">
        <v>1428.691295907327</v>
      </c>
      <c r="AC203" s="51">
        <v>1140.2299143321713</v>
      </c>
      <c r="AD203" s="51">
        <v>680.72216159886761</v>
      </c>
      <c r="AE203" s="51">
        <v>347.54058724219391</v>
      </c>
      <c r="AF203" s="51">
        <v>38.690204485600148</v>
      </c>
      <c r="AG203" s="51">
        <v>19.753163839801168</v>
      </c>
      <c r="AH203" s="54">
        <v>1</v>
      </c>
      <c r="AI203" s="55">
        <v>1.1171294221254622</v>
      </c>
      <c r="AJ203" s="54">
        <v>0.99500405978058382</v>
      </c>
      <c r="AK203" s="55">
        <v>1.1171294221254622</v>
      </c>
      <c r="AL203" s="82">
        <v>2569</v>
      </c>
      <c r="AM203" s="82">
        <v>2556</v>
      </c>
      <c r="AN203" s="54">
        <v>0.18569463104086945</v>
      </c>
      <c r="AO203" s="54">
        <v>4.9971408039351711E-2</v>
      </c>
      <c r="AP203" s="54">
        <v>0.23566603908022116</v>
      </c>
      <c r="AQ203" s="53">
        <v>1.0784063501005343</v>
      </c>
      <c r="AR203" s="53">
        <v>10.024561960910429</v>
      </c>
      <c r="AS203" s="53">
        <v>11.102968311010963</v>
      </c>
      <c r="AT203" s="53">
        <v>7.7614476573741529</v>
      </c>
      <c r="AU203" s="53">
        <v>9.4322079841925586</v>
      </c>
      <c r="AV203" s="53">
        <v>3.8630068947978753</v>
      </c>
      <c r="AW203" s="53">
        <v>15405.805001436205</v>
      </c>
      <c r="AX203" s="53">
        <v>195.87255003725659</v>
      </c>
      <c r="AY203" s="51">
        <v>923</v>
      </c>
    </row>
    <row r="204" spans="28:51" x14ac:dyDescent="0.15">
      <c r="AB204" s="60">
        <v>1432.8127868572806</v>
      </c>
      <c r="AC204" s="60">
        <v>1144.2518344409007</v>
      </c>
      <c r="AD204" s="60">
        <v>686.55120348837795</v>
      </c>
      <c r="AE204" s="60">
        <v>350.71868661737483</v>
      </c>
      <c r="AF204" s="60">
        <v>38.802388723010964</v>
      </c>
      <c r="AG204" s="60">
        <v>19.821861416024177</v>
      </c>
      <c r="AH204" s="62">
        <v>1</v>
      </c>
      <c r="AI204" s="63">
        <v>1.1177157199111663</v>
      </c>
      <c r="AJ204" s="62">
        <v>1</v>
      </c>
      <c r="AK204" s="63">
        <v>1.1177157199111663</v>
      </c>
      <c r="AL204" s="84">
        <v>2577</v>
      </c>
      <c r="AM204" s="84">
        <v>2577</v>
      </c>
      <c r="AN204" s="62">
        <v>0.18333797065006724</v>
      </c>
      <c r="AO204" s="62">
        <v>4.9971408039351711E-2</v>
      </c>
      <c r="AP204" s="62">
        <v>0.23330937868941895</v>
      </c>
      <c r="AQ204" s="61">
        <v>1.0925199514382231</v>
      </c>
      <c r="AR204" s="61">
        <v>10.083121982727716</v>
      </c>
      <c r="AS204" s="61">
        <v>11.17564193416594</v>
      </c>
      <c r="AT204" s="61">
        <v>7.8146012732567005</v>
      </c>
      <c r="AU204" s="61">
        <v>9.4951216037113202</v>
      </c>
      <c r="AV204" s="61">
        <v>3.893387168862589</v>
      </c>
      <c r="AW204" s="61">
        <v>15607.4278776889</v>
      </c>
      <c r="AX204" s="61">
        <v>201.62287625269528</v>
      </c>
      <c r="AY204" s="60">
        <v>935</v>
      </c>
    </row>
    <row r="205" spans="28:51" x14ac:dyDescent="0.15">
      <c r="AB205" s="51">
        <v>1435.7947977865417</v>
      </c>
      <c r="AC205" s="51">
        <v>1147.1991989614767</v>
      </c>
      <c r="AD205" s="51">
        <v>691.80657594928391</v>
      </c>
      <c r="AE205" s="51">
        <v>353.52758671151628</v>
      </c>
      <c r="AF205" s="51">
        <v>38.887391279373873</v>
      </c>
      <c r="AG205" s="51">
        <v>19.872267871462604</v>
      </c>
      <c r="AH205" s="54">
        <v>1</v>
      </c>
      <c r="AI205" s="55">
        <v>1.1182017571880594</v>
      </c>
      <c r="AJ205" s="54">
        <v>1</v>
      </c>
      <c r="AK205" s="55">
        <v>1.1182017571880594</v>
      </c>
      <c r="AL205" s="82">
        <v>2583</v>
      </c>
      <c r="AM205" s="82">
        <v>2583</v>
      </c>
      <c r="AN205" s="54">
        <v>0.18100487686317304</v>
      </c>
      <c r="AO205" s="54">
        <v>4.9971408039351711E-2</v>
      </c>
      <c r="AP205" s="54">
        <v>0.23097628490252475</v>
      </c>
      <c r="AQ205" s="53">
        <v>1.1003641159465924</v>
      </c>
      <c r="AR205" s="53">
        <v>10.083777456307963</v>
      </c>
      <c r="AS205" s="53">
        <v>11.184141572254555</v>
      </c>
      <c r="AT205" s="53">
        <v>7.8228824201519016</v>
      </c>
      <c r="AU205" s="53">
        <v>9.5035119962032297</v>
      </c>
      <c r="AV205" s="53">
        <v>3.901413409365472</v>
      </c>
      <c r="AW205" s="53">
        <v>15719.487370665605</v>
      </c>
      <c r="AX205" s="53">
        <v>112.05949297670486</v>
      </c>
      <c r="AY205" s="51">
        <v>941</v>
      </c>
    </row>
    <row r="206" spans="28:51" x14ac:dyDescent="0.15">
      <c r="AB206" s="51">
        <v>1438.7225284629733</v>
      </c>
      <c r="AC206" s="51">
        <v>1150.24883195078</v>
      </c>
      <c r="AD206" s="51">
        <v>696.99425336988725</v>
      </c>
      <c r="AE206" s="51">
        <v>356.36533841612919</v>
      </c>
      <c r="AF206" s="51">
        <v>38.966604317254941</v>
      </c>
      <c r="AG206" s="51">
        <v>19.923187411240573</v>
      </c>
      <c r="AH206" s="54">
        <v>1</v>
      </c>
      <c r="AI206" s="55">
        <v>1.1186877944649525</v>
      </c>
      <c r="AJ206" s="54">
        <v>1</v>
      </c>
      <c r="AK206" s="55">
        <v>1.1186877944649525</v>
      </c>
      <c r="AL206" s="82">
        <v>2589</v>
      </c>
      <c r="AM206" s="82">
        <v>2589</v>
      </c>
      <c r="AN206" s="54">
        <v>0.17869511401414778</v>
      </c>
      <c r="AO206" s="54">
        <v>4.9971408039351711E-2</v>
      </c>
      <c r="AP206" s="54">
        <v>0.22866652205349949</v>
      </c>
      <c r="AQ206" s="53">
        <v>1.1093353876847838</v>
      </c>
      <c r="AR206" s="53">
        <v>10.104386846704921</v>
      </c>
      <c r="AS206" s="53">
        <v>11.213722234389705</v>
      </c>
      <c r="AT206" s="53">
        <v>7.8455932854880643</v>
      </c>
      <c r="AU206" s="53">
        <v>9.5296577599388836</v>
      </c>
      <c r="AV206" s="53">
        <v>3.9161095117694842</v>
      </c>
      <c r="AW206" s="53">
        <v>15847.64839549691</v>
      </c>
      <c r="AX206" s="53">
        <v>128.16102483130453</v>
      </c>
      <c r="AY206" s="51">
        <v>949</v>
      </c>
    </row>
    <row r="207" spans="28:51" x14ac:dyDescent="0.15">
      <c r="AB207" s="51">
        <v>1441.7441473404515</v>
      </c>
      <c r="AC207" s="51">
        <v>1153.1697458206122</v>
      </c>
      <c r="AD207" s="51">
        <v>702.18940543860344</v>
      </c>
      <c r="AE207" s="51">
        <v>359.16234981004834</v>
      </c>
      <c r="AF207" s="51">
        <v>39.049962808280959</v>
      </c>
      <c r="AG207" s="51">
        <v>19.97363716055596</v>
      </c>
      <c r="AH207" s="54">
        <v>1</v>
      </c>
      <c r="AI207" s="55">
        <v>1.1191738317418456</v>
      </c>
      <c r="AJ207" s="54">
        <v>1</v>
      </c>
      <c r="AK207" s="55">
        <v>1.1191738317418456</v>
      </c>
      <c r="AL207" s="82">
        <v>2595</v>
      </c>
      <c r="AM207" s="82">
        <v>2595</v>
      </c>
      <c r="AN207" s="54">
        <v>0.17640844879361278</v>
      </c>
      <c r="AO207" s="54">
        <v>4.9971408039351711E-2</v>
      </c>
      <c r="AP207" s="54">
        <v>0.22637985683296449</v>
      </c>
      <c r="AQ207" s="53">
        <v>1.1170922966762673</v>
      </c>
      <c r="AR207" s="53">
        <v>10.105275049299072</v>
      </c>
      <c r="AS207" s="53">
        <v>11.222367345975339</v>
      </c>
      <c r="AT207" s="53">
        <v>7.8539423295423152</v>
      </c>
      <c r="AU207" s="53">
        <v>9.5381548377588281</v>
      </c>
      <c r="AV207" s="53">
        <v>3.9241131437037868</v>
      </c>
      <c r="AW207" s="53">
        <v>15958.461381089532</v>
      </c>
      <c r="AX207" s="53">
        <v>110.81298559262177</v>
      </c>
      <c r="AY207" s="51">
        <v>956</v>
      </c>
    </row>
    <row r="208" spans="28:51" x14ac:dyDescent="0.15">
      <c r="AB208" s="51">
        <v>1444.8253319892954</v>
      </c>
      <c r="AC208" s="51">
        <v>1156.05112580488</v>
      </c>
      <c r="AD208" s="51">
        <v>707.37299648150633</v>
      </c>
      <c r="AE208" s="51">
        <v>361.90031968849098</v>
      </c>
      <c r="AF208" s="51">
        <v>39.135918657735253</v>
      </c>
      <c r="AG208" s="51">
        <v>20.022394894893978</v>
      </c>
      <c r="AH208" s="54">
        <v>1</v>
      </c>
      <c r="AI208" s="55">
        <v>1.1196598690187387</v>
      </c>
      <c r="AJ208" s="54">
        <v>1</v>
      </c>
      <c r="AK208" s="55">
        <v>1.1196598690187387</v>
      </c>
      <c r="AL208" s="82">
        <v>2601</v>
      </c>
      <c r="AM208" s="82">
        <v>2601</v>
      </c>
      <c r="AN208" s="54">
        <v>0.17414465022528314</v>
      </c>
      <c r="AO208" s="54">
        <v>4.9971408039351711E-2</v>
      </c>
      <c r="AP208" s="54">
        <v>0.22411605826463485</v>
      </c>
      <c r="AQ208" s="53">
        <v>1.1247678121895794</v>
      </c>
      <c r="AR208" s="53">
        <v>10.106333893680457</v>
      </c>
      <c r="AS208" s="53">
        <v>11.231101705870037</v>
      </c>
      <c r="AT208" s="53">
        <v>7.8623237413098845</v>
      </c>
      <c r="AU208" s="53">
        <v>9.5467127235899607</v>
      </c>
      <c r="AV208" s="53">
        <v>3.9320827826563733</v>
      </c>
      <c r="AW208" s="53">
        <v>16068.111602708275</v>
      </c>
      <c r="AX208" s="53">
        <v>109.65022161874367</v>
      </c>
      <c r="AY208" s="51">
        <v>962</v>
      </c>
    </row>
    <row r="209" spans="27:51" x14ac:dyDescent="0.15">
      <c r="AB209" s="56">
        <v>1447.941462543333</v>
      </c>
      <c r="AC209" s="56">
        <v>1156.801424203125</v>
      </c>
      <c r="AD209" s="56">
        <v>712.52936057122361</v>
      </c>
      <c r="AE209" s="56">
        <v>363.96303329248934</v>
      </c>
      <c r="AF209" s="56">
        <v>39.221994645283758</v>
      </c>
      <c r="AG209" s="56">
        <v>20.034761980102719</v>
      </c>
      <c r="AH209" s="58">
        <v>1</v>
      </c>
      <c r="AI209" s="59">
        <v>1.120145906295632</v>
      </c>
      <c r="AJ209" s="58">
        <v>1</v>
      </c>
      <c r="AK209" s="59">
        <v>1.120145906295632</v>
      </c>
      <c r="AL209" s="83">
        <v>2605</v>
      </c>
      <c r="AM209" s="83">
        <v>2605</v>
      </c>
      <c r="AN209" s="58">
        <v>0.1719034896426368</v>
      </c>
      <c r="AO209" s="58">
        <v>4.9971408039351711E-2</v>
      </c>
      <c r="AP209" s="58">
        <v>0.22187489768198851</v>
      </c>
      <c r="AQ209" s="57">
        <v>1.1317413978608966</v>
      </c>
      <c r="AR209" s="57">
        <v>10.0999648281093</v>
      </c>
      <c r="AS209" s="57">
        <v>11.231706225970196</v>
      </c>
      <c r="AT209" s="57">
        <v>7.8650512832670962</v>
      </c>
      <c r="AU209" s="57">
        <v>9.5483787546186445</v>
      </c>
      <c r="AV209" s="57">
        <v>3.9372871834468128</v>
      </c>
      <c r="AW209" s="57">
        <v>16167.734255155663</v>
      </c>
      <c r="AX209" s="57">
        <v>99.622652447387736</v>
      </c>
      <c r="AY209" s="56">
        <v>968</v>
      </c>
    </row>
    <row r="211" spans="27:51" ht="12.75" thickBot="1" x14ac:dyDescent="0.2"/>
    <row r="212" spans="27:51" ht="60.75" thickBot="1" x14ac:dyDescent="0.2">
      <c r="AA212" s="93" t="s">
        <v>118</v>
      </c>
      <c r="AB212" s="91" t="s">
        <v>20</v>
      </c>
      <c r="AC212" s="91" t="s">
        <v>4</v>
      </c>
      <c r="AD212" s="91" t="s">
        <v>155</v>
      </c>
      <c r="AE212" s="91" t="s">
        <v>156</v>
      </c>
      <c r="AF212" s="91" t="s">
        <v>157</v>
      </c>
      <c r="AG212" s="91" t="s">
        <v>158</v>
      </c>
      <c r="AH212" s="90" t="s">
        <v>50</v>
      </c>
      <c r="AI212" s="90" t="s">
        <v>28</v>
      </c>
      <c r="AJ212" s="90" t="s">
        <v>51</v>
      </c>
      <c r="AK212" s="90" t="s">
        <v>29</v>
      </c>
      <c r="AL212" s="90" t="s">
        <v>110</v>
      </c>
      <c r="AM212" s="90" t="s">
        <v>111</v>
      </c>
      <c r="AN212" s="91" t="s">
        <v>43</v>
      </c>
      <c r="AO212" s="91" t="s">
        <v>44</v>
      </c>
      <c r="AP212" s="91" t="s">
        <v>5</v>
      </c>
      <c r="AQ212" s="46" t="s">
        <v>45</v>
      </c>
      <c r="AR212" s="45" t="s">
        <v>46</v>
      </c>
      <c r="AS212" s="45" t="s">
        <v>93</v>
      </c>
      <c r="AT212" s="45" t="s">
        <v>30</v>
      </c>
      <c r="AU212" s="45" t="s">
        <v>31</v>
      </c>
      <c r="AV212" s="45" t="s">
        <v>32</v>
      </c>
      <c r="AW212" s="45" t="s">
        <v>26</v>
      </c>
      <c r="AX212" s="46" t="s">
        <v>138</v>
      </c>
      <c r="AY212" s="87" t="s">
        <v>152</v>
      </c>
    </row>
    <row r="213" spans="27:51" x14ac:dyDescent="0.15">
      <c r="AB213" s="44" t="s">
        <v>120</v>
      </c>
      <c r="AC213" s="44" t="s">
        <v>120</v>
      </c>
      <c r="AD213" s="44" t="s">
        <v>159</v>
      </c>
      <c r="AE213" s="44" t="s">
        <v>159</v>
      </c>
      <c r="AF213" s="44" t="s">
        <v>159</v>
      </c>
      <c r="AG213" s="44" t="s">
        <v>159</v>
      </c>
      <c r="AH213" s="43" t="s">
        <v>2</v>
      </c>
      <c r="AI213" s="43" t="s">
        <v>2</v>
      </c>
      <c r="AJ213" s="43" t="s">
        <v>2</v>
      </c>
      <c r="AK213" s="43" t="s">
        <v>2</v>
      </c>
      <c r="AL213" s="92">
        <v>0</v>
      </c>
      <c r="AM213" s="92">
        <v>0</v>
      </c>
      <c r="AN213" s="39" t="s">
        <v>2</v>
      </c>
      <c r="AO213" s="39" t="s">
        <v>2</v>
      </c>
      <c r="AP213" s="39" t="s">
        <v>2</v>
      </c>
      <c r="AQ213" s="43" t="s">
        <v>19</v>
      </c>
      <c r="AR213" s="43" t="s">
        <v>19</v>
      </c>
      <c r="AS213" s="43" t="s">
        <v>19</v>
      </c>
      <c r="AT213" s="43" t="s">
        <v>19</v>
      </c>
      <c r="AU213" s="43" t="s">
        <v>19</v>
      </c>
      <c r="AV213" s="43" t="s">
        <v>19</v>
      </c>
      <c r="AW213" s="43" t="s">
        <v>101</v>
      </c>
      <c r="AX213" s="43" t="s">
        <v>101</v>
      </c>
      <c r="AY213" s="43" t="s">
        <v>154</v>
      </c>
    </row>
    <row r="214" spans="27:51" ht="15.75" x14ac:dyDescent="0.15">
      <c r="AB214" s="76">
        <v>6979.8849615263562</v>
      </c>
      <c r="AC214" s="76">
        <v>5517.9124845017477</v>
      </c>
      <c r="AD214" s="76">
        <v>2732.0282366742254</v>
      </c>
      <c r="AE214" s="76">
        <v>1390.6036418340923</v>
      </c>
      <c r="AF214" s="76">
        <v>188.48558538336815</v>
      </c>
      <c r="AG214" s="76">
        <v>95.939250535131663</v>
      </c>
      <c r="AH214" s="54">
        <v>0.73504510649358956</v>
      </c>
      <c r="AI214" s="55">
        <v>1.0934659892767227</v>
      </c>
      <c r="AJ214" s="54">
        <v>0</v>
      </c>
      <c r="AK214" s="55">
        <v>1.0934659892767227</v>
      </c>
      <c r="AL214" s="82">
        <v>9187</v>
      </c>
      <c r="AM214" s="82">
        <v>0</v>
      </c>
      <c r="AN214" s="54">
        <v>0.41755321579381505</v>
      </c>
      <c r="AO214" s="54">
        <v>0.27836881052921009</v>
      </c>
      <c r="AP214" s="54">
        <v>0.69592202632302513</v>
      </c>
      <c r="AQ214" s="53">
        <v>0</v>
      </c>
      <c r="AR214" s="53">
        <v>0</v>
      </c>
      <c r="AS214" s="53">
        <v>0</v>
      </c>
      <c r="AT214" s="53">
        <v>0</v>
      </c>
      <c r="AU214" s="53">
        <v>0</v>
      </c>
      <c r="AV214" s="53">
        <v>0</v>
      </c>
      <c r="AW214" s="53">
        <v>0</v>
      </c>
      <c r="AX214" s="53">
        <v>0</v>
      </c>
      <c r="AY214" s="53">
        <v>0</v>
      </c>
    </row>
    <row r="215" spans="27:51" ht="15.75" x14ac:dyDescent="0.15">
      <c r="AB215" s="76">
        <v>7066.7366263414369</v>
      </c>
      <c r="AC215" s="76">
        <v>5608.8996764848598</v>
      </c>
      <c r="AD215" s="76">
        <v>2780.7612465748971</v>
      </c>
      <c r="AE215" s="76">
        <v>1420.5786329346199</v>
      </c>
      <c r="AF215" s="76">
        <v>190.85873319993055</v>
      </c>
      <c r="AG215" s="76">
        <v>97.502019861196345</v>
      </c>
      <c r="AH215" s="78">
        <v>0.75550056927092557</v>
      </c>
      <c r="AI215" s="79">
        <v>1.0944786286488752</v>
      </c>
      <c r="AJ215" s="78">
        <v>0</v>
      </c>
      <c r="AK215" s="79">
        <v>1.0944786286488752</v>
      </c>
      <c r="AL215" s="81">
        <v>9577</v>
      </c>
      <c r="AM215" s="81">
        <v>0</v>
      </c>
      <c r="AN215" s="78">
        <v>0.41702842080111552</v>
      </c>
      <c r="AO215" s="78">
        <v>0.27801894720074366</v>
      </c>
      <c r="AP215" s="78">
        <v>0.69504736800185918</v>
      </c>
      <c r="AQ215" s="77">
        <v>2.5911658084036371</v>
      </c>
      <c r="AR215" s="77">
        <v>34.017473169605502</v>
      </c>
      <c r="AS215" s="77">
        <v>36.608638978009139</v>
      </c>
      <c r="AT215" s="77">
        <v>25.26948125480731</v>
      </c>
      <c r="AU215" s="77">
        <v>30.939060116408228</v>
      </c>
      <c r="AV215" s="77">
        <v>12.040463911071834</v>
      </c>
      <c r="AW215" s="77">
        <v>0</v>
      </c>
      <c r="AX215" s="77">
        <v>0</v>
      </c>
      <c r="AY215" s="76">
        <v>0</v>
      </c>
    </row>
    <row r="216" spans="27:51" x14ac:dyDescent="0.15">
      <c r="AB216" s="51">
        <v>7150.1493365858923</v>
      </c>
      <c r="AC216" s="51">
        <v>5677.153778630237</v>
      </c>
      <c r="AD216" s="51">
        <v>2829.2629952061939</v>
      </c>
      <c r="AE216" s="51">
        <v>1445.214340783642</v>
      </c>
      <c r="AF216" s="51">
        <v>193.14341432148964</v>
      </c>
      <c r="AG216" s="51">
        <v>98.659485766536349</v>
      </c>
      <c r="AH216" s="54">
        <v>0.77614866772091773</v>
      </c>
      <c r="AI216" s="55">
        <v>1.0954740495672763</v>
      </c>
      <c r="AJ216" s="54">
        <v>0</v>
      </c>
      <c r="AK216" s="55">
        <v>1.0954740495672763</v>
      </c>
      <c r="AL216" s="82">
        <v>9956</v>
      </c>
      <c r="AM216" s="82">
        <v>0</v>
      </c>
      <c r="AN216" s="54">
        <v>0.4165136742434038</v>
      </c>
      <c r="AO216" s="54">
        <v>0.2776757828289359</v>
      </c>
      <c r="AP216" s="54">
        <v>0.6941894570723397</v>
      </c>
      <c r="AQ216" s="53">
        <v>0</v>
      </c>
      <c r="AR216" s="53">
        <v>0</v>
      </c>
      <c r="AS216" s="53">
        <v>0</v>
      </c>
      <c r="AT216" s="53">
        <v>0</v>
      </c>
      <c r="AU216" s="53">
        <v>0</v>
      </c>
      <c r="AV216" s="53">
        <v>0</v>
      </c>
      <c r="AW216" s="53">
        <v>0</v>
      </c>
      <c r="AX216" s="53">
        <v>0</v>
      </c>
      <c r="AY216" s="51">
        <v>0</v>
      </c>
    </row>
    <row r="217" spans="27:51" x14ac:dyDescent="0.15">
      <c r="AB217" s="56">
        <v>7218.7358781380071</v>
      </c>
      <c r="AC217" s="56">
        <v>5742.1827053353209</v>
      </c>
      <c r="AD217" s="56">
        <v>2872.9365270065564</v>
      </c>
      <c r="AE217" s="56">
        <v>1469.6730148501797</v>
      </c>
      <c r="AF217" s="56">
        <v>195.0288243679999</v>
      </c>
      <c r="AG217" s="56">
        <v>99.768511276598261</v>
      </c>
      <c r="AH217" s="58">
        <v>0.79697538358465825</v>
      </c>
      <c r="AI217" s="59">
        <v>1.0964522597533219</v>
      </c>
      <c r="AJ217" s="58">
        <v>0</v>
      </c>
      <c r="AK217" s="59">
        <v>1.0964522597533219</v>
      </c>
      <c r="AL217" s="83">
        <v>10330</v>
      </c>
      <c r="AM217" s="83">
        <v>0</v>
      </c>
      <c r="AN217" s="58">
        <v>0.40442584348281335</v>
      </c>
      <c r="AO217" s="58">
        <v>0.23391407945509562</v>
      </c>
      <c r="AP217" s="58">
        <v>0.63833992293790898</v>
      </c>
      <c r="AQ217" s="57">
        <v>0</v>
      </c>
      <c r="AR217" s="57">
        <v>0</v>
      </c>
      <c r="AS217" s="57">
        <v>0</v>
      </c>
      <c r="AT217" s="57">
        <v>0</v>
      </c>
      <c r="AU217" s="57">
        <v>0</v>
      </c>
      <c r="AV217" s="57">
        <v>0</v>
      </c>
      <c r="AW217" s="57">
        <v>0</v>
      </c>
      <c r="AX217" s="57">
        <v>0</v>
      </c>
      <c r="AY217" s="56">
        <v>0</v>
      </c>
    </row>
    <row r="218" spans="27:51" x14ac:dyDescent="0.15">
      <c r="AB218" s="51">
        <v>7290.5168172826088</v>
      </c>
      <c r="AC218" s="51">
        <v>5804.8175000307583</v>
      </c>
      <c r="AD218" s="51">
        <v>2918.8494167095837</v>
      </c>
      <c r="AE218" s="51">
        <v>1494.1482273105194</v>
      </c>
      <c r="AF218" s="51">
        <v>196.99860701634572</v>
      </c>
      <c r="AG218" s="51">
        <v>100.84285875491636</v>
      </c>
      <c r="AH218" s="54">
        <v>0.81842266920165019</v>
      </c>
      <c r="AI218" s="55">
        <v>1.0973451375046974</v>
      </c>
      <c r="AJ218" s="54">
        <v>0.10000020813089452</v>
      </c>
      <c r="AK218" s="55">
        <v>1.0973451375046974</v>
      </c>
      <c r="AL218" s="82">
        <v>10717</v>
      </c>
      <c r="AM218" s="82">
        <v>1310</v>
      </c>
      <c r="AN218" s="54">
        <v>0.38993442357891628</v>
      </c>
      <c r="AO218" s="54">
        <v>0.19704922053297255</v>
      </c>
      <c r="AP218" s="54">
        <v>0.58698364411188886</v>
      </c>
      <c r="AQ218" s="53">
        <v>0.47322410695535605</v>
      </c>
      <c r="AR218" s="53">
        <v>6.00891502762257</v>
      </c>
      <c r="AS218" s="53">
        <v>6.4821391345779258</v>
      </c>
      <c r="AT218" s="53">
        <v>4.4791674587037367</v>
      </c>
      <c r="AU218" s="53">
        <v>5.4806532966408312</v>
      </c>
      <c r="AV218" s="53">
        <v>2.142367170183848</v>
      </c>
      <c r="AW218" s="53">
        <v>6760.3443850765143</v>
      </c>
      <c r="AX218" s="53">
        <v>6760.3443850765143</v>
      </c>
      <c r="AY218" s="51">
        <v>405</v>
      </c>
    </row>
    <row r="219" spans="27:51" x14ac:dyDescent="0.15">
      <c r="AB219" s="51">
        <v>7364.5696261008188</v>
      </c>
      <c r="AC219" s="51">
        <v>5864.9119946532182</v>
      </c>
      <c r="AD219" s="51">
        <v>2966.609571426749</v>
      </c>
      <c r="AE219" s="51">
        <v>1518.5846682899748</v>
      </c>
      <c r="AF219" s="51">
        <v>199.02478978334636</v>
      </c>
      <c r="AG219" s="51">
        <v>101.87926220074485</v>
      </c>
      <c r="AH219" s="54">
        <v>0.83986995481864213</v>
      </c>
      <c r="AI219" s="55">
        <v>1.0982380152560729</v>
      </c>
      <c r="AJ219" s="54">
        <v>0.20000041626178905</v>
      </c>
      <c r="AK219" s="55">
        <v>1.0982380152560729</v>
      </c>
      <c r="AL219" s="82">
        <v>11111</v>
      </c>
      <c r="AM219" s="82">
        <v>2646</v>
      </c>
      <c r="AN219" s="54">
        <v>0.37376486193216862</v>
      </c>
      <c r="AO219" s="54">
        <v>0.16599426337697609</v>
      </c>
      <c r="AP219" s="54">
        <v>0.53975912530914472</v>
      </c>
      <c r="AQ219" s="53">
        <v>0.96115451354128867</v>
      </c>
      <c r="AR219" s="53">
        <v>11.999364217589081</v>
      </c>
      <c r="AS219" s="53">
        <v>12.960518731130369</v>
      </c>
      <c r="AT219" s="53">
        <v>8.9607306586006743</v>
      </c>
      <c r="AU219" s="53">
        <v>10.960624694865523</v>
      </c>
      <c r="AV219" s="53">
        <v>4.2943112406493658</v>
      </c>
      <c r="AW219" s="53">
        <v>13730.778764875551</v>
      </c>
      <c r="AX219" s="53">
        <v>6970.4343797990368</v>
      </c>
      <c r="AY219" s="51">
        <v>822</v>
      </c>
    </row>
    <row r="220" spans="27:51" x14ac:dyDescent="0.15">
      <c r="AB220" s="51">
        <v>7441.2374954357874</v>
      </c>
      <c r="AC220" s="51">
        <v>5922.5401219388114</v>
      </c>
      <c r="AD220" s="51">
        <v>3016.3307644208621</v>
      </c>
      <c r="AE220" s="51">
        <v>1542.7180401046112</v>
      </c>
      <c r="AF220" s="51">
        <v>201.11316391285277</v>
      </c>
      <c r="AG220" s="51">
        <v>102.86037251967092</v>
      </c>
      <c r="AH220" s="54">
        <v>0.86131724043563407</v>
      </c>
      <c r="AI220" s="55">
        <v>1.0991308930074484</v>
      </c>
      <c r="AJ220" s="54">
        <v>0.3000006243926836</v>
      </c>
      <c r="AK220" s="55">
        <v>1.0991308930074484</v>
      </c>
      <c r="AL220" s="82">
        <v>11511</v>
      </c>
      <c r="AM220" s="82">
        <v>4009</v>
      </c>
      <c r="AN220" s="54">
        <v>0.35650038710895227</v>
      </c>
      <c r="AO220" s="54">
        <v>0.13983356746876466</v>
      </c>
      <c r="AP220" s="54">
        <v>0.4963339545777169</v>
      </c>
      <c r="AQ220" s="53">
        <v>1.464283897908347</v>
      </c>
      <c r="AR220" s="53">
        <v>17.952474085639185</v>
      </c>
      <c r="AS220" s="53">
        <v>19.416757983547534</v>
      </c>
      <c r="AT220" s="53">
        <v>13.432599955001136</v>
      </c>
      <c r="AU220" s="53">
        <v>16.424678969274336</v>
      </c>
      <c r="AV220" s="53">
        <v>6.4510822550303422</v>
      </c>
      <c r="AW220" s="53">
        <v>20918.341398690667</v>
      </c>
      <c r="AX220" s="53">
        <v>7187.562633815116</v>
      </c>
      <c r="AY220" s="51">
        <v>1253</v>
      </c>
    </row>
    <row r="221" spans="27:51" x14ac:dyDescent="0.15">
      <c r="AB221" s="51">
        <v>7518.9579567722485</v>
      </c>
      <c r="AC221" s="51">
        <v>5979.2213554282898</v>
      </c>
      <c r="AD221" s="51">
        <v>3067.3791643300074</v>
      </c>
      <c r="AE221" s="51">
        <v>1566.9402409834231</v>
      </c>
      <c r="AF221" s="51">
        <v>203.24243602647536</v>
      </c>
      <c r="AG221" s="51">
        <v>103.82438382212354</v>
      </c>
      <c r="AH221" s="54">
        <v>0.88276452605262601</v>
      </c>
      <c r="AI221" s="55">
        <v>1.1000237707588238</v>
      </c>
      <c r="AJ221" s="54">
        <v>0.4000008325235781</v>
      </c>
      <c r="AK221" s="55">
        <v>1.1000237707588238</v>
      </c>
      <c r="AL221" s="82">
        <v>11916</v>
      </c>
      <c r="AM221" s="82">
        <v>5399</v>
      </c>
      <c r="AN221" s="54">
        <v>0.33860666622551072</v>
      </c>
      <c r="AO221" s="54">
        <v>0.11779579723568735</v>
      </c>
      <c r="AP221" s="54">
        <v>0.45640246346119806</v>
      </c>
      <c r="AQ221" s="53">
        <v>1.9829933128260118</v>
      </c>
      <c r="AR221" s="53">
        <v>23.857247971014363</v>
      </c>
      <c r="AS221" s="53">
        <v>25.840241283840374</v>
      </c>
      <c r="AT221" s="53">
        <v>17.887825293502253</v>
      </c>
      <c r="AU221" s="53">
        <v>21.864033288671319</v>
      </c>
      <c r="AV221" s="53">
        <v>8.6100066381077802</v>
      </c>
      <c r="AW221" s="53">
        <v>28328.47589751445</v>
      </c>
      <c r="AX221" s="53">
        <v>7410.1344988237834</v>
      </c>
      <c r="AY221" s="51">
        <v>1696</v>
      </c>
    </row>
    <row r="222" spans="27:51" x14ac:dyDescent="0.15">
      <c r="AB222" s="51">
        <v>7573.756130983561</v>
      </c>
      <c r="AC222" s="51">
        <v>6032.3144408957041</v>
      </c>
      <c r="AD222" s="51">
        <v>3109.8790630230233</v>
      </c>
      <c r="AE222" s="51">
        <v>1590.542967431815</v>
      </c>
      <c r="AF222" s="51">
        <v>204.76124433719423</v>
      </c>
      <c r="AG222" s="51">
        <v>104.72483031752567</v>
      </c>
      <c r="AH222" s="54">
        <v>0.90421181166961795</v>
      </c>
      <c r="AI222" s="55">
        <v>1.1009166485101993</v>
      </c>
      <c r="AJ222" s="54">
        <v>0.50000104065447259</v>
      </c>
      <c r="AK222" s="55">
        <v>1.1009166485101993</v>
      </c>
      <c r="AL222" s="82">
        <v>12303</v>
      </c>
      <c r="AM222" s="82">
        <v>6803</v>
      </c>
      <c r="AN222" s="54">
        <v>0.32045239581641949</v>
      </c>
      <c r="AO222" s="54">
        <v>9.9231179591343033E-2</v>
      </c>
      <c r="AP222" s="54">
        <v>0.41968357540776252</v>
      </c>
      <c r="AQ222" s="53">
        <v>2.5124412632867896</v>
      </c>
      <c r="AR222" s="53">
        <v>29.658928813792386</v>
      </c>
      <c r="AS222" s="53">
        <v>32.171370077079175</v>
      </c>
      <c r="AT222" s="53">
        <v>22.285060472481714</v>
      </c>
      <c r="AU222" s="53">
        <v>27.228215274780446</v>
      </c>
      <c r="AV222" s="53">
        <v>10.751032600451342</v>
      </c>
      <c r="AW222" s="53">
        <v>35892.018046954137</v>
      </c>
      <c r="AX222" s="53">
        <v>7563.5421494396869</v>
      </c>
      <c r="AY222" s="51">
        <v>2149</v>
      </c>
    </row>
    <row r="223" spans="27:51" x14ac:dyDescent="0.15">
      <c r="AB223" s="51">
        <v>7630.5488078608842</v>
      </c>
      <c r="AC223" s="51">
        <v>6083.348788431239</v>
      </c>
      <c r="AD223" s="51">
        <v>3153.8801706621807</v>
      </c>
      <c r="AE223" s="51">
        <v>1614.1591829003678</v>
      </c>
      <c r="AF223" s="51">
        <v>206.3163119888215</v>
      </c>
      <c r="AG223" s="51">
        <v>105.59290510678213</v>
      </c>
      <c r="AH223" s="54">
        <v>0.92565909728660989</v>
      </c>
      <c r="AI223" s="55">
        <v>1.1018095262615748</v>
      </c>
      <c r="AJ223" s="54">
        <v>0.60000124878536709</v>
      </c>
      <c r="AK223" s="55">
        <v>1.1018095262615748</v>
      </c>
      <c r="AL223" s="82">
        <v>12694</v>
      </c>
      <c r="AM223" s="82">
        <v>8228</v>
      </c>
      <c r="AN223" s="54">
        <v>0.30232648159311698</v>
      </c>
      <c r="AO223" s="54">
        <v>8.3592345687747371E-2</v>
      </c>
      <c r="AP223" s="54">
        <v>0.38591882728086435</v>
      </c>
      <c r="AQ223" s="53">
        <v>3.0555672967434475</v>
      </c>
      <c r="AR223" s="53">
        <v>35.374756007744296</v>
      </c>
      <c r="AS223" s="53">
        <v>38.430323304487743</v>
      </c>
      <c r="AT223" s="53">
        <v>26.638737968572979</v>
      </c>
      <c r="AU223" s="53">
        <v>32.534530636530363</v>
      </c>
      <c r="AV223" s="53">
        <v>12.881888410005752</v>
      </c>
      <c r="AW223" s="53">
        <v>43650.961382049245</v>
      </c>
      <c r="AX223" s="53">
        <v>7758.9433350951076</v>
      </c>
      <c r="AY223" s="51">
        <v>2614</v>
      </c>
    </row>
    <row r="224" spans="27:51" x14ac:dyDescent="0.15">
      <c r="AB224" s="51">
        <v>7689.8445545875629</v>
      </c>
      <c r="AC224" s="51">
        <v>6132.2117449544203</v>
      </c>
      <c r="AD224" s="51">
        <v>3199.5933733652041</v>
      </c>
      <c r="AE224" s="51">
        <v>1637.7528744272622</v>
      </c>
      <c r="AF224" s="51">
        <v>207.94271560503736</v>
      </c>
      <c r="AG224" s="51">
        <v>106.43814399458347</v>
      </c>
      <c r="AH224" s="54">
        <v>0.94710638290360183</v>
      </c>
      <c r="AI224" s="55">
        <v>1.1027024040129503</v>
      </c>
      <c r="AJ224" s="54">
        <v>0.70000145691626159</v>
      </c>
      <c r="AK224" s="55">
        <v>1.1027024040129503</v>
      </c>
      <c r="AL224" s="82">
        <v>13091</v>
      </c>
      <c r="AM224" s="82">
        <v>9675</v>
      </c>
      <c r="AN224" s="54">
        <v>0.28445235803771951</v>
      </c>
      <c r="AO224" s="54">
        <v>7.0418192007358382E-2</v>
      </c>
      <c r="AP224" s="54">
        <v>0.35487055004507789</v>
      </c>
      <c r="AQ224" s="53">
        <v>3.6133829472295464</v>
      </c>
      <c r="AR224" s="53">
        <v>41.018099359462234</v>
      </c>
      <c r="AS224" s="53">
        <v>44.63148230669178</v>
      </c>
      <c r="AT224" s="53">
        <v>30.958782520204362</v>
      </c>
      <c r="AU224" s="53">
        <v>37.795132413448073</v>
      </c>
      <c r="AV224" s="53">
        <v>15.007299435969054</v>
      </c>
      <c r="AW224" s="53">
        <v>51619.756388993519</v>
      </c>
      <c r="AX224" s="53">
        <v>7968.7950069442741</v>
      </c>
      <c r="AY224" s="51">
        <v>3091</v>
      </c>
    </row>
    <row r="225" spans="28:51" x14ac:dyDescent="0.15">
      <c r="AB225" s="51">
        <v>7750.9973961619344</v>
      </c>
      <c r="AC225" s="51">
        <v>6178.9762338978881</v>
      </c>
      <c r="AD225" s="51">
        <v>3246.727265754429</v>
      </c>
      <c r="AE225" s="51">
        <v>1660.795384257292</v>
      </c>
      <c r="AF225" s="51">
        <v>209.61849846232644</v>
      </c>
      <c r="AG225" s="51">
        <v>107.22595592589191</v>
      </c>
      <c r="AH225" s="54">
        <v>0.96855366852059377</v>
      </c>
      <c r="AI225" s="55">
        <v>1.1035952817643258</v>
      </c>
      <c r="AJ225" s="54">
        <v>0.80000166504715609</v>
      </c>
      <c r="AK225" s="55">
        <v>1.1035952817643258</v>
      </c>
      <c r="AL225" s="82">
        <v>13492</v>
      </c>
      <c r="AM225" s="82">
        <v>11144</v>
      </c>
      <c r="AN225" s="54">
        <v>0.26699991087398522</v>
      </c>
      <c r="AO225" s="54">
        <v>5.9320284946998703E-2</v>
      </c>
      <c r="AP225" s="54">
        <v>0.32632019582098393</v>
      </c>
      <c r="AQ225" s="53">
        <v>4.1857281816285106</v>
      </c>
      <c r="AR225" s="53">
        <v>46.593582674041272</v>
      </c>
      <c r="AS225" s="53">
        <v>50.779310855669785</v>
      </c>
      <c r="AT225" s="53">
        <v>35.248116630989351</v>
      </c>
      <c r="AU225" s="53">
        <v>43.013713743329575</v>
      </c>
      <c r="AV225" s="53">
        <v>17.128390035528859</v>
      </c>
      <c r="AW225" s="53">
        <v>59796.11688040728</v>
      </c>
      <c r="AX225" s="53">
        <v>8176.3604914137613</v>
      </c>
      <c r="AY225" s="51">
        <v>3581</v>
      </c>
    </row>
    <row r="226" spans="28:51" x14ac:dyDescent="0.15">
      <c r="AB226" s="60">
        <v>7816.0954036218545</v>
      </c>
      <c r="AC226" s="60">
        <v>6223.4441450325166</v>
      </c>
      <c r="AD226" s="60">
        <v>3296.1405310869736</v>
      </c>
      <c r="AE226" s="60">
        <v>1683.7432089630588</v>
      </c>
      <c r="AF226" s="60">
        <v>211.39870312834202</v>
      </c>
      <c r="AG226" s="60">
        <v>107.98724369272094</v>
      </c>
      <c r="AH226" s="62">
        <v>0.99000095413758615</v>
      </c>
      <c r="AI226" s="63">
        <v>1.1044881595157015</v>
      </c>
      <c r="AJ226" s="62">
        <v>0.90000187317805069</v>
      </c>
      <c r="AK226" s="63">
        <v>1.1044881595157015</v>
      </c>
      <c r="AL226" s="84">
        <v>13900</v>
      </c>
      <c r="AM226" s="84">
        <v>12636</v>
      </c>
      <c r="AN226" s="62">
        <v>0.25009539149393989</v>
      </c>
      <c r="AO226" s="62">
        <v>4.9971408039351711E-2</v>
      </c>
      <c r="AP226" s="62">
        <v>0.30006679953329157</v>
      </c>
      <c r="AQ226" s="61">
        <v>4.7750705748042419</v>
      </c>
      <c r="AR226" s="61">
        <v>52.133169463647597</v>
      </c>
      <c r="AS226" s="61">
        <v>56.908240038451837</v>
      </c>
      <c r="AT226" s="61">
        <v>39.530516883902635</v>
      </c>
      <c r="AU226" s="61">
        <v>48.219378461177243</v>
      </c>
      <c r="AV226" s="61">
        <v>19.256506536928576</v>
      </c>
      <c r="AW226" s="61">
        <v>68215.29392577488</v>
      </c>
      <c r="AX226" s="61">
        <v>8419.1770453675999</v>
      </c>
      <c r="AY226" s="60">
        <v>4085</v>
      </c>
    </row>
    <row r="227" spans="28:51" x14ac:dyDescent="0.15">
      <c r="AB227" s="51">
        <v>7860.1418803915858</v>
      </c>
      <c r="AC227" s="51">
        <v>6265.8729254796363</v>
      </c>
      <c r="AD227" s="51">
        <v>3337.2271523225127</v>
      </c>
      <c r="AE227" s="51">
        <v>1706.3877129738419</v>
      </c>
      <c r="AF227" s="51">
        <v>212.61561218703864</v>
      </c>
      <c r="AG227" s="51">
        <v>108.7144062009335</v>
      </c>
      <c r="AH227" s="54">
        <v>0.99100085872382748</v>
      </c>
      <c r="AI227" s="55">
        <v>1.1052246177695439</v>
      </c>
      <c r="AJ227" s="54">
        <v>0.90500574564082903</v>
      </c>
      <c r="AK227" s="55">
        <v>1.1052246177695439</v>
      </c>
      <c r="AL227" s="82">
        <v>13999</v>
      </c>
      <c r="AM227" s="82">
        <v>12784</v>
      </c>
      <c r="AN227" s="54">
        <v>0.24559438950094051</v>
      </c>
      <c r="AO227" s="54">
        <v>4.9971408039351711E-2</v>
      </c>
      <c r="AP227" s="54">
        <v>0.29556579754029222</v>
      </c>
      <c r="AQ227" s="53">
        <v>4.8599047816799699</v>
      </c>
      <c r="AR227" s="53">
        <v>52.557548102282773</v>
      </c>
      <c r="AS227" s="53">
        <v>57.417452883962746</v>
      </c>
      <c r="AT227" s="53">
        <v>39.898270183201824</v>
      </c>
      <c r="AU227" s="53">
        <v>48.657861533582285</v>
      </c>
      <c r="AV227" s="53">
        <v>19.459223698980743</v>
      </c>
      <c r="AW227" s="53">
        <v>69427.211166856709</v>
      </c>
      <c r="AX227" s="53">
        <v>1211.9172410818283</v>
      </c>
      <c r="AY227" s="51">
        <v>4157</v>
      </c>
    </row>
    <row r="228" spans="28:51" x14ac:dyDescent="0.15">
      <c r="AB228" s="51">
        <v>7905.5594140785988</v>
      </c>
      <c r="AC228" s="51">
        <v>6306.4058629148285</v>
      </c>
      <c r="AD228" s="51">
        <v>3379.3402025964142</v>
      </c>
      <c r="AE228" s="51">
        <v>1728.7427324806984</v>
      </c>
      <c r="AF228" s="51">
        <v>213.86064304793859</v>
      </c>
      <c r="AG228" s="51">
        <v>109.40302256301896</v>
      </c>
      <c r="AH228" s="54">
        <v>0.99200076331006892</v>
      </c>
      <c r="AI228" s="55">
        <v>1.1059610760233864</v>
      </c>
      <c r="AJ228" s="54">
        <v>0.91000961810360737</v>
      </c>
      <c r="AK228" s="55">
        <v>1.1059610760233864</v>
      </c>
      <c r="AL228" s="82">
        <v>14098</v>
      </c>
      <c r="AM228" s="82">
        <v>12933</v>
      </c>
      <c r="AN228" s="54">
        <v>0.24116090253783615</v>
      </c>
      <c r="AO228" s="54">
        <v>4.9971408039351711E-2</v>
      </c>
      <c r="AP228" s="54">
        <v>0.29113231057718786</v>
      </c>
      <c r="AQ228" s="53">
        <v>4.9460271810082723</v>
      </c>
      <c r="AR228" s="53">
        <v>52.981716594093406</v>
      </c>
      <c r="AS228" s="53">
        <v>57.927743775101675</v>
      </c>
      <c r="AT228" s="53">
        <v>40.267171577070542</v>
      </c>
      <c r="AU228" s="53">
        <v>49.097457676086108</v>
      </c>
      <c r="AV228" s="53">
        <v>19.66317067936755</v>
      </c>
      <c r="AW228" s="53">
        <v>70657.531157261023</v>
      </c>
      <c r="AX228" s="53">
        <v>1230.319990404314</v>
      </c>
      <c r="AY228" s="51">
        <v>4231</v>
      </c>
    </row>
    <row r="229" spans="28:51" x14ac:dyDescent="0.15">
      <c r="AB229" s="51">
        <v>7952.9462783684476</v>
      </c>
      <c r="AC229" s="51">
        <v>6345.1238241106039</v>
      </c>
      <c r="AD229" s="51">
        <v>3422.7233422886925</v>
      </c>
      <c r="AE229" s="51">
        <v>1750.8180673475313</v>
      </c>
      <c r="AF229" s="51">
        <v>215.15929162960492</v>
      </c>
      <c r="AG229" s="51">
        <v>110.05995444870381</v>
      </c>
      <c r="AH229" s="54">
        <v>0.99300066789631036</v>
      </c>
      <c r="AI229" s="55">
        <v>1.1066975342772289</v>
      </c>
      <c r="AJ229" s="54">
        <v>0.9150134905663857</v>
      </c>
      <c r="AK229" s="55">
        <v>1.1066975342772289</v>
      </c>
      <c r="AL229" s="82">
        <v>14198</v>
      </c>
      <c r="AM229" s="82">
        <v>13083</v>
      </c>
      <c r="AN229" s="54">
        <v>0.23679391787917833</v>
      </c>
      <c r="AO229" s="54">
        <v>4.9971408039351711E-2</v>
      </c>
      <c r="AP229" s="54">
        <v>0.28676532591853005</v>
      </c>
      <c r="AQ229" s="53">
        <v>5.0336607998373628</v>
      </c>
      <c r="AR229" s="53">
        <v>53.407856425975751</v>
      </c>
      <c r="AS229" s="53">
        <v>58.441517225813115</v>
      </c>
      <c r="AT229" s="53">
        <v>40.638898417154529</v>
      </c>
      <c r="AU229" s="53">
        <v>49.540207821483826</v>
      </c>
      <c r="AV229" s="53">
        <v>19.869176473719513</v>
      </c>
      <c r="AW229" s="53">
        <v>71909.4399976766</v>
      </c>
      <c r="AX229" s="53">
        <v>1251.9088404155773</v>
      </c>
      <c r="AY229" s="51">
        <v>4306</v>
      </c>
    </row>
    <row r="230" spans="28:51" x14ac:dyDescent="0.15">
      <c r="AB230" s="51">
        <v>8001.8950812717385</v>
      </c>
      <c r="AC230" s="51">
        <v>6382.0949826112683</v>
      </c>
      <c r="AD230" s="51">
        <v>3467.1926079945747</v>
      </c>
      <c r="AE230" s="51">
        <v>1772.6203982825125</v>
      </c>
      <c r="AF230" s="51">
        <v>216.50992134730456</v>
      </c>
      <c r="AG230" s="51">
        <v>110.6918323850369</v>
      </c>
      <c r="AH230" s="54">
        <v>0.9940005724825518</v>
      </c>
      <c r="AI230" s="55">
        <v>1.1074339925310714</v>
      </c>
      <c r="AJ230" s="54">
        <v>0.92001736302916404</v>
      </c>
      <c r="AK230" s="55">
        <v>1.1074339925310714</v>
      </c>
      <c r="AL230" s="82">
        <v>14298</v>
      </c>
      <c r="AM230" s="82">
        <v>13234</v>
      </c>
      <c r="AN230" s="54">
        <v>0.2324924379904004</v>
      </c>
      <c r="AO230" s="54">
        <v>4.9971408039351711E-2</v>
      </c>
      <c r="AP230" s="54">
        <v>0.28246384602975211</v>
      </c>
      <c r="AQ230" s="53">
        <v>5.1226409959088928</v>
      </c>
      <c r="AR230" s="53">
        <v>53.834928766691476</v>
      </c>
      <c r="AS230" s="53">
        <v>58.957569762600372</v>
      </c>
      <c r="AT230" s="53">
        <v>41.012593507036549</v>
      </c>
      <c r="AU230" s="53">
        <v>49.985081634818457</v>
      </c>
      <c r="AV230" s="53">
        <v>20.076787875545413</v>
      </c>
      <c r="AW230" s="53">
        <v>73180.585655841307</v>
      </c>
      <c r="AX230" s="53">
        <v>1271.1456581647071</v>
      </c>
      <c r="AY230" s="51">
        <v>4382</v>
      </c>
    </row>
    <row r="231" spans="28:51" x14ac:dyDescent="0.15">
      <c r="AB231" s="51">
        <v>8053.1294836434545</v>
      </c>
      <c r="AC231" s="51">
        <v>6418.483138168931</v>
      </c>
      <c r="AD231" s="51">
        <v>3513.0174369073707</v>
      </c>
      <c r="AE231" s="51">
        <v>1794.4445066839505</v>
      </c>
      <c r="AF231" s="51">
        <v>217.90527058267386</v>
      </c>
      <c r="AG231" s="51">
        <v>111.30571447398971</v>
      </c>
      <c r="AH231" s="54">
        <v>0.99500047706879324</v>
      </c>
      <c r="AI231" s="55">
        <v>1.1081704507849139</v>
      </c>
      <c r="AJ231" s="54">
        <v>0.92502123549194237</v>
      </c>
      <c r="AK231" s="55">
        <v>1.1081704507849139</v>
      </c>
      <c r="AL231" s="82">
        <v>14400</v>
      </c>
      <c r="AM231" s="82">
        <v>13387</v>
      </c>
      <c r="AN231" s="54">
        <v>0.2282554802999541</v>
      </c>
      <c r="AO231" s="54">
        <v>4.9971408039351711E-2</v>
      </c>
      <c r="AP231" s="54">
        <v>0.27822688833930581</v>
      </c>
      <c r="AQ231" s="53">
        <v>5.2135283426913936</v>
      </c>
      <c r="AR231" s="53">
        <v>54.269301784375742</v>
      </c>
      <c r="AS231" s="53">
        <v>59.482830127067132</v>
      </c>
      <c r="AT231" s="53">
        <v>41.393062865608556</v>
      </c>
      <c r="AU231" s="53">
        <v>50.437946496337844</v>
      </c>
      <c r="AV231" s="53">
        <v>20.288334393906879</v>
      </c>
      <c r="AW231" s="53">
        <v>74478.976324162766</v>
      </c>
      <c r="AX231" s="53">
        <v>1298.3906683214591</v>
      </c>
      <c r="AY231" s="51">
        <v>4460</v>
      </c>
    </row>
    <row r="232" spans="28:51" x14ac:dyDescent="0.15">
      <c r="AB232" s="51">
        <v>8087.6897995174704</v>
      </c>
      <c r="AC232" s="51">
        <v>6452.9539468575476</v>
      </c>
      <c r="AD232" s="51">
        <v>3551.8929051738019</v>
      </c>
      <c r="AE232" s="51">
        <v>1815.9215469772521</v>
      </c>
      <c r="AF232" s="51">
        <v>218.86604392380528</v>
      </c>
      <c r="AG232" s="51">
        <v>111.89626930586184</v>
      </c>
      <c r="AH232" s="54">
        <v>0.99600038165503468</v>
      </c>
      <c r="AI232" s="55">
        <v>1.1089069090387564</v>
      </c>
      <c r="AJ232" s="54">
        <v>0.93002510795472071</v>
      </c>
      <c r="AK232" s="55">
        <v>1.1089069090387564</v>
      </c>
      <c r="AL232" s="82">
        <v>14483</v>
      </c>
      <c r="AM232" s="82">
        <v>13523</v>
      </c>
      <c r="AN232" s="54">
        <v>0.22408207697486451</v>
      </c>
      <c r="AO232" s="54">
        <v>4.9971408039351711E-2</v>
      </c>
      <c r="AP232" s="54">
        <v>0.27405348501421622</v>
      </c>
      <c r="AQ232" s="53">
        <v>5.2972244264026438</v>
      </c>
      <c r="AR232" s="53">
        <v>54.626956234492638</v>
      </c>
      <c r="AS232" s="53">
        <v>59.924180660895281</v>
      </c>
      <c r="AT232" s="53">
        <v>41.715195249397738</v>
      </c>
      <c r="AU232" s="53">
        <v>50.819687955146513</v>
      </c>
      <c r="AV232" s="53">
        <v>20.471378935983935</v>
      </c>
      <c r="AW232" s="53">
        <v>75674.63466289491</v>
      </c>
      <c r="AX232" s="53">
        <v>1195.6583387321443</v>
      </c>
      <c r="AY232" s="51">
        <v>4531</v>
      </c>
    </row>
    <row r="233" spans="28:51" x14ac:dyDescent="0.15">
      <c r="AB233" s="51">
        <v>8124.4358870258056</v>
      </c>
      <c r="AC233" s="51">
        <v>6485.2288364091264</v>
      </c>
      <c r="AD233" s="51">
        <v>3591.9518015335984</v>
      </c>
      <c r="AE233" s="51">
        <v>1836.9409218928024</v>
      </c>
      <c r="AF233" s="51">
        <v>219.87584530771605</v>
      </c>
      <c r="AG233" s="51">
        <v>112.44553387633677</v>
      </c>
      <c r="AH233" s="54">
        <v>0.99700028624127612</v>
      </c>
      <c r="AI233" s="55">
        <v>1.1096433672925989</v>
      </c>
      <c r="AJ233" s="54">
        <v>0.93502898041749904</v>
      </c>
      <c r="AK233" s="55">
        <v>1.1096433672925989</v>
      </c>
      <c r="AL233" s="82">
        <v>14566</v>
      </c>
      <c r="AM233" s="82">
        <v>13661</v>
      </c>
      <c r="AN233" s="54">
        <v>0.21997127469965125</v>
      </c>
      <c r="AO233" s="54">
        <v>4.9971408039351711E-2</v>
      </c>
      <c r="AP233" s="54">
        <v>0.26994268273900296</v>
      </c>
      <c r="AQ233" s="53">
        <v>5.3832453916425012</v>
      </c>
      <c r="AR233" s="53">
        <v>55.004722945096901</v>
      </c>
      <c r="AS233" s="53">
        <v>60.387968336739405</v>
      </c>
      <c r="AT233" s="53">
        <v>42.053060688373769</v>
      </c>
      <c r="AU233" s="53">
        <v>51.220514512556583</v>
      </c>
      <c r="AV233" s="53">
        <v>20.662335098613863</v>
      </c>
      <c r="AW233" s="53">
        <v>76903.505594892864</v>
      </c>
      <c r="AX233" s="53">
        <v>1228.8709319979534</v>
      </c>
      <c r="AY233" s="51">
        <v>4605</v>
      </c>
    </row>
    <row r="234" spans="28:51" x14ac:dyDescent="0.15">
      <c r="AB234" s="51">
        <v>8162.8184380610737</v>
      </c>
      <c r="AC234" s="51">
        <v>6516.0138121164691</v>
      </c>
      <c r="AD234" s="51">
        <v>3632.9479850329521</v>
      </c>
      <c r="AE234" s="51">
        <v>1857.6891842381278</v>
      </c>
      <c r="AF234" s="51">
        <v>220.92954410830089</v>
      </c>
      <c r="AG234" s="51">
        <v>112.97118105172329</v>
      </c>
      <c r="AH234" s="54">
        <v>0.99800019082751756</v>
      </c>
      <c r="AI234" s="55">
        <v>1.1103798255464414</v>
      </c>
      <c r="AJ234" s="54">
        <v>0.94003285288027738</v>
      </c>
      <c r="AK234" s="55">
        <v>1.1103798255464414</v>
      </c>
      <c r="AL234" s="82">
        <v>14650</v>
      </c>
      <c r="AM234" s="82">
        <v>13799</v>
      </c>
      <c r="AN234" s="54">
        <v>0.2159221344585662</v>
      </c>
      <c r="AO234" s="54">
        <v>4.9971408039351711E-2</v>
      </c>
      <c r="AP234" s="54">
        <v>0.26589354249791791</v>
      </c>
      <c r="AQ234" s="53">
        <v>5.4704474240327272</v>
      </c>
      <c r="AR234" s="53">
        <v>55.384392956888668</v>
      </c>
      <c r="AS234" s="53">
        <v>60.854840380921395</v>
      </c>
      <c r="AT234" s="53">
        <v>42.393376061958513</v>
      </c>
      <c r="AU234" s="53">
        <v>51.624108221439961</v>
      </c>
      <c r="AV234" s="53">
        <v>20.855001023168469</v>
      </c>
      <c r="AW234" s="53">
        <v>78149.248914753232</v>
      </c>
      <c r="AX234" s="53">
        <v>1245.7433198603685</v>
      </c>
      <c r="AY234" s="51">
        <v>4680</v>
      </c>
    </row>
    <row r="235" spans="28:51" x14ac:dyDescent="0.15">
      <c r="AB235" s="51">
        <v>8202.4197980539175</v>
      </c>
      <c r="AC235" s="51">
        <v>6545.3693045407381</v>
      </c>
      <c r="AD235" s="51">
        <v>3674.6767362073824</v>
      </c>
      <c r="AE235" s="51">
        <v>1878.1666428126744</v>
      </c>
      <c r="AF235" s="51">
        <v>222.0135405018238</v>
      </c>
      <c r="AG235" s="51">
        <v>113.4734987474375</v>
      </c>
      <c r="AH235" s="54">
        <v>0.999000095413759</v>
      </c>
      <c r="AI235" s="55">
        <v>1.1111162838002839</v>
      </c>
      <c r="AJ235" s="54">
        <v>0.94503672534305572</v>
      </c>
      <c r="AK235" s="55">
        <v>1.1111162838002839</v>
      </c>
      <c r="AL235" s="82">
        <v>14733</v>
      </c>
      <c r="AM235" s="82">
        <v>13937</v>
      </c>
      <c r="AN235" s="54">
        <v>0.21193373132109741</v>
      </c>
      <c r="AO235" s="54">
        <v>4.9971408039351711E-2</v>
      </c>
      <c r="AP235" s="54">
        <v>0.26190513936044912</v>
      </c>
      <c r="AQ235" s="53">
        <v>5.5575436712555817</v>
      </c>
      <c r="AR235" s="53">
        <v>55.745764918240084</v>
      </c>
      <c r="AS235" s="53">
        <v>61.303308589495664</v>
      </c>
      <c r="AT235" s="53">
        <v>42.721386950082305</v>
      </c>
      <c r="AU235" s="53">
        <v>52.012347769788988</v>
      </c>
      <c r="AV235" s="53">
        <v>21.042478370766716</v>
      </c>
      <c r="AW235" s="53">
        <v>79393.48101793688</v>
      </c>
      <c r="AX235" s="53">
        <v>1244.2321031836473</v>
      </c>
      <c r="AY235" s="51">
        <v>4754</v>
      </c>
    </row>
    <row r="236" spans="28:51" x14ac:dyDescent="0.15">
      <c r="AB236" s="60">
        <v>8240.6873019412615</v>
      </c>
      <c r="AC236" s="60">
        <v>6573.4595783724544</v>
      </c>
      <c r="AD236" s="60">
        <v>3715.9770851422777</v>
      </c>
      <c r="AE236" s="60">
        <v>1898.1465942669477</v>
      </c>
      <c r="AF236" s="60">
        <v>223.06696228415336</v>
      </c>
      <c r="AG236" s="60">
        <v>113.94413502873569</v>
      </c>
      <c r="AH236" s="62">
        <v>1</v>
      </c>
      <c r="AI236" s="63">
        <v>1.1118527420541255</v>
      </c>
      <c r="AJ236" s="62">
        <v>0.95004059780583416</v>
      </c>
      <c r="AK236" s="63">
        <v>1.1118527420541255</v>
      </c>
      <c r="AL236" s="84">
        <v>14814</v>
      </c>
      <c r="AM236" s="84">
        <v>14074</v>
      </c>
      <c r="AN236" s="62">
        <v>0.20800515423069069</v>
      </c>
      <c r="AO236" s="62">
        <v>4.9971408039351711E-2</v>
      </c>
      <c r="AP236" s="62">
        <v>0.2579765622700424</v>
      </c>
      <c r="AQ236" s="61">
        <v>5.6454260586258007</v>
      </c>
      <c r="AR236" s="61">
        <v>56.119360045480704</v>
      </c>
      <c r="AS236" s="61">
        <v>61.764786104106506</v>
      </c>
      <c r="AT236" s="61">
        <v>43.05833275561293</v>
      </c>
      <c r="AU236" s="61">
        <v>52.411559429859714</v>
      </c>
      <c r="AV236" s="61">
        <v>21.234137182370439</v>
      </c>
      <c r="AW236" s="61">
        <v>80648.943694654285</v>
      </c>
      <c r="AX236" s="61">
        <v>1255.462676717405</v>
      </c>
      <c r="AY236" s="60">
        <v>4829</v>
      </c>
    </row>
    <row r="237" spans="28:51" x14ac:dyDescent="0.15">
      <c r="AB237" s="51">
        <v>8267.4158513119201</v>
      </c>
      <c r="AC237" s="51">
        <v>6600.6826242529378</v>
      </c>
      <c r="AD237" s="51">
        <v>3752.1650920242469</v>
      </c>
      <c r="AE237" s="51">
        <v>1917.9865457915282</v>
      </c>
      <c r="AF237" s="51">
        <v>223.8008354620105</v>
      </c>
      <c r="AG237" s="51">
        <v>114.39981472709299</v>
      </c>
      <c r="AH237" s="54">
        <v>1</v>
      </c>
      <c r="AI237" s="55">
        <v>1.1124390398398296</v>
      </c>
      <c r="AJ237" s="54">
        <v>0.95503653802525079</v>
      </c>
      <c r="AK237" s="55">
        <v>1.1124390398398296</v>
      </c>
      <c r="AL237" s="82">
        <v>14868</v>
      </c>
      <c r="AM237" s="82">
        <v>14199</v>
      </c>
      <c r="AN237" s="54">
        <v>0.20542538860799028</v>
      </c>
      <c r="AO237" s="54">
        <v>4.9971408039351711E-2</v>
      </c>
      <c r="AP237" s="54">
        <v>0.25539679664734199</v>
      </c>
      <c r="AQ237" s="53">
        <v>5.728472685071055</v>
      </c>
      <c r="AR237" s="53">
        <v>56.495449877577698</v>
      </c>
      <c r="AS237" s="53">
        <v>62.223922562648752</v>
      </c>
      <c r="AT237" s="53">
        <v>43.39210593678952</v>
      </c>
      <c r="AU237" s="53">
        <v>52.808014249719136</v>
      </c>
      <c r="AV237" s="53">
        <v>21.421653206620416</v>
      </c>
      <c r="AW237" s="53">
        <v>81835.324072443633</v>
      </c>
      <c r="AX237" s="53">
        <v>1186.3803777893481</v>
      </c>
      <c r="AY237" s="51">
        <v>4900</v>
      </c>
    </row>
    <row r="238" spans="28:51" x14ac:dyDescent="0.15">
      <c r="AB238" s="51">
        <v>8294.9486327786617</v>
      </c>
      <c r="AC238" s="51">
        <v>6626.0112975212787</v>
      </c>
      <c r="AD238" s="51">
        <v>3788.7628668331827</v>
      </c>
      <c r="AE238" s="51">
        <v>1937.6423621907813</v>
      </c>
      <c r="AF238" s="51">
        <v>224.56114302826498</v>
      </c>
      <c r="AG238" s="51">
        <v>114.84466009804443</v>
      </c>
      <c r="AH238" s="54">
        <v>1</v>
      </c>
      <c r="AI238" s="55">
        <v>1.1130253376255337</v>
      </c>
      <c r="AJ238" s="54">
        <v>0.96003247824466742</v>
      </c>
      <c r="AK238" s="55">
        <v>1.1130253376255337</v>
      </c>
      <c r="AL238" s="82">
        <v>14921</v>
      </c>
      <c r="AM238" s="82">
        <v>14325</v>
      </c>
      <c r="AN238" s="54">
        <v>0.20287142064151684</v>
      </c>
      <c r="AO238" s="54">
        <v>4.9971408039351711E-2</v>
      </c>
      <c r="AP238" s="54">
        <v>0.25284282868086855</v>
      </c>
      <c r="AQ238" s="53">
        <v>5.8122340240435433</v>
      </c>
      <c r="AR238" s="53">
        <v>56.868631613696436</v>
      </c>
      <c r="AS238" s="53">
        <v>62.680865637739977</v>
      </c>
      <c r="AT238" s="53">
        <v>43.724655099841165</v>
      </c>
      <c r="AU238" s="53">
        <v>53.202760368790571</v>
      </c>
      <c r="AV238" s="53">
        <v>21.609076138959221</v>
      </c>
      <c r="AW238" s="53">
        <v>83031.914629193474</v>
      </c>
      <c r="AX238" s="53">
        <v>1196.5905567498412</v>
      </c>
      <c r="AY238" s="51">
        <v>4972</v>
      </c>
    </row>
    <row r="239" spans="28:51" x14ac:dyDescent="0.15">
      <c r="AB239" s="51">
        <v>8323.9770914910277</v>
      </c>
      <c r="AC239" s="51">
        <v>6650.1347397222389</v>
      </c>
      <c r="AD239" s="51">
        <v>3826.0622826425174</v>
      </c>
      <c r="AE239" s="51">
        <v>1956.5072223201807</v>
      </c>
      <c r="AF239" s="51">
        <v>225.3592126617429</v>
      </c>
      <c r="AG239" s="51">
        <v>115.24039459299254</v>
      </c>
      <c r="AH239" s="54">
        <v>1</v>
      </c>
      <c r="AI239" s="55">
        <v>1.1136116354112378</v>
      </c>
      <c r="AJ239" s="54">
        <v>0.96502841846408405</v>
      </c>
      <c r="AK239" s="55">
        <v>1.1136116354112378</v>
      </c>
      <c r="AL239" s="82">
        <v>14974</v>
      </c>
      <c r="AM239" s="82">
        <v>14450</v>
      </c>
      <c r="AN239" s="54">
        <v>0.20034299235470812</v>
      </c>
      <c r="AO239" s="54">
        <v>4.9971408039351711E-2</v>
      </c>
      <c r="AP239" s="54">
        <v>0.25031440039405983</v>
      </c>
      <c r="AQ239" s="53">
        <v>5.8975486370096046</v>
      </c>
      <c r="AR239" s="53">
        <v>57.262870217906588</v>
      </c>
      <c r="AS239" s="53">
        <v>63.160418854916195</v>
      </c>
      <c r="AT239" s="53">
        <v>44.072795448947332</v>
      </c>
      <c r="AU239" s="53">
        <v>53.616607151931767</v>
      </c>
      <c r="AV239" s="53">
        <v>21.803901475316991</v>
      </c>
      <c r="AW239" s="53">
        <v>84250.694814422925</v>
      </c>
      <c r="AX239" s="53">
        <v>1218.7801852294506</v>
      </c>
      <c r="AY239" s="51">
        <v>5045</v>
      </c>
    </row>
    <row r="240" spans="28:51" x14ac:dyDescent="0.15">
      <c r="AB240" s="51">
        <v>8353.8246106414754</v>
      </c>
      <c r="AC240" s="51">
        <v>6673.1048159478951</v>
      </c>
      <c r="AD240" s="51">
        <v>3863.7422927157895</v>
      </c>
      <c r="AE240" s="51">
        <v>1975.3718601266733</v>
      </c>
      <c r="AF240" s="51">
        <v>226.18029896314872</v>
      </c>
      <c r="AG240" s="51">
        <v>115.63664552088886</v>
      </c>
      <c r="AH240" s="54">
        <v>1</v>
      </c>
      <c r="AI240" s="55">
        <v>1.1141979331969418</v>
      </c>
      <c r="AJ240" s="54">
        <v>0.97002435868350068</v>
      </c>
      <c r="AK240" s="55">
        <v>1.1141979331969418</v>
      </c>
      <c r="AL240" s="82">
        <v>15027</v>
      </c>
      <c r="AM240" s="82">
        <v>14577</v>
      </c>
      <c r="AN240" s="54">
        <v>0.19783984835076751</v>
      </c>
      <c r="AO240" s="54">
        <v>4.9971408039351711E-2</v>
      </c>
      <c r="AP240" s="54">
        <v>0.24781125639011922</v>
      </c>
      <c r="AQ240" s="53">
        <v>5.9826067657059223</v>
      </c>
      <c r="AR240" s="53">
        <v>57.63760800677332</v>
      </c>
      <c r="AS240" s="53">
        <v>63.620214772479244</v>
      </c>
      <c r="AT240" s="53">
        <v>44.407678770221466</v>
      </c>
      <c r="AU240" s="53">
        <v>54.013946771350355</v>
      </c>
      <c r="AV240" s="53">
        <v>21.993053434254065</v>
      </c>
      <c r="AW240" s="53">
        <v>85465.810938656025</v>
      </c>
      <c r="AX240" s="53">
        <v>1215.1161242331</v>
      </c>
      <c r="AY240" s="51">
        <v>5118</v>
      </c>
    </row>
    <row r="241" spans="27:51" x14ac:dyDescent="0.15">
      <c r="AB241" s="51">
        <v>8388.1251582638597</v>
      </c>
      <c r="AC241" s="51">
        <v>6695.5637997602189</v>
      </c>
      <c r="AD241" s="51">
        <v>3903.4838418894842</v>
      </c>
      <c r="AE241" s="51">
        <v>1993.8921602401986</v>
      </c>
      <c r="AF241" s="51">
        <v>227.12929733966379</v>
      </c>
      <c r="AG241" s="51">
        <v>116.01721530559939</v>
      </c>
      <c r="AH241" s="54">
        <v>1</v>
      </c>
      <c r="AI241" s="55">
        <v>1.1147842309826459</v>
      </c>
      <c r="AJ241" s="54">
        <v>0.9750202989029173</v>
      </c>
      <c r="AK241" s="55">
        <v>1.1147842309826459</v>
      </c>
      <c r="AL241" s="82">
        <v>15084</v>
      </c>
      <c r="AM241" s="82">
        <v>14707</v>
      </c>
      <c r="AN241" s="54">
        <v>0.1953617357868663</v>
      </c>
      <c r="AO241" s="54">
        <v>4.9971408039351711E-2</v>
      </c>
      <c r="AP241" s="54">
        <v>0.24533314382621801</v>
      </c>
      <c r="AQ241" s="53">
        <v>6.0698110871283459</v>
      </c>
      <c r="AR241" s="53">
        <v>58.026239202938726</v>
      </c>
      <c r="AS241" s="53">
        <v>64.096050290067069</v>
      </c>
      <c r="AT241" s="53">
        <v>44.753970555754165</v>
      </c>
      <c r="AU241" s="53">
        <v>54.425010422910617</v>
      </c>
      <c r="AV241" s="53">
        <v>22.188210865722439</v>
      </c>
      <c r="AW241" s="53">
        <v>86711.586958976361</v>
      </c>
      <c r="AX241" s="53">
        <v>1245.7760203203361</v>
      </c>
      <c r="AY241" s="51">
        <v>5192</v>
      </c>
    </row>
    <row r="242" spans="27:51" x14ac:dyDescent="0.15">
      <c r="AB242" s="51">
        <v>8409.263320971213</v>
      </c>
      <c r="AC242" s="51">
        <v>6716.982884750495</v>
      </c>
      <c r="AD242" s="51">
        <v>3937.030683751665</v>
      </c>
      <c r="AE242" s="51">
        <v>2012.1495586645817</v>
      </c>
      <c r="AF242" s="51">
        <v>227.70518034421059</v>
      </c>
      <c r="AG242" s="51">
        <v>116.37625280040683</v>
      </c>
      <c r="AH242" s="54">
        <v>1</v>
      </c>
      <c r="AI242" s="55">
        <v>1.11537052876835</v>
      </c>
      <c r="AJ242" s="54">
        <v>0.98001623912233393</v>
      </c>
      <c r="AK242" s="55">
        <v>1.11537052876835</v>
      </c>
      <c r="AL242" s="82">
        <v>15126</v>
      </c>
      <c r="AM242" s="82">
        <v>14824</v>
      </c>
      <c r="AN242" s="54">
        <v>0.19290840434860412</v>
      </c>
      <c r="AO242" s="54">
        <v>4.9971408039351711E-2</v>
      </c>
      <c r="AP242" s="54">
        <v>0.24287981238795583</v>
      </c>
      <c r="AQ242" s="53">
        <v>6.1501617869707115</v>
      </c>
      <c r="AR242" s="53">
        <v>58.349844110214555</v>
      </c>
      <c r="AS242" s="53">
        <v>64.500005897185261</v>
      </c>
      <c r="AT242" s="53">
        <v>45.050057860447076</v>
      </c>
      <c r="AU242" s="53">
        <v>54.775031878816172</v>
      </c>
      <c r="AV242" s="53">
        <v>22.358451817585866</v>
      </c>
      <c r="AW242" s="53">
        <v>87859.454099581591</v>
      </c>
      <c r="AX242" s="53">
        <v>1147.8671406052308</v>
      </c>
      <c r="AY242" s="51">
        <v>5261</v>
      </c>
    </row>
    <row r="243" spans="27:51" x14ac:dyDescent="0.15">
      <c r="AB243" s="51">
        <v>8431.2434733220889</v>
      </c>
      <c r="AC243" s="51">
        <v>6736.7263985633945</v>
      </c>
      <c r="AD243" s="51">
        <v>3970.868655790357</v>
      </c>
      <c r="AE243" s="51">
        <v>2029.9510123949337</v>
      </c>
      <c r="AF243" s="51">
        <v>228.30972651993227</v>
      </c>
      <c r="AG243" s="51">
        <v>116.7144019767385</v>
      </c>
      <c r="AH243" s="54">
        <v>1</v>
      </c>
      <c r="AI243" s="55">
        <v>1.115956826554054</v>
      </c>
      <c r="AJ243" s="54">
        <v>0.98501217934175056</v>
      </c>
      <c r="AK243" s="55">
        <v>1.115956826554054</v>
      </c>
      <c r="AL243" s="82">
        <v>15168</v>
      </c>
      <c r="AM243" s="82">
        <v>14941</v>
      </c>
      <c r="AN243" s="54">
        <v>0.19047960622472457</v>
      </c>
      <c r="AO243" s="54">
        <v>4.9971408039351711E-2</v>
      </c>
      <c r="AP243" s="54">
        <v>0.24045101426407628</v>
      </c>
      <c r="AQ243" s="53">
        <v>6.2330874777738332</v>
      </c>
      <c r="AR243" s="53">
        <v>58.710149588547317</v>
      </c>
      <c r="AS243" s="53">
        <v>64.943237066321146</v>
      </c>
      <c r="AT243" s="53">
        <v>45.37318720347205</v>
      </c>
      <c r="AU243" s="53">
        <v>55.158212134896608</v>
      </c>
      <c r="AV243" s="53">
        <v>22.541462363481422</v>
      </c>
      <c r="AW243" s="53">
        <v>89044.106825340466</v>
      </c>
      <c r="AX243" s="53">
        <v>1184.652725758875</v>
      </c>
      <c r="AY243" s="51">
        <v>5332</v>
      </c>
    </row>
    <row r="244" spans="27:51" x14ac:dyDescent="0.15">
      <c r="AB244" s="51">
        <v>8454.2763509344168</v>
      </c>
      <c r="AC244" s="51">
        <v>6755.5062453584924</v>
      </c>
      <c r="AD244" s="51">
        <v>4005.0708547222048</v>
      </c>
      <c r="AE244" s="51">
        <v>2047.4890318743255</v>
      </c>
      <c r="AF244" s="51">
        <v>228.9349823971728</v>
      </c>
      <c r="AG244" s="51">
        <v>117.03709683884369</v>
      </c>
      <c r="AH244" s="54">
        <v>1</v>
      </c>
      <c r="AI244" s="55">
        <v>1.1165431243397581</v>
      </c>
      <c r="AJ244" s="54">
        <v>0.99000811956116719</v>
      </c>
      <c r="AK244" s="55">
        <v>1.1165431243397581</v>
      </c>
      <c r="AL244" s="82">
        <v>15210</v>
      </c>
      <c r="AM244" s="82">
        <v>15058</v>
      </c>
      <c r="AN244" s="54">
        <v>0.18807509608208381</v>
      </c>
      <c r="AO244" s="54">
        <v>4.9971408039351711E-2</v>
      </c>
      <c r="AP244" s="54">
        <v>0.23804650412143552</v>
      </c>
      <c r="AQ244" s="53">
        <v>6.3154260244467197</v>
      </c>
      <c r="AR244" s="53">
        <v>59.051940405768761</v>
      </c>
      <c r="AS244" s="53">
        <v>65.367366430215483</v>
      </c>
      <c r="AT244" s="53">
        <v>45.68338629495922</v>
      </c>
      <c r="AU244" s="53">
        <v>55.525376362587352</v>
      </c>
      <c r="AV244" s="53">
        <v>22.718742803826927</v>
      </c>
      <c r="AW244" s="53">
        <v>90220.371777810273</v>
      </c>
      <c r="AX244" s="53">
        <v>1176.2649524698063</v>
      </c>
      <c r="AY244" s="51">
        <v>5402</v>
      </c>
    </row>
    <row r="245" spans="27:51" x14ac:dyDescent="0.15">
      <c r="AB245" s="51">
        <v>8478.1680820812689</v>
      </c>
      <c r="AC245" s="51">
        <v>6773.3657718047934</v>
      </c>
      <c r="AD245" s="51">
        <v>4039.5548847854429</v>
      </c>
      <c r="AE245" s="51">
        <v>2064.5130322843311</v>
      </c>
      <c r="AF245" s="51">
        <v>229.59617497403028</v>
      </c>
      <c r="AG245" s="51">
        <v>117.34072414309959</v>
      </c>
      <c r="AH245" s="54">
        <v>1</v>
      </c>
      <c r="AI245" s="55">
        <v>1.1171294221254622</v>
      </c>
      <c r="AJ245" s="54">
        <v>0.99500405978058382</v>
      </c>
      <c r="AK245" s="55">
        <v>1.1171294221254622</v>
      </c>
      <c r="AL245" s="82">
        <v>15252</v>
      </c>
      <c r="AM245" s="82">
        <v>15176</v>
      </c>
      <c r="AN245" s="54">
        <v>0.18569463104086945</v>
      </c>
      <c r="AO245" s="54">
        <v>4.9971408039351711E-2</v>
      </c>
      <c r="AP245" s="54">
        <v>0.23566603908022116</v>
      </c>
      <c r="AQ245" s="53">
        <v>6.3979649103703427</v>
      </c>
      <c r="AR245" s="53">
        <v>59.394223439891597</v>
      </c>
      <c r="AS245" s="53">
        <v>65.792188350261938</v>
      </c>
      <c r="AT245" s="53">
        <v>45.994113870298079</v>
      </c>
      <c r="AU245" s="53">
        <v>55.893151110280023</v>
      </c>
      <c r="AV245" s="53">
        <v>22.896360310340235</v>
      </c>
      <c r="AW245" s="53">
        <v>91399.49871957631</v>
      </c>
      <c r="AX245" s="53">
        <v>1179.1269417660369</v>
      </c>
      <c r="AY245" s="51">
        <v>5473</v>
      </c>
    </row>
    <row r="246" spans="27:51" x14ac:dyDescent="0.15">
      <c r="AB246" s="60">
        <v>8503.4192887404479</v>
      </c>
      <c r="AC246" s="60">
        <v>6790.875409133675</v>
      </c>
      <c r="AD246" s="60">
        <v>4074.5258557163856</v>
      </c>
      <c r="AE246" s="60">
        <v>2081.4359503625528</v>
      </c>
      <c r="AF246" s="60">
        <v>230.28338645704881</v>
      </c>
      <c r="AG246" s="60">
        <v>117.63825689569958</v>
      </c>
      <c r="AH246" s="62">
        <v>1</v>
      </c>
      <c r="AI246" s="63">
        <v>1.1177157199111663</v>
      </c>
      <c r="AJ246" s="62">
        <v>1</v>
      </c>
      <c r="AK246" s="63">
        <v>1.1177157199111663</v>
      </c>
      <c r="AL246" s="84">
        <v>15294</v>
      </c>
      <c r="AM246" s="84">
        <v>15294</v>
      </c>
      <c r="AN246" s="62">
        <v>0.18333797065006724</v>
      </c>
      <c r="AO246" s="62">
        <v>4.9971408039351711E-2</v>
      </c>
      <c r="AP246" s="62">
        <v>0.23330937868941895</v>
      </c>
      <c r="AQ246" s="61">
        <v>6.4801741435420626</v>
      </c>
      <c r="AR246" s="61">
        <v>59.721006709805238</v>
      </c>
      <c r="AS246" s="61">
        <v>66.201180853347296</v>
      </c>
      <c r="AT246" s="61">
        <v>46.294178616745555</v>
      </c>
      <c r="AU246" s="61">
        <v>56.247679735046425</v>
      </c>
      <c r="AV246" s="61">
        <v>23.069342674043515</v>
      </c>
      <c r="AW246" s="61">
        <v>92573.916336315175</v>
      </c>
      <c r="AX246" s="61">
        <v>1174.417616738865</v>
      </c>
      <c r="AY246" s="60">
        <v>5543</v>
      </c>
    </row>
    <row r="247" spans="27:51" x14ac:dyDescent="0.15">
      <c r="AB247" s="51">
        <v>8519.7823620745985</v>
      </c>
      <c r="AC247" s="51">
        <v>6807.1819948838802</v>
      </c>
      <c r="AD247" s="51">
        <v>4105.072307565355</v>
      </c>
      <c r="AE247" s="51">
        <v>2097.7408501818481</v>
      </c>
      <c r="AF247" s="51">
        <v>230.7517138520507</v>
      </c>
      <c r="AG247" s="51">
        <v>117.91687457120705</v>
      </c>
      <c r="AH247" s="54">
        <v>1</v>
      </c>
      <c r="AI247" s="55">
        <v>1.1182017571880594</v>
      </c>
      <c r="AJ247" s="54">
        <v>1</v>
      </c>
      <c r="AK247" s="55">
        <v>1.1182017571880594</v>
      </c>
      <c r="AL247" s="82">
        <v>15327</v>
      </c>
      <c r="AM247" s="82">
        <v>15327</v>
      </c>
      <c r="AN247" s="54">
        <v>0.18100487686317304</v>
      </c>
      <c r="AO247" s="54">
        <v>4.9971408039351711E-2</v>
      </c>
      <c r="AP247" s="54">
        <v>0.23097628490252475</v>
      </c>
      <c r="AQ247" s="53">
        <v>6.5269016506807693</v>
      </c>
      <c r="AR247" s="53">
        <v>59.736110927236474</v>
      </c>
      <c r="AS247" s="53">
        <v>66.263012577917237</v>
      </c>
      <c r="AT247" s="53">
        <v>46.350975602171758</v>
      </c>
      <c r="AU247" s="53">
        <v>56.306994090044498</v>
      </c>
      <c r="AV247" s="53">
        <v>23.120265797135346</v>
      </c>
      <c r="AW247" s="53">
        <v>93241.452152582409</v>
      </c>
      <c r="AX247" s="53">
        <v>667.53581626723462</v>
      </c>
      <c r="AY247" s="51">
        <v>5583</v>
      </c>
    </row>
    <row r="248" spans="27:51" x14ac:dyDescent="0.15">
      <c r="AB248" s="51">
        <v>8537.3534889126677</v>
      </c>
      <c r="AC248" s="51">
        <v>6822.4758980315401</v>
      </c>
      <c r="AD248" s="51">
        <v>4135.9513061330563</v>
      </c>
      <c r="AE248" s="51">
        <v>2113.7112811621023</v>
      </c>
      <c r="AF248" s="51">
        <v>231.22712596597637</v>
      </c>
      <c r="AG248" s="51">
        <v>118.17048811484518</v>
      </c>
      <c r="AH248" s="54">
        <v>1</v>
      </c>
      <c r="AI248" s="55">
        <v>1.1186877944649525</v>
      </c>
      <c r="AJ248" s="54">
        <v>1</v>
      </c>
      <c r="AK248" s="55">
        <v>1.1186877944649525</v>
      </c>
      <c r="AL248" s="82">
        <v>15360</v>
      </c>
      <c r="AM248" s="82">
        <v>15360</v>
      </c>
      <c r="AN248" s="54">
        <v>0.17869511401414778</v>
      </c>
      <c r="AO248" s="54">
        <v>4.9971408039351711E-2</v>
      </c>
      <c r="AP248" s="54">
        <v>0.22866652205349949</v>
      </c>
      <c r="AQ248" s="53">
        <v>6.5736062868893264</v>
      </c>
      <c r="AR248" s="53">
        <v>59.752199451963179</v>
      </c>
      <c r="AS248" s="53">
        <v>66.325805738852509</v>
      </c>
      <c r="AT248" s="53">
        <v>46.408405921531454</v>
      </c>
      <c r="AU248" s="53">
        <v>56.367105830191989</v>
      </c>
      <c r="AV248" s="53">
        <v>23.171439467990211</v>
      </c>
      <c r="AW248" s="53">
        <v>93908.661241276073</v>
      </c>
      <c r="AX248" s="53">
        <v>667.20908869366394</v>
      </c>
      <c r="AY248" s="51">
        <v>5623</v>
      </c>
    </row>
    <row r="249" spans="27:51" x14ac:dyDescent="0.15">
      <c r="AB249" s="51">
        <v>8555.4817398004452</v>
      </c>
      <c r="AC249" s="51">
        <v>6837.006402801132</v>
      </c>
      <c r="AD249" s="51">
        <v>4166.8756881679119</v>
      </c>
      <c r="AE249" s="51">
        <v>2129.4308961851611</v>
      </c>
      <c r="AF249" s="51">
        <v>231.72713713624142</v>
      </c>
      <c r="AG249" s="51">
        <v>118.42132144801435</v>
      </c>
      <c r="AH249" s="54">
        <v>1</v>
      </c>
      <c r="AI249" s="55">
        <v>1.1191738317418456</v>
      </c>
      <c r="AJ249" s="54">
        <v>1</v>
      </c>
      <c r="AK249" s="55">
        <v>1.1191738317418456</v>
      </c>
      <c r="AL249" s="82">
        <v>15392</v>
      </c>
      <c r="AM249" s="82">
        <v>15392</v>
      </c>
      <c r="AN249" s="54">
        <v>0.17640844879361278</v>
      </c>
      <c r="AO249" s="54">
        <v>4.9971408039351711E-2</v>
      </c>
      <c r="AP249" s="54">
        <v>0.22637985683296449</v>
      </c>
      <c r="AQ249" s="53">
        <v>6.6200340037881755</v>
      </c>
      <c r="AR249" s="53">
        <v>59.768021609812365</v>
      </c>
      <c r="AS249" s="53">
        <v>66.388055613600542</v>
      </c>
      <c r="AT249" s="53">
        <v>46.465381743663087</v>
      </c>
      <c r="AU249" s="53">
        <v>56.426718678631815</v>
      </c>
      <c r="AV249" s="53">
        <v>23.222262228736056</v>
      </c>
      <c r="AW249" s="53">
        <v>94571.91433983107</v>
      </c>
      <c r="AX249" s="53">
        <v>663.25309855499654</v>
      </c>
      <c r="AY249" s="51">
        <v>5663</v>
      </c>
    </row>
    <row r="250" spans="27:51" x14ac:dyDescent="0.15">
      <c r="AB250" s="51">
        <v>8573.9634752997972</v>
      </c>
      <c r="AC250" s="51">
        <v>6851.3029955789216</v>
      </c>
      <c r="AD250" s="51">
        <v>4197.7324877708761</v>
      </c>
      <c r="AE250" s="51">
        <v>2144.7916005067923</v>
      </c>
      <c r="AF250" s="51">
        <v>232.24256227687184</v>
      </c>
      <c r="AG250" s="51">
        <v>118.66213445062168</v>
      </c>
      <c r="AH250" s="54">
        <v>1</v>
      </c>
      <c r="AI250" s="55">
        <v>1.1196598690187387</v>
      </c>
      <c r="AJ250" s="54">
        <v>1</v>
      </c>
      <c r="AK250" s="55">
        <v>1.1196598690187387</v>
      </c>
      <c r="AL250" s="82">
        <v>15425</v>
      </c>
      <c r="AM250" s="82">
        <v>15425</v>
      </c>
      <c r="AN250" s="54">
        <v>0.17414465022528314</v>
      </c>
      <c r="AO250" s="54">
        <v>4.9971408039351711E-2</v>
      </c>
      <c r="AP250" s="54">
        <v>0.22411605826463485</v>
      </c>
      <c r="AQ250" s="53">
        <v>6.667140508882528</v>
      </c>
      <c r="AR250" s="53">
        <v>59.823953954720423</v>
      </c>
      <c r="AS250" s="53">
        <v>66.491094463602948</v>
      </c>
      <c r="AT250" s="53">
        <v>46.549776478696145</v>
      </c>
      <c r="AU250" s="53">
        <v>56.520435471149554</v>
      </c>
      <c r="AV250" s="53">
        <v>23.284905496304873</v>
      </c>
      <c r="AW250" s="53">
        <v>95244.864412607523</v>
      </c>
      <c r="AX250" s="53">
        <v>672.95007277645345</v>
      </c>
      <c r="AY250" s="51">
        <v>5703</v>
      </c>
    </row>
    <row r="251" spans="27:51" x14ac:dyDescent="0.15">
      <c r="AB251" s="56">
        <v>8593.204551561872</v>
      </c>
      <c r="AC251" s="56">
        <v>6865.354381284631</v>
      </c>
      <c r="AD251" s="56">
        <v>4228.7003326965414</v>
      </c>
      <c r="AE251" s="56">
        <v>2160.0381473955363</v>
      </c>
      <c r="AF251" s="56">
        <v>232.77365254474225</v>
      </c>
      <c r="AG251" s="56">
        <v>118.90177351125133</v>
      </c>
      <c r="AH251" s="58">
        <v>1</v>
      </c>
      <c r="AI251" s="59">
        <v>1.120145906295632</v>
      </c>
      <c r="AJ251" s="58">
        <v>1</v>
      </c>
      <c r="AK251" s="59">
        <v>1.120145906295632</v>
      </c>
      <c r="AL251" s="83">
        <v>15459</v>
      </c>
      <c r="AM251" s="83">
        <v>15459</v>
      </c>
      <c r="AN251" s="58">
        <v>0.1719034896426368</v>
      </c>
      <c r="AO251" s="58">
        <v>4.9971408039351711E-2</v>
      </c>
      <c r="AP251" s="58">
        <v>0.22187489768198851</v>
      </c>
      <c r="AQ251" s="57">
        <v>6.7118517923447394</v>
      </c>
      <c r="AR251" s="57">
        <v>59.82339908352688</v>
      </c>
      <c r="AS251" s="57">
        <v>66.535250875871625</v>
      </c>
      <c r="AT251" s="57">
        <v>46.59411784802932</v>
      </c>
      <c r="AU251" s="57">
        <v>56.564684361950469</v>
      </c>
      <c r="AV251" s="57">
        <v>23.329462648879982</v>
      </c>
      <c r="AW251" s="57">
        <v>95883.597033496277</v>
      </c>
      <c r="AX251" s="57">
        <v>638.73262088875344</v>
      </c>
      <c r="AY251" s="56">
        <v>5742</v>
      </c>
    </row>
    <row r="253" spans="27:51" ht="12.75" thickBot="1" x14ac:dyDescent="0.2"/>
    <row r="254" spans="27:51" ht="60.75" thickBot="1" x14ac:dyDescent="0.2">
      <c r="AA254" s="93" t="s">
        <v>119</v>
      </c>
      <c r="AB254" s="91" t="s">
        <v>20</v>
      </c>
      <c r="AC254" s="91" t="s">
        <v>4</v>
      </c>
      <c r="AD254" s="91" t="s">
        <v>155</v>
      </c>
      <c r="AE254" s="91" t="s">
        <v>156</v>
      </c>
      <c r="AF254" s="91" t="s">
        <v>157</v>
      </c>
      <c r="AG254" s="91" t="s">
        <v>158</v>
      </c>
      <c r="AH254" s="90" t="s">
        <v>50</v>
      </c>
      <c r="AI254" s="90" t="s">
        <v>28</v>
      </c>
      <c r="AJ254" s="90" t="s">
        <v>51</v>
      </c>
      <c r="AK254" s="90" t="s">
        <v>29</v>
      </c>
      <c r="AL254" s="90" t="s">
        <v>110</v>
      </c>
      <c r="AM254" s="90" t="s">
        <v>111</v>
      </c>
      <c r="AN254" s="91" t="s">
        <v>43</v>
      </c>
      <c r="AO254" s="91" t="s">
        <v>44</v>
      </c>
      <c r="AP254" s="91" t="s">
        <v>5</v>
      </c>
      <c r="AQ254" s="46" t="s">
        <v>45</v>
      </c>
      <c r="AR254" s="45" t="s">
        <v>46</v>
      </c>
      <c r="AS254" s="45" t="s">
        <v>93</v>
      </c>
      <c r="AT254" s="45" t="s">
        <v>30</v>
      </c>
      <c r="AU254" s="45" t="s">
        <v>31</v>
      </c>
      <c r="AV254" s="45" t="s">
        <v>32</v>
      </c>
      <c r="AW254" s="45" t="s">
        <v>26</v>
      </c>
      <c r="AX254" s="46" t="s">
        <v>138</v>
      </c>
      <c r="AY254" s="87" t="s">
        <v>152</v>
      </c>
    </row>
    <row r="255" spans="27:51" x14ac:dyDescent="0.15">
      <c r="AB255" s="44" t="s">
        <v>120</v>
      </c>
      <c r="AC255" s="44" t="s">
        <v>120</v>
      </c>
      <c r="AD255" s="44" t="s">
        <v>159</v>
      </c>
      <c r="AE255" s="44" t="s">
        <v>159</v>
      </c>
      <c r="AF255" s="44" t="s">
        <v>159</v>
      </c>
      <c r="AG255" s="44" t="s">
        <v>159</v>
      </c>
      <c r="AH255" s="43" t="s">
        <v>2</v>
      </c>
      <c r="AI255" s="43" t="s">
        <v>2</v>
      </c>
      <c r="AJ255" s="43" t="s">
        <v>2</v>
      </c>
      <c r="AK255" s="43" t="s">
        <v>2</v>
      </c>
      <c r="AL255" s="92">
        <v>0</v>
      </c>
      <c r="AM255" s="92">
        <v>0</v>
      </c>
      <c r="AN255" s="39" t="s">
        <v>2</v>
      </c>
      <c r="AO255" s="39" t="s">
        <v>2</v>
      </c>
      <c r="AP255" s="39" t="s">
        <v>2</v>
      </c>
      <c r="AQ255" s="43" t="s">
        <v>19</v>
      </c>
      <c r="AR255" s="43" t="s">
        <v>19</v>
      </c>
      <c r="AS255" s="43" t="s">
        <v>19</v>
      </c>
      <c r="AT255" s="43" t="s">
        <v>19</v>
      </c>
      <c r="AU255" s="43" t="s">
        <v>19</v>
      </c>
      <c r="AV255" s="43" t="s">
        <v>19</v>
      </c>
      <c r="AW255" s="43" t="s">
        <v>101</v>
      </c>
      <c r="AX255" s="43" t="s">
        <v>101</v>
      </c>
      <c r="AY255" s="43" t="s">
        <v>154</v>
      </c>
    </row>
    <row r="256" spans="27:51" ht="15.75" x14ac:dyDescent="0.15">
      <c r="AB256" s="76">
        <v>1566.526169142162</v>
      </c>
      <c r="AC256" s="76">
        <v>247.68185589459858</v>
      </c>
      <c r="AD256" s="76">
        <v>613.16106944111982</v>
      </c>
      <c r="AE256" s="76">
        <v>62.41985384702172</v>
      </c>
      <c r="AF256" s="76">
        <v>42.302645908444411</v>
      </c>
      <c r="AG256" s="76">
        <v>4.3064132844477232</v>
      </c>
      <c r="AH256" s="54">
        <v>0.73504510649358956</v>
      </c>
      <c r="AI256" s="55">
        <v>1.0934659892767227</v>
      </c>
      <c r="AJ256" s="54">
        <v>0</v>
      </c>
      <c r="AK256" s="55">
        <v>1.0934659892767227</v>
      </c>
      <c r="AL256" s="82">
        <v>1333</v>
      </c>
      <c r="AM256" s="82">
        <v>0</v>
      </c>
      <c r="AN256" s="54">
        <v>0.41755321579381505</v>
      </c>
      <c r="AO256" s="54">
        <v>0.27836881052921009</v>
      </c>
      <c r="AP256" s="54">
        <v>0.69592202632302513</v>
      </c>
      <c r="AQ256" s="53">
        <v>0</v>
      </c>
      <c r="AR256" s="53">
        <v>0</v>
      </c>
      <c r="AS256" s="53">
        <v>0</v>
      </c>
      <c r="AT256" s="53">
        <v>0</v>
      </c>
      <c r="AU256" s="53">
        <v>0</v>
      </c>
      <c r="AV256" s="53">
        <v>0</v>
      </c>
      <c r="AW256" s="53">
        <v>0</v>
      </c>
      <c r="AX256" s="53">
        <v>0</v>
      </c>
      <c r="AY256" s="53">
        <v>0</v>
      </c>
    </row>
    <row r="257" spans="28:51" ht="15.75" x14ac:dyDescent="0.15">
      <c r="AB257" s="76">
        <v>1586.0186688776641</v>
      </c>
      <c r="AC257" s="76">
        <v>251.76598673870171</v>
      </c>
      <c r="AD257" s="76">
        <v>624.09843241074839</v>
      </c>
      <c r="AE257" s="76">
        <v>63.765337568819675</v>
      </c>
      <c r="AF257" s="76">
        <v>42.835261872515346</v>
      </c>
      <c r="AG257" s="76">
        <v>4.3765611180898887</v>
      </c>
      <c r="AH257" s="78">
        <v>0.75550056927092557</v>
      </c>
      <c r="AI257" s="79">
        <v>1.0944786286488752</v>
      </c>
      <c r="AJ257" s="78">
        <v>0</v>
      </c>
      <c r="AK257" s="79">
        <v>1.0944786286488752</v>
      </c>
      <c r="AL257" s="81">
        <v>1389</v>
      </c>
      <c r="AM257" s="81">
        <v>0</v>
      </c>
      <c r="AN257" s="78">
        <v>0.41702842080111552</v>
      </c>
      <c r="AO257" s="78">
        <v>0.27801894720074366</v>
      </c>
      <c r="AP257" s="78">
        <v>0.69504736800185918</v>
      </c>
      <c r="AQ257" s="77">
        <v>2.5911658084036371</v>
      </c>
      <c r="AR257" s="77">
        <v>34.017473169605502</v>
      </c>
      <c r="AS257" s="77">
        <v>36.608638978009139</v>
      </c>
      <c r="AT257" s="77">
        <v>25.26948125480731</v>
      </c>
      <c r="AU257" s="77">
        <v>30.939060116408228</v>
      </c>
      <c r="AV257" s="77">
        <v>12.040463911071834</v>
      </c>
      <c r="AW257" s="77">
        <v>0</v>
      </c>
      <c r="AX257" s="77">
        <v>0</v>
      </c>
      <c r="AY257" s="76">
        <v>0</v>
      </c>
    </row>
    <row r="258" spans="28:51" x14ac:dyDescent="0.15">
      <c r="AB258" s="51">
        <v>1604.7393489687067</v>
      </c>
      <c r="AC258" s="51">
        <v>254.82970018817539</v>
      </c>
      <c r="AD258" s="51">
        <v>634.98389240025926</v>
      </c>
      <c r="AE258" s="51">
        <v>64.871157543032979</v>
      </c>
      <c r="AF258" s="51">
        <v>43.34802286854827</v>
      </c>
      <c r="AG258" s="51">
        <v>4.428516147165567</v>
      </c>
      <c r="AH258" s="54">
        <v>0.77614866772091773</v>
      </c>
      <c r="AI258" s="55">
        <v>1.0954740495672763</v>
      </c>
      <c r="AJ258" s="54">
        <v>0</v>
      </c>
      <c r="AK258" s="55">
        <v>1.0954740495672763</v>
      </c>
      <c r="AL258" s="82">
        <v>1444</v>
      </c>
      <c r="AM258" s="82">
        <v>0</v>
      </c>
      <c r="AN258" s="54">
        <v>0.4165136742434038</v>
      </c>
      <c r="AO258" s="54">
        <v>0.2776757828289359</v>
      </c>
      <c r="AP258" s="54">
        <v>0.6941894570723397</v>
      </c>
      <c r="AQ258" s="53">
        <v>0</v>
      </c>
      <c r="AR258" s="53">
        <v>0</v>
      </c>
      <c r="AS258" s="53">
        <v>0</v>
      </c>
      <c r="AT258" s="53">
        <v>0</v>
      </c>
      <c r="AU258" s="53">
        <v>0</v>
      </c>
      <c r="AV258" s="53">
        <v>0</v>
      </c>
      <c r="AW258" s="53">
        <v>0</v>
      </c>
      <c r="AX258" s="53">
        <v>0</v>
      </c>
      <c r="AY258" s="51">
        <v>0</v>
      </c>
    </row>
    <row r="259" spans="28:51" x14ac:dyDescent="0.15">
      <c r="AB259" s="56">
        <v>1619.8187788568257</v>
      </c>
      <c r="AC259" s="56">
        <v>258.23307268197885</v>
      </c>
      <c r="AD259" s="56">
        <v>644.66086797863068</v>
      </c>
      <c r="AE259" s="56">
        <v>66.093016878393996</v>
      </c>
      <c r="AF259" s="56">
        <v>43.762697162310054</v>
      </c>
      <c r="AG259" s="56">
        <v>4.4867135975879986</v>
      </c>
      <c r="AH259" s="58">
        <v>0.79697538358465825</v>
      </c>
      <c r="AI259" s="59">
        <v>1.0964522597533219</v>
      </c>
      <c r="AJ259" s="58">
        <v>0</v>
      </c>
      <c r="AK259" s="59">
        <v>1.0964522597533219</v>
      </c>
      <c r="AL259" s="83">
        <v>1497</v>
      </c>
      <c r="AM259" s="83">
        <v>0</v>
      </c>
      <c r="AN259" s="58">
        <v>0.40442584348281335</v>
      </c>
      <c r="AO259" s="58">
        <v>0.23391407945509562</v>
      </c>
      <c r="AP259" s="58">
        <v>0.63833992293790898</v>
      </c>
      <c r="AQ259" s="57">
        <v>0</v>
      </c>
      <c r="AR259" s="57">
        <v>0</v>
      </c>
      <c r="AS259" s="57">
        <v>0</v>
      </c>
      <c r="AT259" s="57">
        <v>0</v>
      </c>
      <c r="AU259" s="57">
        <v>0</v>
      </c>
      <c r="AV259" s="57">
        <v>0</v>
      </c>
      <c r="AW259" s="57">
        <v>0</v>
      </c>
      <c r="AX259" s="57">
        <v>0</v>
      </c>
      <c r="AY259" s="56">
        <v>0</v>
      </c>
    </row>
    <row r="260" spans="28:51" x14ac:dyDescent="0.15">
      <c r="AB260" s="51">
        <v>1636.3204366550992</v>
      </c>
      <c r="AC260" s="51">
        <v>261.35196955460202</v>
      </c>
      <c r="AD260" s="51">
        <v>655.12131331464764</v>
      </c>
      <c r="AE260" s="51">
        <v>67.271465814739614</v>
      </c>
      <c r="AF260" s="51">
        <v>44.21536287925106</v>
      </c>
      <c r="AG260" s="51">
        <v>4.5402770631418274</v>
      </c>
      <c r="AH260" s="54">
        <v>0.81842266920165019</v>
      </c>
      <c r="AI260" s="55">
        <v>1.0973451375046974</v>
      </c>
      <c r="AJ260" s="54">
        <v>0.10000020813089452</v>
      </c>
      <c r="AK260" s="55">
        <v>1.0973451375046974</v>
      </c>
      <c r="AL260" s="82">
        <v>1553</v>
      </c>
      <c r="AM260" s="82">
        <v>190</v>
      </c>
      <c r="AN260" s="54">
        <v>0.38993442357891628</v>
      </c>
      <c r="AO260" s="54">
        <v>0.19704922053297255</v>
      </c>
      <c r="AP260" s="54">
        <v>0.58698364411188886</v>
      </c>
      <c r="AQ260" s="53">
        <v>7.7490716756851027E-2</v>
      </c>
      <c r="AR260" s="53">
        <v>0.86173935069048135</v>
      </c>
      <c r="AS260" s="53">
        <v>0.9392300674473324</v>
      </c>
      <c r="AT260" s="53">
        <v>0.65198361721717191</v>
      </c>
      <c r="AU260" s="53">
        <v>0.79560684233225232</v>
      </c>
      <c r="AV260" s="53">
        <v>0.3168627586153181</v>
      </c>
      <c r="AW260" s="53">
        <v>1107.0102393835859</v>
      </c>
      <c r="AX260" s="53">
        <v>1107.0102393835859</v>
      </c>
      <c r="AY260" s="51">
        <v>66</v>
      </c>
    </row>
    <row r="261" spans="28:51" x14ac:dyDescent="0.15">
      <c r="AB261" s="51">
        <v>1653.3318951704903</v>
      </c>
      <c r="AC261" s="51">
        <v>264.35662738406171</v>
      </c>
      <c r="AD261" s="51">
        <v>665.99821496354707</v>
      </c>
      <c r="AE261" s="51">
        <v>68.449095514521659</v>
      </c>
      <c r="AF261" s="51">
        <v>44.680687342842951</v>
      </c>
      <c r="AG261" s="51">
        <v>4.5921333824477779</v>
      </c>
      <c r="AH261" s="54">
        <v>0.83986995481864213</v>
      </c>
      <c r="AI261" s="55">
        <v>1.0982380152560729</v>
      </c>
      <c r="AJ261" s="54">
        <v>0.20000041626178905</v>
      </c>
      <c r="AK261" s="55">
        <v>1.0982380152560729</v>
      </c>
      <c r="AL261" s="82">
        <v>1611</v>
      </c>
      <c r="AM261" s="82">
        <v>384</v>
      </c>
      <c r="AN261" s="54">
        <v>0.37376486193216862</v>
      </c>
      <c r="AO261" s="54">
        <v>0.16599426337697609</v>
      </c>
      <c r="AP261" s="54">
        <v>0.53975912530914472</v>
      </c>
      <c r="AQ261" s="53">
        <v>0.15732089697636137</v>
      </c>
      <c r="AR261" s="53">
        <v>1.7190476511287409</v>
      </c>
      <c r="AS261" s="53">
        <v>1.8763685481051022</v>
      </c>
      <c r="AT261" s="53">
        <v>1.303352664395522</v>
      </c>
      <c r="AU261" s="53">
        <v>1.5898606062503122</v>
      </c>
      <c r="AV261" s="53">
        <v>0.63483413340101169</v>
      </c>
      <c r="AW261" s="53">
        <v>2247.4413853765909</v>
      </c>
      <c r="AX261" s="53">
        <v>1140.431145993005</v>
      </c>
      <c r="AY261" s="51">
        <v>135</v>
      </c>
    </row>
    <row r="262" spans="28:51" x14ac:dyDescent="0.15">
      <c r="AB262" s="51">
        <v>1670.9305791523821</v>
      </c>
      <c r="AC262" s="51">
        <v>267.24999367207414</v>
      </c>
      <c r="AD262" s="51">
        <v>677.31735671658362</v>
      </c>
      <c r="AE262" s="51">
        <v>69.61394570017427</v>
      </c>
      <c r="AF262" s="51">
        <v>45.159979863321226</v>
      </c>
      <c r="AG262" s="51">
        <v>4.6414939095406682</v>
      </c>
      <c r="AH262" s="54">
        <v>0.86131724043563407</v>
      </c>
      <c r="AI262" s="55">
        <v>1.0991308930074484</v>
      </c>
      <c r="AJ262" s="54">
        <v>0.3000006243926836</v>
      </c>
      <c r="AK262" s="55">
        <v>1.0991308930074484</v>
      </c>
      <c r="AL262" s="82">
        <v>1669</v>
      </c>
      <c r="AM262" s="82">
        <v>581</v>
      </c>
      <c r="AN262" s="54">
        <v>0.35650038710895227</v>
      </c>
      <c r="AO262" s="54">
        <v>0.13983356746876466</v>
      </c>
      <c r="AP262" s="54">
        <v>0.4963339545777169</v>
      </c>
      <c r="AQ262" s="53">
        <v>0.23996890793576592</v>
      </c>
      <c r="AR262" s="53">
        <v>2.5766123028336718</v>
      </c>
      <c r="AS262" s="53">
        <v>2.8165812107694377</v>
      </c>
      <c r="AT262" s="53">
        <v>1.9577104431582137</v>
      </c>
      <c r="AU262" s="53">
        <v>2.3871458269638257</v>
      </c>
      <c r="AV262" s="53">
        <v>0.95569454761178596</v>
      </c>
      <c r="AW262" s="53">
        <v>3428.127256225227</v>
      </c>
      <c r="AX262" s="53">
        <v>1180.6858708486361</v>
      </c>
      <c r="AY262" s="51">
        <v>205</v>
      </c>
    </row>
    <row r="263" spans="28:51" x14ac:dyDescent="0.15">
      <c r="AB263" s="51">
        <v>1687.5126837889406</v>
      </c>
      <c r="AC263" s="51">
        <v>268.38857018422277</v>
      </c>
      <c r="AD263" s="51">
        <v>688.42534770853729</v>
      </c>
      <c r="AE263" s="51">
        <v>70.33505298476085</v>
      </c>
      <c r="AF263" s="51">
        <v>45.614590565694826</v>
      </c>
      <c r="AG263" s="51">
        <v>4.6603522880081938</v>
      </c>
      <c r="AH263" s="54">
        <v>0.88276452605262601</v>
      </c>
      <c r="AI263" s="55">
        <v>1.1000237707588238</v>
      </c>
      <c r="AJ263" s="54">
        <v>0.4000008325235781</v>
      </c>
      <c r="AK263" s="55">
        <v>1.1000237707588238</v>
      </c>
      <c r="AL263" s="82">
        <v>1727</v>
      </c>
      <c r="AM263" s="82">
        <v>782</v>
      </c>
      <c r="AN263" s="54">
        <v>0.33860666622551072</v>
      </c>
      <c r="AO263" s="54">
        <v>0.11779579723568735</v>
      </c>
      <c r="AP263" s="54">
        <v>0.45640246346119806</v>
      </c>
      <c r="AQ263" s="53">
        <v>0.32501249570798157</v>
      </c>
      <c r="AR263" s="53">
        <v>3.4347435960455091</v>
      </c>
      <c r="AS263" s="53">
        <v>3.7597560917534905</v>
      </c>
      <c r="AT263" s="53">
        <v>2.6148415597383203</v>
      </c>
      <c r="AU263" s="53">
        <v>3.1872988257459052</v>
      </c>
      <c r="AV263" s="53">
        <v>1.2791079390539561</v>
      </c>
      <c r="AW263" s="53">
        <v>4643.0356529711653</v>
      </c>
      <c r="AX263" s="53">
        <v>1214.9083967459383</v>
      </c>
      <c r="AY263" s="51">
        <v>278</v>
      </c>
    </row>
    <row r="264" spans="28:51" x14ac:dyDescent="0.15">
      <c r="AB264" s="51">
        <v>1700.0473975723196</v>
      </c>
      <c r="AC264" s="51">
        <v>271.19396374962434</v>
      </c>
      <c r="AD264" s="51">
        <v>698.06073979970472</v>
      </c>
      <c r="AE264" s="51">
        <v>71.505830154947205</v>
      </c>
      <c r="AF264" s="51">
        <v>45.961847006804881</v>
      </c>
      <c r="AG264" s="51">
        <v>4.7081003676259874</v>
      </c>
      <c r="AH264" s="54">
        <v>0.90421181166961795</v>
      </c>
      <c r="AI264" s="55">
        <v>1.1009166485101993</v>
      </c>
      <c r="AJ264" s="54">
        <v>0.50000104065447259</v>
      </c>
      <c r="AK264" s="55">
        <v>1.1009166485101993</v>
      </c>
      <c r="AL264" s="82">
        <v>1782</v>
      </c>
      <c r="AM264" s="82">
        <v>986</v>
      </c>
      <c r="AN264" s="54">
        <v>0.32045239581641949</v>
      </c>
      <c r="AO264" s="54">
        <v>9.9231179591343033E-2</v>
      </c>
      <c r="AP264" s="54">
        <v>0.41968357540776252</v>
      </c>
      <c r="AQ264" s="53">
        <v>0.41148782172077908</v>
      </c>
      <c r="AR264" s="53">
        <v>4.2640539384767751</v>
      </c>
      <c r="AS264" s="53">
        <v>4.6755417601975537</v>
      </c>
      <c r="AT264" s="53">
        <v>3.2541904473719625</v>
      </c>
      <c r="AU264" s="53">
        <v>3.9648661037847579</v>
      </c>
      <c r="AV264" s="53">
        <v>1.5959472490754387</v>
      </c>
      <c r="AW264" s="53">
        <v>5878.3974531539861</v>
      </c>
      <c r="AX264" s="53">
        <v>1235.3618001828208</v>
      </c>
      <c r="AY264" s="51">
        <v>352</v>
      </c>
    </row>
    <row r="265" spans="28:51" x14ac:dyDescent="0.15">
      <c r="AB265" s="51">
        <v>1712.5521352197927</v>
      </c>
      <c r="AC265" s="51">
        <v>273.28520968269345</v>
      </c>
      <c r="AD265" s="51">
        <v>707.83692713303367</v>
      </c>
      <c r="AE265" s="51">
        <v>72.513650967878959</v>
      </c>
      <c r="AF265" s="51">
        <v>46.304328761141818</v>
      </c>
      <c r="AG265" s="51">
        <v>4.743600969911391</v>
      </c>
      <c r="AH265" s="54">
        <v>0.92565909728660989</v>
      </c>
      <c r="AI265" s="55">
        <v>1.1018095262615748</v>
      </c>
      <c r="AJ265" s="54">
        <v>0.60000124878536709</v>
      </c>
      <c r="AK265" s="55">
        <v>1.1018095262615748</v>
      </c>
      <c r="AL265" s="82">
        <v>1838</v>
      </c>
      <c r="AM265" s="82">
        <v>1192</v>
      </c>
      <c r="AN265" s="54">
        <v>0.30232648159311698</v>
      </c>
      <c r="AO265" s="54">
        <v>8.3592345687747371E-2</v>
      </c>
      <c r="AP265" s="54">
        <v>0.38591882728086435</v>
      </c>
      <c r="AQ265" s="53">
        <v>0.5007400019726006</v>
      </c>
      <c r="AR265" s="53">
        <v>5.0920190686198907</v>
      </c>
      <c r="AS265" s="53">
        <v>5.592759070592491</v>
      </c>
      <c r="AT265" s="53">
        <v>3.8954193810525286</v>
      </c>
      <c r="AU265" s="53">
        <v>4.7440892258225107</v>
      </c>
      <c r="AV265" s="53">
        <v>1.9151897432559042</v>
      </c>
      <c r="AW265" s="53">
        <v>7153.42859960858</v>
      </c>
      <c r="AX265" s="53">
        <v>1275.0311464545939</v>
      </c>
      <c r="AY265" s="51">
        <v>428</v>
      </c>
    </row>
    <row r="266" spans="28:51" x14ac:dyDescent="0.15">
      <c r="AB266" s="51">
        <v>1725.6187039725469</v>
      </c>
      <c r="AC266" s="51">
        <v>275.27884914503193</v>
      </c>
      <c r="AD266" s="51">
        <v>717.99607014055448</v>
      </c>
      <c r="AE266" s="51">
        <v>73.519758483104326</v>
      </c>
      <c r="AF266" s="51">
        <v>46.662820926442251</v>
      </c>
      <c r="AG266" s="51">
        <v>4.7780753507199565</v>
      </c>
      <c r="AH266" s="54">
        <v>0.94710638290360183</v>
      </c>
      <c r="AI266" s="55">
        <v>1.1027024040129503</v>
      </c>
      <c r="AJ266" s="54">
        <v>0.70000145691626159</v>
      </c>
      <c r="AK266" s="55">
        <v>1.1027024040129503</v>
      </c>
      <c r="AL266" s="82">
        <v>1895</v>
      </c>
      <c r="AM266" s="82">
        <v>1401</v>
      </c>
      <c r="AN266" s="54">
        <v>0.28445235803771951</v>
      </c>
      <c r="AO266" s="54">
        <v>7.0418192007358382E-2</v>
      </c>
      <c r="AP266" s="54">
        <v>0.35487055004507789</v>
      </c>
      <c r="AQ266" s="53">
        <v>0.59175206699951532</v>
      </c>
      <c r="AR266" s="53">
        <v>5.8975469191758219</v>
      </c>
      <c r="AS266" s="53">
        <v>6.4892989861753367</v>
      </c>
      <c r="AT266" s="53">
        <v>4.5234500131167295</v>
      </c>
      <c r="AU266" s="53">
        <v>5.506374499646034</v>
      </c>
      <c r="AV266" s="53">
        <v>2.2299595445483549</v>
      </c>
      <c r="AW266" s="53">
        <v>8453.6009571359336</v>
      </c>
      <c r="AX266" s="53">
        <v>1300.1723575273536</v>
      </c>
      <c r="AY266" s="51">
        <v>506</v>
      </c>
    </row>
    <row r="267" spans="28:51" x14ac:dyDescent="0.15">
      <c r="AB267" s="51">
        <v>1739.1019302800473</v>
      </c>
      <c r="AC267" s="51">
        <v>277.17836709145183</v>
      </c>
      <c r="AD267" s="51">
        <v>728.47265537236717</v>
      </c>
      <c r="AE267" s="51">
        <v>74.500456913242076</v>
      </c>
      <c r="AF267" s="51">
        <v>47.032390370657382</v>
      </c>
      <c r="AG267" s="51">
        <v>4.8099740552991186</v>
      </c>
      <c r="AH267" s="54">
        <v>0.96855366852059377</v>
      </c>
      <c r="AI267" s="55">
        <v>1.1035952817643258</v>
      </c>
      <c r="AJ267" s="54">
        <v>0.80000166504715609</v>
      </c>
      <c r="AK267" s="55">
        <v>1.1035952817643258</v>
      </c>
      <c r="AL267" s="82">
        <v>1953</v>
      </c>
      <c r="AM267" s="82">
        <v>1613</v>
      </c>
      <c r="AN267" s="54">
        <v>0.26699991087398522</v>
      </c>
      <c r="AO267" s="54">
        <v>5.9320284946998703E-2</v>
      </c>
      <c r="AP267" s="54">
        <v>0.32632019582098393</v>
      </c>
      <c r="AQ267" s="53">
        <v>0.68514911364167075</v>
      </c>
      <c r="AR267" s="53">
        <v>6.6926443764441137</v>
      </c>
      <c r="AS267" s="53">
        <v>7.377793490085784</v>
      </c>
      <c r="AT267" s="53">
        <v>5.1469120312710803</v>
      </c>
      <c r="AU267" s="53">
        <v>6.2623527606784322</v>
      </c>
      <c r="AV267" s="53">
        <v>2.544216995987258</v>
      </c>
      <c r="AW267" s="53">
        <v>9787.844480595295</v>
      </c>
      <c r="AX267" s="53">
        <v>1334.2435234593613</v>
      </c>
      <c r="AY267" s="51">
        <v>586</v>
      </c>
    </row>
    <row r="268" spans="28:51" x14ac:dyDescent="0.15">
      <c r="AB268" s="60">
        <v>1754.2005431000498</v>
      </c>
      <c r="AC268" s="60">
        <v>279.35096836484433</v>
      </c>
      <c r="AD268" s="60">
        <v>739.76726372704286</v>
      </c>
      <c r="AE268" s="60">
        <v>75.577973376204113</v>
      </c>
      <c r="AF268" s="60">
        <v>47.445137333731161</v>
      </c>
      <c r="AG268" s="60">
        <v>4.8472100646537433</v>
      </c>
      <c r="AH268" s="62">
        <v>0.99000095413758615</v>
      </c>
      <c r="AI268" s="63">
        <v>1.1044881595157015</v>
      </c>
      <c r="AJ268" s="62">
        <v>0.90000187317805069</v>
      </c>
      <c r="AK268" s="63">
        <v>1.1044881595157015</v>
      </c>
      <c r="AL268" s="84">
        <v>2014</v>
      </c>
      <c r="AM268" s="84">
        <v>1831</v>
      </c>
      <c r="AN268" s="62">
        <v>0.25009539149393989</v>
      </c>
      <c r="AO268" s="62">
        <v>4.9971408039351711E-2</v>
      </c>
      <c r="AP268" s="62">
        <v>0.30006679953329157</v>
      </c>
      <c r="AQ268" s="61">
        <v>0.78157053843782931</v>
      </c>
      <c r="AR268" s="61">
        <v>7.4838291979013167</v>
      </c>
      <c r="AS268" s="61">
        <v>8.2653997363391465</v>
      </c>
      <c r="AT268" s="61">
        <v>5.7707900037053754</v>
      </c>
      <c r="AU268" s="61">
        <v>7.0180948700222618</v>
      </c>
      <c r="AV268" s="61">
        <v>2.8604119822993064</v>
      </c>
      <c r="AW268" s="61">
        <v>11165.293406254703</v>
      </c>
      <c r="AX268" s="61">
        <v>1377.4489256594079</v>
      </c>
      <c r="AY268" s="60">
        <v>669</v>
      </c>
    </row>
    <row r="269" spans="28:51" x14ac:dyDescent="0.15">
      <c r="AB269" s="51">
        <v>1764.1340817511634</v>
      </c>
      <c r="AC269" s="51">
        <v>281.17379304691434</v>
      </c>
      <c r="AD269" s="51">
        <v>749.00889163901763</v>
      </c>
      <c r="AE269" s="51">
        <v>76.572173003137905</v>
      </c>
      <c r="AF269" s="51">
        <v>47.719551819700307</v>
      </c>
      <c r="AG269" s="51">
        <v>4.878433111220426</v>
      </c>
      <c r="AH269" s="54">
        <v>0.99100085872382748</v>
      </c>
      <c r="AI269" s="55">
        <v>1.1052246177695439</v>
      </c>
      <c r="AJ269" s="54">
        <v>0.90500574564082903</v>
      </c>
      <c r="AK269" s="55">
        <v>1.1052246177695439</v>
      </c>
      <c r="AL269" s="82">
        <v>2027</v>
      </c>
      <c r="AM269" s="82">
        <v>1851</v>
      </c>
      <c r="AN269" s="54">
        <v>0.24559438950094051</v>
      </c>
      <c r="AO269" s="54">
        <v>4.9971408039351711E-2</v>
      </c>
      <c r="AP269" s="54">
        <v>0.29556579754029222</v>
      </c>
      <c r="AQ269" s="53">
        <v>0.79599232491616045</v>
      </c>
      <c r="AR269" s="53">
        <v>7.5547856552789829</v>
      </c>
      <c r="AS269" s="53">
        <v>8.3507779801951436</v>
      </c>
      <c r="AT269" s="53">
        <v>5.8325160951021493</v>
      </c>
      <c r="AU269" s="53">
        <v>7.091647037648646</v>
      </c>
      <c r="AV269" s="53">
        <v>2.8945438958269882</v>
      </c>
      <c r="AW269" s="53">
        <v>11371.318927373719</v>
      </c>
      <c r="AX269" s="53">
        <v>206.02552111901605</v>
      </c>
      <c r="AY269" s="51">
        <v>681</v>
      </c>
    </row>
    <row r="270" spans="28:51" x14ac:dyDescent="0.15">
      <c r="AB270" s="51">
        <v>1774.7786018712668</v>
      </c>
      <c r="AC270" s="51">
        <v>283.24279625533984</v>
      </c>
      <c r="AD270" s="51">
        <v>758.65354567200507</v>
      </c>
      <c r="AE270" s="51">
        <v>77.643896729413996</v>
      </c>
      <c r="AF270" s="51">
        <v>48.011187214402597</v>
      </c>
      <c r="AG270" s="51">
        <v>4.9136732876264668</v>
      </c>
      <c r="AH270" s="54">
        <v>0.99200076331006892</v>
      </c>
      <c r="AI270" s="55">
        <v>1.1059610760233864</v>
      </c>
      <c r="AJ270" s="54">
        <v>0.91000961810360737</v>
      </c>
      <c r="AK270" s="55">
        <v>1.1059610760233864</v>
      </c>
      <c r="AL270" s="82">
        <v>2042</v>
      </c>
      <c r="AM270" s="82">
        <v>1873</v>
      </c>
      <c r="AN270" s="54">
        <v>0.24116090253783615</v>
      </c>
      <c r="AO270" s="54">
        <v>4.9971408039351711E-2</v>
      </c>
      <c r="AP270" s="54">
        <v>0.29113231057718786</v>
      </c>
      <c r="AQ270" s="53">
        <v>0.80989146265686707</v>
      </c>
      <c r="AR270" s="53">
        <v>7.6103480066488505</v>
      </c>
      <c r="AS270" s="53">
        <v>8.4202394693057183</v>
      </c>
      <c r="AT270" s="53">
        <v>5.8834568004227679</v>
      </c>
      <c r="AU270" s="53">
        <v>7.1518481348642426</v>
      </c>
      <c r="AV270" s="53">
        <v>2.9238770200593254</v>
      </c>
      <c r="AW270" s="53">
        <v>11569.878037955243</v>
      </c>
      <c r="AX270" s="53">
        <v>198.55911058152378</v>
      </c>
      <c r="AY270" s="51">
        <v>693</v>
      </c>
    </row>
    <row r="271" spans="28:51" x14ac:dyDescent="0.15">
      <c r="AB271" s="51">
        <v>1785.8651670576046</v>
      </c>
      <c r="AC271" s="51">
        <v>285.23032963273221</v>
      </c>
      <c r="AD271" s="51">
        <v>768.58590257224103</v>
      </c>
      <c r="AE271" s="51">
        <v>78.703966749849599</v>
      </c>
      <c r="AF271" s="51">
        <v>48.314859781616498</v>
      </c>
      <c r="AG271" s="51">
        <v>4.9474900659117651</v>
      </c>
      <c r="AH271" s="54">
        <v>0.99300066789631036</v>
      </c>
      <c r="AI271" s="55">
        <v>1.1066975342772289</v>
      </c>
      <c r="AJ271" s="54">
        <v>0.9150134905663857</v>
      </c>
      <c r="AK271" s="55">
        <v>1.1066975342772289</v>
      </c>
      <c r="AL271" s="82">
        <v>2057</v>
      </c>
      <c r="AM271" s="82">
        <v>1895</v>
      </c>
      <c r="AN271" s="54">
        <v>0.23679391787917833</v>
      </c>
      <c r="AO271" s="54">
        <v>4.9971408039351711E-2</v>
      </c>
      <c r="AP271" s="54">
        <v>0.28676532591853005</v>
      </c>
      <c r="AQ271" s="53">
        <v>0.82413889328785939</v>
      </c>
      <c r="AR271" s="53">
        <v>7.6672989117197989</v>
      </c>
      <c r="AS271" s="53">
        <v>8.4914378050076582</v>
      </c>
      <c r="AT271" s="53">
        <v>5.9356715011010586</v>
      </c>
      <c r="AU271" s="53">
        <v>7.2135546530543584</v>
      </c>
      <c r="AV271" s="53">
        <v>2.9539441465433591</v>
      </c>
      <c r="AW271" s="53">
        <v>11773.412761255133</v>
      </c>
      <c r="AX271" s="53">
        <v>203.53472329989017</v>
      </c>
      <c r="AY271" s="51">
        <v>705</v>
      </c>
    </row>
    <row r="272" spans="28:51" x14ac:dyDescent="0.15">
      <c r="AB272" s="51">
        <v>1797.302605387456</v>
      </c>
      <c r="AC272" s="51">
        <v>287.13924753243987</v>
      </c>
      <c r="AD272" s="51">
        <v>778.76481064013046</v>
      </c>
      <c r="AE272" s="51">
        <v>79.752634316833522</v>
      </c>
      <c r="AF272" s="51">
        <v>48.630210940968588</v>
      </c>
      <c r="AG272" s="51">
        <v>4.9801780678014724</v>
      </c>
      <c r="AH272" s="54">
        <v>0.9940005724825518</v>
      </c>
      <c r="AI272" s="55">
        <v>1.1074339925310714</v>
      </c>
      <c r="AJ272" s="54">
        <v>0.92001736302916404</v>
      </c>
      <c r="AK272" s="55">
        <v>1.1074339925310714</v>
      </c>
      <c r="AL272" s="82">
        <v>2071</v>
      </c>
      <c r="AM272" s="82">
        <v>1917</v>
      </c>
      <c r="AN272" s="54">
        <v>0.2324924379904004</v>
      </c>
      <c r="AO272" s="54">
        <v>4.9971408039351711E-2</v>
      </c>
      <c r="AP272" s="54">
        <v>0.28246384602975211</v>
      </c>
      <c r="AQ272" s="53">
        <v>0.83977396944348603</v>
      </c>
      <c r="AR272" s="53">
        <v>7.7442663517144057</v>
      </c>
      <c r="AS272" s="53">
        <v>8.5840403211578913</v>
      </c>
      <c r="AT272" s="53">
        <v>6.0026182039197575</v>
      </c>
      <c r="AU272" s="53">
        <v>7.2933292625388244</v>
      </c>
      <c r="AV272" s="53">
        <v>2.9909590671419322</v>
      </c>
      <c r="AW272" s="53">
        <v>11996.7709920498</v>
      </c>
      <c r="AX272" s="53">
        <v>223.35823079466718</v>
      </c>
      <c r="AY272" s="51">
        <v>718</v>
      </c>
    </row>
    <row r="273" spans="28:51" x14ac:dyDescent="0.15">
      <c r="AB273" s="51">
        <v>1807.3991404091914</v>
      </c>
      <c r="AC273" s="51">
        <v>288.10565955060036</v>
      </c>
      <c r="AD273" s="51">
        <v>788.44189809751208</v>
      </c>
      <c r="AE273" s="51">
        <v>80.547008848669876</v>
      </c>
      <c r="AF273" s="51">
        <v>48.905434780563375</v>
      </c>
      <c r="AG273" s="51">
        <v>4.9961658525799191</v>
      </c>
      <c r="AH273" s="54">
        <v>0.99500047706879324</v>
      </c>
      <c r="AI273" s="55">
        <v>1.1081704507849139</v>
      </c>
      <c r="AJ273" s="54">
        <v>0.92502123549194237</v>
      </c>
      <c r="AK273" s="55">
        <v>1.1081704507849139</v>
      </c>
      <c r="AL273" s="82">
        <v>2086</v>
      </c>
      <c r="AM273" s="82">
        <v>1939</v>
      </c>
      <c r="AN273" s="54">
        <v>0.2282554802999541</v>
      </c>
      <c r="AO273" s="54">
        <v>4.9971408039351711E-2</v>
      </c>
      <c r="AP273" s="54">
        <v>0.27822688833930581</v>
      </c>
      <c r="AQ273" s="53">
        <v>0.85483429964667734</v>
      </c>
      <c r="AR273" s="53">
        <v>7.814042073327065</v>
      </c>
      <c r="AS273" s="53">
        <v>8.6688763729737417</v>
      </c>
      <c r="AT273" s="53">
        <v>6.0641956818647209</v>
      </c>
      <c r="AU273" s="53">
        <v>7.3665360274192313</v>
      </c>
      <c r="AV273" s="53">
        <v>3.0254015422375291</v>
      </c>
      <c r="AW273" s="53">
        <v>12211.918566381104</v>
      </c>
      <c r="AX273" s="53">
        <v>215.14757433130399</v>
      </c>
      <c r="AY273" s="51">
        <v>731</v>
      </c>
    </row>
    <row r="274" spans="28:51" x14ac:dyDescent="0.15">
      <c r="AB274" s="51">
        <v>1815.2570357092727</v>
      </c>
      <c r="AC274" s="51">
        <v>290.13281311452533</v>
      </c>
      <c r="AD274" s="51">
        <v>797.21140968923794</v>
      </c>
      <c r="AE274" s="51">
        <v>81.646085057891938</v>
      </c>
      <c r="AF274" s="51">
        <v>49.123808647340304</v>
      </c>
      <c r="AG274" s="51">
        <v>5.0309950540620036</v>
      </c>
      <c r="AH274" s="54">
        <v>0.99600038165503468</v>
      </c>
      <c r="AI274" s="55">
        <v>1.1089069090387564</v>
      </c>
      <c r="AJ274" s="54">
        <v>0.93002510795472071</v>
      </c>
      <c r="AK274" s="55">
        <v>1.1089069090387564</v>
      </c>
      <c r="AL274" s="82">
        <v>2097</v>
      </c>
      <c r="AM274" s="82">
        <v>1958</v>
      </c>
      <c r="AN274" s="54">
        <v>0.22408207697486451</v>
      </c>
      <c r="AO274" s="54">
        <v>4.9971408039351711E-2</v>
      </c>
      <c r="AP274" s="54">
        <v>0.27405348501421622</v>
      </c>
      <c r="AQ274" s="53">
        <v>0.86835457579963304</v>
      </c>
      <c r="AR274" s="53">
        <v>7.8617424134955201</v>
      </c>
      <c r="AS274" s="53">
        <v>8.7300969892951539</v>
      </c>
      <c r="AT274" s="53">
        <v>6.1095161847966475</v>
      </c>
      <c r="AU274" s="53">
        <v>7.4198065870459011</v>
      </c>
      <c r="AV274" s="53">
        <v>3.0521719128817222</v>
      </c>
      <c r="AW274" s="53">
        <v>12405.065368566185</v>
      </c>
      <c r="AX274" s="53">
        <v>193.14680218508147</v>
      </c>
      <c r="AY274" s="51">
        <v>743</v>
      </c>
    </row>
    <row r="275" spans="28:51" x14ac:dyDescent="0.15">
      <c r="AB275" s="51">
        <v>1822.9758959201708</v>
      </c>
      <c r="AC275" s="51">
        <v>291.1898767775121</v>
      </c>
      <c r="AD275" s="51">
        <v>805.96876442333416</v>
      </c>
      <c r="AE275" s="51">
        <v>82.479526040858744</v>
      </c>
      <c r="AF275" s="51">
        <v>49.336147354074804</v>
      </c>
      <c r="AG275" s="51">
        <v>5.0488582561354738</v>
      </c>
      <c r="AH275" s="54">
        <v>0.99700028624127612</v>
      </c>
      <c r="AI275" s="55">
        <v>1.1096433672925989</v>
      </c>
      <c r="AJ275" s="54">
        <v>0.93502898041749904</v>
      </c>
      <c r="AK275" s="55">
        <v>1.1096433672925989</v>
      </c>
      <c r="AL275" s="82">
        <v>2108</v>
      </c>
      <c r="AM275" s="82">
        <v>1977</v>
      </c>
      <c r="AN275" s="54">
        <v>0.21997127469965125</v>
      </c>
      <c r="AO275" s="54">
        <v>4.9971408039351711E-2</v>
      </c>
      <c r="AP275" s="54">
        <v>0.26994268273900296</v>
      </c>
      <c r="AQ275" s="53">
        <v>0.88170772763005789</v>
      </c>
      <c r="AR275" s="53">
        <v>7.9058492132389864</v>
      </c>
      <c r="AS275" s="53">
        <v>8.7875569408690435</v>
      </c>
      <c r="AT275" s="53">
        <v>6.1522738697893828</v>
      </c>
      <c r="AU275" s="53">
        <v>7.4699154053292149</v>
      </c>
      <c r="AV275" s="53">
        <v>3.077776953529777</v>
      </c>
      <c r="AW275" s="53">
        <v>12595.824680429398</v>
      </c>
      <c r="AX275" s="53">
        <v>190.75931186321213</v>
      </c>
      <c r="AY275" s="51">
        <v>754</v>
      </c>
    </row>
    <row r="276" spans="28:51" x14ac:dyDescent="0.15">
      <c r="AB276" s="51">
        <v>1831.0620030032921</v>
      </c>
      <c r="AC276" s="51">
        <v>292.17998051873604</v>
      </c>
      <c r="AD276" s="51">
        <v>814.93335479127813</v>
      </c>
      <c r="AE276" s="51">
        <v>83.299330742864456</v>
      </c>
      <c r="AF276" s="51">
        <v>49.5583353503621</v>
      </c>
      <c r="AG276" s="51">
        <v>5.0656610668156024</v>
      </c>
      <c r="AH276" s="54">
        <v>0.99800019082751756</v>
      </c>
      <c r="AI276" s="55">
        <v>1.1103798255464414</v>
      </c>
      <c r="AJ276" s="54">
        <v>0.94003285288027738</v>
      </c>
      <c r="AK276" s="55">
        <v>1.1103798255464414</v>
      </c>
      <c r="AL276" s="82">
        <v>2119</v>
      </c>
      <c r="AM276" s="82">
        <v>1996</v>
      </c>
      <c r="AN276" s="54">
        <v>0.2159221344585662</v>
      </c>
      <c r="AO276" s="54">
        <v>4.9971408039351711E-2</v>
      </c>
      <c r="AP276" s="54">
        <v>0.26589354249791791</v>
      </c>
      <c r="AQ276" s="53">
        <v>0.89532511678964821</v>
      </c>
      <c r="AR276" s="53">
        <v>7.9511270777428003</v>
      </c>
      <c r="AS276" s="53">
        <v>8.8464521945324481</v>
      </c>
      <c r="AT276" s="53">
        <v>6.1960765019515147</v>
      </c>
      <c r="AU276" s="53">
        <v>7.5212643482419805</v>
      </c>
      <c r="AV276" s="53">
        <v>3.1039715272737594</v>
      </c>
      <c r="AW276" s="53">
        <v>12790.358811280686</v>
      </c>
      <c r="AX276" s="53">
        <v>194.53413085128886</v>
      </c>
      <c r="AY276" s="51">
        <v>766</v>
      </c>
    </row>
    <row r="277" spans="28:51" x14ac:dyDescent="0.15">
      <c r="AB277" s="51">
        <v>1839.4213806726639</v>
      </c>
      <c r="AC277" s="51">
        <v>293.10609907235772</v>
      </c>
      <c r="AD277" s="51">
        <v>824.05913401847454</v>
      </c>
      <c r="AE277" s="51">
        <v>84.105582507124211</v>
      </c>
      <c r="AF277" s="51">
        <v>49.787314384321242</v>
      </c>
      <c r="AG277" s="51">
        <v>5.0814206224972018</v>
      </c>
      <c r="AH277" s="54">
        <v>0.999000095413759</v>
      </c>
      <c r="AI277" s="55">
        <v>1.1111162838002839</v>
      </c>
      <c r="AJ277" s="54">
        <v>0.94503672534305572</v>
      </c>
      <c r="AK277" s="55">
        <v>1.1111162838002839</v>
      </c>
      <c r="AL277" s="82">
        <v>2131</v>
      </c>
      <c r="AM277" s="82">
        <v>2016</v>
      </c>
      <c r="AN277" s="54">
        <v>0.21193373132109741</v>
      </c>
      <c r="AO277" s="54">
        <v>4.9971408039351711E-2</v>
      </c>
      <c r="AP277" s="54">
        <v>0.26190513936044912</v>
      </c>
      <c r="AQ277" s="53">
        <v>0.90916646038590054</v>
      </c>
      <c r="AR277" s="53">
        <v>7.997292412603497</v>
      </c>
      <c r="AS277" s="53">
        <v>8.906458872989397</v>
      </c>
      <c r="AT277" s="53">
        <v>6.2406947354548992</v>
      </c>
      <c r="AU277" s="53">
        <v>7.5735768042221503</v>
      </c>
      <c r="AV277" s="53">
        <v>3.1306365749979834</v>
      </c>
      <c r="AW277" s="53">
        <v>12988.092291227149</v>
      </c>
      <c r="AX277" s="53">
        <v>197.73347994646247</v>
      </c>
      <c r="AY277" s="51">
        <v>778</v>
      </c>
    </row>
    <row r="278" spans="28:51" x14ac:dyDescent="0.15">
      <c r="AB278" s="60">
        <v>1849.4935634849658</v>
      </c>
      <c r="AC278" s="60">
        <v>295.06206787301562</v>
      </c>
      <c r="AD278" s="60">
        <v>833.99302135991354</v>
      </c>
      <c r="AE278" s="60">
        <v>85.201871640503413</v>
      </c>
      <c r="AF278" s="60">
        <v>50.063895868673242</v>
      </c>
      <c r="AG278" s="60">
        <v>5.1145963100156626</v>
      </c>
      <c r="AH278" s="62">
        <v>1</v>
      </c>
      <c r="AI278" s="63">
        <v>1.1118527420541255</v>
      </c>
      <c r="AJ278" s="62">
        <v>0.95004059780583416</v>
      </c>
      <c r="AK278" s="63">
        <v>1.1118527420541255</v>
      </c>
      <c r="AL278" s="84">
        <v>2145</v>
      </c>
      <c r="AM278" s="84">
        <v>2038</v>
      </c>
      <c r="AN278" s="62">
        <v>0.20800515423069069</v>
      </c>
      <c r="AO278" s="62">
        <v>4.9971408039351711E-2</v>
      </c>
      <c r="AP278" s="62">
        <v>0.2579765622700424</v>
      </c>
      <c r="AQ278" s="61">
        <v>0.92523438285504522</v>
      </c>
      <c r="AR278" s="61">
        <v>8.0719539560272846</v>
      </c>
      <c r="AS278" s="61">
        <v>8.9971883388823297</v>
      </c>
      <c r="AT278" s="61">
        <v>6.3065370202065667</v>
      </c>
      <c r="AU278" s="61">
        <v>7.6518626795444478</v>
      </c>
      <c r="AV278" s="61">
        <v>3.1674438150848458</v>
      </c>
      <c r="AW278" s="61">
        <v>13217.634040786359</v>
      </c>
      <c r="AX278" s="61">
        <v>229.54174955921007</v>
      </c>
      <c r="AY278" s="60">
        <v>791</v>
      </c>
    </row>
    <row r="279" spans="28:51" x14ac:dyDescent="0.15">
      <c r="AB279" s="51">
        <v>1855.4200507901965</v>
      </c>
      <c r="AC279" s="51">
        <v>296.12034810228397</v>
      </c>
      <c r="AD279" s="51">
        <v>842.08203274449852</v>
      </c>
      <c r="AE279" s="51">
        <v>86.044864739965504</v>
      </c>
      <c r="AF279" s="51">
        <v>50.226644572852663</v>
      </c>
      <c r="AG279" s="51">
        <v>5.1322135736919563</v>
      </c>
      <c r="AH279" s="54">
        <v>1</v>
      </c>
      <c r="AI279" s="55">
        <v>1.1124390398398296</v>
      </c>
      <c r="AJ279" s="54">
        <v>0.95503653802525079</v>
      </c>
      <c r="AK279" s="55">
        <v>1.1124390398398296</v>
      </c>
      <c r="AL279" s="82">
        <v>2152</v>
      </c>
      <c r="AM279" s="82">
        <v>2055</v>
      </c>
      <c r="AN279" s="54">
        <v>0.20542538860799028</v>
      </c>
      <c r="AO279" s="54">
        <v>4.9971408039351711E-2</v>
      </c>
      <c r="AP279" s="54">
        <v>0.25539679664734199</v>
      </c>
      <c r="AQ279" s="53">
        <v>0.93842572459734452</v>
      </c>
      <c r="AR279" s="53">
        <v>8.1199126360710778</v>
      </c>
      <c r="AS279" s="53">
        <v>9.0583383606684222</v>
      </c>
      <c r="AT279" s="53">
        <v>6.3517008153113972</v>
      </c>
      <c r="AU279" s="53">
        <v>7.7050195879899093</v>
      </c>
      <c r="AV279" s="53">
        <v>3.1939570123948662</v>
      </c>
      <c r="AW279" s="53">
        <v>13406.081779962062</v>
      </c>
      <c r="AX279" s="53">
        <v>188.44773917570274</v>
      </c>
      <c r="AY279" s="51">
        <v>803</v>
      </c>
    </row>
    <row r="280" spans="28:51" x14ac:dyDescent="0.15">
      <c r="AB280" s="51">
        <v>1862.0905293248159</v>
      </c>
      <c r="AC280" s="51">
        <v>297.17990869281482</v>
      </c>
      <c r="AD280" s="51">
        <v>850.51996878060243</v>
      </c>
      <c r="AE280" s="51">
        <v>86.904225546762618</v>
      </c>
      <c r="AF280" s="51">
        <v>50.410580727998266</v>
      </c>
      <c r="AG280" s="51">
        <v>5.1508402369554815</v>
      </c>
      <c r="AH280" s="54">
        <v>1</v>
      </c>
      <c r="AI280" s="55">
        <v>1.1130253376255337</v>
      </c>
      <c r="AJ280" s="54">
        <v>0.96003247824466742</v>
      </c>
      <c r="AK280" s="55">
        <v>1.1130253376255337</v>
      </c>
      <c r="AL280" s="82">
        <v>2159</v>
      </c>
      <c r="AM280" s="82">
        <v>2073</v>
      </c>
      <c r="AN280" s="54">
        <v>0.20287142064151684</v>
      </c>
      <c r="AO280" s="54">
        <v>4.9971408039351711E-2</v>
      </c>
      <c r="AP280" s="54">
        <v>0.25284282868086855</v>
      </c>
      <c r="AQ280" s="53">
        <v>0.95204130421885258</v>
      </c>
      <c r="AR280" s="53">
        <v>8.1704160555891772</v>
      </c>
      <c r="AS280" s="53">
        <v>9.1224573598080294</v>
      </c>
      <c r="AT280" s="53">
        <v>6.3989853412783031</v>
      </c>
      <c r="AU280" s="53">
        <v>7.7607213505431645</v>
      </c>
      <c r="AV280" s="53">
        <v>3.2216013196602904</v>
      </c>
      <c r="AW280" s="53">
        <v>13600.590060269322</v>
      </c>
      <c r="AX280" s="53">
        <v>194.50828030726007</v>
      </c>
      <c r="AY280" s="51">
        <v>814</v>
      </c>
    </row>
    <row r="281" spans="28:51" x14ac:dyDescent="0.15">
      <c r="AB281" s="51">
        <v>1869.0966812065587</v>
      </c>
      <c r="AC281" s="51">
        <v>298.18539759813831</v>
      </c>
      <c r="AD281" s="51">
        <v>859.11821188058445</v>
      </c>
      <c r="AE281" s="51">
        <v>87.727829107946718</v>
      </c>
      <c r="AF281" s="51">
        <v>50.602993236966761</v>
      </c>
      <c r="AG281" s="51">
        <v>5.1672641571940687</v>
      </c>
      <c r="AH281" s="54">
        <v>1</v>
      </c>
      <c r="AI281" s="55">
        <v>1.1136116354112378</v>
      </c>
      <c r="AJ281" s="54">
        <v>0.96502841846408405</v>
      </c>
      <c r="AK281" s="55">
        <v>1.1136116354112378</v>
      </c>
      <c r="AL281" s="82">
        <v>2167</v>
      </c>
      <c r="AM281" s="82">
        <v>2091</v>
      </c>
      <c r="AN281" s="54">
        <v>0.20034299235470812</v>
      </c>
      <c r="AO281" s="54">
        <v>4.9971408039351711E-2</v>
      </c>
      <c r="AP281" s="54">
        <v>0.25031440039405983</v>
      </c>
      <c r="AQ281" s="53">
        <v>0.96585810174010023</v>
      </c>
      <c r="AR281" s="53">
        <v>8.2219665051876998</v>
      </c>
      <c r="AS281" s="53">
        <v>9.1878246069277996</v>
      </c>
      <c r="AT281" s="53">
        <v>6.4471691051985669</v>
      </c>
      <c r="AU281" s="53">
        <v>7.8174968560631832</v>
      </c>
      <c r="AV281" s="53">
        <v>3.2497376865144614</v>
      </c>
      <c r="AW281" s="53">
        <v>13797.97288200143</v>
      </c>
      <c r="AX281" s="53">
        <v>197.38282173210791</v>
      </c>
      <c r="AY281" s="51">
        <v>826</v>
      </c>
    </row>
    <row r="282" spans="28:51" x14ac:dyDescent="0.15">
      <c r="AB282" s="51">
        <v>1876.2868007866516</v>
      </c>
      <c r="AC282" s="51">
        <v>299.13918140456087</v>
      </c>
      <c r="AD282" s="51">
        <v>867.80474852549196</v>
      </c>
      <c r="AE282" s="51">
        <v>88.551152350506072</v>
      </c>
      <c r="AF282" s="51">
        <v>50.800576900063426</v>
      </c>
      <c r="AG282" s="51">
        <v>5.1837116957639848</v>
      </c>
      <c r="AH282" s="54">
        <v>1</v>
      </c>
      <c r="AI282" s="55">
        <v>1.1141979331969418</v>
      </c>
      <c r="AJ282" s="54">
        <v>0.97002435868350068</v>
      </c>
      <c r="AK282" s="55">
        <v>1.1141979331969418</v>
      </c>
      <c r="AL282" s="82">
        <v>2175</v>
      </c>
      <c r="AM282" s="82">
        <v>2110</v>
      </c>
      <c r="AN282" s="54">
        <v>0.19783984835076751</v>
      </c>
      <c r="AO282" s="54">
        <v>4.9971408039351711E-2</v>
      </c>
      <c r="AP282" s="54">
        <v>0.24781125639011922</v>
      </c>
      <c r="AQ282" s="53">
        <v>0.97984157280357409</v>
      </c>
      <c r="AR282" s="53">
        <v>8.2740880475325902</v>
      </c>
      <c r="AS282" s="53">
        <v>9.2539296203361641</v>
      </c>
      <c r="AT282" s="53">
        <v>6.495900271158634</v>
      </c>
      <c r="AU282" s="53">
        <v>7.8749149457473981</v>
      </c>
      <c r="AV282" s="53">
        <v>3.2781993637848492</v>
      </c>
      <c r="AW282" s="53">
        <v>13997.736754336771</v>
      </c>
      <c r="AX282" s="53">
        <v>199.76387233534115</v>
      </c>
      <c r="AY282" s="51">
        <v>838</v>
      </c>
    </row>
    <row r="283" spans="28:51" x14ac:dyDescent="0.15">
      <c r="AB283" s="51">
        <v>1882.5836876810909</v>
      </c>
      <c r="AC283" s="51">
        <v>300.54294497116291</v>
      </c>
      <c r="AD283" s="51">
        <v>876.07598446812494</v>
      </c>
      <c r="AE283" s="51">
        <v>89.499591029953805</v>
      </c>
      <c r="AF283" s="51">
        <v>50.975623527131546</v>
      </c>
      <c r="AG283" s="51">
        <v>5.207650408251955</v>
      </c>
      <c r="AH283" s="54">
        <v>1</v>
      </c>
      <c r="AI283" s="55">
        <v>1.1147842309826459</v>
      </c>
      <c r="AJ283" s="54">
        <v>0.9750202989029173</v>
      </c>
      <c r="AK283" s="55">
        <v>1.1147842309826459</v>
      </c>
      <c r="AL283" s="82">
        <v>2183</v>
      </c>
      <c r="AM283" s="82">
        <v>2128</v>
      </c>
      <c r="AN283" s="54">
        <v>0.1953617357868663</v>
      </c>
      <c r="AO283" s="54">
        <v>4.9971408039351711E-2</v>
      </c>
      <c r="AP283" s="54">
        <v>0.24533314382621801</v>
      </c>
      <c r="AQ283" s="53">
        <v>0.99362676604204314</v>
      </c>
      <c r="AR283" s="53">
        <v>8.3250631784057312</v>
      </c>
      <c r="AS283" s="53">
        <v>9.3186899444477742</v>
      </c>
      <c r="AT283" s="53">
        <v>6.543668884979196</v>
      </c>
      <c r="AU283" s="53">
        <v>7.9311794147134851</v>
      </c>
      <c r="AV283" s="53">
        <v>3.3061443155991905</v>
      </c>
      <c r="AW283" s="53">
        <v>14194.668086314901</v>
      </c>
      <c r="AX283" s="53">
        <v>196.9313319781304</v>
      </c>
      <c r="AY283" s="51">
        <v>850</v>
      </c>
    </row>
    <row r="284" spans="28:51" x14ac:dyDescent="0.15">
      <c r="AB284" s="51">
        <v>1887.6101712036202</v>
      </c>
      <c r="AC284" s="51">
        <v>301.08888284585242</v>
      </c>
      <c r="AD284" s="51">
        <v>883.737240628123</v>
      </c>
      <c r="AE284" s="51">
        <v>90.194641423386315</v>
      </c>
      <c r="AF284" s="51">
        <v>51.112517000341164</v>
      </c>
      <c r="AG284" s="51">
        <v>5.2165676981269478</v>
      </c>
      <c r="AH284" s="54">
        <v>1</v>
      </c>
      <c r="AI284" s="55">
        <v>1.11537052876835</v>
      </c>
      <c r="AJ284" s="54">
        <v>0.98001623912233393</v>
      </c>
      <c r="AK284" s="55">
        <v>1.11537052876835</v>
      </c>
      <c r="AL284" s="82">
        <v>2189</v>
      </c>
      <c r="AM284" s="82">
        <v>2145</v>
      </c>
      <c r="AN284" s="54">
        <v>0.19290840434860412</v>
      </c>
      <c r="AO284" s="54">
        <v>4.9971408039351711E-2</v>
      </c>
      <c r="AP284" s="54">
        <v>0.24287981238795583</v>
      </c>
      <c r="AQ284" s="53">
        <v>1.0078057369354707</v>
      </c>
      <c r="AR284" s="53">
        <v>8.3884419777493147</v>
      </c>
      <c r="AS284" s="53">
        <v>9.3962477146847849</v>
      </c>
      <c r="AT284" s="53">
        <v>6.6001003887683467</v>
      </c>
      <c r="AU284" s="53">
        <v>7.9981740517265667</v>
      </c>
      <c r="AV284" s="53">
        <v>3.3379285085325026</v>
      </c>
      <c r="AW284" s="53">
        <v>14397.224813363866</v>
      </c>
      <c r="AX284" s="53">
        <v>202.5567270489646</v>
      </c>
      <c r="AY284" s="51">
        <v>862</v>
      </c>
    </row>
    <row r="285" spans="28:51" x14ac:dyDescent="0.15">
      <c r="AB285" s="51">
        <v>1892.3813012803785</v>
      </c>
      <c r="AC285" s="51">
        <v>302.12227091864349</v>
      </c>
      <c r="AD285" s="51">
        <v>891.25614956262086</v>
      </c>
      <c r="AE285" s="51">
        <v>91.037304090179703</v>
      </c>
      <c r="AF285" s="51">
        <v>51.243812224594699</v>
      </c>
      <c r="AG285" s="51">
        <v>5.2342960197468118</v>
      </c>
      <c r="AH285" s="54">
        <v>1</v>
      </c>
      <c r="AI285" s="55">
        <v>1.115956826554054</v>
      </c>
      <c r="AJ285" s="54">
        <v>0.98501217934175056</v>
      </c>
      <c r="AK285" s="55">
        <v>1.115956826554054</v>
      </c>
      <c r="AL285" s="82">
        <v>2195</v>
      </c>
      <c r="AM285" s="82">
        <v>2162</v>
      </c>
      <c r="AN285" s="54">
        <v>0.19047960622472457</v>
      </c>
      <c r="AO285" s="54">
        <v>4.9971408039351711E-2</v>
      </c>
      <c r="AP285" s="54">
        <v>0.24045101426407628</v>
      </c>
      <c r="AQ285" s="53">
        <v>1.0209196132254623</v>
      </c>
      <c r="AR285" s="53">
        <v>8.4334201027331854</v>
      </c>
      <c r="AS285" s="53">
        <v>9.454339715958648</v>
      </c>
      <c r="AT285" s="53">
        <v>6.6431996817142531</v>
      </c>
      <c r="AU285" s="53">
        <v>8.0487696988364501</v>
      </c>
      <c r="AV285" s="53">
        <v>3.3635363084291248</v>
      </c>
      <c r="AW285" s="53">
        <v>14584.565903220888</v>
      </c>
      <c r="AX285" s="53">
        <v>187.34108985702187</v>
      </c>
      <c r="AY285" s="51">
        <v>873</v>
      </c>
    </row>
    <row r="286" spans="28:51" x14ac:dyDescent="0.15">
      <c r="AB286" s="51">
        <v>1897.3887328926951</v>
      </c>
      <c r="AC286" s="51">
        <v>303.11245259049656</v>
      </c>
      <c r="AD286" s="51">
        <v>898.85591607694732</v>
      </c>
      <c r="AE286" s="51">
        <v>91.868677129856465</v>
      </c>
      <c r="AF286" s="51">
        <v>51.379756011568404</v>
      </c>
      <c r="AG286" s="51">
        <v>5.25133131084994</v>
      </c>
      <c r="AH286" s="54">
        <v>1</v>
      </c>
      <c r="AI286" s="55">
        <v>1.1165431243397581</v>
      </c>
      <c r="AJ286" s="54">
        <v>0.99000811956116719</v>
      </c>
      <c r="AK286" s="55">
        <v>1.1165431243397581</v>
      </c>
      <c r="AL286" s="82">
        <v>2201</v>
      </c>
      <c r="AM286" s="82">
        <v>2179</v>
      </c>
      <c r="AN286" s="54">
        <v>0.18807509608208381</v>
      </c>
      <c r="AO286" s="54">
        <v>4.9971408039351711E-2</v>
      </c>
      <c r="AP286" s="54">
        <v>0.23804650412143552</v>
      </c>
      <c r="AQ286" s="53">
        <v>1.034173989548322</v>
      </c>
      <c r="AR286" s="53">
        <v>8.4791369249544246</v>
      </c>
      <c r="AS286" s="53">
        <v>9.5133109145027461</v>
      </c>
      <c r="AT286" s="53">
        <v>6.6869319395179385</v>
      </c>
      <c r="AU286" s="53">
        <v>8.1001214270103432</v>
      </c>
      <c r="AV286" s="53">
        <v>3.3894898020356621</v>
      </c>
      <c r="AW286" s="53">
        <v>14773.914136404597</v>
      </c>
      <c r="AX286" s="53">
        <v>189.34823318370945</v>
      </c>
      <c r="AY286" s="51">
        <v>885</v>
      </c>
    </row>
    <row r="287" spans="28:51" x14ac:dyDescent="0.15">
      <c r="AB287" s="51">
        <v>1902.5888986085677</v>
      </c>
      <c r="AC287" s="51">
        <v>304.06131048857907</v>
      </c>
      <c r="AD287" s="51">
        <v>906.51803605503505</v>
      </c>
      <c r="AE287" s="51">
        <v>92.677489931251728</v>
      </c>
      <c r="AF287" s="51">
        <v>51.523764265988163</v>
      </c>
      <c r="AG287" s="51">
        <v>5.2675103572803126</v>
      </c>
      <c r="AH287" s="54">
        <v>1</v>
      </c>
      <c r="AI287" s="55">
        <v>1.1171294221254622</v>
      </c>
      <c r="AJ287" s="54">
        <v>0.99500405978058382</v>
      </c>
      <c r="AK287" s="55">
        <v>1.1171294221254622</v>
      </c>
      <c r="AL287" s="82">
        <v>2207</v>
      </c>
      <c r="AM287" s="82">
        <v>2196</v>
      </c>
      <c r="AN287" s="54">
        <v>0.18569463104086945</v>
      </c>
      <c r="AO287" s="54">
        <v>4.9971408039351711E-2</v>
      </c>
      <c r="AP287" s="54">
        <v>0.23566603908022116</v>
      </c>
      <c r="AQ287" s="53">
        <v>1.0475352854548183</v>
      </c>
      <c r="AR287" s="53">
        <v>8.5254618721446853</v>
      </c>
      <c r="AS287" s="53">
        <v>9.5729971575995041</v>
      </c>
      <c r="AT287" s="53">
        <v>6.7311765335512757</v>
      </c>
      <c r="AU287" s="53">
        <v>8.1520868455753899</v>
      </c>
      <c r="AV287" s="53">
        <v>3.4157191388283419</v>
      </c>
      <c r="AW287" s="53">
        <v>14964.789792211686</v>
      </c>
      <c r="AX287" s="53">
        <v>190.87565580708906</v>
      </c>
      <c r="AY287" s="51">
        <v>896</v>
      </c>
    </row>
    <row r="288" spans="28:51" x14ac:dyDescent="0.15">
      <c r="AB288" s="60">
        <v>1908.4596546254761</v>
      </c>
      <c r="AC288" s="60">
        <v>304.82118540433828</v>
      </c>
      <c r="AD288" s="60">
        <v>914.46369317099504</v>
      </c>
      <c r="AE288" s="60">
        <v>93.429158320202305</v>
      </c>
      <c r="AF288" s="60">
        <v>51.683509569584267</v>
      </c>
      <c r="AG288" s="60">
        <v>5.2804139018097187</v>
      </c>
      <c r="AH288" s="62">
        <v>1</v>
      </c>
      <c r="AI288" s="63">
        <v>1.1177157199111663</v>
      </c>
      <c r="AJ288" s="62">
        <v>1</v>
      </c>
      <c r="AK288" s="63">
        <v>1.1177157199111663</v>
      </c>
      <c r="AL288" s="84">
        <v>2213</v>
      </c>
      <c r="AM288" s="84">
        <v>2213</v>
      </c>
      <c r="AN288" s="62">
        <v>0.18333797065006724</v>
      </c>
      <c r="AO288" s="62">
        <v>4.9971408039351711E-2</v>
      </c>
      <c r="AP288" s="62">
        <v>0.23330937868941895</v>
      </c>
      <c r="AQ288" s="61">
        <v>1.0611935103804933</v>
      </c>
      <c r="AR288" s="61">
        <v>8.5734476886958273</v>
      </c>
      <c r="AS288" s="61">
        <v>9.6346411990763201</v>
      </c>
      <c r="AT288" s="61">
        <v>6.7768253028443777</v>
      </c>
      <c r="AU288" s="61">
        <v>8.2057332509603498</v>
      </c>
      <c r="AV288" s="61">
        <v>3.4427067572404457</v>
      </c>
      <c r="AW288" s="61">
        <v>15159.907291149904</v>
      </c>
      <c r="AX288" s="61">
        <v>195.11749893821798</v>
      </c>
      <c r="AY288" s="60">
        <v>908</v>
      </c>
    </row>
    <row r="289" spans="27:53" x14ac:dyDescent="0.15">
      <c r="AB289" s="51">
        <v>1911.7267781113285</v>
      </c>
      <c r="AC289" s="51">
        <v>305.05296920945977</v>
      </c>
      <c r="AD289" s="51">
        <v>921.12407605503552</v>
      </c>
      <c r="AE289" s="51">
        <v>94.00689969225148</v>
      </c>
      <c r="AF289" s="51">
        <v>51.777640756380812</v>
      </c>
      <c r="AG289" s="51">
        <v>5.2842560599791568</v>
      </c>
      <c r="AH289" s="54">
        <v>1</v>
      </c>
      <c r="AI289" s="55">
        <v>1.1182017571880594</v>
      </c>
      <c r="AJ289" s="54">
        <v>1</v>
      </c>
      <c r="AK289" s="55">
        <v>1.1182017571880594</v>
      </c>
      <c r="AL289" s="82">
        <v>2217</v>
      </c>
      <c r="AM289" s="82">
        <v>2217</v>
      </c>
      <c r="AN289" s="54">
        <v>0.18100487686317304</v>
      </c>
      <c r="AO289" s="54">
        <v>4.9971408039351711E-2</v>
      </c>
      <c r="AP289" s="54">
        <v>0.23097628490252475</v>
      </c>
      <c r="AQ289" s="53">
        <v>1.0682257323228976</v>
      </c>
      <c r="AR289" s="53">
        <v>8.568187331839809</v>
      </c>
      <c r="AS289" s="53">
        <v>9.6364130641627064</v>
      </c>
      <c r="AT289" s="53">
        <v>6.7803506202161037</v>
      </c>
      <c r="AU289" s="53">
        <v>8.2083818421894055</v>
      </c>
      <c r="AV289" s="53">
        <v>3.4482777689450668</v>
      </c>
      <c r="AW289" s="53">
        <v>15260.367604612822</v>
      </c>
      <c r="AX289" s="53">
        <v>100.46031346291784</v>
      </c>
      <c r="AY289" s="51">
        <v>914</v>
      </c>
    </row>
    <row r="290" spans="27:53" x14ac:dyDescent="0.15">
      <c r="AB290" s="51">
        <v>1915.6305521438894</v>
      </c>
      <c r="AC290" s="51">
        <v>306.06621093646845</v>
      </c>
      <c r="AD290" s="51">
        <v>928.03404409777897</v>
      </c>
      <c r="AE290" s="51">
        <v>94.824168308987453</v>
      </c>
      <c r="AF290" s="51">
        <v>51.883261898443692</v>
      </c>
      <c r="AG290" s="51">
        <v>5.3013003024692322</v>
      </c>
      <c r="AH290" s="54">
        <v>1</v>
      </c>
      <c r="AI290" s="55">
        <v>1.1186877944649525</v>
      </c>
      <c r="AJ290" s="54">
        <v>1</v>
      </c>
      <c r="AK290" s="55">
        <v>1.1186877944649525</v>
      </c>
      <c r="AL290" s="82">
        <v>2222</v>
      </c>
      <c r="AM290" s="82">
        <v>2222</v>
      </c>
      <c r="AN290" s="54">
        <v>0.17869511401414778</v>
      </c>
      <c r="AO290" s="54">
        <v>4.9971408039351711E-2</v>
      </c>
      <c r="AP290" s="54">
        <v>0.22866652205349949</v>
      </c>
      <c r="AQ290" s="53">
        <v>1.0757371510205818</v>
      </c>
      <c r="AR290" s="53">
        <v>8.5679763440180032</v>
      </c>
      <c r="AS290" s="53">
        <v>9.6437134950385843</v>
      </c>
      <c r="AT290" s="53">
        <v>6.7877213803659178</v>
      </c>
      <c r="AU290" s="53">
        <v>8.215717437702251</v>
      </c>
      <c r="AV290" s="53">
        <v>3.4557305799144711</v>
      </c>
      <c r="AW290" s="53">
        <v>15367.673586008308</v>
      </c>
      <c r="AX290" s="53">
        <v>107.30598139548601</v>
      </c>
      <c r="AY290" s="51">
        <v>920</v>
      </c>
    </row>
    <row r="291" spans="27:53" x14ac:dyDescent="0.15">
      <c r="AB291" s="51">
        <v>1919.6593362646786</v>
      </c>
      <c r="AC291" s="51">
        <v>307.04519684902687</v>
      </c>
      <c r="AD291" s="51">
        <v>934.9539933717881</v>
      </c>
      <c r="AE291" s="51">
        <v>95.63125879591054</v>
      </c>
      <c r="AF291" s="51">
        <v>51.994402629611258</v>
      </c>
      <c r="AG291" s="51">
        <v>5.3182190878496796</v>
      </c>
      <c r="AH291" s="54">
        <v>1</v>
      </c>
      <c r="AI291" s="55">
        <v>1.1191738317418456</v>
      </c>
      <c r="AJ291" s="54">
        <v>1</v>
      </c>
      <c r="AK291" s="55">
        <v>1.1191738317418456</v>
      </c>
      <c r="AL291" s="82">
        <v>2227</v>
      </c>
      <c r="AM291" s="82">
        <v>2227</v>
      </c>
      <c r="AN291" s="54">
        <v>0.17640844879361278</v>
      </c>
      <c r="AO291" s="54">
        <v>4.9971408039351711E-2</v>
      </c>
      <c r="AP291" s="54">
        <v>0.22637985683296449</v>
      </c>
      <c r="AQ291" s="53">
        <v>1.0832362056213842</v>
      </c>
      <c r="AR291" s="53">
        <v>8.5681569228513439</v>
      </c>
      <c r="AS291" s="53">
        <v>9.6513931284727281</v>
      </c>
      <c r="AT291" s="53">
        <v>6.7953408208556141</v>
      </c>
      <c r="AU291" s="53">
        <v>8.223366974664172</v>
      </c>
      <c r="AV291" s="53">
        <v>3.4632797953023133</v>
      </c>
      <c r="AW291" s="53">
        <v>15474.802937448343</v>
      </c>
      <c r="AX291" s="53">
        <v>107.12935144003495</v>
      </c>
      <c r="AY291" s="51">
        <v>927</v>
      </c>
    </row>
    <row r="292" spans="27:53" x14ac:dyDescent="0.15">
      <c r="AB292" s="51">
        <v>1923.7674316591031</v>
      </c>
      <c r="AC292" s="51">
        <v>308.0136217542414</v>
      </c>
      <c r="AD292" s="51">
        <v>941.85857801412999</v>
      </c>
      <c r="AE292" s="51">
        <v>96.423268567521816</v>
      </c>
      <c r="AF292" s="51">
        <v>52.109001728361676</v>
      </c>
      <c r="AG292" s="51">
        <v>5.3346865290893994</v>
      </c>
      <c r="AH292" s="54">
        <v>1</v>
      </c>
      <c r="AI292" s="55">
        <v>1.1196598690187387</v>
      </c>
      <c r="AJ292" s="54">
        <v>1</v>
      </c>
      <c r="AK292" s="55">
        <v>1.1196598690187387</v>
      </c>
      <c r="AL292" s="82">
        <v>2232</v>
      </c>
      <c r="AM292" s="82">
        <v>2232</v>
      </c>
      <c r="AN292" s="54">
        <v>0.17414465022528314</v>
      </c>
      <c r="AO292" s="54">
        <v>4.9971408039351711E-2</v>
      </c>
      <c r="AP292" s="54">
        <v>0.22411605826463485</v>
      </c>
      <c r="AQ292" s="53">
        <v>1.0906938231193122</v>
      </c>
      <c r="AR292" s="53">
        <v>8.5686617703492995</v>
      </c>
      <c r="AS292" s="53">
        <v>9.6593555934686108</v>
      </c>
      <c r="AT292" s="53">
        <v>6.8031350033521782</v>
      </c>
      <c r="AU292" s="53">
        <v>8.2312452984103945</v>
      </c>
      <c r="AV292" s="53">
        <v>3.4708776482163395</v>
      </c>
      <c r="AW292" s="53">
        <v>15581.340330275885</v>
      </c>
      <c r="AX292" s="53">
        <v>106.53739282754213</v>
      </c>
      <c r="AY292" s="51">
        <v>933</v>
      </c>
    </row>
    <row r="293" spans="27:53" x14ac:dyDescent="0.15">
      <c r="AB293" s="56">
        <v>1928.6105546171443</v>
      </c>
      <c r="AC293" s="56">
        <v>308.16431382460291</v>
      </c>
      <c r="AD293" s="56">
        <v>949.06574666249037</v>
      </c>
      <c r="AE293" s="56">
        <v>96.957365426277903</v>
      </c>
      <c r="AF293" s="56">
        <v>52.242410900480408</v>
      </c>
      <c r="AG293" s="56">
        <v>5.3371292160109691</v>
      </c>
      <c r="AH293" s="58">
        <v>1</v>
      </c>
      <c r="AI293" s="59">
        <v>1.120145906295632</v>
      </c>
      <c r="AJ293" s="58">
        <v>1</v>
      </c>
      <c r="AK293" s="59">
        <v>1.120145906295632</v>
      </c>
      <c r="AL293" s="83">
        <v>2237</v>
      </c>
      <c r="AM293" s="83">
        <v>2237</v>
      </c>
      <c r="AN293" s="58">
        <v>0.1719034896426368</v>
      </c>
      <c r="AO293" s="58">
        <v>4.9971408039351711E-2</v>
      </c>
      <c r="AP293" s="58">
        <v>0.22187489768198851</v>
      </c>
      <c r="AQ293" s="57">
        <v>1.0993555941713575</v>
      </c>
      <c r="AR293" s="57">
        <v>8.5882714209242277</v>
      </c>
      <c r="AS293" s="57">
        <v>9.6876270150955861</v>
      </c>
      <c r="AT293" s="57">
        <v>6.8248698747875105</v>
      </c>
      <c r="AU293" s="57">
        <v>8.2562484449415479</v>
      </c>
      <c r="AV293" s="57">
        <v>3.4849865444280881</v>
      </c>
      <c r="AW293" s="57">
        <v>15705.079916733677</v>
      </c>
      <c r="AX293" s="57">
        <v>123.73958645779203</v>
      </c>
      <c r="AY293" s="56">
        <v>940</v>
      </c>
    </row>
    <row r="295" spans="27:53" ht="12.75" thickBot="1" x14ac:dyDescent="0.2"/>
    <row r="296" spans="27:53" ht="60.75" thickBot="1" x14ac:dyDescent="0.2">
      <c r="AA296" s="93"/>
      <c r="AB296" s="91" t="s">
        <v>20</v>
      </c>
      <c r="AC296" s="91" t="s">
        <v>4</v>
      </c>
      <c r="AD296" s="91" t="s">
        <v>155</v>
      </c>
      <c r="AE296" s="91" t="s">
        <v>156</v>
      </c>
      <c r="AF296" s="91" t="s">
        <v>157</v>
      </c>
      <c r="AG296" s="91" t="s">
        <v>158</v>
      </c>
      <c r="AH296" s="90" t="s">
        <v>50</v>
      </c>
      <c r="AI296" s="90" t="s">
        <v>28</v>
      </c>
      <c r="AJ296" s="90" t="s">
        <v>51</v>
      </c>
      <c r="AK296" s="90" t="s">
        <v>29</v>
      </c>
      <c r="AL296" s="90" t="s">
        <v>110</v>
      </c>
      <c r="AM296" s="90" t="s">
        <v>111</v>
      </c>
      <c r="AN296" s="91" t="s">
        <v>43</v>
      </c>
      <c r="AO296" s="91" t="s">
        <v>44</v>
      </c>
      <c r="AP296" s="91" t="s">
        <v>5</v>
      </c>
      <c r="AQ296" s="46" t="s">
        <v>45</v>
      </c>
      <c r="AR296" s="45" t="s">
        <v>46</v>
      </c>
      <c r="AS296" s="45" t="s">
        <v>93</v>
      </c>
      <c r="AT296" s="45" t="s">
        <v>30</v>
      </c>
      <c r="AU296" s="45" t="s">
        <v>31</v>
      </c>
      <c r="AV296" s="45" t="s">
        <v>32</v>
      </c>
      <c r="AW296" s="45" t="s">
        <v>26</v>
      </c>
      <c r="AX296" s="46" t="s">
        <v>138</v>
      </c>
      <c r="AY296" s="87" t="s">
        <v>152</v>
      </c>
    </row>
    <row r="297" spans="27:53" x14ac:dyDescent="0.15">
      <c r="AB297" s="44" t="s">
        <v>120</v>
      </c>
      <c r="AC297" s="44" t="s">
        <v>120</v>
      </c>
      <c r="AD297" s="44" t="s">
        <v>159</v>
      </c>
      <c r="AE297" s="44" t="s">
        <v>159</v>
      </c>
      <c r="AF297" s="44" t="s">
        <v>159</v>
      </c>
      <c r="AG297" s="44" t="s">
        <v>159</v>
      </c>
      <c r="AH297" s="43" t="s">
        <v>2</v>
      </c>
      <c r="AI297" s="43" t="s">
        <v>2</v>
      </c>
      <c r="AJ297" s="43" t="s">
        <v>2</v>
      </c>
      <c r="AK297" s="43" t="s">
        <v>2</v>
      </c>
      <c r="AL297" s="92">
        <v>0</v>
      </c>
      <c r="AM297" s="92">
        <v>0</v>
      </c>
      <c r="AN297" s="39" t="s">
        <v>2</v>
      </c>
      <c r="AO297" s="39" t="s">
        <v>2</v>
      </c>
      <c r="AP297" s="39" t="s">
        <v>2</v>
      </c>
      <c r="AQ297" s="43" t="s">
        <v>19</v>
      </c>
      <c r="AR297" s="43" t="s">
        <v>19</v>
      </c>
      <c r="AS297" s="43" t="s">
        <v>19</v>
      </c>
      <c r="AT297" s="43" t="s">
        <v>19</v>
      </c>
      <c r="AU297" s="43" t="s">
        <v>19</v>
      </c>
      <c r="AV297" s="43" t="s">
        <v>19</v>
      </c>
      <c r="AW297" s="43" t="s">
        <v>101</v>
      </c>
      <c r="AX297" s="43" t="s">
        <v>101</v>
      </c>
      <c r="AY297" s="43" t="s">
        <v>154</v>
      </c>
    </row>
    <row r="298" spans="27:53" ht="15.75" x14ac:dyDescent="0.15">
      <c r="AB298" s="76" t="e">
        <f>AB4-AB46-AB88-AB130-AB172-AB214-AB256</f>
        <v>#REF!</v>
      </c>
      <c r="AC298" s="76" t="e">
        <f t="shared" ref="AC298:AY298" si="28">AC4-AC46-AC88-AC130-AC172-AC214-AC256</f>
        <v>#REF!</v>
      </c>
      <c r="AD298" s="76" t="e">
        <f t="shared" si="28"/>
        <v>#REF!</v>
      </c>
      <c r="AE298" s="76" t="e">
        <f t="shared" si="28"/>
        <v>#REF!</v>
      </c>
      <c r="AF298" s="76" t="e">
        <f t="shared" si="28"/>
        <v>#REF!</v>
      </c>
      <c r="AG298" s="76" t="e">
        <f t="shared" si="28"/>
        <v>#REF!</v>
      </c>
      <c r="AH298" s="54"/>
      <c r="AI298" s="55"/>
      <c r="AJ298" s="54"/>
      <c r="AK298" s="55"/>
      <c r="AL298" s="82" t="e">
        <f t="shared" si="28"/>
        <v>#REF!</v>
      </c>
      <c r="AM298" s="82" t="e">
        <f t="shared" si="28"/>
        <v>#REF!</v>
      </c>
      <c r="AN298" s="54"/>
      <c r="AO298" s="54"/>
      <c r="AP298" s="54"/>
      <c r="AQ298" s="53" t="e">
        <f t="shared" si="28"/>
        <v>#REF!</v>
      </c>
      <c r="AR298" s="53" t="e">
        <f t="shared" si="28"/>
        <v>#REF!</v>
      </c>
      <c r="AS298" s="53" t="e">
        <f t="shared" si="28"/>
        <v>#REF!</v>
      </c>
      <c r="AT298" s="53" t="e">
        <f t="shared" si="28"/>
        <v>#REF!</v>
      </c>
      <c r="AU298" s="53" t="e">
        <f t="shared" si="28"/>
        <v>#REF!</v>
      </c>
      <c r="AV298" s="53" t="e">
        <f t="shared" si="28"/>
        <v>#REF!</v>
      </c>
      <c r="AW298" s="53" t="e">
        <f t="shared" si="28"/>
        <v>#REF!</v>
      </c>
      <c r="AX298" s="53" t="e">
        <f t="shared" si="28"/>
        <v>#REF!</v>
      </c>
      <c r="AY298" s="53" t="e">
        <f t="shared" si="28"/>
        <v>#REF!</v>
      </c>
      <c r="BA298" s="95"/>
    </row>
    <row r="299" spans="27:53" ht="15.75" x14ac:dyDescent="0.15">
      <c r="AB299" s="76" t="e">
        <f t="shared" ref="AB299:AY313" si="29">AB5-AB47-AB89-AB131-AB173-AB215-AB257</f>
        <v>#REF!</v>
      </c>
      <c r="AC299" s="76" t="e">
        <f t="shared" si="29"/>
        <v>#REF!</v>
      </c>
      <c r="AD299" s="76" t="e">
        <f t="shared" si="29"/>
        <v>#REF!</v>
      </c>
      <c r="AE299" s="76" t="e">
        <f t="shared" si="29"/>
        <v>#REF!</v>
      </c>
      <c r="AF299" s="76" t="e">
        <f t="shared" si="29"/>
        <v>#REF!</v>
      </c>
      <c r="AG299" s="76" t="e">
        <f t="shared" si="29"/>
        <v>#REF!</v>
      </c>
      <c r="AH299" s="78"/>
      <c r="AI299" s="79"/>
      <c r="AJ299" s="78"/>
      <c r="AK299" s="79"/>
      <c r="AL299" s="81" t="e">
        <f t="shared" si="29"/>
        <v>#REF!</v>
      </c>
      <c r="AM299" s="81" t="e">
        <f t="shared" si="29"/>
        <v>#REF!</v>
      </c>
      <c r="AN299" s="78"/>
      <c r="AO299" s="78"/>
      <c r="AP299" s="78"/>
      <c r="AQ299" s="77"/>
      <c r="AR299" s="77"/>
      <c r="AS299" s="77"/>
      <c r="AT299" s="77"/>
      <c r="AU299" s="77"/>
      <c r="AV299" s="77"/>
      <c r="AW299" s="77" t="e">
        <f t="shared" si="29"/>
        <v>#REF!</v>
      </c>
      <c r="AX299" s="77" t="e">
        <f t="shared" si="29"/>
        <v>#REF!</v>
      </c>
      <c r="AY299" s="76" t="e">
        <f t="shared" si="29"/>
        <v>#REF!</v>
      </c>
      <c r="BA299" s="95"/>
    </row>
    <row r="300" spans="27:53" x14ac:dyDescent="0.15">
      <c r="AB300" s="51" t="e">
        <f t="shared" si="29"/>
        <v>#REF!</v>
      </c>
      <c r="AC300" s="51" t="e">
        <f t="shared" si="29"/>
        <v>#REF!</v>
      </c>
      <c r="AD300" s="51" t="e">
        <f t="shared" si="29"/>
        <v>#REF!</v>
      </c>
      <c r="AE300" s="51" t="e">
        <f t="shared" si="29"/>
        <v>#REF!</v>
      </c>
      <c r="AF300" s="51" t="e">
        <f t="shared" si="29"/>
        <v>#REF!</v>
      </c>
      <c r="AG300" s="51" t="e">
        <f t="shared" si="29"/>
        <v>#REF!</v>
      </c>
      <c r="AH300" s="54"/>
      <c r="AI300" s="55"/>
      <c r="AJ300" s="54"/>
      <c r="AK300" s="55"/>
      <c r="AL300" s="82" t="e">
        <f t="shared" si="29"/>
        <v>#REF!</v>
      </c>
      <c r="AM300" s="82" t="e">
        <f t="shared" si="29"/>
        <v>#REF!</v>
      </c>
      <c r="AN300" s="54"/>
      <c r="AO300" s="54"/>
      <c r="AP300" s="54"/>
      <c r="AQ300" s="53" t="e">
        <f t="shared" si="29"/>
        <v>#REF!</v>
      </c>
      <c r="AR300" s="53" t="e">
        <f t="shared" si="29"/>
        <v>#REF!</v>
      </c>
      <c r="AS300" s="53" t="e">
        <f t="shared" si="29"/>
        <v>#REF!</v>
      </c>
      <c r="AT300" s="53" t="e">
        <f t="shared" si="29"/>
        <v>#REF!</v>
      </c>
      <c r="AU300" s="53" t="e">
        <f t="shared" si="29"/>
        <v>#REF!</v>
      </c>
      <c r="AV300" s="53" t="e">
        <f t="shared" si="29"/>
        <v>#REF!</v>
      </c>
      <c r="AW300" s="53" t="e">
        <f t="shared" si="29"/>
        <v>#REF!</v>
      </c>
      <c r="AX300" s="53" t="e">
        <f t="shared" si="29"/>
        <v>#REF!</v>
      </c>
      <c r="AY300" s="51" t="e">
        <f t="shared" si="29"/>
        <v>#REF!</v>
      </c>
      <c r="BA300" s="95"/>
    </row>
    <row r="301" spans="27:53" x14ac:dyDescent="0.15">
      <c r="AB301" s="56" t="e">
        <f t="shared" si="29"/>
        <v>#REF!</v>
      </c>
      <c r="AC301" s="56" t="e">
        <f t="shared" si="29"/>
        <v>#REF!</v>
      </c>
      <c r="AD301" s="56" t="e">
        <f t="shared" si="29"/>
        <v>#REF!</v>
      </c>
      <c r="AE301" s="56" t="e">
        <f t="shared" si="29"/>
        <v>#REF!</v>
      </c>
      <c r="AF301" s="56" t="e">
        <f t="shared" si="29"/>
        <v>#REF!</v>
      </c>
      <c r="AG301" s="56" t="e">
        <f t="shared" si="29"/>
        <v>#REF!</v>
      </c>
      <c r="AH301" s="58"/>
      <c r="AI301" s="59"/>
      <c r="AJ301" s="58"/>
      <c r="AK301" s="59"/>
      <c r="AL301" s="83" t="e">
        <f t="shared" si="29"/>
        <v>#REF!</v>
      </c>
      <c r="AM301" s="83" t="e">
        <f t="shared" si="29"/>
        <v>#REF!</v>
      </c>
      <c r="AN301" s="58"/>
      <c r="AO301" s="58"/>
      <c r="AP301" s="58"/>
      <c r="AQ301" s="57" t="e">
        <f t="shared" si="29"/>
        <v>#REF!</v>
      </c>
      <c r="AR301" s="57" t="e">
        <f t="shared" si="29"/>
        <v>#REF!</v>
      </c>
      <c r="AS301" s="57" t="e">
        <f t="shared" si="29"/>
        <v>#REF!</v>
      </c>
      <c r="AT301" s="57" t="e">
        <f t="shared" si="29"/>
        <v>#REF!</v>
      </c>
      <c r="AU301" s="57" t="e">
        <f t="shared" si="29"/>
        <v>#REF!</v>
      </c>
      <c r="AV301" s="57" t="e">
        <f t="shared" si="29"/>
        <v>#REF!</v>
      </c>
      <c r="AW301" s="57" t="e">
        <f t="shared" si="29"/>
        <v>#REF!</v>
      </c>
      <c r="AX301" s="57" t="e">
        <f t="shared" si="29"/>
        <v>#REF!</v>
      </c>
      <c r="AY301" s="56" t="e">
        <f t="shared" si="29"/>
        <v>#REF!</v>
      </c>
      <c r="BA301" s="95"/>
    </row>
    <row r="302" spans="27:53" x14ac:dyDescent="0.15">
      <c r="AB302" s="51" t="e">
        <f t="shared" si="29"/>
        <v>#REF!</v>
      </c>
      <c r="AC302" s="51" t="e">
        <f t="shared" si="29"/>
        <v>#REF!</v>
      </c>
      <c r="AD302" s="51" t="e">
        <f t="shared" si="29"/>
        <v>#REF!</v>
      </c>
      <c r="AE302" s="51" t="e">
        <f t="shared" si="29"/>
        <v>#REF!</v>
      </c>
      <c r="AF302" s="51" t="e">
        <f t="shared" si="29"/>
        <v>#REF!</v>
      </c>
      <c r="AG302" s="51" t="e">
        <f t="shared" si="29"/>
        <v>#REF!</v>
      </c>
      <c r="AH302" s="54"/>
      <c r="AI302" s="55"/>
      <c r="AJ302" s="54"/>
      <c r="AK302" s="55"/>
      <c r="AL302" s="82" t="e">
        <f t="shared" si="29"/>
        <v>#REF!</v>
      </c>
      <c r="AM302" s="82" t="e">
        <f t="shared" si="29"/>
        <v>#REF!</v>
      </c>
      <c r="AN302" s="54"/>
      <c r="AO302" s="54"/>
      <c r="AP302" s="54"/>
      <c r="AQ302" s="53" t="e">
        <f t="shared" si="29"/>
        <v>#REF!</v>
      </c>
      <c r="AR302" s="53" t="e">
        <f t="shared" si="29"/>
        <v>#REF!</v>
      </c>
      <c r="AS302" s="53" t="e">
        <f t="shared" si="29"/>
        <v>#REF!</v>
      </c>
      <c r="AT302" s="53" t="e">
        <f t="shared" si="29"/>
        <v>#REF!</v>
      </c>
      <c r="AU302" s="53" t="e">
        <f t="shared" si="29"/>
        <v>#REF!</v>
      </c>
      <c r="AV302" s="53" t="e">
        <f t="shared" si="29"/>
        <v>#REF!</v>
      </c>
      <c r="AW302" s="53" t="e">
        <f t="shared" si="29"/>
        <v>#REF!</v>
      </c>
      <c r="AX302" s="53" t="e">
        <f t="shared" si="29"/>
        <v>#REF!</v>
      </c>
      <c r="AY302" s="51" t="e">
        <f t="shared" si="29"/>
        <v>#REF!</v>
      </c>
      <c r="BA302" s="95"/>
    </row>
    <row r="303" spans="27:53" x14ac:dyDescent="0.15">
      <c r="AB303" s="51" t="e">
        <f t="shared" si="29"/>
        <v>#REF!</v>
      </c>
      <c r="AC303" s="51" t="e">
        <f t="shared" si="29"/>
        <v>#REF!</v>
      </c>
      <c r="AD303" s="51" t="e">
        <f t="shared" si="29"/>
        <v>#REF!</v>
      </c>
      <c r="AE303" s="51" t="e">
        <f t="shared" si="29"/>
        <v>#REF!</v>
      </c>
      <c r="AF303" s="51" t="e">
        <f t="shared" si="29"/>
        <v>#REF!</v>
      </c>
      <c r="AG303" s="51" t="e">
        <f t="shared" si="29"/>
        <v>#REF!</v>
      </c>
      <c r="AH303" s="54"/>
      <c r="AI303" s="55"/>
      <c r="AJ303" s="54"/>
      <c r="AK303" s="55"/>
      <c r="AL303" s="82" t="e">
        <f t="shared" si="29"/>
        <v>#REF!</v>
      </c>
      <c r="AM303" s="82" t="e">
        <f t="shared" si="29"/>
        <v>#REF!</v>
      </c>
      <c r="AN303" s="54"/>
      <c r="AO303" s="54"/>
      <c r="AP303" s="54"/>
      <c r="AQ303" s="53" t="e">
        <f t="shared" si="29"/>
        <v>#REF!</v>
      </c>
      <c r="AR303" s="53" t="e">
        <f t="shared" si="29"/>
        <v>#REF!</v>
      </c>
      <c r="AS303" s="53" t="e">
        <f t="shared" si="29"/>
        <v>#REF!</v>
      </c>
      <c r="AT303" s="53" t="e">
        <f t="shared" si="29"/>
        <v>#REF!</v>
      </c>
      <c r="AU303" s="53" t="e">
        <f t="shared" si="29"/>
        <v>#REF!</v>
      </c>
      <c r="AV303" s="53" t="e">
        <f t="shared" si="29"/>
        <v>#REF!</v>
      </c>
      <c r="AW303" s="53" t="e">
        <f t="shared" si="29"/>
        <v>#REF!</v>
      </c>
      <c r="AX303" s="53" t="e">
        <f t="shared" si="29"/>
        <v>#REF!</v>
      </c>
      <c r="AY303" s="51" t="e">
        <f t="shared" si="29"/>
        <v>#REF!</v>
      </c>
      <c r="BA303" s="95"/>
    </row>
    <row r="304" spans="27:53" x14ac:dyDescent="0.15">
      <c r="AB304" s="51" t="e">
        <f t="shared" si="29"/>
        <v>#REF!</v>
      </c>
      <c r="AC304" s="51" t="e">
        <f t="shared" si="29"/>
        <v>#REF!</v>
      </c>
      <c r="AD304" s="51" t="e">
        <f t="shared" si="29"/>
        <v>#REF!</v>
      </c>
      <c r="AE304" s="51" t="e">
        <f t="shared" si="29"/>
        <v>#REF!</v>
      </c>
      <c r="AF304" s="51" t="e">
        <f t="shared" si="29"/>
        <v>#REF!</v>
      </c>
      <c r="AG304" s="51" t="e">
        <f t="shared" si="29"/>
        <v>#REF!</v>
      </c>
      <c r="AH304" s="54"/>
      <c r="AI304" s="55"/>
      <c r="AJ304" s="54"/>
      <c r="AK304" s="55"/>
      <c r="AL304" s="82" t="e">
        <f t="shared" si="29"/>
        <v>#REF!</v>
      </c>
      <c r="AM304" s="82" t="e">
        <f t="shared" si="29"/>
        <v>#REF!</v>
      </c>
      <c r="AN304" s="54"/>
      <c r="AO304" s="54"/>
      <c r="AP304" s="54"/>
      <c r="AQ304" s="53" t="e">
        <f t="shared" si="29"/>
        <v>#REF!</v>
      </c>
      <c r="AR304" s="53" t="e">
        <f t="shared" si="29"/>
        <v>#REF!</v>
      </c>
      <c r="AS304" s="53" t="e">
        <f t="shared" si="29"/>
        <v>#REF!</v>
      </c>
      <c r="AT304" s="53" t="e">
        <f t="shared" si="29"/>
        <v>#REF!</v>
      </c>
      <c r="AU304" s="53" t="e">
        <f t="shared" si="29"/>
        <v>#REF!</v>
      </c>
      <c r="AV304" s="53" t="e">
        <f t="shared" si="29"/>
        <v>#REF!</v>
      </c>
      <c r="AW304" s="53" t="e">
        <f t="shared" si="29"/>
        <v>#REF!</v>
      </c>
      <c r="AX304" s="53" t="e">
        <f t="shared" si="29"/>
        <v>#REF!</v>
      </c>
      <c r="AY304" s="51" t="e">
        <f t="shared" si="29"/>
        <v>#REF!</v>
      </c>
      <c r="BA304" s="95"/>
    </row>
    <row r="305" spans="28:53" x14ac:dyDescent="0.15">
      <c r="AB305" s="51" t="e">
        <f t="shared" si="29"/>
        <v>#REF!</v>
      </c>
      <c r="AC305" s="51" t="e">
        <f t="shared" si="29"/>
        <v>#REF!</v>
      </c>
      <c r="AD305" s="51" t="e">
        <f t="shared" si="29"/>
        <v>#REF!</v>
      </c>
      <c r="AE305" s="51" t="e">
        <f t="shared" si="29"/>
        <v>#REF!</v>
      </c>
      <c r="AF305" s="51" t="e">
        <f t="shared" si="29"/>
        <v>#REF!</v>
      </c>
      <c r="AG305" s="51" t="e">
        <f t="shared" si="29"/>
        <v>#REF!</v>
      </c>
      <c r="AH305" s="54"/>
      <c r="AI305" s="55"/>
      <c r="AJ305" s="54"/>
      <c r="AK305" s="55"/>
      <c r="AL305" s="82" t="e">
        <f t="shared" si="29"/>
        <v>#REF!</v>
      </c>
      <c r="AM305" s="82" t="e">
        <f t="shared" si="29"/>
        <v>#REF!</v>
      </c>
      <c r="AN305" s="54"/>
      <c r="AO305" s="54"/>
      <c r="AP305" s="54"/>
      <c r="AQ305" s="53" t="e">
        <f t="shared" si="29"/>
        <v>#REF!</v>
      </c>
      <c r="AR305" s="53" t="e">
        <f t="shared" si="29"/>
        <v>#REF!</v>
      </c>
      <c r="AS305" s="53" t="e">
        <f t="shared" si="29"/>
        <v>#REF!</v>
      </c>
      <c r="AT305" s="53" t="e">
        <f t="shared" si="29"/>
        <v>#REF!</v>
      </c>
      <c r="AU305" s="53" t="e">
        <f t="shared" si="29"/>
        <v>#REF!</v>
      </c>
      <c r="AV305" s="53" t="e">
        <f t="shared" si="29"/>
        <v>#REF!</v>
      </c>
      <c r="AW305" s="53" t="e">
        <f t="shared" si="29"/>
        <v>#REF!</v>
      </c>
      <c r="AX305" s="53" t="e">
        <f t="shared" si="29"/>
        <v>#REF!</v>
      </c>
      <c r="AY305" s="51" t="e">
        <f t="shared" si="29"/>
        <v>#REF!</v>
      </c>
      <c r="BA305" s="95"/>
    </row>
    <row r="306" spans="28:53" x14ac:dyDescent="0.15">
      <c r="AB306" s="51" t="e">
        <f t="shared" si="29"/>
        <v>#REF!</v>
      </c>
      <c r="AC306" s="51" t="e">
        <f t="shared" si="29"/>
        <v>#REF!</v>
      </c>
      <c r="AD306" s="51" t="e">
        <f t="shared" si="29"/>
        <v>#REF!</v>
      </c>
      <c r="AE306" s="51" t="e">
        <f t="shared" si="29"/>
        <v>#REF!</v>
      </c>
      <c r="AF306" s="51" t="e">
        <f t="shared" si="29"/>
        <v>#REF!</v>
      </c>
      <c r="AG306" s="51" t="e">
        <f t="shared" si="29"/>
        <v>#REF!</v>
      </c>
      <c r="AH306" s="54"/>
      <c r="AI306" s="55"/>
      <c r="AJ306" s="54"/>
      <c r="AK306" s="55"/>
      <c r="AL306" s="82" t="e">
        <f t="shared" si="29"/>
        <v>#REF!</v>
      </c>
      <c r="AM306" s="82" t="e">
        <f t="shared" si="29"/>
        <v>#REF!</v>
      </c>
      <c r="AN306" s="54"/>
      <c r="AO306" s="54"/>
      <c r="AP306" s="54"/>
      <c r="AQ306" s="53" t="e">
        <f t="shared" si="29"/>
        <v>#REF!</v>
      </c>
      <c r="AR306" s="53" t="e">
        <f t="shared" si="29"/>
        <v>#REF!</v>
      </c>
      <c r="AS306" s="53" t="e">
        <f t="shared" si="29"/>
        <v>#REF!</v>
      </c>
      <c r="AT306" s="53" t="e">
        <f t="shared" si="29"/>
        <v>#REF!</v>
      </c>
      <c r="AU306" s="53" t="e">
        <f t="shared" si="29"/>
        <v>#REF!</v>
      </c>
      <c r="AV306" s="53" t="e">
        <f t="shared" si="29"/>
        <v>#REF!</v>
      </c>
      <c r="AW306" s="53" t="e">
        <f t="shared" si="29"/>
        <v>#REF!</v>
      </c>
      <c r="AX306" s="53" t="e">
        <f t="shared" si="29"/>
        <v>#REF!</v>
      </c>
      <c r="AY306" s="51" t="e">
        <f t="shared" si="29"/>
        <v>#REF!</v>
      </c>
      <c r="BA306" s="95"/>
    </row>
    <row r="307" spans="28:53" x14ac:dyDescent="0.15">
      <c r="AB307" s="51" t="e">
        <f t="shared" si="29"/>
        <v>#REF!</v>
      </c>
      <c r="AC307" s="51" t="e">
        <f t="shared" si="29"/>
        <v>#REF!</v>
      </c>
      <c r="AD307" s="51" t="e">
        <f t="shared" si="29"/>
        <v>#REF!</v>
      </c>
      <c r="AE307" s="51" t="e">
        <f t="shared" si="29"/>
        <v>#REF!</v>
      </c>
      <c r="AF307" s="51" t="e">
        <f t="shared" si="29"/>
        <v>#REF!</v>
      </c>
      <c r="AG307" s="51" t="e">
        <f t="shared" si="29"/>
        <v>#REF!</v>
      </c>
      <c r="AH307" s="54"/>
      <c r="AI307" s="55"/>
      <c r="AJ307" s="54"/>
      <c r="AK307" s="55"/>
      <c r="AL307" s="82" t="e">
        <f t="shared" si="29"/>
        <v>#REF!</v>
      </c>
      <c r="AM307" s="82" t="e">
        <f t="shared" si="29"/>
        <v>#REF!</v>
      </c>
      <c r="AN307" s="54"/>
      <c r="AO307" s="54"/>
      <c r="AP307" s="54"/>
      <c r="AQ307" s="53" t="e">
        <f t="shared" si="29"/>
        <v>#REF!</v>
      </c>
      <c r="AR307" s="53" t="e">
        <f t="shared" si="29"/>
        <v>#REF!</v>
      </c>
      <c r="AS307" s="53" t="e">
        <f t="shared" si="29"/>
        <v>#REF!</v>
      </c>
      <c r="AT307" s="53" t="e">
        <f t="shared" si="29"/>
        <v>#REF!</v>
      </c>
      <c r="AU307" s="53" t="e">
        <f t="shared" si="29"/>
        <v>#REF!</v>
      </c>
      <c r="AV307" s="53" t="e">
        <f t="shared" si="29"/>
        <v>#REF!</v>
      </c>
      <c r="AW307" s="53" t="e">
        <f t="shared" si="29"/>
        <v>#REF!</v>
      </c>
      <c r="AX307" s="53" t="e">
        <f t="shared" si="29"/>
        <v>#REF!</v>
      </c>
      <c r="AY307" s="51" t="e">
        <f t="shared" si="29"/>
        <v>#REF!</v>
      </c>
      <c r="BA307" s="95"/>
    </row>
    <row r="308" spans="28:53" x14ac:dyDescent="0.15">
      <c r="AB308" s="51" t="e">
        <f t="shared" si="29"/>
        <v>#REF!</v>
      </c>
      <c r="AC308" s="51" t="e">
        <f t="shared" si="29"/>
        <v>#REF!</v>
      </c>
      <c r="AD308" s="51" t="e">
        <f t="shared" si="29"/>
        <v>#REF!</v>
      </c>
      <c r="AE308" s="51" t="e">
        <f t="shared" si="29"/>
        <v>#REF!</v>
      </c>
      <c r="AF308" s="51" t="e">
        <f t="shared" si="29"/>
        <v>#REF!</v>
      </c>
      <c r="AG308" s="51" t="e">
        <f t="shared" si="29"/>
        <v>#REF!</v>
      </c>
      <c r="AH308" s="54"/>
      <c r="AI308" s="55"/>
      <c r="AJ308" s="54"/>
      <c r="AK308" s="55"/>
      <c r="AL308" s="82" t="e">
        <f t="shared" si="29"/>
        <v>#REF!</v>
      </c>
      <c r="AM308" s="82" t="e">
        <f t="shared" si="29"/>
        <v>#REF!</v>
      </c>
      <c r="AN308" s="54"/>
      <c r="AO308" s="54"/>
      <c r="AP308" s="54"/>
      <c r="AQ308" s="53" t="e">
        <f t="shared" si="29"/>
        <v>#REF!</v>
      </c>
      <c r="AR308" s="53" t="e">
        <f t="shared" si="29"/>
        <v>#REF!</v>
      </c>
      <c r="AS308" s="53" t="e">
        <f t="shared" si="29"/>
        <v>#REF!</v>
      </c>
      <c r="AT308" s="53" t="e">
        <f t="shared" si="29"/>
        <v>#REF!</v>
      </c>
      <c r="AU308" s="53" t="e">
        <f t="shared" si="29"/>
        <v>#REF!</v>
      </c>
      <c r="AV308" s="53" t="e">
        <f t="shared" si="29"/>
        <v>#REF!</v>
      </c>
      <c r="AW308" s="53" t="e">
        <f t="shared" si="29"/>
        <v>#REF!</v>
      </c>
      <c r="AX308" s="53" t="e">
        <f t="shared" si="29"/>
        <v>#REF!</v>
      </c>
      <c r="AY308" s="51" t="e">
        <f t="shared" si="29"/>
        <v>#REF!</v>
      </c>
      <c r="BA308" s="95"/>
    </row>
    <row r="309" spans="28:53" x14ac:dyDescent="0.15">
      <c r="AB309" s="51" t="e">
        <f t="shared" si="29"/>
        <v>#REF!</v>
      </c>
      <c r="AC309" s="51" t="e">
        <f t="shared" si="29"/>
        <v>#REF!</v>
      </c>
      <c r="AD309" s="51" t="e">
        <f t="shared" si="29"/>
        <v>#REF!</v>
      </c>
      <c r="AE309" s="51" t="e">
        <f t="shared" si="29"/>
        <v>#REF!</v>
      </c>
      <c r="AF309" s="51" t="e">
        <f t="shared" si="29"/>
        <v>#REF!</v>
      </c>
      <c r="AG309" s="51" t="e">
        <f t="shared" si="29"/>
        <v>#REF!</v>
      </c>
      <c r="AH309" s="54"/>
      <c r="AI309" s="55"/>
      <c r="AJ309" s="54"/>
      <c r="AK309" s="55"/>
      <c r="AL309" s="82" t="e">
        <f t="shared" si="29"/>
        <v>#REF!</v>
      </c>
      <c r="AM309" s="82" t="e">
        <f t="shared" si="29"/>
        <v>#REF!</v>
      </c>
      <c r="AN309" s="54"/>
      <c r="AO309" s="54"/>
      <c r="AP309" s="54"/>
      <c r="AQ309" s="53" t="e">
        <f t="shared" si="29"/>
        <v>#REF!</v>
      </c>
      <c r="AR309" s="53" t="e">
        <f t="shared" si="29"/>
        <v>#REF!</v>
      </c>
      <c r="AS309" s="53" t="e">
        <f t="shared" si="29"/>
        <v>#REF!</v>
      </c>
      <c r="AT309" s="53" t="e">
        <f t="shared" si="29"/>
        <v>#REF!</v>
      </c>
      <c r="AU309" s="53" t="e">
        <f t="shared" si="29"/>
        <v>#REF!</v>
      </c>
      <c r="AV309" s="53" t="e">
        <f t="shared" si="29"/>
        <v>#REF!</v>
      </c>
      <c r="AW309" s="53" t="e">
        <f t="shared" si="29"/>
        <v>#REF!</v>
      </c>
      <c r="AX309" s="53" t="e">
        <f t="shared" si="29"/>
        <v>#REF!</v>
      </c>
      <c r="AY309" s="51" t="e">
        <f t="shared" si="29"/>
        <v>#REF!</v>
      </c>
      <c r="BA309" s="95"/>
    </row>
    <row r="310" spans="28:53" x14ac:dyDescent="0.15">
      <c r="AB310" s="60" t="e">
        <f t="shared" si="29"/>
        <v>#REF!</v>
      </c>
      <c r="AC310" s="60" t="e">
        <f t="shared" si="29"/>
        <v>#REF!</v>
      </c>
      <c r="AD310" s="60" t="e">
        <f t="shared" si="29"/>
        <v>#REF!</v>
      </c>
      <c r="AE310" s="60" t="e">
        <f t="shared" si="29"/>
        <v>#REF!</v>
      </c>
      <c r="AF310" s="60" t="e">
        <f t="shared" si="29"/>
        <v>#REF!</v>
      </c>
      <c r="AG310" s="60" t="e">
        <f t="shared" si="29"/>
        <v>#REF!</v>
      </c>
      <c r="AH310" s="62"/>
      <c r="AI310" s="63"/>
      <c r="AJ310" s="62"/>
      <c r="AK310" s="63"/>
      <c r="AL310" s="84" t="e">
        <f t="shared" si="29"/>
        <v>#REF!</v>
      </c>
      <c r="AM310" s="84" t="e">
        <f t="shared" si="29"/>
        <v>#REF!</v>
      </c>
      <c r="AN310" s="62"/>
      <c r="AO310" s="62"/>
      <c r="AP310" s="62"/>
      <c r="AQ310" s="61" t="e">
        <f t="shared" si="29"/>
        <v>#REF!</v>
      </c>
      <c r="AR310" s="61" t="e">
        <f t="shared" si="29"/>
        <v>#REF!</v>
      </c>
      <c r="AS310" s="61" t="e">
        <f t="shared" si="29"/>
        <v>#REF!</v>
      </c>
      <c r="AT310" s="61" t="e">
        <f t="shared" si="29"/>
        <v>#REF!</v>
      </c>
      <c r="AU310" s="61" t="e">
        <f t="shared" si="29"/>
        <v>#REF!</v>
      </c>
      <c r="AV310" s="61" t="e">
        <f t="shared" si="29"/>
        <v>#REF!</v>
      </c>
      <c r="AW310" s="61" t="e">
        <f t="shared" si="29"/>
        <v>#REF!</v>
      </c>
      <c r="AX310" s="61" t="e">
        <f t="shared" si="29"/>
        <v>#REF!</v>
      </c>
      <c r="AY310" s="60" t="e">
        <f t="shared" si="29"/>
        <v>#REF!</v>
      </c>
      <c r="BA310" s="95"/>
    </row>
    <row r="311" spans="28:53" x14ac:dyDescent="0.15">
      <c r="AB311" s="51" t="e">
        <f t="shared" si="29"/>
        <v>#REF!</v>
      </c>
      <c r="AC311" s="51" t="e">
        <f t="shared" si="29"/>
        <v>#REF!</v>
      </c>
      <c r="AD311" s="51" t="e">
        <f t="shared" si="29"/>
        <v>#REF!</v>
      </c>
      <c r="AE311" s="51" t="e">
        <f t="shared" si="29"/>
        <v>#REF!</v>
      </c>
      <c r="AF311" s="51" t="e">
        <f t="shared" si="29"/>
        <v>#REF!</v>
      </c>
      <c r="AG311" s="51" t="e">
        <f t="shared" si="29"/>
        <v>#REF!</v>
      </c>
      <c r="AH311" s="54"/>
      <c r="AI311" s="55"/>
      <c r="AJ311" s="54"/>
      <c r="AK311" s="55"/>
      <c r="AL311" s="82" t="e">
        <f t="shared" si="29"/>
        <v>#REF!</v>
      </c>
      <c r="AM311" s="82" t="e">
        <f t="shared" si="29"/>
        <v>#REF!</v>
      </c>
      <c r="AN311" s="54"/>
      <c r="AO311" s="54"/>
      <c r="AP311" s="54"/>
      <c r="AQ311" s="53" t="e">
        <f t="shared" si="29"/>
        <v>#REF!</v>
      </c>
      <c r="AR311" s="53" t="e">
        <f t="shared" si="29"/>
        <v>#REF!</v>
      </c>
      <c r="AS311" s="53" t="e">
        <f t="shared" si="29"/>
        <v>#REF!</v>
      </c>
      <c r="AT311" s="53" t="e">
        <f t="shared" si="29"/>
        <v>#REF!</v>
      </c>
      <c r="AU311" s="53" t="e">
        <f t="shared" si="29"/>
        <v>#REF!</v>
      </c>
      <c r="AV311" s="53" t="e">
        <f t="shared" si="29"/>
        <v>#REF!</v>
      </c>
      <c r="AW311" s="53" t="e">
        <f t="shared" si="29"/>
        <v>#REF!</v>
      </c>
      <c r="AX311" s="53" t="e">
        <f t="shared" si="29"/>
        <v>#REF!</v>
      </c>
      <c r="AY311" s="51" t="e">
        <f t="shared" si="29"/>
        <v>#REF!</v>
      </c>
      <c r="BA311" s="95"/>
    </row>
    <row r="312" spans="28:53" x14ac:dyDescent="0.15">
      <c r="AB312" s="51" t="e">
        <f t="shared" si="29"/>
        <v>#REF!</v>
      </c>
      <c r="AC312" s="51" t="e">
        <f t="shared" si="29"/>
        <v>#REF!</v>
      </c>
      <c r="AD312" s="51" t="e">
        <f t="shared" si="29"/>
        <v>#REF!</v>
      </c>
      <c r="AE312" s="51" t="e">
        <f t="shared" si="29"/>
        <v>#REF!</v>
      </c>
      <c r="AF312" s="51" t="e">
        <f t="shared" si="29"/>
        <v>#REF!</v>
      </c>
      <c r="AG312" s="51" t="e">
        <f t="shared" si="29"/>
        <v>#REF!</v>
      </c>
      <c r="AH312" s="54"/>
      <c r="AI312" s="55"/>
      <c r="AJ312" s="54"/>
      <c r="AK312" s="55"/>
      <c r="AL312" s="82" t="e">
        <f t="shared" si="29"/>
        <v>#REF!</v>
      </c>
      <c r="AM312" s="82" t="e">
        <f t="shared" si="29"/>
        <v>#REF!</v>
      </c>
      <c r="AN312" s="54"/>
      <c r="AO312" s="54"/>
      <c r="AP312" s="54"/>
      <c r="AQ312" s="53" t="e">
        <f t="shared" si="29"/>
        <v>#REF!</v>
      </c>
      <c r="AR312" s="53" t="e">
        <f t="shared" si="29"/>
        <v>#REF!</v>
      </c>
      <c r="AS312" s="53" t="e">
        <f t="shared" si="29"/>
        <v>#REF!</v>
      </c>
      <c r="AT312" s="53" t="e">
        <f t="shared" si="29"/>
        <v>#REF!</v>
      </c>
      <c r="AU312" s="53" t="e">
        <f t="shared" si="29"/>
        <v>#REF!</v>
      </c>
      <c r="AV312" s="53" t="e">
        <f t="shared" si="29"/>
        <v>#REF!</v>
      </c>
      <c r="AW312" s="53" t="e">
        <f t="shared" si="29"/>
        <v>#REF!</v>
      </c>
      <c r="AX312" s="53" t="e">
        <f t="shared" si="29"/>
        <v>#REF!</v>
      </c>
      <c r="AY312" s="51" t="e">
        <f t="shared" si="29"/>
        <v>#REF!</v>
      </c>
      <c r="BA312" s="95"/>
    </row>
    <row r="313" spans="28:53" x14ac:dyDescent="0.15">
      <c r="AB313" s="51" t="e">
        <f t="shared" si="29"/>
        <v>#REF!</v>
      </c>
      <c r="AC313" s="51" t="e">
        <f t="shared" si="29"/>
        <v>#REF!</v>
      </c>
      <c r="AD313" s="51" t="e">
        <f t="shared" si="29"/>
        <v>#REF!</v>
      </c>
      <c r="AE313" s="51" t="e">
        <f t="shared" si="29"/>
        <v>#REF!</v>
      </c>
      <c r="AF313" s="51" t="e">
        <f t="shared" si="29"/>
        <v>#REF!</v>
      </c>
      <c r="AG313" s="51" t="e">
        <f t="shared" si="29"/>
        <v>#REF!</v>
      </c>
      <c r="AH313" s="54"/>
      <c r="AI313" s="55"/>
      <c r="AJ313" s="54"/>
      <c r="AK313" s="55"/>
      <c r="AL313" s="82" t="e">
        <f t="shared" si="29"/>
        <v>#REF!</v>
      </c>
      <c r="AM313" s="82" t="e">
        <f t="shared" si="29"/>
        <v>#REF!</v>
      </c>
      <c r="AN313" s="54"/>
      <c r="AO313" s="54"/>
      <c r="AP313" s="54"/>
      <c r="AQ313" s="53" t="e">
        <f t="shared" si="29"/>
        <v>#REF!</v>
      </c>
      <c r="AR313" s="53" t="e">
        <f t="shared" si="29"/>
        <v>#REF!</v>
      </c>
      <c r="AS313" s="53" t="e">
        <f t="shared" si="29"/>
        <v>#REF!</v>
      </c>
      <c r="AT313" s="53" t="e">
        <f t="shared" si="29"/>
        <v>#REF!</v>
      </c>
      <c r="AU313" s="53" t="e">
        <f t="shared" si="29"/>
        <v>#REF!</v>
      </c>
      <c r="AV313" s="53" t="e">
        <f t="shared" si="29"/>
        <v>#REF!</v>
      </c>
      <c r="AW313" s="53" t="e">
        <f t="shared" si="29"/>
        <v>#REF!</v>
      </c>
      <c r="AX313" s="53" t="e">
        <f t="shared" si="29"/>
        <v>#REF!</v>
      </c>
      <c r="AY313" s="51" t="e">
        <f t="shared" si="29"/>
        <v>#REF!</v>
      </c>
      <c r="BA313" s="95"/>
    </row>
    <row r="314" spans="28:53" x14ac:dyDescent="0.15">
      <c r="AB314" s="51" t="e">
        <f t="shared" ref="AB314:AY328" si="30">AB20-AB62-AB104-AB146-AB188-AB230-AB272</f>
        <v>#REF!</v>
      </c>
      <c r="AC314" s="51" t="e">
        <f t="shared" si="30"/>
        <v>#REF!</v>
      </c>
      <c r="AD314" s="51" t="e">
        <f t="shared" si="30"/>
        <v>#REF!</v>
      </c>
      <c r="AE314" s="51" t="e">
        <f t="shared" si="30"/>
        <v>#REF!</v>
      </c>
      <c r="AF314" s="51" t="e">
        <f t="shared" si="30"/>
        <v>#REF!</v>
      </c>
      <c r="AG314" s="51" t="e">
        <f t="shared" si="30"/>
        <v>#REF!</v>
      </c>
      <c r="AH314" s="54"/>
      <c r="AI314" s="55"/>
      <c r="AJ314" s="54"/>
      <c r="AK314" s="55"/>
      <c r="AL314" s="82" t="e">
        <f t="shared" si="30"/>
        <v>#REF!</v>
      </c>
      <c r="AM314" s="82" t="e">
        <f t="shared" si="30"/>
        <v>#REF!</v>
      </c>
      <c r="AN314" s="54"/>
      <c r="AO314" s="54"/>
      <c r="AP314" s="54"/>
      <c r="AQ314" s="53" t="e">
        <f t="shared" si="30"/>
        <v>#REF!</v>
      </c>
      <c r="AR314" s="53" t="e">
        <f t="shared" si="30"/>
        <v>#REF!</v>
      </c>
      <c r="AS314" s="53" t="e">
        <f t="shared" si="30"/>
        <v>#REF!</v>
      </c>
      <c r="AT314" s="53" t="e">
        <f t="shared" si="30"/>
        <v>#REF!</v>
      </c>
      <c r="AU314" s="53" t="e">
        <f t="shared" si="30"/>
        <v>#REF!</v>
      </c>
      <c r="AV314" s="53" t="e">
        <f t="shared" si="30"/>
        <v>#REF!</v>
      </c>
      <c r="AW314" s="53" t="e">
        <f t="shared" si="30"/>
        <v>#REF!</v>
      </c>
      <c r="AX314" s="53" t="e">
        <f t="shared" si="30"/>
        <v>#REF!</v>
      </c>
      <c r="AY314" s="51" t="e">
        <f t="shared" si="30"/>
        <v>#REF!</v>
      </c>
      <c r="BA314" s="95"/>
    </row>
    <row r="315" spans="28:53" x14ac:dyDescent="0.15">
      <c r="AB315" s="51" t="e">
        <f t="shared" si="30"/>
        <v>#REF!</v>
      </c>
      <c r="AC315" s="51" t="e">
        <f t="shared" si="30"/>
        <v>#REF!</v>
      </c>
      <c r="AD315" s="51" t="e">
        <f t="shared" si="30"/>
        <v>#REF!</v>
      </c>
      <c r="AE315" s="51" t="e">
        <f t="shared" si="30"/>
        <v>#REF!</v>
      </c>
      <c r="AF315" s="51" t="e">
        <f t="shared" si="30"/>
        <v>#REF!</v>
      </c>
      <c r="AG315" s="51" t="e">
        <f t="shared" si="30"/>
        <v>#REF!</v>
      </c>
      <c r="AH315" s="54"/>
      <c r="AI315" s="55"/>
      <c r="AJ315" s="54"/>
      <c r="AK315" s="55"/>
      <c r="AL315" s="82" t="e">
        <f t="shared" si="30"/>
        <v>#REF!</v>
      </c>
      <c r="AM315" s="82" t="e">
        <f t="shared" si="30"/>
        <v>#REF!</v>
      </c>
      <c r="AN315" s="54"/>
      <c r="AO315" s="54"/>
      <c r="AP315" s="54"/>
      <c r="AQ315" s="53" t="e">
        <f t="shared" si="30"/>
        <v>#REF!</v>
      </c>
      <c r="AR315" s="53" t="e">
        <f t="shared" si="30"/>
        <v>#REF!</v>
      </c>
      <c r="AS315" s="53" t="e">
        <f t="shared" si="30"/>
        <v>#REF!</v>
      </c>
      <c r="AT315" s="53" t="e">
        <f t="shared" si="30"/>
        <v>#REF!</v>
      </c>
      <c r="AU315" s="53" t="e">
        <f t="shared" si="30"/>
        <v>#REF!</v>
      </c>
      <c r="AV315" s="53" t="e">
        <f t="shared" si="30"/>
        <v>#REF!</v>
      </c>
      <c r="AW315" s="53" t="e">
        <f t="shared" si="30"/>
        <v>#REF!</v>
      </c>
      <c r="AX315" s="53" t="e">
        <f t="shared" si="30"/>
        <v>#REF!</v>
      </c>
      <c r="AY315" s="51" t="e">
        <f t="shared" si="30"/>
        <v>#REF!</v>
      </c>
      <c r="BA315" s="95"/>
    </row>
    <row r="316" spans="28:53" x14ac:dyDescent="0.15">
      <c r="AB316" s="51" t="e">
        <f t="shared" si="30"/>
        <v>#REF!</v>
      </c>
      <c r="AC316" s="51" t="e">
        <f t="shared" si="30"/>
        <v>#REF!</v>
      </c>
      <c r="AD316" s="51" t="e">
        <f t="shared" si="30"/>
        <v>#REF!</v>
      </c>
      <c r="AE316" s="51" t="e">
        <f t="shared" si="30"/>
        <v>#REF!</v>
      </c>
      <c r="AF316" s="51" t="e">
        <f t="shared" si="30"/>
        <v>#REF!</v>
      </c>
      <c r="AG316" s="51" t="e">
        <f t="shared" si="30"/>
        <v>#REF!</v>
      </c>
      <c r="AH316" s="54"/>
      <c r="AI316" s="55"/>
      <c r="AJ316" s="54"/>
      <c r="AK316" s="55"/>
      <c r="AL316" s="82" t="e">
        <f t="shared" si="30"/>
        <v>#REF!</v>
      </c>
      <c r="AM316" s="82" t="e">
        <f t="shared" si="30"/>
        <v>#REF!</v>
      </c>
      <c r="AN316" s="54"/>
      <c r="AO316" s="54"/>
      <c r="AP316" s="54"/>
      <c r="AQ316" s="53" t="e">
        <f t="shared" si="30"/>
        <v>#REF!</v>
      </c>
      <c r="AR316" s="53" t="e">
        <f t="shared" si="30"/>
        <v>#REF!</v>
      </c>
      <c r="AS316" s="53" t="e">
        <f t="shared" si="30"/>
        <v>#REF!</v>
      </c>
      <c r="AT316" s="53" t="e">
        <f t="shared" si="30"/>
        <v>#REF!</v>
      </c>
      <c r="AU316" s="53" t="e">
        <f t="shared" si="30"/>
        <v>#REF!</v>
      </c>
      <c r="AV316" s="53" t="e">
        <f t="shared" si="30"/>
        <v>#REF!</v>
      </c>
      <c r="AW316" s="53" t="e">
        <f t="shared" si="30"/>
        <v>#REF!</v>
      </c>
      <c r="AX316" s="53" t="e">
        <f t="shared" si="30"/>
        <v>#REF!</v>
      </c>
      <c r="AY316" s="51" t="e">
        <f t="shared" si="30"/>
        <v>#REF!</v>
      </c>
      <c r="BA316" s="95"/>
    </row>
    <row r="317" spans="28:53" x14ac:dyDescent="0.15">
      <c r="AB317" s="51" t="e">
        <f t="shared" si="30"/>
        <v>#REF!</v>
      </c>
      <c r="AC317" s="51" t="e">
        <f t="shared" si="30"/>
        <v>#REF!</v>
      </c>
      <c r="AD317" s="51" t="e">
        <f t="shared" si="30"/>
        <v>#REF!</v>
      </c>
      <c r="AE317" s="51" t="e">
        <f t="shared" si="30"/>
        <v>#REF!</v>
      </c>
      <c r="AF317" s="51" t="e">
        <f t="shared" si="30"/>
        <v>#REF!</v>
      </c>
      <c r="AG317" s="51" t="e">
        <f t="shared" si="30"/>
        <v>#REF!</v>
      </c>
      <c r="AH317" s="54"/>
      <c r="AI317" s="55"/>
      <c r="AJ317" s="54"/>
      <c r="AK317" s="55"/>
      <c r="AL317" s="82" t="e">
        <f t="shared" si="30"/>
        <v>#REF!</v>
      </c>
      <c r="AM317" s="82" t="e">
        <f t="shared" si="30"/>
        <v>#REF!</v>
      </c>
      <c r="AN317" s="54"/>
      <c r="AO317" s="54"/>
      <c r="AP317" s="54"/>
      <c r="AQ317" s="53" t="e">
        <f t="shared" si="30"/>
        <v>#REF!</v>
      </c>
      <c r="AR317" s="53" t="e">
        <f t="shared" si="30"/>
        <v>#REF!</v>
      </c>
      <c r="AS317" s="53" t="e">
        <f t="shared" si="30"/>
        <v>#REF!</v>
      </c>
      <c r="AT317" s="53" t="e">
        <f t="shared" si="30"/>
        <v>#REF!</v>
      </c>
      <c r="AU317" s="53" t="e">
        <f t="shared" si="30"/>
        <v>#REF!</v>
      </c>
      <c r="AV317" s="53" t="e">
        <f t="shared" si="30"/>
        <v>#REF!</v>
      </c>
      <c r="AW317" s="53" t="e">
        <f t="shared" si="30"/>
        <v>#REF!</v>
      </c>
      <c r="AX317" s="53" t="e">
        <f t="shared" si="30"/>
        <v>#REF!</v>
      </c>
      <c r="AY317" s="51" t="e">
        <f t="shared" si="30"/>
        <v>#REF!</v>
      </c>
      <c r="BA317" s="95"/>
    </row>
    <row r="318" spans="28:53" x14ac:dyDescent="0.15">
      <c r="AB318" s="51" t="e">
        <f t="shared" si="30"/>
        <v>#REF!</v>
      </c>
      <c r="AC318" s="51" t="e">
        <f t="shared" si="30"/>
        <v>#REF!</v>
      </c>
      <c r="AD318" s="51" t="e">
        <f t="shared" si="30"/>
        <v>#REF!</v>
      </c>
      <c r="AE318" s="51" t="e">
        <f t="shared" si="30"/>
        <v>#REF!</v>
      </c>
      <c r="AF318" s="51" t="e">
        <f t="shared" si="30"/>
        <v>#REF!</v>
      </c>
      <c r="AG318" s="51" t="e">
        <f t="shared" si="30"/>
        <v>#REF!</v>
      </c>
      <c r="AH318" s="54"/>
      <c r="AI318" s="55"/>
      <c r="AJ318" s="54"/>
      <c r="AK318" s="55"/>
      <c r="AL318" s="82" t="e">
        <f t="shared" si="30"/>
        <v>#REF!</v>
      </c>
      <c r="AM318" s="82" t="e">
        <f t="shared" si="30"/>
        <v>#REF!</v>
      </c>
      <c r="AN318" s="54"/>
      <c r="AO318" s="54"/>
      <c r="AP318" s="54"/>
      <c r="AQ318" s="53" t="e">
        <f t="shared" si="30"/>
        <v>#REF!</v>
      </c>
      <c r="AR318" s="53" t="e">
        <f t="shared" si="30"/>
        <v>#REF!</v>
      </c>
      <c r="AS318" s="53" t="e">
        <f t="shared" si="30"/>
        <v>#REF!</v>
      </c>
      <c r="AT318" s="53" t="e">
        <f t="shared" si="30"/>
        <v>#REF!</v>
      </c>
      <c r="AU318" s="53" t="e">
        <f t="shared" si="30"/>
        <v>#REF!</v>
      </c>
      <c r="AV318" s="53" t="e">
        <f t="shared" si="30"/>
        <v>#REF!</v>
      </c>
      <c r="AW318" s="53" t="e">
        <f t="shared" si="30"/>
        <v>#REF!</v>
      </c>
      <c r="AX318" s="53" t="e">
        <f t="shared" si="30"/>
        <v>#REF!</v>
      </c>
      <c r="AY318" s="51" t="e">
        <f t="shared" si="30"/>
        <v>#REF!</v>
      </c>
      <c r="BA318" s="95"/>
    </row>
    <row r="319" spans="28:53" x14ac:dyDescent="0.15">
      <c r="AB319" s="51" t="e">
        <f t="shared" si="30"/>
        <v>#REF!</v>
      </c>
      <c r="AC319" s="51" t="e">
        <f t="shared" si="30"/>
        <v>#REF!</v>
      </c>
      <c r="AD319" s="51" t="e">
        <f t="shared" si="30"/>
        <v>#REF!</v>
      </c>
      <c r="AE319" s="51" t="e">
        <f t="shared" si="30"/>
        <v>#REF!</v>
      </c>
      <c r="AF319" s="51" t="e">
        <f t="shared" si="30"/>
        <v>#REF!</v>
      </c>
      <c r="AG319" s="51" t="e">
        <f t="shared" si="30"/>
        <v>#REF!</v>
      </c>
      <c r="AH319" s="54"/>
      <c r="AI319" s="55"/>
      <c r="AJ319" s="54"/>
      <c r="AK319" s="55"/>
      <c r="AL319" s="82" t="e">
        <f t="shared" si="30"/>
        <v>#REF!</v>
      </c>
      <c r="AM319" s="82" t="e">
        <f t="shared" si="30"/>
        <v>#REF!</v>
      </c>
      <c r="AN319" s="54"/>
      <c r="AO319" s="54"/>
      <c r="AP319" s="54"/>
      <c r="AQ319" s="53" t="e">
        <f t="shared" si="30"/>
        <v>#REF!</v>
      </c>
      <c r="AR319" s="53" t="e">
        <f t="shared" si="30"/>
        <v>#REF!</v>
      </c>
      <c r="AS319" s="53" t="e">
        <f t="shared" si="30"/>
        <v>#REF!</v>
      </c>
      <c r="AT319" s="53" t="e">
        <f t="shared" si="30"/>
        <v>#REF!</v>
      </c>
      <c r="AU319" s="53" t="e">
        <f t="shared" si="30"/>
        <v>#REF!</v>
      </c>
      <c r="AV319" s="53" t="e">
        <f t="shared" si="30"/>
        <v>#REF!</v>
      </c>
      <c r="AW319" s="53" t="e">
        <f t="shared" si="30"/>
        <v>#REF!</v>
      </c>
      <c r="AX319" s="53" t="e">
        <f t="shared" si="30"/>
        <v>#REF!</v>
      </c>
      <c r="AY319" s="51" t="e">
        <f t="shared" si="30"/>
        <v>#REF!</v>
      </c>
      <c r="BA319" s="95"/>
    </row>
    <row r="320" spans="28:53" x14ac:dyDescent="0.15">
      <c r="AB320" s="60" t="e">
        <f t="shared" si="30"/>
        <v>#REF!</v>
      </c>
      <c r="AC320" s="60" t="e">
        <f t="shared" si="30"/>
        <v>#REF!</v>
      </c>
      <c r="AD320" s="60" t="e">
        <f t="shared" si="30"/>
        <v>#REF!</v>
      </c>
      <c r="AE320" s="60" t="e">
        <f t="shared" si="30"/>
        <v>#REF!</v>
      </c>
      <c r="AF320" s="60" t="e">
        <f t="shared" si="30"/>
        <v>#REF!</v>
      </c>
      <c r="AG320" s="60" t="e">
        <f t="shared" si="30"/>
        <v>#REF!</v>
      </c>
      <c r="AH320" s="62"/>
      <c r="AI320" s="63"/>
      <c r="AJ320" s="62"/>
      <c r="AK320" s="63"/>
      <c r="AL320" s="84" t="e">
        <f t="shared" si="30"/>
        <v>#REF!</v>
      </c>
      <c r="AM320" s="84" t="e">
        <f t="shared" si="30"/>
        <v>#REF!</v>
      </c>
      <c r="AN320" s="62"/>
      <c r="AO320" s="62"/>
      <c r="AP320" s="62"/>
      <c r="AQ320" s="61" t="e">
        <f t="shared" si="30"/>
        <v>#REF!</v>
      </c>
      <c r="AR320" s="61" t="e">
        <f t="shared" si="30"/>
        <v>#REF!</v>
      </c>
      <c r="AS320" s="61" t="e">
        <f t="shared" si="30"/>
        <v>#REF!</v>
      </c>
      <c r="AT320" s="61" t="e">
        <f t="shared" si="30"/>
        <v>#REF!</v>
      </c>
      <c r="AU320" s="61" t="e">
        <f t="shared" si="30"/>
        <v>#REF!</v>
      </c>
      <c r="AV320" s="61" t="e">
        <f t="shared" si="30"/>
        <v>#REF!</v>
      </c>
      <c r="AW320" s="61" t="e">
        <f t="shared" si="30"/>
        <v>#REF!</v>
      </c>
      <c r="AX320" s="61" t="e">
        <f t="shared" si="30"/>
        <v>#REF!</v>
      </c>
      <c r="AY320" s="60" t="e">
        <f t="shared" si="30"/>
        <v>#REF!</v>
      </c>
      <c r="BA320" s="95"/>
    </row>
    <row r="321" spans="28:53" x14ac:dyDescent="0.15">
      <c r="AB321" s="51" t="e">
        <f t="shared" si="30"/>
        <v>#REF!</v>
      </c>
      <c r="AC321" s="51" t="e">
        <f t="shared" si="30"/>
        <v>#REF!</v>
      </c>
      <c r="AD321" s="51" t="e">
        <f t="shared" si="30"/>
        <v>#REF!</v>
      </c>
      <c r="AE321" s="51" t="e">
        <f t="shared" si="30"/>
        <v>#REF!</v>
      </c>
      <c r="AF321" s="51" t="e">
        <f t="shared" si="30"/>
        <v>#REF!</v>
      </c>
      <c r="AG321" s="51" t="e">
        <f t="shared" si="30"/>
        <v>#REF!</v>
      </c>
      <c r="AH321" s="54"/>
      <c r="AI321" s="55"/>
      <c r="AJ321" s="54"/>
      <c r="AK321" s="55"/>
      <c r="AL321" s="82" t="e">
        <f t="shared" si="30"/>
        <v>#REF!</v>
      </c>
      <c r="AM321" s="82" t="e">
        <f t="shared" si="30"/>
        <v>#REF!</v>
      </c>
      <c r="AN321" s="54"/>
      <c r="AO321" s="54"/>
      <c r="AP321" s="54"/>
      <c r="AQ321" s="53" t="e">
        <f t="shared" si="30"/>
        <v>#REF!</v>
      </c>
      <c r="AR321" s="53" t="e">
        <f t="shared" si="30"/>
        <v>#REF!</v>
      </c>
      <c r="AS321" s="53" t="e">
        <f t="shared" si="30"/>
        <v>#REF!</v>
      </c>
      <c r="AT321" s="53" t="e">
        <f t="shared" si="30"/>
        <v>#REF!</v>
      </c>
      <c r="AU321" s="53" t="e">
        <f t="shared" si="30"/>
        <v>#REF!</v>
      </c>
      <c r="AV321" s="53" t="e">
        <f t="shared" si="30"/>
        <v>#REF!</v>
      </c>
      <c r="AW321" s="53" t="e">
        <f t="shared" si="30"/>
        <v>#REF!</v>
      </c>
      <c r="AX321" s="53" t="e">
        <f t="shared" si="30"/>
        <v>#REF!</v>
      </c>
      <c r="AY321" s="51" t="e">
        <f t="shared" si="30"/>
        <v>#REF!</v>
      </c>
      <c r="BA321" s="95"/>
    </row>
    <row r="322" spans="28:53" x14ac:dyDescent="0.15">
      <c r="AB322" s="51" t="e">
        <f t="shared" si="30"/>
        <v>#REF!</v>
      </c>
      <c r="AC322" s="51" t="e">
        <f t="shared" si="30"/>
        <v>#REF!</v>
      </c>
      <c r="AD322" s="51" t="e">
        <f t="shared" si="30"/>
        <v>#REF!</v>
      </c>
      <c r="AE322" s="51" t="e">
        <f t="shared" si="30"/>
        <v>#REF!</v>
      </c>
      <c r="AF322" s="51" t="e">
        <f t="shared" si="30"/>
        <v>#REF!</v>
      </c>
      <c r="AG322" s="51" t="e">
        <f t="shared" si="30"/>
        <v>#REF!</v>
      </c>
      <c r="AH322" s="54"/>
      <c r="AI322" s="55"/>
      <c r="AJ322" s="54"/>
      <c r="AK322" s="55"/>
      <c r="AL322" s="82" t="e">
        <f t="shared" si="30"/>
        <v>#REF!</v>
      </c>
      <c r="AM322" s="82" t="e">
        <f t="shared" si="30"/>
        <v>#REF!</v>
      </c>
      <c r="AN322" s="54"/>
      <c r="AO322" s="54"/>
      <c r="AP322" s="54"/>
      <c r="AQ322" s="53" t="e">
        <f t="shared" si="30"/>
        <v>#REF!</v>
      </c>
      <c r="AR322" s="53" t="e">
        <f t="shared" si="30"/>
        <v>#REF!</v>
      </c>
      <c r="AS322" s="53" t="e">
        <f t="shared" si="30"/>
        <v>#REF!</v>
      </c>
      <c r="AT322" s="53" t="e">
        <f t="shared" si="30"/>
        <v>#REF!</v>
      </c>
      <c r="AU322" s="53" t="e">
        <f t="shared" si="30"/>
        <v>#REF!</v>
      </c>
      <c r="AV322" s="53" t="e">
        <f t="shared" si="30"/>
        <v>#REF!</v>
      </c>
      <c r="AW322" s="53" t="e">
        <f t="shared" si="30"/>
        <v>#REF!</v>
      </c>
      <c r="AX322" s="53" t="e">
        <f t="shared" si="30"/>
        <v>#REF!</v>
      </c>
      <c r="AY322" s="51" t="e">
        <f t="shared" si="30"/>
        <v>#REF!</v>
      </c>
      <c r="BA322" s="95"/>
    </row>
    <row r="323" spans="28:53" x14ac:dyDescent="0.15">
      <c r="AB323" s="51" t="e">
        <f t="shared" si="30"/>
        <v>#REF!</v>
      </c>
      <c r="AC323" s="51" t="e">
        <f t="shared" si="30"/>
        <v>#REF!</v>
      </c>
      <c r="AD323" s="51" t="e">
        <f t="shared" si="30"/>
        <v>#REF!</v>
      </c>
      <c r="AE323" s="51" t="e">
        <f t="shared" si="30"/>
        <v>#REF!</v>
      </c>
      <c r="AF323" s="51" t="e">
        <f t="shared" si="30"/>
        <v>#REF!</v>
      </c>
      <c r="AG323" s="51" t="e">
        <f t="shared" si="30"/>
        <v>#REF!</v>
      </c>
      <c r="AH323" s="54"/>
      <c r="AI323" s="55"/>
      <c r="AJ323" s="54"/>
      <c r="AK323" s="55"/>
      <c r="AL323" s="82" t="e">
        <f t="shared" si="30"/>
        <v>#REF!</v>
      </c>
      <c r="AM323" s="82" t="e">
        <f t="shared" si="30"/>
        <v>#REF!</v>
      </c>
      <c r="AN323" s="54"/>
      <c r="AO323" s="54"/>
      <c r="AP323" s="54"/>
      <c r="AQ323" s="53" t="e">
        <f t="shared" si="30"/>
        <v>#REF!</v>
      </c>
      <c r="AR323" s="53" t="e">
        <f t="shared" si="30"/>
        <v>#REF!</v>
      </c>
      <c r="AS323" s="53" t="e">
        <f t="shared" si="30"/>
        <v>#REF!</v>
      </c>
      <c r="AT323" s="53" t="e">
        <f t="shared" si="30"/>
        <v>#REF!</v>
      </c>
      <c r="AU323" s="53" t="e">
        <f t="shared" si="30"/>
        <v>#REF!</v>
      </c>
      <c r="AV323" s="53" t="e">
        <f t="shared" si="30"/>
        <v>#REF!</v>
      </c>
      <c r="AW323" s="53" t="e">
        <f t="shared" si="30"/>
        <v>#REF!</v>
      </c>
      <c r="AX323" s="53" t="e">
        <f t="shared" si="30"/>
        <v>#REF!</v>
      </c>
      <c r="AY323" s="51" t="e">
        <f t="shared" si="30"/>
        <v>#REF!</v>
      </c>
      <c r="BA323" s="95"/>
    </row>
    <row r="324" spans="28:53" x14ac:dyDescent="0.15">
      <c r="AB324" s="51" t="e">
        <f t="shared" si="30"/>
        <v>#REF!</v>
      </c>
      <c r="AC324" s="51" t="e">
        <f t="shared" si="30"/>
        <v>#REF!</v>
      </c>
      <c r="AD324" s="51" t="e">
        <f t="shared" si="30"/>
        <v>#REF!</v>
      </c>
      <c r="AE324" s="51" t="e">
        <f t="shared" si="30"/>
        <v>#REF!</v>
      </c>
      <c r="AF324" s="51" t="e">
        <f t="shared" si="30"/>
        <v>#REF!</v>
      </c>
      <c r="AG324" s="51" t="e">
        <f t="shared" si="30"/>
        <v>#REF!</v>
      </c>
      <c r="AH324" s="54"/>
      <c r="AI324" s="55"/>
      <c r="AJ324" s="54"/>
      <c r="AK324" s="55"/>
      <c r="AL324" s="82" t="e">
        <f t="shared" si="30"/>
        <v>#REF!</v>
      </c>
      <c r="AM324" s="82" t="e">
        <f t="shared" si="30"/>
        <v>#REF!</v>
      </c>
      <c r="AN324" s="54"/>
      <c r="AO324" s="54"/>
      <c r="AP324" s="54"/>
      <c r="AQ324" s="53" t="e">
        <f t="shared" si="30"/>
        <v>#REF!</v>
      </c>
      <c r="AR324" s="53" t="e">
        <f t="shared" si="30"/>
        <v>#REF!</v>
      </c>
      <c r="AS324" s="53" t="e">
        <f t="shared" si="30"/>
        <v>#REF!</v>
      </c>
      <c r="AT324" s="53" t="e">
        <f t="shared" si="30"/>
        <v>#REF!</v>
      </c>
      <c r="AU324" s="53" t="e">
        <f t="shared" si="30"/>
        <v>#REF!</v>
      </c>
      <c r="AV324" s="53" t="e">
        <f t="shared" si="30"/>
        <v>#REF!</v>
      </c>
      <c r="AW324" s="53" t="e">
        <f t="shared" si="30"/>
        <v>#REF!</v>
      </c>
      <c r="AX324" s="53" t="e">
        <f t="shared" si="30"/>
        <v>#REF!</v>
      </c>
      <c r="AY324" s="51" t="e">
        <f t="shared" si="30"/>
        <v>#REF!</v>
      </c>
      <c r="BA324" s="95"/>
    </row>
    <row r="325" spans="28:53" x14ac:dyDescent="0.15">
      <c r="AB325" s="51" t="e">
        <f t="shared" si="30"/>
        <v>#REF!</v>
      </c>
      <c r="AC325" s="51" t="e">
        <f t="shared" si="30"/>
        <v>#REF!</v>
      </c>
      <c r="AD325" s="51" t="e">
        <f t="shared" si="30"/>
        <v>#REF!</v>
      </c>
      <c r="AE325" s="51" t="e">
        <f t="shared" si="30"/>
        <v>#REF!</v>
      </c>
      <c r="AF325" s="51" t="e">
        <f t="shared" si="30"/>
        <v>#REF!</v>
      </c>
      <c r="AG325" s="51" t="e">
        <f t="shared" si="30"/>
        <v>#REF!</v>
      </c>
      <c r="AH325" s="54"/>
      <c r="AI325" s="55"/>
      <c r="AJ325" s="54"/>
      <c r="AK325" s="55"/>
      <c r="AL325" s="82" t="e">
        <f t="shared" si="30"/>
        <v>#REF!</v>
      </c>
      <c r="AM325" s="82" t="e">
        <f t="shared" si="30"/>
        <v>#REF!</v>
      </c>
      <c r="AN325" s="54"/>
      <c r="AO325" s="54"/>
      <c r="AP325" s="54"/>
      <c r="AQ325" s="53" t="e">
        <f t="shared" si="30"/>
        <v>#REF!</v>
      </c>
      <c r="AR325" s="53" t="e">
        <f t="shared" si="30"/>
        <v>#REF!</v>
      </c>
      <c r="AS325" s="53" t="e">
        <f t="shared" si="30"/>
        <v>#REF!</v>
      </c>
      <c r="AT325" s="53" t="e">
        <f t="shared" si="30"/>
        <v>#REF!</v>
      </c>
      <c r="AU325" s="53" t="e">
        <f t="shared" si="30"/>
        <v>#REF!</v>
      </c>
      <c r="AV325" s="53" t="e">
        <f t="shared" si="30"/>
        <v>#REF!</v>
      </c>
      <c r="AW325" s="53" t="e">
        <f t="shared" si="30"/>
        <v>#REF!</v>
      </c>
      <c r="AX325" s="53" t="e">
        <f t="shared" si="30"/>
        <v>#REF!</v>
      </c>
      <c r="AY325" s="51" t="e">
        <f t="shared" si="30"/>
        <v>#REF!</v>
      </c>
      <c r="BA325" s="95"/>
    </row>
    <row r="326" spans="28:53" x14ac:dyDescent="0.15">
      <c r="AB326" s="51" t="e">
        <f t="shared" si="30"/>
        <v>#REF!</v>
      </c>
      <c r="AC326" s="51" t="e">
        <f t="shared" si="30"/>
        <v>#REF!</v>
      </c>
      <c r="AD326" s="51" t="e">
        <f t="shared" si="30"/>
        <v>#REF!</v>
      </c>
      <c r="AE326" s="51" t="e">
        <f t="shared" si="30"/>
        <v>#REF!</v>
      </c>
      <c r="AF326" s="51" t="e">
        <f t="shared" si="30"/>
        <v>#REF!</v>
      </c>
      <c r="AG326" s="51" t="e">
        <f t="shared" si="30"/>
        <v>#REF!</v>
      </c>
      <c r="AH326" s="54"/>
      <c r="AI326" s="55"/>
      <c r="AJ326" s="54"/>
      <c r="AK326" s="55"/>
      <c r="AL326" s="82" t="e">
        <f t="shared" si="30"/>
        <v>#REF!</v>
      </c>
      <c r="AM326" s="82" t="e">
        <f t="shared" si="30"/>
        <v>#REF!</v>
      </c>
      <c r="AN326" s="54"/>
      <c r="AO326" s="54"/>
      <c r="AP326" s="54"/>
      <c r="AQ326" s="53" t="e">
        <f t="shared" si="30"/>
        <v>#REF!</v>
      </c>
      <c r="AR326" s="53" t="e">
        <f t="shared" si="30"/>
        <v>#REF!</v>
      </c>
      <c r="AS326" s="53" t="e">
        <f t="shared" si="30"/>
        <v>#REF!</v>
      </c>
      <c r="AT326" s="53" t="e">
        <f t="shared" si="30"/>
        <v>#REF!</v>
      </c>
      <c r="AU326" s="53" t="e">
        <f t="shared" si="30"/>
        <v>#REF!</v>
      </c>
      <c r="AV326" s="53" t="e">
        <f t="shared" si="30"/>
        <v>#REF!</v>
      </c>
      <c r="AW326" s="53" t="e">
        <f t="shared" si="30"/>
        <v>#REF!</v>
      </c>
      <c r="AX326" s="53" t="e">
        <f t="shared" si="30"/>
        <v>#REF!</v>
      </c>
      <c r="AY326" s="51" t="e">
        <f t="shared" si="30"/>
        <v>#REF!</v>
      </c>
      <c r="BA326" s="95"/>
    </row>
    <row r="327" spans="28:53" x14ac:dyDescent="0.15">
      <c r="AB327" s="51" t="e">
        <f t="shared" si="30"/>
        <v>#REF!</v>
      </c>
      <c r="AC327" s="51" t="e">
        <f t="shared" si="30"/>
        <v>#REF!</v>
      </c>
      <c r="AD327" s="51" t="e">
        <f t="shared" si="30"/>
        <v>#REF!</v>
      </c>
      <c r="AE327" s="51" t="e">
        <f t="shared" si="30"/>
        <v>#REF!</v>
      </c>
      <c r="AF327" s="51" t="e">
        <f t="shared" si="30"/>
        <v>#REF!</v>
      </c>
      <c r="AG327" s="51" t="e">
        <f t="shared" si="30"/>
        <v>#REF!</v>
      </c>
      <c r="AH327" s="54"/>
      <c r="AI327" s="55"/>
      <c r="AJ327" s="54"/>
      <c r="AK327" s="55"/>
      <c r="AL327" s="82" t="e">
        <f t="shared" si="30"/>
        <v>#REF!</v>
      </c>
      <c r="AM327" s="82" t="e">
        <f t="shared" si="30"/>
        <v>#REF!</v>
      </c>
      <c r="AN327" s="54"/>
      <c r="AO327" s="54"/>
      <c r="AP327" s="54"/>
      <c r="AQ327" s="53" t="e">
        <f t="shared" si="30"/>
        <v>#REF!</v>
      </c>
      <c r="AR327" s="53" t="e">
        <f t="shared" si="30"/>
        <v>#REF!</v>
      </c>
      <c r="AS327" s="53" t="e">
        <f t="shared" si="30"/>
        <v>#REF!</v>
      </c>
      <c r="AT327" s="53" t="e">
        <f t="shared" si="30"/>
        <v>#REF!</v>
      </c>
      <c r="AU327" s="53" t="e">
        <f t="shared" si="30"/>
        <v>#REF!</v>
      </c>
      <c r="AV327" s="53" t="e">
        <f t="shared" si="30"/>
        <v>#REF!</v>
      </c>
      <c r="AW327" s="53" t="e">
        <f t="shared" si="30"/>
        <v>#REF!</v>
      </c>
      <c r="AX327" s="53" t="e">
        <f t="shared" si="30"/>
        <v>#REF!</v>
      </c>
      <c r="AY327" s="51" t="e">
        <f t="shared" si="30"/>
        <v>#REF!</v>
      </c>
      <c r="BA327" s="95"/>
    </row>
    <row r="328" spans="28:53" x14ac:dyDescent="0.15">
      <c r="AB328" s="51" t="e">
        <f t="shared" si="30"/>
        <v>#REF!</v>
      </c>
      <c r="AC328" s="51" t="e">
        <f t="shared" si="30"/>
        <v>#REF!</v>
      </c>
      <c r="AD328" s="51" t="e">
        <f t="shared" si="30"/>
        <v>#REF!</v>
      </c>
      <c r="AE328" s="51" t="e">
        <f t="shared" si="30"/>
        <v>#REF!</v>
      </c>
      <c r="AF328" s="51" t="e">
        <f t="shared" si="30"/>
        <v>#REF!</v>
      </c>
      <c r="AG328" s="51" t="e">
        <f t="shared" si="30"/>
        <v>#REF!</v>
      </c>
      <c r="AH328" s="54"/>
      <c r="AI328" s="55"/>
      <c r="AJ328" s="54"/>
      <c r="AK328" s="55"/>
      <c r="AL328" s="82" t="e">
        <f t="shared" si="30"/>
        <v>#REF!</v>
      </c>
      <c r="AM328" s="82" t="e">
        <f t="shared" si="30"/>
        <v>#REF!</v>
      </c>
      <c r="AN328" s="54"/>
      <c r="AO328" s="54"/>
      <c r="AP328" s="54"/>
      <c r="AQ328" s="53" t="e">
        <f t="shared" si="30"/>
        <v>#REF!</v>
      </c>
      <c r="AR328" s="53" t="e">
        <f t="shared" si="30"/>
        <v>#REF!</v>
      </c>
      <c r="AS328" s="53" t="e">
        <f t="shared" si="30"/>
        <v>#REF!</v>
      </c>
      <c r="AT328" s="53" t="e">
        <f t="shared" si="30"/>
        <v>#REF!</v>
      </c>
      <c r="AU328" s="53" t="e">
        <f t="shared" si="30"/>
        <v>#REF!</v>
      </c>
      <c r="AV328" s="53" t="e">
        <f t="shared" si="30"/>
        <v>#REF!</v>
      </c>
      <c r="AW328" s="53" t="e">
        <f t="shared" si="30"/>
        <v>#REF!</v>
      </c>
      <c r="AX328" s="53" t="e">
        <f t="shared" si="30"/>
        <v>#REF!</v>
      </c>
      <c r="AY328" s="51" t="e">
        <f t="shared" si="30"/>
        <v>#REF!</v>
      </c>
      <c r="BA328" s="95"/>
    </row>
    <row r="329" spans="28:53" x14ac:dyDescent="0.15">
      <c r="AB329" s="51" t="e">
        <f t="shared" ref="AB329:AY335" si="31">AB35-AB77-AB119-AB161-AB203-AB245-AB287</f>
        <v>#REF!</v>
      </c>
      <c r="AC329" s="51" t="e">
        <f t="shared" si="31"/>
        <v>#REF!</v>
      </c>
      <c r="AD329" s="51" t="e">
        <f t="shared" si="31"/>
        <v>#REF!</v>
      </c>
      <c r="AE329" s="51" t="e">
        <f t="shared" si="31"/>
        <v>#REF!</v>
      </c>
      <c r="AF329" s="51" t="e">
        <f t="shared" si="31"/>
        <v>#REF!</v>
      </c>
      <c r="AG329" s="51" t="e">
        <f t="shared" si="31"/>
        <v>#REF!</v>
      </c>
      <c r="AH329" s="54"/>
      <c r="AI329" s="55"/>
      <c r="AJ329" s="54"/>
      <c r="AK329" s="55"/>
      <c r="AL329" s="82" t="e">
        <f t="shared" si="31"/>
        <v>#REF!</v>
      </c>
      <c r="AM329" s="82" t="e">
        <f t="shared" si="31"/>
        <v>#REF!</v>
      </c>
      <c r="AN329" s="54"/>
      <c r="AO329" s="54"/>
      <c r="AP329" s="54"/>
      <c r="AQ329" s="53" t="e">
        <f t="shared" si="31"/>
        <v>#REF!</v>
      </c>
      <c r="AR329" s="53" t="e">
        <f t="shared" si="31"/>
        <v>#REF!</v>
      </c>
      <c r="AS329" s="53" t="e">
        <f t="shared" si="31"/>
        <v>#REF!</v>
      </c>
      <c r="AT329" s="53" t="e">
        <f t="shared" si="31"/>
        <v>#REF!</v>
      </c>
      <c r="AU329" s="53" t="e">
        <f t="shared" si="31"/>
        <v>#REF!</v>
      </c>
      <c r="AV329" s="53" t="e">
        <f t="shared" si="31"/>
        <v>#REF!</v>
      </c>
      <c r="AW329" s="53" t="e">
        <f t="shared" si="31"/>
        <v>#REF!</v>
      </c>
      <c r="AX329" s="53" t="e">
        <f t="shared" si="31"/>
        <v>#REF!</v>
      </c>
      <c r="AY329" s="51" t="e">
        <f t="shared" si="31"/>
        <v>#REF!</v>
      </c>
      <c r="BA329" s="95"/>
    </row>
    <row r="330" spans="28:53" x14ac:dyDescent="0.15">
      <c r="AB330" s="60" t="e">
        <f t="shared" si="31"/>
        <v>#REF!</v>
      </c>
      <c r="AC330" s="60" t="e">
        <f t="shared" si="31"/>
        <v>#REF!</v>
      </c>
      <c r="AD330" s="60" t="e">
        <f t="shared" si="31"/>
        <v>#REF!</v>
      </c>
      <c r="AE330" s="60" t="e">
        <f t="shared" si="31"/>
        <v>#REF!</v>
      </c>
      <c r="AF330" s="60" t="e">
        <f t="shared" si="31"/>
        <v>#REF!</v>
      </c>
      <c r="AG330" s="60" t="e">
        <f t="shared" si="31"/>
        <v>#REF!</v>
      </c>
      <c r="AH330" s="62"/>
      <c r="AI330" s="63"/>
      <c r="AJ330" s="62"/>
      <c r="AK330" s="63"/>
      <c r="AL330" s="84" t="e">
        <f t="shared" si="31"/>
        <v>#REF!</v>
      </c>
      <c r="AM330" s="84" t="e">
        <f t="shared" si="31"/>
        <v>#REF!</v>
      </c>
      <c r="AN330" s="62"/>
      <c r="AO330" s="62"/>
      <c r="AP330" s="62"/>
      <c r="AQ330" s="61" t="e">
        <f t="shared" si="31"/>
        <v>#REF!</v>
      </c>
      <c r="AR330" s="61" t="e">
        <f t="shared" si="31"/>
        <v>#REF!</v>
      </c>
      <c r="AS330" s="61" t="e">
        <f t="shared" si="31"/>
        <v>#REF!</v>
      </c>
      <c r="AT330" s="61" t="e">
        <f t="shared" si="31"/>
        <v>#REF!</v>
      </c>
      <c r="AU330" s="61" t="e">
        <f t="shared" si="31"/>
        <v>#REF!</v>
      </c>
      <c r="AV330" s="61" t="e">
        <f t="shared" si="31"/>
        <v>#REF!</v>
      </c>
      <c r="AW330" s="61" t="e">
        <f t="shared" si="31"/>
        <v>#REF!</v>
      </c>
      <c r="AX330" s="61" t="e">
        <f t="shared" si="31"/>
        <v>#REF!</v>
      </c>
      <c r="AY330" s="60" t="e">
        <f t="shared" si="31"/>
        <v>#REF!</v>
      </c>
      <c r="BA330" s="95"/>
    </row>
    <row r="331" spans="28:53" x14ac:dyDescent="0.15">
      <c r="AB331" s="51" t="e">
        <f t="shared" si="31"/>
        <v>#REF!</v>
      </c>
      <c r="AC331" s="51" t="e">
        <f t="shared" si="31"/>
        <v>#REF!</v>
      </c>
      <c r="AD331" s="51" t="e">
        <f t="shared" si="31"/>
        <v>#REF!</v>
      </c>
      <c r="AE331" s="51" t="e">
        <f t="shared" si="31"/>
        <v>#REF!</v>
      </c>
      <c r="AF331" s="51" t="e">
        <f t="shared" si="31"/>
        <v>#REF!</v>
      </c>
      <c r="AG331" s="51" t="e">
        <f t="shared" si="31"/>
        <v>#REF!</v>
      </c>
      <c r="AH331" s="54"/>
      <c r="AI331" s="55"/>
      <c r="AJ331" s="54"/>
      <c r="AK331" s="55"/>
      <c r="AL331" s="82" t="e">
        <f t="shared" si="31"/>
        <v>#REF!</v>
      </c>
      <c r="AM331" s="82" t="e">
        <f t="shared" si="31"/>
        <v>#REF!</v>
      </c>
      <c r="AN331" s="54"/>
      <c r="AO331" s="54"/>
      <c r="AP331" s="54"/>
      <c r="AQ331" s="53" t="e">
        <f t="shared" si="31"/>
        <v>#REF!</v>
      </c>
      <c r="AR331" s="53" t="e">
        <f t="shared" si="31"/>
        <v>#REF!</v>
      </c>
      <c r="AS331" s="53" t="e">
        <f t="shared" si="31"/>
        <v>#REF!</v>
      </c>
      <c r="AT331" s="53" t="e">
        <f t="shared" si="31"/>
        <v>#REF!</v>
      </c>
      <c r="AU331" s="53" t="e">
        <f t="shared" si="31"/>
        <v>#REF!</v>
      </c>
      <c r="AV331" s="53" t="e">
        <f t="shared" si="31"/>
        <v>#REF!</v>
      </c>
      <c r="AW331" s="53" t="e">
        <f t="shared" si="31"/>
        <v>#REF!</v>
      </c>
      <c r="AX331" s="53" t="e">
        <f t="shared" si="31"/>
        <v>#REF!</v>
      </c>
      <c r="AY331" s="51" t="e">
        <f t="shared" si="31"/>
        <v>#REF!</v>
      </c>
      <c r="BA331" s="95"/>
    </row>
    <row r="332" spans="28:53" x14ac:dyDescent="0.15">
      <c r="AB332" s="51" t="e">
        <f t="shared" si="31"/>
        <v>#REF!</v>
      </c>
      <c r="AC332" s="51" t="e">
        <f t="shared" si="31"/>
        <v>#REF!</v>
      </c>
      <c r="AD332" s="51" t="e">
        <f t="shared" si="31"/>
        <v>#REF!</v>
      </c>
      <c r="AE332" s="51" t="e">
        <f t="shared" si="31"/>
        <v>#REF!</v>
      </c>
      <c r="AF332" s="51" t="e">
        <f t="shared" si="31"/>
        <v>#REF!</v>
      </c>
      <c r="AG332" s="51" t="e">
        <f t="shared" si="31"/>
        <v>#REF!</v>
      </c>
      <c r="AH332" s="54"/>
      <c r="AI332" s="55"/>
      <c r="AJ332" s="54"/>
      <c r="AK332" s="55"/>
      <c r="AL332" s="82" t="e">
        <f t="shared" si="31"/>
        <v>#REF!</v>
      </c>
      <c r="AM332" s="82" t="e">
        <f t="shared" si="31"/>
        <v>#REF!</v>
      </c>
      <c r="AN332" s="54"/>
      <c r="AO332" s="54"/>
      <c r="AP332" s="54"/>
      <c r="AQ332" s="53" t="e">
        <f t="shared" si="31"/>
        <v>#REF!</v>
      </c>
      <c r="AR332" s="53" t="e">
        <f t="shared" si="31"/>
        <v>#REF!</v>
      </c>
      <c r="AS332" s="53" t="e">
        <f t="shared" si="31"/>
        <v>#REF!</v>
      </c>
      <c r="AT332" s="53" t="e">
        <f t="shared" si="31"/>
        <v>#REF!</v>
      </c>
      <c r="AU332" s="53" t="e">
        <f t="shared" si="31"/>
        <v>#REF!</v>
      </c>
      <c r="AV332" s="53" t="e">
        <f t="shared" si="31"/>
        <v>#REF!</v>
      </c>
      <c r="AW332" s="53" t="e">
        <f t="shared" si="31"/>
        <v>#REF!</v>
      </c>
      <c r="AX332" s="53" t="e">
        <f t="shared" si="31"/>
        <v>#REF!</v>
      </c>
      <c r="AY332" s="51" t="e">
        <f t="shared" si="31"/>
        <v>#REF!</v>
      </c>
      <c r="BA332" s="95"/>
    </row>
    <row r="333" spans="28:53" x14ac:dyDescent="0.15">
      <c r="AB333" s="51" t="e">
        <f t="shared" si="31"/>
        <v>#REF!</v>
      </c>
      <c r="AC333" s="51" t="e">
        <f t="shared" si="31"/>
        <v>#REF!</v>
      </c>
      <c r="AD333" s="51" t="e">
        <f t="shared" si="31"/>
        <v>#REF!</v>
      </c>
      <c r="AE333" s="51" t="e">
        <f t="shared" si="31"/>
        <v>#REF!</v>
      </c>
      <c r="AF333" s="51" t="e">
        <f t="shared" si="31"/>
        <v>#REF!</v>
      </c>
      <c r="AG333" s="51" t="e">
        <f t="shared" si="31"/>
        <v>#REF!</v>
      </c>
      <c r="AH333" s="54"/>
      <c r="AI333" s="55"/>
      <c r="AJ333" s="54"/>
      <c r="AK333" s="55"/>
      <c r="AL333" s="82" t="e">
        <f t="shared" si="31"/>
        <v>#REF!</v>
      </c>
      <c r="AM333" s="82" t="e">
        <f t="shared" si="31"/>
        <v>#REF!</v>
      </c>
      <c r="AN333" s="54"/>
      <c r="AO333" s="54"/>
      <c r="AP333" s="54"/>
      <c r="AQ333" s="53" t="e">
        <f t="shared" si="31"/>
        <v>#REF!</v>
      </c>
      <c r="AR333" s="53" t="e">
        <f t="shared" si="31"/>
        <v>#REF!</v>
      </c>
      <c r="AS333" s="53" t="e">
        <f t="shared" si="31"/>
        <v>#REF!</v>
      </c>
      <c r="AT333" s="53" t="e">
        <f t="shared" si="31"/>
        <v>#REF!</v>
      </c>
      <c r="AU333" s="53" t="e">
        <f t="shared" si="31"/>
        <v>#REF!</v>
      </c>
      <c r="AV333" s="53" t="e">
        <f t="shared" si="31"/>
        <v>#REF!</v>
      </c>
      <c r="AW333" s="53" t="e">
        <f t="shared" si="31"/>
        <v>#REF!</v>
      </c>
      <c r="AX333" s="53" t="e">
        <f t="shared" si="31"/>
        <v>#REF!</v>
      </c>
      <c r="AY333" s="51" t="e">
        <f t="shared" si="31"/>
        <v>#REF!</v>
      </c>
      <c r="BA333" s="95"/>
    </row>
    <row r="334" spans="28:53" x14ac:dyDescent="0.15">
      <c r="AB334" s="51" t="e">
        <f t="shared" si="31"/>
        <v>#REF!</v>
      </c>
      <c r="AC334" s="51" t="e">
        <f t="shared" si="31"/>
        <v>#REF!</v>
      </c>
      <c r="AD334" s="51" t="e">
        <f t="shared" si="31"/>
        <v>#REF!</v>
      </c>
      <c r="AE334" s="51" t="e">
        <f t="shared" si="31"/>
        <v>#REF!</v>
      </c>
      <c r="AF334" s="51" t="e">
        <f t="shared" si="31"/>
        <v>#REF!</v>
      </c>
      <c r="AG334" s="51" t="e">
        <f t="shared" si="31"/>
        <v>#REF!</v>
      </c>
      <c r="AH334" s="54"/>
      <c r="AI334" s="55"/>
      <c r="AJ334" s="54"/>
      <c r="AK334" s="55"/>
      <c r="AL334" s="82" t="e">
        <f t="shared" si="31"/>
        <v>#REF!</v>
      </c>
      <c r="AM334" s="82" t="e">
        <f t="shared" si="31"/>
        <v>#REF!</v>
      </c>
      <c r="AN334" s="54"/>
      <c r="AO334" s="54"/>
      <c r="AP334" s="54"/>
      <c r="AQ334" s="53" t="e">
        <f t="shared" si="31"/>
        <v>#REF!</v>
      </c>
      <c r="AR334" s="53" t="e">
        <f t="shared" si="31"/>
        <v>#REF!</v>
      </c>
      <c r="AS334" s="53" t="e">
        <f t="shared" si="31"/>
        <v>#REF!</v>
      </c>
      <c r="AT334" s="53" t="e">
        <f t="shared" si="31"/>
        <v>#REF!</v>
      </c>
      <c r="AU334" s="53" t="e">
        <f t="shared" si="31"/>
        <v>#REF!</v>
      </c>
      <c r="AV334" s="53" t="e">
        <f t="shared" si="31"/>
        <v>#REF!</v>
      </c>
      <c r="AW334" s="53" t="e">
        <f t="shared" si="31"/>
        <v>#REF!</v>
      </c>
      <c r="AX334" s="53" t="e">
        <f t="shared" si="31"/>
        <v>#REF!</v>
      </c>
      <c r="AY334" s="51" t="e">
        <f t="shared" si="31"/>
        <v>#REF!</v>
      </c>
      <c r="BA334" s="95"/>
    </row>
    <row r="335" spans="28:53" x14ac:dyDescent="0.15">
      <c r="AB335" s="56" t="e">
        <f t="shared" si="31"/>
        <v>#REF!</v>
      </c>
      <c r="AC335" s="56" t="e">
        <f t="shared" si="31"/>
        <v>#REF!</v>
      </c>
      <c r="AD335" s="56" t="e">
        <f t="shared" si="31"/>
        <v>#REF!</v>
      </c>
      <c r="AE335" s="56" t="e">
        <f t="shared" si="31"/>
        <v>#REF!</v>
      </c>
      <c r="AF335" s="56" t="e">
        <f t="shared" si="31"/>
        <v>#REF!</v>
      </c>
      <c r="AG335" s="56" t="e">
        <f t="shared" si="31"/>
        <v>#REF!</v>
      </c>
      <c r="AH335" s="58"/>
      <c r="AI335" s="59"/>
      <c r="AJ335" s="58"/>
      <c r="AK335" s="59"/>
      <c r="AL335" s="83" t="e">
        <f t="shared" si="31"/>
        <v>#REF!</v>
      </c>
      <c r="AM335" s="83" t="e">
        <f t="shared" si="31"/>
        <v>#REF!</v>
      </c>
      <c r="AN335" s="58"/>
      <c r="AO335" s="58"/>
      <c r="AP335" s="58"/>
      <c r="AQ335" s="57" t="e">
        <f t="shared" si="31"/>
        <v>#REF!</v>
      </c>
      <c r="AR335" s="57" t="e">
        <f t="shared" si="31"/>
        <v>#REF!</v>
      </c>
      <c r="AS335" s="57" t="e">
        <f t="shared" si="31"/>
        <v>#REF!</v>
      </c>
      <c r="AT335" s="57" t="e">
        <f t="shared" si="31"/>
        <v>#REF!</v>
      </c>
      <c r="AU335" s="57" t="e">
        <f t="shared" si="31"/>
        <v>#REF!</v>
      </c>
      <c r="AV335" s="57" t="e">
        <f t="shared" si="31"/>
        <v>#REF!</v>
      </c>
      <c r="AW335" s="57" t="e">
        <f t="shared" si="31"/>
        <v>#REF!</v>
      </c>
      <c r="AX335" s="57" t="e">
        <f t="shared" si="31"/>
        <v>#REF!</v>
      </c>
      <c r="AY335" s="56" t="e">
        <f t="shared" si="31"/>
        <v>#REF!</v>
      </c>
      <c r="BA335" s="95"/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80"/>
  <sheetViews>
    <sheetView workbookViewId="0">
      <selection activeCell="Y28" sqref="Y28:BD32"/>
    </sheetView>
  </sheetViews>
  <sheetFormatPr defaultRowHeight="12" x14ac:dyDescent="0.15"/>
  <cols>
    <col min="5" max="7" width="20.125" customWidth="1"/>
    <col min="24" max="24" width="15.125" customWidth="1"/>
    <col min="25" max="58" width="3.625" customWidth="1"/>
  </cols>
  <sheetData>
    <row r="1" spans="1:13" ht="54.75" thickBot="1" x14ac:dyDescent="0.2">
      <c r="A1" t="s">
        <v>95</v>
      </c>
      <c r="D1" s="64" t="s">
        <v>1</v>
      </c>
      <c r="E1" s="64" t="s">
        <v>52</v>
      </c>
      <c r="F1" s="65" t="s">
        <v>94</v>
      </c>
      <c r="G1" s="64" t="s">
        <v>53</v>
      </c>
      <c r="I1" s="270" t="s">
        <v>56</v>
      </c>
      <c r="J1" s="14" t="s">
        <v>57</v>
      </c>
      <c r="K1" s="14" t="s">
        <v>59</v>
      </c>
      <c r="L1" s="17" t="s">
        <v>61</v>
      </c>
      <c r="M1" s="24" t="s">
        <v>62</v>
      </c>
    </row>
    <row r="2" spans="1:13" ht="12.75" thickBot="1" x14ac:dyDescent="0.2">
      <c r="A2" s="70">
        <v>33892</v>
      </c>
      <c r="B2" s="71"/>
      <c r="C2" s="71"/>
      <c r="D2">
        <v>1</v>
      </c>
      <c r="E2" s="1">
        <v>2255822.31</v>
      </c>
      <c r="F2" s="1">
        <v>21958106.25</v>
      </c>
      <c r="G2" s="2">
        <f>E2+F2</f>
        <v>24213928.559999999</v>
      </c>
      <c r="I2" s="271"/>
      <c r="J2" s="13"/>
      <c r="K2" s="13"/>
      <c r="L2" s="18"/>
      <c r="M2" s="25"/>
    </row>
    <row r="3" spans="1:13" ht="12.75" thickBot="1" x14ac:dyDescent="0.2">
      <c r="A3" s="67">
        <v>34277</v>
      </c>
      <c r="B3" s="72"/>
      <c r="C3" s="72"/>
      <c r="D3">
        <f>D2+1</f>
        <v>2</v>
      </c>
      <c r="E3" s="1">
        <v>9023289.2300000004</v>
      </c>
      <c r="F3" s="1">
        <v>21958106.25</v>
      </c>
      <c r="G3" s="2">
        <f t="shared" ref="G3:G32" si="0">E3+F3</f>
        <v>30981395.48</v>
      </c>
      <c r="I3" s="271"/>
      <c r="J3" s="13"/>
      <c r="K3" s="11" t="s">
        <v>60</v>
      </c>
      <c r="L3" s="18"/>
      <c r="M3" s="25"/>
    </row>
    <row r="4" spans="1:13" ht="12.75" thickBot="1" x14ac:dyDescent="0.2">
      <c r="A4" s="68">
        <v>334666</v>
      </c>
      <c r="B4" s="73"/>
      <c r="C4" s="73"/>
      <c r="D4">
        <f t="shared" ref="D4:D31" si="1">D3+1</f>
        <v>3</v>
      </c>
      <c r="E4" s="1">
        <v>9023289.2300000004</v>
      </c>
      <c r="F4" s="1">
        <v>21958106.25</v>
      </c>
      <c r="G4" s="2">
        <f t="shared" si="0"/>
        <v>30981395.48</v>
      </c>
      <c r="I4" s="272"/>
      <c r="J4" s="15" t="s">
        <v>58</v>
      </c>
      <c r="K4" s="16"/>
      <c r="L4" s="19" t="s">
        <v>58</v>
      </c>
      <c r="M4" s="26" t="s">
        <v>58</v>
      </c>
    </row>
    <row r="5" spans="1:13" ht="12.75" thickBot="1" x14ac:dyDescent="0.2">
      <c r="A5" s="67">
        <v>43614</v>
      </c>
      <c r="B5" s="72"/>
      <c r="C5" s="72"/>
      <c r="D5">
        <f t="shared" si="1"/>
        <v>4</v>
      </c>
      <c r="E5" s="1">
        <v>9023289.2300000004</v>
      </c>
      <c r="F5" s="1">
        <v>44797139.289999999</v>
      </c>
      <c r="G5" s="2">
        <f t="shared" si="0"/>
        <v>53820428.519999996</v>
      </c>
      <c r="I5" s="3">
        <v>2020</v>
      </c>
      <c r="J5" s="23">
        <v>15046</v>
      </c>
      <c r="K5" s="4">
        <v>16074</v>
      </c>
      <c r="L5" s="5">
        <v>12532</v>
      </c>
      <c r="M5" s="27">
        <v>15410</v>
      </c>
    </row>
    <row r="6" spans="1:13" ht="12.75" thickBot="1" x14ac:dyDescent="0.2">
      <c r="A6" s="68">
        <v>54873</v>
      </c>
      <c r="B6" s="73"/>
      <c r="C6" s="73"/>
      <c r="D6">
        <f t="shared" si="1"/>
        <v>5</v>
      </c>
      <c r="E6" s="1">
        <v>26001057.57</v>
      </c>
      <c r="F6" s="1">
        <v>44797139.289999999</v>
      </c>
      <c r="G6" s="2">
        <f t="shared" si="0"/>
        <v>70798196.859999999</v>
      </c>
      <c r="I6" s="6">
        <v>2019</v>
      </c>
      <c r="J6" s="21">
        <v>12392</v>
      </c>
      <c r="K6" s="7">
        <v>13106</v>
      </c>
      <c r="L6" s="7">
        <v>10080</v>
      </c>
      <c r="M6" s="28">
        <v>14984</v>
      </c>
    </row>
    <row r="7" spans="1:13" ht="12.75" thickBot="1" x14ac:dyDescent="0.2">
      <c r="A7" s="69">
        <v>69037</v>
      </c>
      <c r="B7" s="74"/>
      <c r="C7" s="74"/>
      <c r="D7">
        <f t="shared" si="1"/>
        <v>6</v>
      </c>
      <c r="E7" s="1">
        <v>26001057.57</v>
      </c>
      <c r="F7" s="1">
        <v>44797139.289999999</v>
      </c>
      <c r="G7" s="2">
        <f t="shared" si="0"/>
        <v>70798196.859999999</v>
      </c>
      <c r="I7" s="8">
        <v>2018</v>
      </c>
      <c r="J7" s="22">
        <v>12372</v>
      </c>
      <c r="K7" s="9">
        <v>13096</v>
      </c>
      <c r="L7" s="9">
        <v>10018</v>
      </c>
      <c r="M7" s="27">
        <v>15609</v>
      </c>
    </row>
    <row r="8" spans="1:13" ht="12.75" thickBot="1" x14ac:dyDescent="0.2">
      <c r="A8" s="68">
        <v>86858</v>
      </c>
      <c r="B8" s="73"/>
      <c r="C8" s="73"/>
      <c r="D8">
        <f t="shared" si="1"/>
        <v>7</v>
      </c>
      <c r="E8" s="1">
        <v>26001057.57</v>
      </c>
      <c r="F8" s="1">
        <v>44797139.289999999</v>
      </c>
      <c r="G8" s="2">
        <f t="shared" si="0"/>
        <v>70798196.859999999</v>
      </c>
      <c r="I8" s="6">
        <v>2017</v>
      </c>
      <c r="J8" s="21">
        <v>14700</v>
      </c>
      <c r="K8" s="7">
        <v>15600</v>
      </c>
      <c r="L8" s="7">
        <v>12000</v>
      </c>
      <c r="M8" s="28">
        <v>15396</v>
      </c>
    </row>
    <row r="9" spans="1:13" ht="12.75" thickBot="1" x14ac:dyDescent="0.2">
      <c r="A9" s="67">
        <v>109279</v>
      </c>
      <c r="B9" s="72"/>
      <c r="C9" s="72"/>
      <c r="D9">
        <f t="shared" si="1"/>
        <v>8</v>
      </c>
      <c r="E9" s="1">
        <v>26001057.57</v>
      </c>
      <c r="F9" s="1">
        <v>44797139.289999999</v>
      </c>
      <c r="G9" s="2">
        <f t="shared" si="0"/>
        <v>70798196.859999999</v>
      </c>
      <c r="I9" s="8">
        <v>2016</v>
      </c>
      <c r="J9" s="22">
        <v>14574</v>
      </c>
      <c r="K9" s="9">
        <v>15479</v>
      </c>
      <c r="L9" s="9">
        <v>11775</v>
      </c>
      <c r="M9" s="27">
        <v>15243</v>
      </c>
    </row>
    <row r="10" spans="1:13" ht="12.75" thickBot="1" x14ac:dyDescent="0.2">
      <c r="A10" s="68">
        <v>118456</v>
      </c>
      <c r="B10" s="73"/>
      <c r="C10" s="73"/>
      <c r="D10">
        <f t="shared" si="1"/>
        <v>9</v>
      </c>
      <c r="E10" s="1">
        <v>4637261.3600000003</v>
      </c>
      <c r="F10" s="1">
        <v>32796942.440000001</v>
      </c>
      <c r="G10" s="2">
        <f t="shared" si="0"/>
        <v>37434203.800000004</v>
      </c>
      <c r="I10" s="6">
        <v>2015</v>
      </c>
      <c r="J10" s="21">
        <v>14395</v>
      </c>
      <c r="K10" s="7">
        <v>15317</v>
      </c>
      <c r="L10" s="7">
        <v>11553</v>
      </c>
      <c r="M10" s="28">
        <v>15019</v>
      </c>
    </row>
    <row r="11" spans="1:13" ht="12.75" thickBot="1" x14ac:dyDescent="0.2">
      <c r="A11" s="67">
        <v>128403</v>
      </c>
      <c r="B11" s="72"/>
      <c r="C11" s="72"/>
      <c r="D11">
        <f t="shared" si="1"/>
        <v>10</v>
      </c>
      <c r="E11" s="1">
        <v>4637261.3600000003</v>
      </c>
      <c r="F11" s="1">
        <v>32796942.440000001</v>
      </c>
      <c r="G11" s="2">
        <f t="shared" si="0"/>
        <v>37434203.800000004</v>
      </c>
      <c r="I11" s="8">
        <v>2014</v>
      </c>
      <c r="J11" s="22">
        <v>14127</v>
      </c>
      <c r="K11" s="9">
        <v>15135</v>
      </c>
      <c r="L11" s="9">
        <v>11207</v>
      </c>
      <c r="M11" s="27">
        <v>14731</v>
      </c>
    </row>
    <row r="12" spans="1:13" ht="12.75" thickBot="1" x14ac:dyDescent="0.2">
      <c r="A12" s="68">
        <v>139186</v>
      </c>
      <c r="B12" s="73"/>
      <c r="C12" s="73"/>
      <c r="D12">
        <f t="shared" si="1"/>
        <v>11</v>
      </c>
      <c r="E12" s="1">
        <v>4637261.3600000003</v>
      </c>
      <c r="F12" s="1">
        <v>32796942.440000001</v>
      </c>
      <c r="G12" s="2">
        <f t="shared" si="0"/>
        <v>37434203.800000004</v>
      </c>
      <c r="I12" s="6">
        <v>2013</v>
      </c>
      <c r="J12" s="21">
        <v>13492</v>
      </c>
      <c r="K12" s="7">
        <v>14416</v>
      </c>
      <c r="L12" s="7">
        <v>10480</v>
      </c>
      <c r="M12" s="28">
        <v>14070</v>
      </c>
    </row>
    <row r="13" spans="1:13" ht="12.75" thickBot="1" x14ac:dyDescent="0.2">
      <c r="A13" s="67">
        <v>150874</v>
      </c>
      <c r="B13" s="72"/>
      <c r="C13" s="72"/>
      <c r="D13">
        <f t="shared" si="1"/>
        <v>12</v>
      </c>
      <c r="E13" s="1">
        <v>4637261.3600000003</v>
      </c>
      <c r="F13" s="1">
        <v>32796942.440000001</v>
      </c>
      <c r="G13" s="2">
        <f t="shared" si="0"/>
        <v>37434203.800000004</v>
      </c>
      <c r="I13" s="8">
        <v>2012</v>
      </c>
      <c r="J13" s="22">
        <v>12096</v>
      </c>
      <c r="K13" s="9">
        <v>14005</v>
      </c>
      <c r="L13" s="9">
        <v>9653</v>
      </c>
      <c r="M13" s="27">
        <v>13705</v>
      </c>
    </row>
    <row r="14" spans="1:13" ht="12.75" thickBot="1" x14ac:dyDescent="0.2">
      <c r="A14" s="68">
        <v>163544</v>
      </c>
      <c r="B14" s="73"/>
      <c r="C14" s="73"/>
      <c r="D14">
        <f t="shared" si="1"/>
        <v>13</v>
      </c>
      <c r="E14" s="1">
        <v>4637261.3600000003</v>
      </c>
      <c r="F14" s="1">
        <v>32796942.440000001</v>
      </c>
      <c r="G14" s="2">
        <f t="shared" si="0"/>
        <v>37434203.800000004</v>
      </c>
      <c r="I14" s="6">
        <v>2011</v>
      </c>
      <c r="J14" s="21">
        <v>12831</v>
      </c>
      <c r="K14" s="7">
        <v>13567</v>
      </c>
      <c r="L14" s="7">
        <v>9653</v>
      </c>
      <c r="M14" s="28">
        <v>13330</v>
      </c>
    </row>
    <row r="15" spans="1:13" ht="12.75" thickBot="1" x14ac:dyDescent="0.2">
      <c r="A15" s="67">
        <v>164210</v>
      </c>
      <c r="B15" s="72"/>
      <c r="C15" s="72"/>
      <c r="D15">
        <f t="shared" si="1"/>
        <v>14</v>
      </c>
      <c r="E15" s="1">
        <v>4637261.3600000003</v>
      </c>
      <c r="F15" s="1">
        <v>32796942.440000001</v>
      </c>
      <c r="G15" s="2">
        <f t="shared" si="0"/>
        <v>37434203.800000004</v>
      </c>
      <c r="I15" s="8">
        <v>2010</v>
      </c>
      <c r="J15" s="22">
        <v>9558</v>
      </c>
      <c r="K15" s="9">
        <v>10053</v>
      </c>
      <c r="L15" s="9">
        <v>8866</v>
      </c>
      <c r="M15" s="27">
        <v>13059</v>
      </c>
    </row>
    <row r="16" spans="1:13" ht="12.75" thickBot="1" x14ac:dyDescent="0.2">
      <c r="A16" s="66">
        <v>164879</v>
      </c>
      <c r="B16" s="71"/>
      <c r="C16" s="71"/>
      <c r="D16">
        <f t="shared" si="1"/>
        <v>15</v>
      </c>
      <c r="E16" s="1">
        <v>4637261.3600000003</v>
      </c>
      <c r="F16" s="1">
        <v>32796942.440000001</v>
      </c>
      <c r="G16" s="2">
        <f t="shared" si="0"/>
        <v>37434203.800000004</v>
      </c>
      <c r="I16" s="6">
        <v>2009</v>
      </c>
      <c r="J16" s="21">
        <v>12186</v>
      </c>
      <c r="K16" s="7">
        <v>12835</v>
      </c>
      <c r="L16" s="7">
        <v>8807</v>
      </c>
      <c r="M16" s="28">
        <v>12692</v>
      </c>
    </row>
    <row r="17" spans="1:56" ht="12.75" thickBot="1" x14ac:dyDescent="0.2">
      <c r="A17" s="67">
        <v>165550</v>
      </c>
      <c r="B17" s="72"/>
      <c r="C17" s="72"/>
      <c r="D17">
        <f t="shared" si="1"/>
        <v>16</v>
      </c>
      <c r="E17" s="1">
        <v>4637261.3600000003</v>
      </c>
      <c r="F17" s="1">
        <v>2129748.25</v>
      </c>
      <c r="G17" s="2">
        <f t="shared" si="0"/>
        <v>6767009.6100000003</v>
      </c>
      <c r="I17" s="8">
        <v>2008</v>
      </c>
      <c r="J17" s="22">
        <v>11852</v>
      </c>
      <c r="K17" s="9">
        <v>12438</v>
      </c>
      <c r="L17" s="9">
        <v>8236</v>
      </c>
      <c r="M17" s="27">
        <v>12362</v>
      </c>
    </row>
    <row r="18" spans="1:56" ht="12.75" thickBot="1" x14ac:dyDescent="0.2">
      <c r="A18" s="68">
        <v>166224</v>
      </c>
      <c r="B18" s="73"/>
      <c r="C18" s="73"/>
      <c r="D18">
        <f t="shared" si="1"/>
        <v>17</v>
      </c>
      <c r="E18" s="1">
        <v>4637261.3600000003</v>
      </c>
      <c r="F18" s="1">
        <v>2129748.25</v>
      </c>
      <c r="G18" s="2">
        <f t="shared" si="0"/>
        <v>6767009.6100000003</v>
      </c>
      <c r="I18" s="6">
        <v>2007</v>
      </c>
      <c r="J18" s="21"/>
      <c r="K18" s="7"/>
      <c r="L18" s="7"/>
      <c r="M18" s="28"/>
    </row>
    <row r="19" spans="1:56" ht="12.75" thickBot="1" x14ac:dyDescent="0.2">
      <c r="A19" s="67">
        <v>166901</v>
      </c>
      <c r="B19" s="72"/>
      <c r="C19" s="72"/>
      <c r="D19">
        <f t="shared" si="1"/>
        <v>18</v>
      </c>
      <c r="E19" s="1">
        <v>4637261.3600000003</v>
      </c>
      <c r="F19" s="1">
        <v>2129748.25</v>
      </c>
      <c r="G19" s="2">
        <f t="shared" si="0"/>
        <v>6767009.6100000003</v>
      </c>
      <c r="I19" s="8">
        <v>2006</v>
      </c>
      <c r="J19" s="21"/>
      <c r="K19" s="7"/>
      <c r="L19" s="7"/>
      <c r="M19" s="28"/>
    </row>
    <row r="20" spans="1:56" ht="12.75" thickBot="1" x14ac:dyDescent="0.2">
      <c r="A20" s="68">
        <v>167581</v>
      </c>
      <c r="B20" s="73"/>
      <c r="C20" s="73"/>
      <c r="D20">
        <f t="shared" si="1"/>
        <v>19</v>
      </c>
      <c r="E20" s="1">
        <v>4637261.3600000003</v>
      </c>
      <c r="F20" s="1">
        <v>2129748.25</v>
      </c>
      <c r="G20" s="2">
        <f t="shared" si="0"/>
        <v>6767009.6100000003</v>
      </c>
      <c r="I20" s="6">
        <v>2005</v>
      </c>
      <c r="J20" s="21">
        <v>11050</v>
      </c>
      <c r="K20" s="7">
        <v>11428</v>
      </c>
      <c r="L20" s="7">
        <v>6690</v>
      </c>
      <c r="M20" s="28">
        <v>11725</v>
      </c>
    </row>
    <row r="21" spans="1:56" ht="12.75" thickBot="1" x14ac:dyDescent="0.2">
      <c r="A21" s="67">
        <v>168264</v>
      </c>
      <c r="B21" s="72"/>
      <c r="C21" s="72"/>
      <c r="D21">
        <f t="shared" si="1"/>
        <v>20</v>
      </c>
      <c r="E21" s="1">
        <v>4637261.3600000003</v>
      </c>
      <c r="F21" s="1">
        <v>2129748.25</v>
      </c>
      <c r="G21" s="2">
        <f t="shared" si="0"/>
        <v>6767009.6100000003</v>
      </c>
      <c r="I21" s="8">
        <v>2004</v>
      </c>
      <c r="J21" s="22">
        <v>10830</v>
      </c>
      <c r="K21" s="9">
        <v>11107</v>
      </c>
      <c r="L21" s="9">
        <v>6228</v>
      </c>
      <c r="M21" s="27">
        <v>11469</v>
      </c>
    </row>
    <row r="22" spans="1:56" ht="12.75" thickBot="1" x14ac:dyDescent="0.2">
      <c r="A22" s="68">
        <v>168949</v>
      </c>
      <c r="B22" s="73"/>
      <c r="C22" s="73"/>
      <c r="D22">
        <f t="shared" si="1"/>
        <v>21</v>
      </c>
      <c r="E22" s="1">
        <v>4637261.3600000003</v>
      </c>
      <c r="F22" s="1">
        <v>2129748.25</v>
      </c>
      <c r="G22" s="2">
        <f t="shared" si="0"/>
        <v>6767009.6100000003</v>
      </c>
      <c r="I22" s="6">
        <v>2003</v>
      </c>
      <c r="J22" s="21">
        <v>10703</v>
      </c>
      <c r="K22" s="7">
        <v>10982</v>
      </c>
      <c r="L22" s="7">
        <v>6024</v>
      </c>
      <c r="M22" s="28">
        <v>11181</v>
      </c>
    </row>
    <row r="23" spans="1:56" ht="12.75" thickBot="1" x14ac:dyDescent="0.2">
      <c r="A23" s="67">
        <v>169637</v>
      </c>
      <c r="B23" s="72"/>
      <c r="C23" s="72"/>
      <c r="D23">
        <f t="shared" si="1"/>
        <v>22</v>
      </c>
      <c r="E23" s="1">
        <v>4637261.3600000003</v>
      </c>
      <c r="F23" s="1">
        <v>2129748.25</v>
      </c>
      <c r="G23" s="2">
        <f t="shared" si="0"/>
        <v>6767009.6100000003</v>
      </c>
      <c r="I23" s="8">
        <v>2002</v>
      </c>
      <c r="J23" s="22">
        <v>10860</v>
      </c>
      <c r="K23" s="9">
        <v>11141</v>
      </c>
      <c r="L23" s="9">
        <v>5858</v>
      </c>
      <c r="M23" s="27">
        <v>10902</v>
      </c>
    </row>
    <row r="24" spans="1:56" ht="12.75" thickBot="1" x14ac:dyDescent="0.2">
      <c r="A24" s="68">
        <v>170328</v>
      </c>
      <c r="B24" s="73"/>
      <c r="C24" s="73"/>
      <c r="D24">
        <f t="shared" si="1"/>
        <v>23</v>
      </c>
      <c r="E24" s="1">
        <v>4637261.3600000003</v>
      </c>
      <c r="F24" s="1">
        <v>2129748.25</v>
      </c>
      <c r="G24" s="2">
        <f t="shared" si="0"/>
        <v>6767009.6100000003</v>
      </c>
      <c r="I24" s="6">
        <v>2001</v>
      </c>
      <c r="J24" s="21">
        <v>9776</v>
      </c>
      <c r="K24" s="7">
        <v>10372</v>
      </c>
      <c r="L24" s="7">
        <v>4966</v>
      </c>
      <c r="M24" s="28">
        <v>10174</v>
      </c>
    </row>
    <row r="25" spans="1:56" ht="12.75" thickBot="1" x14ac:dyDescent="0.2">
      <c r="A25" s="67">
        <v>171022</v>
      </c>
      <c r="B25" s="72"/>
      <c r="C25" s="72"/>
      <c r="D25">
        <f t="shared" si="1"/>
        <v>24</v>
      </c>
      <c r="E25" s="1">
        <v>4637261.3600000003</v>
      </c>
      <c r="F25" s="1">
        <v>2129748.25</v>
      </c>
      <c r="G25" s="2">
        <f t="shared" si="0"/>
        <v>6767009.6100000003</v>
      </c>
      <c r="I25" s="8">
        <v>2000</v>
      </c>
      <c r="J25" s="22">
        <v>8820</v>
      </c>
      <c r="K25" s="9">
        <v>9785</v>
      </c>
      <c r="L25" s="9">
        <v>4592</v>
      </c>
      <c r="M25" s="28">
        <v>10174</v>
      </c>
    </row>
    <row r="26" spans="1:56" ht="12.75" thickBot="1" x14ac:dyDescent="0.2">
      <c r="A26" s="68">
        <v>171719</v>
      </c>
      <c r="B26" s="73"/>
      <c r="C26" s="73"/>
      <c r="D26">
        <f t="shared" si="1"/>
        <v>25</v>
      </c>
      <c r="E26" s="1">
        <v>4637261.3600000003</v>
      </c>
      <c r="F26" s="1">
        <v>2129748.25</v>
      </c>
      <c r="G26" s="2">
        <f t="shared" si="0"/>
        <v>6767009.6100000003</v>
      </c>
    </row>
    <row r="27" spans="1:56" ht="12.75" thickBot="1" x14ac:dyDescent="0.2">
      <c r="A27" s="67">
        <v>172418</v>
      </c>
      <c r="B27" s="72"/>
      <c r="C27" s="72"/>
      <c r="D27">
        <f t="shared" si="1"/>
        <v>26</v>
      </c>
      <c r="E27" s="1">
        <v>4637261.3600000003</v>
      </c>
      <c r="F27" s="1">
        <v>2129748.25</v>
      </c>
      <c r="G27" s="2">
        <f t="shared" si="0"/>
        <v>6767009.6100000003</v>
      </c>
    </row>
    <row r="28" spans="1:56" ht="36.75" customHeight="1" thickBot="1" x14ac:dyDescent="0.2">
      <c r="A28" s="68">
        <v>173120</v>
      </c>
      <c r="B28" s="73"/>
      <c r="C28" s="73"/>
      <c r="D28">
        <f t="shared" si="1"/>
        <v>27</v>
      </c>
      <c r="E28" s="1">
        <v>4637261.3600000003</v>
      </c>
      <c r="F28" s="1">
        <v>2129748.25</v>
      </c>
      <c r="G28" s="2">
        <f t="shared" si="0"/>
        <v>6767009.6100000003</v>
      </c>
      <c r="I28" s="12" t="s">
        <v>63</v>
      </c>
      <c r="J28" s="14" t="s">
        <v>65</v>
      </c>
      <c r="K28" s="14" t="s">
        <v>67</v>
      </c>
      <c r="L28" s="14" t="s">
        <v>68</v>
      </c>
      <c r="M28" s="17" t="s">
        <v>69</v>
      </c>
      <c r="Y28" s="273" t="s">
        <v>132</v>
      </c>
      <c r="Z28" s="273" t="s">
        <v>133</v>
      </c>
      <c r="AA28" s="268" t="s">
        <v>121</v>
      </c>
      <c r="AB28" s="268"/>
      <c r="AC28" s="268"/>
      <c r="AD28" s="268"/>
      <c r="AE28" s="268" t="s">
        <v>122</v>
      </c>
      <c r="AF28" s="268"/>
      <c r="AG28" s="268"/>
      <c r="AH28" s="268"/>
      <c r="AI28" s="268" t="s">
        <v>123</v>
      </c>
      <c r="AJ28" s="268"/>
      <c r="AK28" s="268"/>
      <c r="AL28" s="268"/>
      <c r="AM28" s="268" t="s">
        <v>124</v>
      </c>
      <c r="AN28" s="268"/>
      <c r="AO28" s="268"/>
      <c r="AP28" s="268"/>
      <c r="AQ28" s="268" t="s">
        <v>125</v>
      </c>
      <c r="AR28" s="268"/>
      <c r="AS28" s="268"/>
      <c r="AT28" s="268"/>
      <c r="AU28" s="268" t="s">
        <v>126</v>
      </c>
      <c r="AV28" s="268"/>
      <c r="AW28" s="268"/>
      <c r="AX28" s="268"/>
      <c r="AY28" s="248" t="s">
        <v>127</v>
      </c>
      <c r="AZ28" s="269"/>
      <c r="BA28" s="269"/>
      <c r="BB28" s="249"/>
      <c r="BC28" s="248" t="s">
        <v>128</v>
      </c>
      <c r="BD28" s="249"/>
    </row>
    <row r="29" spans="1:56" ht="15.75" customHeight="1" thickBot="1" x14ac:dyDescent="0.2">
      <c r="A29" s="67">
        <v>173825</v>
      </c>
      <c r="B29" s="72"/>
      <c r="C29" s="72"/>
      <c r="D29">
        <f t="shared" si="1"/>
        <v>28</v>
      </c>
      <c r="E29" s="1">
        <v>4637261.3600000003</v>
      </c>
      <c r="F29" s="1">
        <v>2129748.25</v>
      </c>
      <c r="G29" s="2">
        <f t="shared" si="0"/>
        <v>6767009.6100000003</v>
      </c>
      <c r="I29" s="20" t="s">
        <v>64</v>
      </c>
      <c r="J29" s="13"/>
      <c r="K29" s="13"/>
      <c r="L29" s="13"/>
      <c r="M29" s="18"/>
      <c r="Y29" s="274"/>
      <c r="Z29" s="274"/>
      <c r="AA29" s="88">
        <v>1</v>
      </c>
      <c r="AB29" s="88">
        <f>AA29+1</f>
        <v>2</v>
      </c>
      <c r="AC29" s="88">
        <f t="shared" ref="AC29:BD29" si="2">AB29+1</f>
        <v>3</v>
      </c>
      <c r="AD29" s="88">
        <f t="shared" si="2"/>
        <v>4</v>
      </c>
      <c r="AE29" s="88">
        <f t="shared" si="2"/>
        <v>5</v>
      </c>
      <c r="AF29" s="88">
        <f t="shared" si="2"/>
        <v>6</v>
      </c>
      <c r="AG29" s="88">
        <f t="shared" si="2"/>
        <v>7</v>
      </c>
      <c r="AH29" s="88">
        <f t="shared" si="2"/>
        <v>8</v>
      </c>
      <c r="AI29" s="88">
        <f t="shared" si="2"/>
        <v>9</v>
      </c>
      <c r="AJ29" s="88">
        <f t="shared" si="2"/>
        <v>10</v>
      </c>
      <c r="AK29" s="88">
        <f t="shared" si="2"/>
        <v>11</v>
      </c>
      <c r="AL29" s="88">
        <f t="shared" si="2"/>
        <v>12</v>
      </c>
      <c r="AM29" s="88">
        <f t="shared" si="2"/>
        <v>13</v>
      </c>
      <c r="AN29" s="88">
        <f t="shared" si="2"/>
        <v>14</v>
      </c>
      <c r="AO29" s="88">
        <f t="shared" si="2"/>
        <v>15</v>
      </c>
      <c r="AP29" s="88">
        <f t="shared" si="2"/>
        <v>16</v>
      </c>
      <c r="AQ29" s="88">
        <f t="shared" si="2"/>
        <v>17</v>
      </c>
      <c r="AR29" s="88">
        <f t="shared" si="2"/>
        <v>18</v>
      </c>
      <c r="AS29" s="88">
        <f t="shared" si="2"/>
        <v>19</v>
      </c>
      <c r="AT29" s="88">
        <f t="shared" si="2"/>
        <v>20</v>
      </c>
      <c r="AU29" s="88">
        <f t="shared" si="2"/>
        <v>21</v>
      </c>
      <c r="AV29" s="88">
        <f t="shared" si="2"/>
        <v>22</v>
      </c>
      <c r="AW29" s="88">
        <f t="shared" si="2"/>
        <v>23</v>
      </c>
      <c r="AX29" s="88">
        <f t="shared" si="2"/>
        <v>24</v>
      </c>
      <c r="AY29" s="88">
        <f t="shared" si="2"/>
        <v>25</v>
      </c>
      <c r="AZ29" s="88">
        <f t="shared" si="2"/>
        <v>26</v>
      </c>
      <c r="BA29" s="88">
        <f t="shared" si="2"/>
        <v>27</v>
      </c>
      <c r="BB29" s="88">
        <f t="shared" si="2"/>
        <v>28</v>
      </c>
      <c r="BC29" s="88">
        <f t="shared" si="2"/>
        <v>29</v>
      </c>
      <c r="BD29" s="88">
        <f t="shared" si="2"/>
        <v>30</v>
      </c>
    </row>
    <row r="30" spans="1:56" ht="12.75" customHeight="1" thickBot="1" x14ac:dyDescent="0.2">
      <c r="A30" s="68">
        <v>174533</v>
      </c>
      <c r="B30" s="73"/>
      <c r="C30" s="73"/>
      <c r="D30">
        <f t="shared" si="1"/>
        <v>29</v>
      </c>
      <c r="E30" s="1">
        <v>4637261.3600000003</v>
      </c>
      <c r="F30" s="1">
        <v>2129748.25</v>
      </c>
      <c r="G30" s="2">
        <f t="shared" si="0"/>
        <v>6767009.6100000003</v>
      </c>
      <c r="I30" s="29"/>
      <c r="J30" s="13"/>
      <c r="K30" s="13"/>
      <c r="L30" s="13"/>
      <c r="M30" s="18"/>
      <c r="Y30" s="274"/>
      <c r="Z30" s="274"/>
      <c r="AA30" s="250" t="s">
        <v>129</v>
      </c>
      <c r="AB30" s="251"/>
      <c r="AC30" s="251"/>
      <c r="AD30" s="252"/>
      <c r="AE30" s="250" t="s">
        <v>130</v>
      </c>
      <c r="AF30" s="251"/>
      <c r="AG30" s="251"/>
      <c r="AH30" s="251"/>
      <c r="AI30" s="251"/>
      <c r="AJ30" s="251"/>
      <c r="AK30" s="251"/>
      <c r="AL30" s="252"/>
      <c r="AM30" s="259" t="s">
        <v>131</v>
      </c>
      <c r="AN30" s="260"/>
      <c r="AO30" s="260"/>
      <c r="AP30" s="260"/>
      <c r="AQ30" s="260"/>
      <c r="AR30" s="260"/>
      <c r="AS30" s="260"/>
      <c r="AT30" s="260"/>
      <c r="AU30" s="260"/>
      <c r="AV30" s="260"/>
      <c r="AW30" s="260"/>
      <c r="AX30" s="260"/>
      <c r="AY30" s="260"/>
      <c r="AZ30" s="260"/>
      <c r="BA30" s="260"/>
      <c r="BB30" s="260"/>
      <c r="BC30" s="260"/>
      <c r="BD30" s="261"/>
    </row>
    <row r="31" spans="1:56" ht="12.75" thickBot="1" x14ac:dyDescent="0.2">
      <c r="A31" s="67">
        <v>175244</v>
      </c>
      <c r="B31" s="72"/>
      <c r="C31" s="75">
        <v>0.9</v>
      </c>
      <c r="D31">
        <f t="shared" si="1"/>
        <v>30</v>
      </c>
      <c r="E31" s="1">
        <v>4637261.3600000003</v>
      </c>
      <c r="F31" s="1">
        <v>2129748.25</v>
      </c>
      <c r="G31" s="2">
        <f t="shared" si="0"/>
        <v>6767009.6100000003</v>
      </c>
      <c r="I31" s="29"/>
      <c r="J31" s="13"/>
      <c r="K31" s="13"/>
      <c r="L31" s="13"/>
      <c r="M31" s="18"/>
      <c r="Y31" s="274"/>
      <c r="Z31" s="274"/>
      <c r="AA31" s="253"/>
      <c r="AB31" s="254"/>
      <c r="AC31" s="254"/>
      <c r="AD31" s="255"/>
      <c r="AE31" s="253"/>
      <c r="AF31" s="254"/>
      <c r="AG31" s="254"/>
      <c r="AH31" s="254"/>
      <c r="AI31" s="254"/>
      <c r="AJ31" s="254"/>
      <c r="AK31" s="254"/>
      <c r="AL31" s="255"/>
      <c r="AM31" s="262"/>
      <c r="AN31" s="263"/>
      <c r="AO31" s="263"/>
      <c r="AP31" s="263"/>
      <c r="AQ31" s="263"/>
      <c r="AR31" s="263"/>
      <c r="AS31" s="263"/>
      <c r="AT31" s="263"/>
      <c r="AU31" s="263"/>
      <c r="AV31" s="263"/>
      <c r="AW31" s="263"/>
      <c r="AX31" s="263"/>
      <c r="AY31" s="263"/>
      <c r="AZ31" s="263"/>
      <c r="BA31" s="263"/>
      <c r="BB31" s="263"/>
      <c r="BC31" s="263"/>
      <c r="BD31" s="264"/>
    </row>
    <row r="32" spans="1:56" x14ac:dyDescent="0.15">
      <c r="D32" t="s">
        <v>3</v>
      </c>
      <c r="E32" s="1">
        <f>SUM(E2:E31)</f>
        <v>235349670.20000032</v>
      </c>
      <c r="F32" s="1">
        <f>SUM(F2:F31)</f>
        <v>551384836.02999997</v>
      </c>
      <c r="G32" s="2">
        <f t="shared" si="0"/>
        <v>786734506.23000026</v>
      </c>
      <c r="I32" s="29"/>
      <c r="J32" s="13"/>
      <c r="K32" s="13"/>
      <c r="L32" s="13"/>
      <c r="M32" s="18"/>
      <c r="Y32" s="275"/>
      <c r="Z32" s="275"/>
      <c r="AA32" s="256"/>
      <c r="AB32" s="257"/>
      <c r="AC32" s="257"/>
      <c r="AD32" s="258"/>
      <c r="AE32" s="256"/>
      <c r="AF32" s="257"/>
      <c r="AG32" s="257"/>
      <c r="AH32" s="257"/>
      <c r="AI32" s="257"/>
      <c r="AJ32" s="257"/>
      <c r="AK32" s="257"/>
      <c r="AL32" s="258"/>
      <c r="AM32" s="265"/>
      <c r="AN32" s="266"/>
      <c r="AO32" s="266"/>
      <c r="AP32" s="266"/>
      <c r="AQ32" s="266"/>
      <c r="AR32" s="266"/>
      <c r="AS32" s="266"/>
      <c r="AT32" s="266"/>
      <c r="AU32" s="266"/>
      <c r="AV32" s="266"/>
      <c r="AW32" s="266"/>
      <c r="AX32" s="266"/>
      <c r="AY32" s="266"/>
      <c r="AZ32" s="266"/>
      <c r="BA32" s="266"/>
      <c r="BB32" s="266"/>
      <c r="BC32" s="266"/>
      <c r="BD32" s="267"/>
    </row>
    <row r="33" spans="5:25" ht="12.75" thickBot="1" x14ac:dyDescent="0.2">
      <c r="I33" s="30"/>
      <c r="J33" s="15" t="s">
        <v>66</v>
      </c>
      <c r="K33" s="15" t="s">
        <v>66</v>
      </c>
      <c r="L33" s="15" t="s">
        <v>66</v>
      </c>
      <c r="M33" s="19" t="s">
        <v>66</v>
      </c>
      <c r="Y33" s="89"/>
    </row>
    <row r="34" spans="5:25" ht="12.75" thickBot="1" x14ac:dyDescent="0.2">
      <c r="F34" s="2">
        <f>F32/A31/C31</f>
        <v>3495.981704429887</v>
      </c>
      <c r="I34" s="6">
        <v>2020</v>
      </c>
      <c r="J34" s="31">
        <v>6313</v>
      </c>
      <c r="K34" s="10">
        <v>815.05</v>
      </c>
      <c r="L34" s="31">
        <v>1760.09</v>
      </c>
      <c r="M34" s="31">
        <v>2640</v>
      </c>
      <c r="Y34" s="89"/>
    </row>
    <row r="35" spans="5:25" ht="12.75" thickBot="1" x14ac:dyDescent="0.2">
      <c r="F35" s="2">
        <f>F34/30</f>
        <v>116.53272348099624</v>
      </c>
      <c r="I35" s="8">
        <v>2019</v>
      </c>
      <c r="J35" s="32">
        <v>5069</v>
      </c>
      <c r="K35" s="32">
        <v>1913</v>
      </c>
      <c r="L35" s="32">
        <v>2528.62</v>
      </c>
      <c r="M35" s="32">
        <v>2302</v>
      </c>
    </row>
    <row r="36" spans="5:25" ht="12.75" thickBot="1" x14ac:dyDescent="0.2">
      <c r="I36" s="6">
        <v>2018</v>
      </c>
      <c r="J36" s="31">
        <v>5620</v>
      </c>
      <c r="K36" s="31">
        <v>2274</v>
      </c>
      <c r="L36" s="31">
        <v>2728</v>
      </c>
      <c r="M36" s="31">
        <v>2728</v>
      </c>
    </row>
    <row r="37" spans="5:25" ht="12.75" thickBot="1" x14ac:dyDescent="0.2">
      <c r="E37">
        <f>365.25*4</f>
        <v>1461</v>
      </c>
      <c r="I37" s="8">
        <v>2017</v>
      </c>
      <c r="J37" s="32">
        <v>6309</v>
      </c>
      <c r="K37" s="32">
        <v>2269</v>
      </c>
      <c r="L37" s="32">
        <v>2765</v>
      </c>
      <c r="M37" s="32">
        <v>2765</v>
      </c>
    </row>
    <row r="38" spans="5:25" ht="12.75" thickBot="1" x14ac:dyDescent="0.2">
      <c r="I38" s="6">
        <v>2016</v>
      </c>
      <c r="J38" s="31">
        <v>6220</v>
      </c>
      <c r="K38" s="31">
        <v>2330</v>
      </c>
      <c r="L38" s="31">
        <v>2876</v>
      </c>
      <c r="M38" s="31">
        <v>2786</v>
      </c>
    </row>
    <row r="39" spans="5:25" ht="12.75" thickBot="1" x14ac:dyDescent="0.2">
      <c r="I39" s="8">
        <v>2015</v>
      </c>
      <c r="J39" s="32">
        <v>6137</v>
      </c>
      <c r="K39" s="32">
        <v>2063</v>
      </c>
      <c r="L39" s="32">
        <v>2896</v>
      </c>
      <c r="M39" s="32">
        <v>2896</v>
      </c>
    </row>
    <row r="40" spans="5:25" ht="12.75" thickBot="1" x14ac:dyDescent="0.2">
      <c r="I40" s="6">
        <v>2014</v>
      </c>
      <c r="J40" s="31">
        <v>6154</v>
      </c>
      <c r="K40" s="31">
        <v>2064</v>
      </c>
      <c r="L40" s="31">
        <v>2897</v>
      </c>
      <c r="M40" s="31">
        <v>2897</v>
      </c>
    </row>
    <row r="41" spans="5:25" ht="12.75" thickBot="1" x14ac:dyDescent="0.2">
      <c r="I41" s="8">
        <v>2013</v>
      </c>
      <c r="J41" s="32">
        <v>6136</v>
      </c>
      <c r="K41" s="32">
        <v>2062</v>
      </c>
      <c r="L41" s="32">
        <v>2894</v>
      </c>
      <c r="M41" s="32">
        <v>2894</v>
      </c>
    </row>
    <row r="42" spans="5:25" ht="12.75" thickBot="1" x14ac:dyDescent="0.2">
      <c r="I42" s="6">
        <v>2012</v>
      </c>
      <c r="J42" s="31">
        <v>6118</v>
      </c>
      <c r="K42" s="31">
        <v>2051</v>
      </c>
      <c r="L42" s="31">
        <v>2879</v>
      </c>
      <c r="M42" s="31">
        <v>2879</v>
      </c>
    </row>
    <row r="43" spans="5:25" ht="12.75" thickBot="1" x14ac:dyDescent="0.2">
      <c r="I43" s="8">
        <v>2011</v>
      </c>
      <c r="J43" s="32">
        <v>5449</v>
      </c>
      <c r="K43" s="32">
        <v>1991</v>
      </c>
      <c r="L43" s="32">
        <v>2822</v>
      </c>
      <c r="M43" s="32">
        <v>2822</v>
      </c>
    </row>
    <row r="44" spans="5:25" ht="12.75" thickBot="1" x14ac:dyDescent="0.2">
      <c r="I44" s="6">
        <v>2010</v>
      </c>
      <c r="J44" s="31">
        <v>5151</v>
      </c>
      <c r="K44" s="31">
        <v>1950</v>
      </c>
      <c r="L44" s="31">
        <v>2847</v>
      </c>
      <c r="M44" s="31">
        <v>2847</v>
      </c>
    </row>
    <row r="45" spans="5:25" ht="12.75" thickBot="1" x14ac:dyDescent="0.2">
      <c r="I45" s="8">
        <v>2009</v>
      </c>
      <c r="J45" s="32">
        <v>5151</v>
      </c>
      <c r="K45" s="32">
        <v>1804</v>
      </c>
      <c r="L45" s="32">
        <v>2706</v>
      </c>
      <c r="M45" s="32">
        <v>2706</v>
      </c>
    </row>
    <row r="46" spans="5:25" ht="12.75" thickBot="1" x14ac:dyDescent="0.2">
      <c r="I46" s="6">
        <v>2008</v>
      </c>
      <c r="J46" s="31">
        <v>5636</v>
      </c>
      <c r="K46" s="31">
        <v>1712</v>
      </c>
      <c r="L46" s="31">
        <v>2542</v>
      </c>
      <c r="M46" s="31">
        <v>2542</v>
      </c>
    </row>
    <row r="47" spans="5:25" ht="12.75" thickBot="1" x14ac:dyDescent="0.2">
      <c r="I47" s="8">
        <v>2007</v>
      </c>
      <c r="J47" s="31"/>
      <c r="K47" s="31"/>
      <c r="L47" s="31"/>
      <c r="M47" s="31"/>
    </row>
    <row r="48" spans="5:25" ht="12.75" thickBot="1" x14ac:dyDescent="0.2">
      <c r="I48" s="6">
        <v>2006</v>
      </c>
      <c r="J48" s="31"/>
      <c r="K48" s="31"/>
      <c r="L48" s="31"/>
      <c r="M48" s="31"/>
    </row>
    <row r="49" spans="9:13" ht="12.75" thickBot="1" x14ac:dyDescent="0.2">
      <c r="I49" s="8">
        <v>2005</v>
      </c>
      <c r="J49" s="32">
        <v>7173.49</v>
      </c>
      <c r="K49" s="32">
        <v>1398.58</v>
      </c>
      <c r="L49" s="32">
        <v>2462.37</v>
      </c>
      <c r="M49" s="32">
        <v>2462.37</v>
      </c>
    </row>
    <row r="50" spans="9:13" ht="12.75" thickBot="1" x14ac:dyDescent="0.2">
      <c r="I50" s="6">
        <v>2004</v>
      </c>
      <c r="J50" s="31">
        <v>6269.13</v>
      </c>
      <c r="K50" s="31">
        <v>1606.86</v>
      </c>
      <c r="L50" s="31">
        <v>2633.13</v>
      </c>
      <c r="M50" s="31">
        <v>2633.1</v>
      </c>
    </row>
    <row r="51" spans="9:13" ht="12.75" thickBot="1" x14ac:dyDescent="0.2">
      <c r="I51" s="8">
        <v>2003</v>
      </c>
      <c r="J51" s="32">
        <v>5171</v>
      </c>
      <c r="K51" s="32">
        <v>1421</v>
      </c>
      <c r="L51" s="32">
        <v>2600</v>
      </c>
      <c r="M51" s="32">
        <v>2600</v>
      </c>
    </row>
    <row r="52" spans="9:13" ht="12.75" thickBot="1" x14ac:dyDescent="0.2">
      <c r="I52" s="6">
        <v>2002</v>
      </c>
      <c r="J52" s="31">
        <v>5851</v>
      </c>
      <c r="K52" s="31">
        <v>1414</v>
      </c>
      <c r="L52" s="31">
        <v>2641</v>
      </c>
      <c r="M52" s="31">
        <v>2641</v>
      </c>
    </row>
    <row r="53" spans="9:13" ht="12.75" thickBot="1" x14ac:dyDescent="0.2">
      <c r="I53" s="8">
        <v>2001</v>
      </c>
      <c r="J53" s="32">
        <v>4994.79</v>
      </c>
      <c r="K53" s="32">
        <v>1205.8</v>
      </c>
      <c r="L53" s="32">
        <v>2508.8000000000002</v>
      </c>
      <c r="M53" s="32">
        <v>2508.8000000000002</v>
      </c>
    </row>
    <row r="54" spans="9:13" ht="13.5" thickBot="1" x14ac:dyDescent="0.2">
      <c r="I54" s="6">
        <v>2000</v>
      </c>
      <c r="J54" s="31">
        <v>3824.87</v>
      </c>
      <c r="K54" s="33"/>
      <c r="L54" s="31">
        <v>2150.04</v>
      </c>
      <c r="M54" s="31">
        <v>2150.04</v>
      </c>
    </row>
    <row r="57" spans="9:13" ht="12.75" thickBot="1" x14ac:dyDescent="0.2"/>
    <row r="58" spans="9:13" ht="54" x14ac:dyDescent="0.15">
      <c r="I58" s="12" t="s">
        <v>77</v>
      </c>
      <c r="J58" s="14" t="s">
        <v>70</v>
      </c>
      <c r="K58" s="14" t="s">
        <v>72</v>
      </c>
      <c r="L58" s="14" t="s">
        <v>73</v>
      </c>
      <c r="M58" s="17" t="s">
        <v>75</v>
      </c>
    </row>
    <row r="59" spans="9:13" x14ac:dyDescent="0.15">
      <c r="I59" s="29"/>
      <c r="J59" s="13" t="s">
        <v>71</v>
      </c>
      <c r="K59" s="13" t="s">
        <v>71</v>
      </c>
      <c r="L59" s="13" t="s">
        <v>74</v>
      </c>
      <c r="M59" s="18" t="s">
        <v>76</v>
      </c>
    </row>
    <row r="60" spans="9:13" ht="12.75" thickBot="1" x14ac:dyDescent="0.2">
      <c r="I60" s="6">
        <v>2020</v>
      </c>
      <c r="J60" s="31">
        <v>15.6</v>
      </c>
      <c r="K60" s="10">
        <v>15.1</v>
      </c>
      <c r="L60" s="31">
        <v>178.8</v>
      </c>
      <c r="M60" s="31">
        <v>36.1</v>
      </c>
    </row>
    <row r="61" spans="9:13" ht="12.75" thickBot="1" x14ac:dyDescent="0.2">
      <c r="I61" s="8">
        <v>2019</v>
      </c>
      <c r="J61" s="32">
        <v>14.9</v>
      </c>
      <c r="K61" s="32">
        <v>14.6</v>
      </c>
      <c r="L61" s="32">
        <v>240.6</v>
      </c>
      <c r="M61" s="32">
        <v>32.200000000000003</v>
      </c>
    </row>
    <row r="62" spans="9:13" ht="12.75" thickBot="1" x14ac:dyDescent="0.2">
      <c r="I62" s="6">
        <v>2018</v>
      </c>
      <c r="J62" s="31">
        <v>16.2</v>
      </c>
      <c r="K62" s="31">
        <v>15.8</v>
      </c>
      <c r="L62" s="31">
        <v>234.4</v>
      </c>
      <c r="M62" s="31">
        <v>32.6</v>
      </c>
    </row>
    <row r="63" spans="9:13" ht="12.75" thickBot="1" x14ac:dyDescent="0.2">
      <c r="I63" s="8">
        <v>2017</v>
      </c>
      <c r="J63" s="32">
        <v>14.9</v>
      </c>
      <c r="K63" s="32">
        <v>14.8</v>
      </c>
      <c r="L63" s="32">
        <v>219.5</v>
      </c>
      <c r="M63" s="32">
        <v>33.799999999999997</v>
      </c>
    </row>
    <row r="64" spans="9:13" ht="12.75" thickBot="1" x14ac:dyDescent="0.2">
      <c r="I64" s="6">
        <v>2016</v>
      </c>
      <c r="J64" s="31">
        <v>15.6</v>
      </c>
      <c r="K64" s="31">
        <v>15.1</v>
      </c>
      <c r="L64" s="31">
        <v>228.2</v>
      </c>
      <c r="M64" s="31">
        <v>33.700000000000003</v>
      </c>
    </row>
    <row r="65" spans="9:13" ht="12.75" thickBot="1" x14ac:dyDescent="0.2">
      <c r="I65" s="8">
        <v>2015</v>
      </c>
      <c r="J65" s="32">
        <v>14.1</v>
      </c>
      <c r="K65" s="32">
        <v>15.9</v>
      </c>
      <c r="L65" s="32">
        <v>231</v>
      </c>
      <c r="M65" s="32">
        <v>33.6</v>
      </c>
    </row>
    <row r="66" spans="9:13" ht="12.75" thickBot="1" x14ac:dyDescent="0.2">
      <c r="I66" s="6">
        <v>2014</v>
      </c>
      <c r="J66" s="31">
        <v>14.7</v>
      </c>
      <c r="K66" s="31">
        <v>16.3</v>
      </c>
      <c r="L66" s="31">
        <v>233.2</v>
      </c>
      <c r="M66" s="31">
        <v>34.700000000000003</v>
      </c>
    </row>
    <row r="67" spans="9:13" ht="12.75" thickBot="1" x14ac:dyDescent="0.2">
      <c r="I67" s="8">
        <v>2013</v>
      </c>
      <c r="J67" s="32">
        <v>15.9</v>
      </c>
      <c r="K67" s="32">
        <v>17</v>
      </c>
      <c r="L67" s="32">
        <v>235.3</v>
      </c>
      <c r="M67" s="32">
        <v>36</v>
      </c>
    </row>
    <row r="68" spans="9:13" ht="12.75" thickBot="1" x14ac:dyDescent="0.2">
      <c r="I68" s="6">
        <v>2012</v>
      </c>
      <c r="J68" s="31">
        <v>16.600000000000001</v>
      </c>
      <c r="K68" s="31">
        <v>17.399999999999999</v>
      </c>
      <c r="L68" s="31">
        <v>237</v>
      </c>
      <c r="M68" s="31">
        <v>37</v>
      </c>
    </row>
    <row r="69" spans="9:13" ht="12.75" thickBot="1" x14ac:dyDescent="0.2">
      <c r="I69" s="8">
        <v>2011</v>
      </c>
      <c r="J69" s="32">
        <v>16.8</v>
      </c>
      <c r="K69" s="32">
        <v>19.899999999999999</v>
      </c>
      <c r="L69" s="32">
        <v>248.2</v>
      </c>
      <c r="M69" s="32">
        <v>38.5</v>
      </c>
    </row>
    <row r="70" spans="9:13" ht="12.75" thickBot="1" x14ac:dyDescent="0.2">
      <c r="I70" s="6">
        <v>2010</v>
      </c>
      <c r="J70" s="31">
        <v>17.3</v>
      </c>
      <c r="K70" s="31">
        <v>20.7</v>
      </c>
      <c r="L70" s="31">
        <v>301.2</v>
      </c>
      <c r="M70" s="31">
        <v>37.5</v>
      </c>
    </row>
    <row r="71" spans="9:13" ht="12.75" thickBot="1" x14ac:dyDescent="0.2">
      <c r="I71" s="8">
        <v>2009</v>
      </c>
      <c r="J71" s="32">
        <v>16.600000000000001</v>
      </c>
      <c r="K71" s="32">
        <v>17.899999999999999</v>
      </c>
      <c r="L71" s="32">
        <v>330.3</v>
      </c>
      <c r="M71" s="32">
        <v>34</v>
      </c>
    </row>
    <row r="72" spans="9:13" ht="12.75" thickBot="1" x14ac:dyDescent="0.2">
      <c r="I72" s="6">
        <v>2008</v>
      </c>
      <c r="J72" s="31">
        <v>16.3</v>
      </c>
      <c r="K72" s="31">
        <v>17</v>
      </c>
      <c r="L72" s="31">
        <v>312.10000000000002</v>
      </c>
      <c r="M72" s="31">
        <v>37.799999999999997</v>
      </c>
    </row>
    <row r="73" spans="9:13" ht="12.75" thickBot="1" x14ac:dyDescent="0.2">
      <c r="I73" s="8">
        <v>2007</v>
      </c>
      <c r="J73" s="34">
        <v>16.3</v>
      </c>
      <c r="K73" s="34">
        <v>17</v>
      </c>
      <c r="L73" s="34">
        <v>312.10000000000002</v>
      </c>
      <c r="M73" s="34">
        <v>37.799999999999997</v>
      </c>
    </row>
    <row r="74" spans="9:13" ht="12.75" thickBot="1" x14ac:dyDescent="0.2">
      <c r="I74" s="6">
        <v>2006</v>
      </c>
      <c r="J74" s="35">
        <v>17.5</v>
      </c>
      <c r="K74" s="35">
        <v>18.2</v>
      </c>
      <c r="L74" s="35">
        <v>236.5</v>
      </c>
      <c r="M74" s="35">
        <v>53.1</v>
      </c>
    </row>
    <row r="75" spans="9:13" ht="12.75" thickBot="1" x14ac:dyDescent="0.2">
      <c r="I75" s="8">
        <v>2005</v>
      </c>
      <c r="J75" s="32">
        <v>17.5</v>
      </c>
      <c r="K75" s="32">
        <v>18.2</v>
      </c>
      <c r="L75" s="32">
        <v>236.5</v>
      </c>
      <c r="M75" s="32">
        <v>53.1</v>
      </c>
    </row>
    <row r="76" spans="9:13" ht="12.75" thickBot="1" x14ac:dyDescent="0.2">
      <c r="I76" s="6">
        <v>2004</v>
      </c>
      <c r="J76" s="31">
        <v>21.1</v>
      </c>
      <c r="K76" s="31">
        <v>19.899999999999999</v>
      </c>
      <c r="L76" s="31">
        <v>298.10000000000002</v>
      </c>
      <c r="M76" s="31">
        <v>47.3</v>
      </c>
    </row>
    <row r="77" spans="9:13" ht="12.75" thickBot="1" x14ac:dyDescent="0.2">
      <c r="I77" s="8">
        <v>2003</v>
      </c>
      <c r="J77" s="32">
        <v>18.8</v>
      </c>
      <c r="K77" s="32">
        <v>19.600000000000001</v>
      </c>
      <c r="L77" s="32">
        <v>357.9</v>
      </c>
      <c r="M77" s="32">
        <v>39</v>
      </c>
    </row>
    <row r="78" spans="9:13" ht="12.75" thickBot="1" x14ac:dyDescent="0.2">
      <c r="I78" s="6">
        <v>2002</v>
      </c>
      <c r="J78" s="31">
        <v>20</v>
      </c>
      <c r="K78" s="31">
        <v>20.5</v>
      </c>
      <c r="L78" s="31">
        <v>366.6</v>
      </c>
      <c r="M78" s="31">
        <v>45.3</v>
      </c>
    </row>
    <row r="79" spans="9:13" ht="12.75" thickBot="1" x14ac:dyDescent="0.2">
      <c r="I79" s="8">
        <v>2001</v>
      </c>
      <c r="J79" s="32">
        <v>18.5</v>
      </c>
      <c r="K79" s="34">
        <v>20.5</v>
      </c>
      <c r="L79" s="34">
        <v>366.6</v>
      </c>
      <c r="M79" s="34">
        <v>45.3</v>
      </c>
    </row>
    <row r="80" spans="9:13" ht="12.75" thickBot="1" x14ac:dyDescent="0.2">
      <c r="I80" s="6">
        <v>2000</v>
      </c>
      <c r="J80" s="35">
        <v>18.5</v>
      </c>
      <c r="K80" s="34">
        <v>20.5</v>
      </c>
      <c r="L80" s="34">
        <v>366.6</v>
      </c>
      <c r="M80" s="34">
        <v>45.3</v>
      </c>
    </row>
  </sheetData>
  <mergeCells count="14">
    <mergeCell ref="I1:I4"/>
    <mergeCell ref="AA28:AD28"/>
    <mergeCell ref="AE28:AH28"/>
    <mergeCell ref="Y28:Y32"/>
    <mergeCell ref="Z28:Z32"/>
    <mergeCell ref="BC28:BD28"/>
    <mergeCell ref="AA30:AD32"/>
    <mergeCell ref="AE30:AL32"/>
    <mergeCell ref="AM30:BD32"/>
    <mergeCell ref="AI28:AL28"/>
    <mergeCell ref="AM28:AP28"/>
    <mergeCell ref="AQ28:AT28"/>
    <mergeCell ref="AU28:AX28"/>
    <mergeCell ref="AY28:BB28"/>
  </mergeCells>
  <phoneticPr fontId="4" type="noConversion"/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742764FE3D6642923B9303D79ECF55" ma:contentTypeVersion="15" ma:contentTypeDescription="Crie um novo documento." ma:contentTypeScope="" ma:versionID="f90af68994132ca8bedb75579f5b3282">
  <xsd:schema xmlns:xsd="http://www.w3.org/2001/XMLSchema" xmlns:xs="http://www.w3.org/2001/XMLSchema" xmlns:p="http://schemas.microsoft.com/office/2006/metadata/properties" xmlns:ns2="6747c96e-445d-4854-a254-bc36e2bcb0d7" xmlns:ns3="c6583b87-8887-4dcc-9de7-4890b5b5f803" targetNamespace="http://schemas.microsoft.com/office/2006/metadata/properties" ma:root="true" ma:fieldsID="49e10f0453bfe5a92efaf9b464da4d66" ns2:_="" ns3:_="">
    <xsd:import namespace="6747c96e-445d-4854-a254-bc36e2bcb0d7"/>
    <xsd:import namespace="c6583b87-8887-4dcc-9de7-4890b5b5f8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7c96e-445d-4854-a254-bc36e2bcb0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8bb6e46-00bc-4e47-905a-68bc733f39d4}" ma:internalName="TaxCatchAll" ma:showField="CatchAllData" ma:web="6747c96e-445d-4854-a254-bc36e2bcb0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83b87-8887-4dcc-9de7-4890b5b5f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e5f00710-cdf4-4d8a-8e57-46a355119d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FE4D07-729B-4F0A-B9AB-E86E876910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47c96e-445d-4854-a254-bc36e2bcb0d7"/>
    <ds:schemaRef ds:uri="c6583b87-8887-4dcc-9de7-4890b5b5f8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221B7D-1944-4EA7-9BD3-6A231C5A31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13</vt:i4>
      </vt:variant>
      <vt:variant>
        <vt:lpstr>Gráficos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16" baseType="lpstr">
      <vt:lpstr>População</vt:lpstr>
      <vt:lpstr>Imóveis</vt:lpstr>
      <vt:lpstr>Atendimento </vt:lpstr>
      <vt:lpstr>Economais e Ligações Água</vt:lpstr>
      <vt:lpstr>Economais e Ligações Esgoto</vt:lpstr>
      <vt:lpstr>Cota per capita e por economia </vt:lpstr>
      <vt:lpstr>Perdas e Vazões de Água</vt:lpstr>
      <vt:lpstr>Vazões de Esgoto</vt:lpstr>
      <vt:lpstr>Redes e Reservasão</vt:lpstr>
      <vt:lpstr>Dados de Entrada EVTE</vt:lpstr>
      <vt:lpstr>Conf pré Correção</vt:lpstr>
      <vt:lpstr>Conf pós Correção SJB</vt:lpstr>
      <vt:lpstr>Planilha1</vt:lpstr>
      <vt:lpstr>Atual</vt:lpstr>
      <vt:lpstr>Gráf1</vt:lpstr>
      <vt:lpstr>Planilha1!_Hlk121662434</vt:lpstr>
    </vt:vector>
  </TitlesOfParts>
  <Company>DESA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von Sperling</dc:creator>
  <cp:lastModifiedBy>Waldo Villani Jr</cp:lastModifiedBy>
  <cp:lastPrinted>2023-04-04T21:12:47Z</cp:lastPrinted>
  <dcterms:created xsi:type="dcterms:W3CDTF">2001-08-14T00:37:37Z</dcterms:created>
  <dcterms:modified xsi:type="dcterms:W3CDTF">2025-12-17T20:07:55Z</dcterms:modified>
</cp:coreProperties>
</file>