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10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12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13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14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15.xml" ContentType="application/vnd.openxmlformats-officedocument.drawing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16.xml" ContentType="application/vnd.openxmlformats-officedocument.drawing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17.xml" ContentType="application/vnd.openxmlformats-officedocument.drawing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18.xml" ContentType="application/vnd.openxmlformats-officedocument.drawing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drawings/drawing19.xml" ContentType="application/vnd.openxmlformats-officedocument.drawing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drawings/drawing20.xml" ContentType="application/vnd.openxmlformats-officedocument.drawing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drawings/drawing21.xml" ContentType="application/vnd.openxmlformats-officedocument.drawing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drawings/drawing22.xml" ContentType="application/vnd.openxmlformats-officedocument.drawing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drawings/drawing23.xml" ContentType="application/vnd.openxmlformats-officedocument.drawing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drawings/drawing24.xml" ContentType="application/vnd.openxmlformats-officedocument.drawing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drawings/drawing25.xml" ContentType="application/vnd.openxmlformats-officedocument.drawing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drawings/drawing26.xml" ContentType="application/vnd.openxmlformats-officedocument.drawing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drawings/drawing27.xml" ContentType="application/vnd.openxmlformats-officedocument.drawing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drawings/drawing28.xml" ContentType="application/vnd.openxmlformats-officedocument.drawing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drawings/drawing29.xml" ContentType="application/vnd.openxmlformats-officedocument.drawing+xml"/>
  <Override PartName="/xl/charts/chart101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charts/chart102.xml" ContentType="application/vnd.openxmlformats-officedocument.drawingml.chart+xml"/>
  <Override PartName="/xl/charts/style102.xml" ContentType="application/vnd.ms-office.chartstyle+xml"/>
  <Override PartName="/xl/charts/colors102.xml" ContentType="application/vnd.ms-office.chartcolorstyle+xml"/>
  <Override PartName="/xl/charts/chart103.xml" ContentType="application/vnd.openxmlformats-officedocument.drawingml.chart+xml"/>
  <Override PartName="/xl/charts/style103.xml" ContentType="application/vnd.ms-office.chartstyle+xml"/>
  <Override PartName="/xl/charts/colors103.xml" ContentType="application/vnd.ms-office.chartcolorstyle+xml"/>
  <Override PartName="/xl/charts/chart104.xml" ContentType="application/vnd.openxmlformats-officedocument.drawingml.chart+xml"/>
  <Override PartName="/xl/charts/style104.xml" ContentType="application/vnd.ms-office.chartstyle+xml"/>
  <Override PartName="/xl/charts/colors104.xml" ContentType="application/vnd.ms-office.chartcolorstyle+xml"/>
  <Override PartName="/xl/drawings/drawing30.xml" ContentType="application/vnd.openxmlformats-officedocument.drawing+xml"/>
  <Override PartName="/xl/charts/chart105.xml" ContentType="application/vnd.openxmlformats-officedocument.drawingml.chart+xml"/>
  <Override PartName="/xl/charts/style105.xml" ContentType="application/vnd.ms-office.chartstyle+xml"/>
  <Override PartName="/xl/charts/colors105.xml" ContentType="application/vnd.ms-office.chartcolorstyle+xml"/>
  <Override PartName="/xl/charts/chart106.xml" ContentType="application/vnd.openxmlformats-officedocument.drawingml.chart+xml"/>
  <Override PartName="/xl/charts/style106.xml" ContentType="application/vnd.ms-office.chartstyle+xml"/>
  <Override PartName="/xl/charts/colors106.xml" ContentType="application/vnd.ms-office.chartcolorstyle+xml"/>
  <Override PartName="/xl/charts/chart107.xml" ContentType="application/vnd.openxmlformats-officedocument.drawingml.chart+xml"/>
  <Override PartName="/xl/charts/style107.xml" ContentType="application/vnd.ms-office.chartstyle+xml"/>
  <Override PartName="/xl/charts/colors107.xml" ContentType="application/vnd.ms-office.chartcolorstyle+xml"/>
  <Override PartName="/xl/charts/chart108.xml" ContentType="application/vnd.openxmlformats-officedocument.drawingml.chart+xml"/>
  <Override PartName="/xl/charts/style108.xml" ContentType="application/vnd.ms-office.chartstyle+xml"/>
  <Override PartName="/xl/charts/colors108.xml" ContentType="application/vnd.ms-office.chartcolorstyle+xml"/>
  <Override PartName="/xl/drawings/drawing31.xml" ContentType="application/vnd.openxmlformats-officedocument.drawing+xml"/>
  <Override PartName="/xl/charts/chart109.xml" ContentType="application/vnd.openxmlformats-officedocument.drawingml.chart+xml"/>
  <Override PartName="/xl/charts/style109.xml" ContentType="application/vnd.ms-office.chartstyle+xml"/>
  <Override PartName="/xl/charts/colors109.xml" ContentType="application/vnd.ms-office.chartcolorstyle+xml"/>
  <Override PartName="/xl/charts/chart110.xml" ContentType="application/vnd.openxmlformats-officedocument.drawingml.chart+xml"/>
  <Override PartName="/xl/charts/style110.xml" ContentType="application/vnd.ms-office.chartstyle+xml"/>
  <Override PartName="/xl/charts/colors110.xml" ContentType="application/vnd.ms-office.chartcolorstyle+xml"/>
  <Override PartName="/xl/charts/chart111.xml" ContentType="application/vnd.openxmlformats-officedocument.drawingml.chart+xml"/>
  <Override PartName="/xl/charts/style111.xml" ContentType="application/vnd.ms-office.chartstyle+xml"/>
  <Override PartName="/xl/charts/colors111.xml" ContentType="application/vnd.ms-office.chartcolorstyle+xml"/>
  <Override PartName="/xl/charts/chart112.xml" ContentType="application/vnd.openxmlformats-officedocument.drawingml.chart+xml"/>
  <Override PartName="/xl/charts/style112.xml" ContentType="application/vnd.ms-office.chartstyle+xml"/>
  <Override PartName="/xl/charts/colors112.xml" ContentType="application/vnd.ms-office.chartcolorstyle+xml"/>
  <Override PartName="/xl/drawings/drawing32.xml" ContentType="application/vnd.openxmlformats-officedocument.drawing+xml"/>
  <Override PartName="/xl/charts/chart113.xml" ContentType="application/vnd.openxmlformats-officedocument.drawingml.chart+xml"/>
  <Override PartName="/xl/charts/style113.xml" ContentType="application/vnd.ms-office.chartstyle+xml"/>
  <Override PartName="/xl/charts/colors113.xml" ContentType="application/vnd.ms-office.chartcolorstyle+xml"/>
  <Override PartName="/xl/charts/chart114.xml" ContentType="application/vnd.openxmlformats-officedocument.drawingml.chart+xml"/>
  <Override PartName="/xl/charts/style114.xml" ContentType="application/vnd.ms-office.chartstyle+xml"/>
  <Override PartName="/xl/charts/colors114.xml" ContentType="application/vnd.ms-office.chartcolorstyle+xml"/>
  <Override PartName="/xl/charts/chart115.xml" ContentType="application/vnd.openxmlformats-officedocument.drawingml.chart+xml"/>
  <Override PartName="/xl/charts/style115.xml" ContentType="application/vnd.ms-office.chartstyle+xml"/>
  <Override PartName="/xl/charts/colors115.xml" ContentType="application/vnd.ms-office.chartcolorstyle+xml"/>
  <Override PartName="/xl/charts/chart116.xml" ContentType="application/vnd.openxmlformats-officedocument.drawingml.chart+xml"/>
  <Override PartName="/xl/charts/style116.xml" ContentType="application/vnd.ms-office.chartstyle+xml"/>
  <Override PartName="/xl/charts/colors116.xml" ContentType="application/vnd.ms-office.chartcolorstyle+xml"/>
  <Override PartName="/xl/drawings/drawing33.xml" ContentType="application/vnd.openxmlformats-officedocument.drawing+xml"/>
  <Override PartName="/xl/charts/chart117.xml" ContentType="application/vnd.openxmlformats-officedocument.drawingml.chart+xml"/>
  <Override PartName="/xl/charts/style117.xml" ContentType="application/vnd.ms-office.chartstyle+xml"/>
  <Override PartName="/xl/charts/colors117.xml" ContentType="application/vnd.ms-office.chartcolorstyle+xml"/>
  <Override PartName="/xl/charts/chart118.xml" ContentType="application/vnd.openxmlformats-officedocument.drawingml.chart+xml"/>
  <Override PartName="/xl/charts/style118.xml" ContentType="application/vnd.ms-office.chartstyle+xml"/>
  <Override PartName="/xl/charts/colors118.xml" ContentType="application/vnd.ms-office.chartcolorstyle+xml"/>
  <Override PartName="/xl/charts/chart119.xml" ContentType="application/vnd.openxmlformats-officedocument.drawingml.chart+xml"/>
  <Override PartName="/xl/charts/style119.xml" ContentType="application/vnd.ms-office.chartstyle+xml"/>
  <Override PartName="/xl/charts/colors119.xml" ContentType="application/vnd.ms-office.chartcolorstyle+xml"/>
  <Override PartName="/xl/charts/chart120.xml" ContentType="application/vnd.openxmlformats-officedocument.drawingml.chart+xml"/>
  <Override PartName="/xl/charts/style120.xml" ContentType="application/vnd.ms-office.chartstyle+xml"/>
  <Override PartName="/xl/charts/colors120.xml" ContentType="application/vnd.ms-office.chartcolorstyle+xml"/>
  <Override PartName="/xl/drawings/drawing34.xml" ContentType="application/vnd.openxmlformats-officedocument.drawing+xml"/>
  <Override PartName="/xl/charts/chart121.xml" ContentType="application/vnd.openxmlformats-officedocument.drawingml.chart+xml"/>
  <Override PartName="/xl/charts/style121.xml" ContentType="application/vnd.ms-office.chartstyle+xml"/>
  <Override PartName="/xl/charts/colors121.xml" ContentType="application/vnd.ms-office.chartcolorstyle+xml"/>
  <Override PartName="/xl/charts/chart122.xml" ContentType="application/vnd.openxmlformats-officedocument.drawingml.chart+xml"/>
  <Override PartName="/xl/charts/style122.xml" ContentType="application/vnd.ms-office.chartstyle+xml"/>
  <Override PartName="/xl/charts/colors122.xml" ContentType="application/vnd.ms-office.chartcolorstyle+xml"/>
  <Override PartName="/xl/charts/chart123.xml" ContentType="application/vnd.openxmlformats-officedocument.drawingml.chart+xml"/>
  <Override PartName="/xl/charts/style123.xml" ContentType="application/vnd.ms-office.chartstyle+xml"/>
  <Override PartName="/xl/charts/colors123.xml" ContentType="application/vnd.ms-office.chartcolorstyle+xml"/>
  <Override PartName="/xl/charts/chart124.xml" ContentType="application/vnd.openxmlformats-officedocument.drawingml.chart+xml"/>
  <Override PartName="/xl/charts/style124.xml" ContentType="application/vnd.ms-office.chartstyle+xml"/>
  <Override PartName="/xl/charts/colors124.xml" ContentType="application/vnd.ms-office.chartcolorstyle+xml"/>
  <Override PartName="/xl/drawings/drawing35.xml" ContentType="application/vnd.openxmlformats-officedocument.drawing+xml"/>
  <Override PartName="/xl/charts/chart125.xml" ContentType="application/vnd.openxmlformats-officedocument.drawingml.chart+xml"/>
  <Override PartName="/xl/charts/style125.xml" ContentType="application/vnd.ms-office.chartstyle+xml"/>
  <Override PartName="/xl/charts/colors125.xml" ContentType="application/vnd.ms-office.chartcolorstyle+xml"/>
  <Override PartName="/xl/charts/chart126.xml" ContentType="application/vnd.openxmlformats-officedocument.drawingml.chart+xml"/>
  <Override PartName="/xl/charts/style126.xml" ContentType="application/vnd.ms-office.chartstyle+xml"/>
  <Override PartName="/xl/charts/colors126.xml" ContentType="application/vnd.ms-office.chartcolorstyle+xml"/>
  <Override PartName="/xl/charts/chart127.xml" ContentType="application/vnd.openxmlformats-officedocument.drawingml.chart+xml"/>
  <Override PartName="/xl/charts/style127.xml" ContentType="application/vnd.ms-office.chartstyle+xml"/>
  <Override PartName="/xl/charts/colors127.xml" ContentType="application/vnd.ms-office.chartcolorstyle+xml"/>
  <Override PartName="/xl/charts/chart128.xml" ContentType="application/vnd.openxmlformats-officedocument.drawingml.chart+xml"/>
  <Override PartName="/xl/charts/style128.xml" ContentType="application/vnd.ms-office.chartstyle+xml"/>
  <Override PartName="/xl/charts/colors128.xml" ContentType="application/vnd.ms-office.chartcolorstyle+xml"/>
  <Override PartName="/xl/drawings/drawing36.xml" ContentType="application/vnd.openxmlformats-officedocument.drawing+xml"/>
  <Override PartName="/xl/charts/chart129.xml" ContentType="application/vnd.openxmlformats-officedocument.drawingml.chart+xml"/>
  <Override PartName="/xl/charts/style129.xml" ContentType="application/vnd.ms-office.chartstyle+xml"/>
  <Override PartName="/xl/charts/colors129.xml" ContentType="application/vnd.ms-office.chartcolorstyle+xml"/>
  <Override PartName="/xl/charts/chart130.xml" ContentType="application/vnd.openxmlformats-officedocument.drawingml.chart+xml"/>
  <Override PartName="/xl/charts/style130.xml" ContentType="application/vnd.ms-office.chartstyle+xml"/>
  <Override PartName="/xl/charts/colors130.xml" ContentType="application/vnd.ms-office.chartcolorstyle+xml"/>
  <Override PartName="/xl/charts/chart131.xml" ContentType="application/vnd.openxmlformats-officedocument.drawingml.chart+xml"/>
  <Override PartName="/xl/charts/style131.xml" ContentType="application/vnd.ms-office.chartstyle+xml"/>
  <Override PartName="/xl/charts/colors131.xml" ContentType="application/vnd.ms-office.chartcolorstyle+xml"/>
  <Override PartName="/xl/charts/chart132.xml" ContentType="application/vnd.openxmlformats-officedocument.drawingml.chart+xml"/>
  <Override PartName="/xl/charts/style132.xml" ContentType="application/vnd.ms-office.chartstyle+xml"/>
  <Override PartName="/xl/charts/colors13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Waldo V\Documents\EZUTE 2023-2024\Timbó\Licitação 2\"/>
    </mc:Choice>
  </mc:AlternateContent>
  <xr:revisionPtr revIDLastSave="0" documentId="13_ncr:1_{A4E99BED-CDA8-4957-A922-72A5B94D0D18}" xr6:coauthVersionLast="47" xr6:coauthVersionMax="47" xr10:uidLastSave="{00000000-0000-0000-0000-000000000000}"/>
  <bookViews>
    <workbookView xWindow="-120" yWindow="-120" windowWidth="29040" windowHeight="15840" tabRatio="774" activeTab="1" xr2:uid="{00000000-000D-0000-FFFF-FFFF00000000}"/>
  </bookViews>
  <sheets>
    <sheet name="Folha de dados" sheetId="35" r:id="rId1"/>
    <sheet name="Resumo" sheetId="18" r:id="rId2"/>
    <sheet name="Ano 1" sheetId="1" r:id="rId3"/>
    <sheet name="Ano 2" sheetId="4" r:id="rId4"/>
    <sheet name="Ano 3" sheetId="5" r:id="rId5"/>
    <sheet name="Ano 4" sheetId="6" r:id="rId6"/>
    <sheet name="Ano 5" sheetId="7" r:id="rId7"/>
    <sheet name="Ano 6" sheetId="8" r:id="rId8"/>
    <sheet name="Ano 7" sheetId="9" r:id="rId9"/>
    <sheet name="Ano 8" sheetId="10" r:id="rId10"/>
    <sheet name="Ano 9" sheetId="11" r:id="rId11"/>
    <sheet name="Ano 10" sheetId="12" r:id="rId12"/>
    <sheet name="Ano 11" sheetId="19" r:id="rId13"/>
    <sheet name="Ano 12" sheetId="20" r:id="rId14"/>
    <sheet name="Ano 13" sheetId="21" r:id="rId15"/>
    <sheet name="Ano 14" sheetId="22" r:id="rId16"/>
    <sheet name="Ano 15" sheetId="13" r:id="rId17"/>
    <sheet name="Ano 16" sheetId="24" r:id="rId18"/>
    <sheet name="Ano 17" sheetId="25" r:id="rId19"/>
    <sheet name="Ano 18" sheetId="26" r:id="rId20"/>
    <sheet name="Ano 19" sheetId="27" r:id="rId21"/>
    <sheet name="Ano 20" sheetId="15" r:id="rId22"/>
    <sheet name="Ano 21" sheetId="23" r:id="rId23"/>
    <sheet name="Ano 22" sheetId="28" r:id="rId24"/>
    <sheet name="Ano 23" sheetId="29" r:id="rId25"/>
    <sheet name="Ano 24" sheetId="30" r:id="rId26"/>
    <sheet name="Ano 25" sheetId="16" r:id="rId27"/>
    <sheet name="Ano 26" sheetId="31" r:id="rId28"/>
    <sheet name="Ano 27" sheetId="32" r:id="rId29"/>
    <sheet name="Ano 28" sheetId="33" r:id="rId30"/>
    <sheet name="Ano 29" sheetId="34" r:id="rId31"/>
    <sheet name="Ano 30" sheetId="17" r:id="rId32"/>
    <sheet name="Ano 31" sheetId="36" r:id="rId33"/>
    <sheet name="Ano 32" sheetId="37" r:id="rId34"/>
    <sheet name="Ano 33" sheetId="38" r:id="rId35"/>
    <sheet name="Ano 34" sheetId="39" r:id="rId36"/>
    <sheet name="Ano 35" sheetId="40" r:id="rId37"/>
  </sheets>
  <definedNames>
    <definedName name="_xlnm.Print_Area" localSheetId="2">'Ano 1'!$P$33:$X$55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T21" i="35" l="1"/>
  <c r="AQ21" i="35"/>
  <c r="AQ12" i="35"/>
  <c r="AW7" i="35"/>
  <c r="AT7" i="35"/>
  <c r="AW26" i="35"/>
  <c r="AW25" i="35"/>
  <c r="AW24" i="35"/>
  <c r="AW23" i="35"/>
  <c r="AW22" i="35"/>
  <c r="AW21" i="35"/>
  <c r="AW19" i="35"/>
  <c r="AW18" i="35"/>
  <c r="AW17" i="35"/>
  <c r="AW16" i="35"/>
  <c r="AW15" i="35"/>
  <c r="AW14" i="35"/>
  <c r="AW13" i="35"/>
  <c r="AW12" i="35"/>
  <c r="AT26" i="35"/>
  <c r="AT25" i="35"/>
  <c r="AT24" i="35"/>
  <c r="AT23" i="35"/>
  <c r="AT22" i="35"/>
  <c r="AT19" i="35"/>
  <c r="AT18" i="35"/>
  <c r="AT17" i="35"/>
  <c r="AT16" i="35"/>
  <c r="AT15" i="35"/>
  <c r="AT14" i="35"/>
  <c r="AT13" i="35"/>
  <c r="AT12" i="35"/>
  <c r="AQ31" i="35"/>
  <c r="BB32" i="35" s="1"/>
  <c r="AQ26" i="35"/>
  <c r="AQ25" i="35"/>
  <c r="AQ24" i="35"/>
  <c r="AQ23" i="35"/>
  <c r="AQ22" i="35"/>
  <c r="AQ19" i="35"/>
  <c r="AQ18" i="35"/>
  <c r="AQ17" i="35"/>
  <c r="AQ16" i="35"/>
  <c r="AQ15" i="35"/>
  <c r="AQ14" i="35"/>
  <c r="AQ13" i="35"/>
  <c r="AQ7" i="35"/>
  <c r="BH34" i="35"/>
  <c r="BE34" i="35"/>
  <c r="BB34" i="35"/>
  <c r="BH33" i="35"/>
  <c r="BE33" i="35"/>
  <c r="BB33" i="35"/>
  <c r="BH32" i="35"/>
  <c r="BE32" i="35"/>
  <c r="AZ32" i="35"/>
  <c r="AZ33" i="35" s="1"/>
  <c r="AZ34" i="35" s="1"/>
  <c r="BC31" i="35" s="1"/>
  <c r="BC32" i="35" s="1"/>
  <c r="BC33" i="35" s="1"/>
  <c r="BC34" i="35" s="1"/>
  <c r="BF31" i="35" s="1"/>
  <c r="BF32" i="35" s="1"/>
  <c r="BF33" i="35" s="1"/>
  <c r="BF34" i="35" s="1"/>
  <c r="BH31" i="35"/>
  <c r="BE31" i="35"/>
  <c r="G99" i="35" l="1"/>
  <c r="F99" i="35"/>
  <c r="E99" i="35"/>
  <c r="D99" i="35"/>
  <c r="G98" i="35"/>
  <c r="F98" i="35"/>
  <c r="E98" i="35"/>
  <c r="D98" i="35"/>
  <c r="G97" i="35"/>
  <c r="F97" i="35"/>
  <c r="E97" i="35"/>
  <c r="D97" i="35"/>
  <c r="G96" i="35"/>
  <c r="F96" i="35"/>
  <c r="E96" i="35"/>
  <c r="D96" i="35"/>
  <c r="G95" i="35"/>
  <c r="F95" i="35"/>
  <c r="E95" i="35"/>
  <c r="D95" i="35"/>
  <c r="G94" i="35"/>
  <c r="F94" i="35"/>
  <c r="E94" i="35"/>
  <c r="D94" i="35"/>
  <c r="G93" i="35"/>
  <c r="F93" i="35"/>
  <c r="E93" i="35"/>
  <c r="D93" i="35"/>
  <c r="G92" i="35"/>
  <c r="F92" i="35"/>
  <c r="E92" i="35"/>
  <c r="D92" i="35"/>
  <c r="G91" i="35"/>
  <c r="F91" i="35"/>
  <c r="E91" i="35"/>
  <c r="D91" i="35"/>
  <c r="G90" i="35"/>
  <c r="F90" i="35"/>
  <c r="E90" i="35"/>
  <c r="D90" i="35"/>
  <c r="G89" i="35"/>
  <c r="F89" i="35"/>
  <c r="E89" i="35"/>
  <c r="D89" i="35"/>
  <c r="G88" i="35"/>
  <c r="F88" i="35"/>
  <c r="E88" i="35"/>
  <c r="D88" i="35"/>
  <c r="G87" i="35"/>
  <c r="F87" i="35"/>
  <c r="E87" i="35"/>
  <c r="D87" i="35"/>
  <c r="G86" i="35"/>
  <c r="F86" i="35"/>
  <c r="E86" i="35"/>
  <c r="D86" i="35"/>
  <c r="G85" i="35"/>
  <c r="F85" i="35"/>
  <c r="E85" i="35"/>
  <c r="D85" i="35"/>
  <c r="G84" i="35"/>
  <c r="F84" i="35"/>
  <c r="E84" i="35"/>
  <c r="D84" i="35"/>
  <c r="G83" i="35"/>
  <c r="F83" i="35"/>
  <c r="E83" i="35"/>
  <c r="D83" i="35"/>
  <c r="G82" i="35"/>
  <c r="F82" i="35"/>
  <c r="E82" i="35"/>
  <c r="D82" i="35"/>
  <c r="G81" i="35"/>
  <c r="F81" i="35"/>
  <c r="E81" i="35"/>
  <c r="D81" i="35"/>
  <c r="G79" i="35"/>
  <c r="F79" i="35"/>
  <c r="E79" i="35"/>
  <c r="D79" i="35"/>
  <c r="G78" i="35"/>
  <c r="F78" i="35"/>
  <c r="E78" i="35"/>
  <c r="D78" i="35"/>
  <c r="G77" i="35"/>
  <c r="F77" i="35"/>
  <c r="E77" i="35"/>
  <c r="D77" i="35"/>
  <c r="G76" i="35"/>
  <c r="F76" i="35"/>
  <c r="E76" i="35"/>
  <c r="D76" i="35"/>
  <c r="G75" i="35"/>
  <c r="F75" i="35"/>
  <c r="E75" i="35"/>
  <c r="D75" i="35"/>
  <c r="G74" i="35"/>
  <c r="F74" i="35"/>
  <c r="E74" i="35"/>
  <c r="D74" i="35"/>
  <c r="G73" i="35"/>
  <c r="F73" i="35"/>
  <c r="E73" i="35"/>
  <c r="D73" i="35"/>
  <c r="G72" i="35"/>
  <c r="F72" i="35"/>
  <c r="E72" i="35"/>
  <c r="D72" i="35"/>
  <c r="G71" i="35"/>
  <c r="F71" i="35"/>
  <c r="E71" i="35"/>
  <c r="D71" i="35"/>
  <c r="G70" i="35"/>
  <c r="F70" i="35"/>
  <c r="E70" i="35"/>
  <c r="D70" i="35"/>
  <c r="G69" i="35"/>
  <c r="F69" i="35"/>
  <c r="E69" i="35"/>
  <c r="D69" i="35"/>
  <c r="G68" i="35"/>
  <c r="F68" i="35"/>
  <c r="E68" i="35"/>
  <c r="D68" i="35"/>
  <c r="G67" i="35"/>
  <c r="F67" i="35"/>
  <c r="E67" i="35"/>
  <c r="D67" i="35"/>
  <c r="G66" i="35"/>
  <c r="F66" i="35"/>
  <c r="E66" i="35"/>
  <c r="D66" i="35"/>
  <c r="G65" i="35"/>
  <c r="F65" i="35"/>
  <c r="E65" i="35"/>
  <c r="D65" i="35"/>
  <c r="G64" i="35"/>
  <c r="F64" i="35"/>
  <c r="E64" i="35"/>
  <c r="D64" i="35"/>
  <c r="G63" i="35"/>
  <c r="F63" i="35"/>
  <c r="E63" i="35"/>
  <c r="D63" i="35"/>
  <c r="G62" i="35"/>
  <c r="F62" i="35"/>
  <c r="E62" i="35"/>
  <c r="D62" i="35"/>
  <c r="G61" i="35"/>
  <c r="F61" i="35"/>
  <c r="E61" i="35"/>
  <c r="D61" i="35"/>
  <c r="G59" i="35"/>
  <c r="F59" i="35"/>
  <c r="E59" i="35"/>
  <c r="D59" i="35"/>
  <c r="G58" i="35"/>
  <c r="F58" i="35"/>
  <c r="E58" i="35"/>
  <c r="D58" i="35"/>
  <c r="G57" i="35"/>
  <c r="F57" i="35"/>
  <c r="E57" i="35"/>
  <c r="D57" i="35"/>
  <c r="G56" i="35"/>
  <c r="F56" i="35"/>
  <c r="E56" i="35"/>
  <c r="D56" i="35"/>
  <c r="G55" i="35"/>
  <c r="F55" i="35"/>
  <c r="E55" i="35"/>
  <c r="D55" i="35"/>
  <c r="G54" i="35"/>
  <c r="F54" i="35"/>
  <c r="E54" i="35"/>
  <c r="D54" i="35"/>
  <c r="G53" i="35"/>
  <c r="F53" i="35"/>
  <c r="E53" i="35"/>
  <c r="D53" i="35"/>
  <c r="G52" i="35"/>
  <c r="F52" i="35"/>
  <c r="E52" i="35"/>
  <c r="D52" i="35"/>
  <c r="G51" i="35"/>
  <c r="F51" i="35"/>
  <c r="E51" i="35"/>
  <c r="D51" i="35"/>
  <c r="G50" i="35"/>
  <c r="F50" i="35"/>
  <c r="E50" i="35"/>
  <c r="D50" i="35"/>
  <c r="G49" i="35"/>
  <c r="F49" i="35"/>
  <c r="E49" i="35"/>
  <c r="D49" i="35"/>
  <c r="G48" i="35"/>
  <c r="F48" i="35"/>
  <c r="E48" i="35"/>
  <c r="D48" i="35"/>
  <c r="G47" i="35"/>
  <c r="F47" i="35"/>
  <c r="E47" i="35"/>
  <c r="D47" i="35"/>
  <c r="G46" i="35"/>
  <c r="F46" i="35"/>
  <c r="E46" i="35"/>
  <c r="D46" i="35"/>
  <c r="G45" i="35"/>
  <c r="F45" i="35"/>
  <c r="E45" i="35"/>
  <c r="D45" i="35"/>
  <c r="G44" i="35"/>
  <c r="F44" i="35"/>
  <c r="E44" i="35"/>
  <c r="D44" i="35"/>
  <c r="G43" i="35"/>
  <c r="F43" i="35"/>
  <c r="E43" i="35"/>
  <c r="D43" i="35"/>
  <c r="G42" i="35"/>
  <c r="F42" i="35"/>
  <c r="E42" i="35"/>
  <c r="D42" i="35"/>
  <c r="G41" i="35"/>
  <c r="F41" i="35"/>
  <c r="E41" i="35"/>
  <c r="D41" i="35"/>
  <c r="G38" i="35"/>
  <c r="F38" i="35"/>
  <c r="E38" i="35"/>
  <c r="D38" i="35"/>
  <c r="G37" i="35"/>
  <c r="F37" i="35"/>
  <c r="E37" i="35"/>
  <c r="D37" i="35"/>
  <c r="G36" i="35"/>
  <c r="F36" i="35"/>
  <c r="E36" i="35"/>
  <c r="D36" i="35"/>
  <c r="G35" i="35"/>
  <c r="F35" i="35"/>
  <c r="E35" i="35"/>
  <c r="D35" i="35"/>
  <c r="G34" i="35"/>
  <c r="F34" i="35"/>
  <c r="E34" i="35"/>
  <c r="D34" i="35"/>
  <c r="G33" i="35"/>
  <c r="F33" i="35"/>
  <c r="E33" i="35"/>
  <c r="D33" i="35"/>
  <c r="G29" i="35"/>
  <c r="F29" i="35"/>
  <c r="E29" i="35"/>
  <c r="G28" i="35"/>
  <c r="F28" i="35"/>
  <c r="E28" i="35"/>
  <c r="G27" i="35"/>
  <c r="F27" i="35"/>
  <c r="E27" i="35"/>
  <c r="G26" i="35"/>
  <c r="F26" i="35"/>
  <c r="E26" i="35"/>
  <c r="G25" i="35"/>
  <c r="F25" i="35"/>
  <c r="E25" i="35"/>
  <c r="G24" i="35"/>
  <c r="F24" i="35"/>
  <c r="E24" i="35"/>
  <c r="G23" i="35"/>
  <c r="F23" i="35"/>
  <c r="E23" i="35"/>
  <c r="D24" i="35"/>
  <c r="D25" i="35"/>
  <c r="D26" i="35"/>
  <c r="D27" i="35"/>
  <c r="D28" i="35"/>
  <c r="D29" i="35"/>
  <c r="D23" i="35"/>
  <c r="L99" i="35" l="1"/>
  <c r="L98" i="35"/>
  <c r="L97" i="35"/>
  <c r="L96" i="35"/>
  <c r="L95" i="35"/>
  <c r="L94" i="35"/>
  <c r="L93" i="35"/>
  <c r="L92" i="35"/>
  <c r="L91" i="35"/>
  <c r="L90" i="35"/>
  <c r="L89" i="35"/>
  <c r="L88" i="35"/>
  <c r="L87" i="35"/>
  <c r="L86" i="35"/>
  <c r="L85" i="35"/>
  <c r="L84" i="35"/>
  <c r="L83" i="35"/>
  <c r="L82" i="35"/>
  <c r="L81" i="35"/>
  <c r="L79" i="35"/>
  <c r="L78" i="35"/>
  <c r="L77" i="35"/>
  <c r="L76" i="35"/>
  <c r="L75" i="35"/>
  <c r="L74" i="35"/>
  <c r="L73" i="35"/>
  <c r="L72" i="35"/>
  <c r="L71" i="35"/>
  <c r="L70" i="35"/>
  <c r="L69" i="35"/>
  <c r="L68" i="35"/>
  <c r="L67" i="35"/>
  <c r="L66" i="35"/>
  <c r="L65" i="35"/>
  <c r="L64" i="35"/>
  <c r="L63" i="35"/>
  <c r="L62" i="35"/>
  <c r="L61" i="35"/>
  <c r="L59" i="35"/>
  <c r="L58" i="35"/>
  <c r="L57" i="35"/>
  <c r="L56" i="35"/>
  <c r="L55" i="35"/>
  <c r="L54" i="35"/>
  <c r="L53" i="35"/>
  <c r="L52" i="35"/>
  <c r="L51" i="35"/>
  <c r="L50" i="35"/>
  <c r="L49" i="35"/>
  <c r="L48" i="35"/>
  <c r="L47" i="35"/>
  <c r="L46" i="35"/>
  <c r="L45" i="35"/>
  <c r="L44" i="35"/>
  <c r="L43" i="35"/>
  <c r="L42" i="35"/>
  <c r="L41" i="35"/>
  <c r="L38" i="35"/>
  <c r="L37" i="35"/>
  <c r="L36" i="35"/>
  <c r="L35" i="35"/>
  <c r="L34" i="35"/>
  <c r="L33" i="35"/>
  <c r="L29" i="35"/>
  <c r="L28" i="35"/>
  <c r="L27" i="35"/>
  <c r="L26" i="35"/>
  <c r="L25" i="35"/>
  <c r="L24" i="35"/>
  <c r="M55" i="40"/>
  <c r="M56" i="40"/>
  <c r="M57" i="40"/>
  <c r="M58" i="40"/>
  <c r="M59" i="40"/>
  <c r="M60" i="40"/>
  <c r="M61" i="40"/>
  <c r="M62" i="40"/>
  <c r="M63" i="40"/>
  <c r="AL12" i="18" s="1"/>
  <c r="M64" i="40"/>
  <c r="AL13" i="18" s="1"/>
  <c r="M65" i="40"/>
  <c r="AL14" i="18" s="1"/>
  <c r="M66" i="40"/>
  <c r="M67" i="40"/>
  <c r="M68" i="40"/>
  <c r="AL17" i="18" s="1"/>
  <c r="M55" i="39"/>
  <c r="AK4" i="18" s="1"/>
  <c r="M56" i="39"/>
  <c r="AK5" i="18" s="1"/>
  <c r="M57" i="39"/>
  <c r="M58" i="39"/>
  <c r="M59" i="39"/>
  <c r="M60" i="39"/>
  <c r="AK9" i="18" s="1"/>
  <c r="M61" i="39"/>
  <c r="M62" i="39"/>
  <c r="M63" i="39"/>
  <c r="AK12" i="18" s="1"/>
  <c r="M64" i="39"/>
  <c r="M65" i="39"/>
  <c r="M66" i="39"/>
  <c r="M67" i="39"/>
  <c r="AK16" i="18" s="1"/>
  <c r="M68" i="39"/>
  <c r="M55" i="38"/>
  <c r="M56" i="38"/>
  <c r="AJ5" i="18" s="1"/>
  <c r="M57" i="38"/>
  <c r="M58" i="38"/>
  <c r="M59" i="38"/>
  <c r="AJ8" i="18" s="1"/>
  <c r="M60" i="38"/>
  <c r="AJ9" i="18" s="1"/>
  <c r="M61" i="38"/>
  <c r="AJ10" i="18" s="1"/>
  <c r="M62" i="38"/>
  <c r="M63" i="38"/>
  <c r="M64" i="38"/>
  <c r="AJ13" i="18" s="1"/>
  <c r="M65" i="38"/>
  <c r="M66" i="38"/>
  <c r="M67" i="38"/>
  <c r="M68" i="38"/>
  <c r="M55" i="37"/>
  <c r="M56" i="37"/>
  <c r="AI5" i="18" s="1"/>
  <c r="M57" i="37"/>
  <c r="AI6" i="18" s="1"/>
  <c r="M58" i="37"/>
  <c r="M59" i="37"/>
  <c r="AI8" i="18" s="1"/>
  <c r="M60" i="37"/>
  <c r="AI9" i="18" s="1"/>
  <c r="M61" i="37"/>
  <c r="M62" i="37"/>
  <c r="M63" i="37"/>
  <c r="M64" i="37"/>
  <c r="AI13" i="18" s="1"/>
  <c r="M65" i="37"/>
  <c r="M66" i="37"/>
  <c r="M67" i="37"/>
  <c r="AI16" i="18" s="1"/>
  <c r="M68" i="37"/>
  <c r="AI17" i="18" s="1"/>
  <c r="M55" i="36"/>
  <c r="M56" i="36"/>
  <c r="M57" i="36"/>
  <c r="M58" i="36"/>
  <c r="M59" i="36"/>
  <c r="M60" i="36"/>
  <c r="M61" i="36"/>
  <c r="M62" i="36"/>
  <c r="M63" i="36"/>
  <c r="M64" i="36"/>
  <c r="M65" i="36"/>
  <c r="M66" i="36"/>
  <c r="M67" i="36"/>
  <c r="M68" i="36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55" i="34"/>
  <c r="M56" i="34"/>
  <c r="M57" i="34"/>
  <c r="M58" i="34"/>
  <c r="M59" i="34"/>
  <c r="M60" i="34"/>
  <c r="M61" i="34"/>
  <c r="M62" i="34"/>
  <c r="M63" i="34"/>
  <c r="M64" i="34"/>
  <c r="M65" i="34"/>
  <c r="M66" i="34"/>
  <c r="M67" i="34"/>
  <c r="M68" i="34"/>
  <c r="M55" i="33"/>
  <c r="M56" i="33"/>
  <c r="M57" i="33"/>
  <c r="M58" i="33"/>
  <c r="M59" i="33"/>
  <c r="M60" i="33"/>
  <c r="M61" i="33"/>
  <c r="M62" i="33"/>
  <c r="M63" i="33"/>
  <c r="M64" i="33"/>
  <c r="M65" i="33"/>
  <c r="M66" i="33"/>
  <c r="M67" i="33"/>
  <c r="M68" i="33"/>
  <c r="M55" i="32"/>
  <c r="M56" i="32"/>
  <c r="M57" i="32"/>
  <c r="M58" i="32"/>
  <c r="M59" i="32"/>
  <c r="M60" i="32"/>
  <c r="M61" i="32"/>
  <c r="M62" i="32"/>
  <c r="M63" i="32"/>
  <c r="M64" i="32"/>
  <c r="M65" i="32"/>
  <c r="M66" i="32"/>
  <c r="M67" i="32"/>
  <c r="M68" i="32"/>
  <c r="M55" i="31"/>
  <c r="M56" i="31"/>
  <c r="M57" i="31"/>
  <c r="M58" i="31"/>
  <c r="M59" i="31"/>
  <c r="M60" i="31"/>
  <c r="M61" i="31"/>
  <c r="M62" i="31"/>
  <c r="M63" i="31"/>
  <c r="M64" i="31"/>
  <c r="M65" i="31"/>
  <c r="M66" i="31"/>
  <c r="M67" i="31"/>
  <c r="M68" i="31"/>
  <c r="M55" i="16"/>
  <c r="M56" i="16"/>
  <c r="M57" i="16"/>
  <c r="M58" i="16"/>
  <c r="M59" i="16"/>
  <c r="M60" i="16"/>
  <c r="M61" i="16"/>
  <c r="M62" i="16"/>
  <c r="M63" i="16"/>
  <c r="M64" i="16"/>
  <c r="M65" i="16"/>
  <c r="M66" i="16"/>
  <c r="M67" i="16"/>
  <c r="M68" i="16"/>
  <c r="M55" i="30"/>
  <c r="M56" i="30"/>
  <c r="M57" i="30"/>
  <c r="M58" i="30"/>
  <c r="M59" i="30"/>
  <c r="M60" i="30"/>
  <c r="M61" i="30"/>
  <c r="M62" i="30"/>
  <c r="M63" i="30"/>
  <c r="M64" i="30"/>
  <c r="M65" i="30"/>
  <c r="M66" i="30"/>
  <c r="M67" i="30"/>
  <c r="M68" i="30"/>
  <c r="M55" i="29"/>
  <c r="M56" i="29"/>
  <c r="M57" i="29"/>
  <c r="M58" i="29"/>
  <c r="M59" i="29"/>
  <c r="M60" i="29"/>
  <c r="M61" i="29"/>
  <c r="M62" i="29"/>
  <c r="M63" i="29"/>
  <c r="M64" i="29"/>
  <c r="M65" i="29"/>
  <c r="M66" i="29"/>
  <c r="M67" i="29"/>
  <c r="M68" i="29"/>
  <c r="M55" i="28"/>
  <c r="M56" i="28"/>
  <c r="M57" i="28"/>
  <c r="M58" i="28"/>
  <c r="M59" i="28"/>
  <c r="M60" i="28"/>
  <c r="M61" i="28"/>
  <c r="M62" i="28"/>
  <c r="M63" i="28"/>
  <c r="M64" i="28"/>
  <c r="M65" i="28"/>
  <c r="M66" i="28"/>
  <c r="M67" i="28"/>
  <c r="M68" i="28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55" i="15"/>
  <c r="M56" i="15"/>
  <c r="M57" i="15"/>
  <c r="M58" i="15"/>
  <c r="M59" i="15"/>
  <c r="M60" i="15"/>
  <c r="M61" i="15"/>
  <c r="M62" i="15"/>
  <c r="M63" i="15"/>
  <c r="M64" i="15"/>
  <c r="M65" i="15"/>
  <c r="M66" i="15"/>
  <c r="M67" i="15"/>
  <c r="M68" i="15"/>
  <c r="M55" i="27"/>
  <c r="M56" i="27"/>
  <c r="M57" i="27"/>
  <c r="M58" i="27"/>
  <c r="M59" i="27"/>
  <c r="M60" i="27"/>
  <c r="M61" i="27"/>
  <c r="M62" i="27"/>
  <c r="M63" i="27"/>
  <c r="M64" i="27"/>
  <c r="M65" i="27"/>
  <c r="M66" i="27"/>
  <c r="M67" i="27"/>
  <c r="M68" i="27"/>
  <c r="M55" i="26"/>
  <c r="M56" i="26"/>
  <c r="M57" i="26"/>
  <c r="M58" i="26"/>
  <c r="M59" i="26"/>
  <c r="M60" i="26"/>
  <c r="M61" i="26"/>
  <c r="M62" i="26"/>
  <c r="M63" i="26"/>
  <c r="M64" i="26"/>
  <c r="M65" i="26"/>
  <c r="M66" i="26"/>
  <c r="M67" i="26"/>
  <c r="M68" i="26"/>
  <c r="M55" i="25"/>
  <c r="T4" i="18" s="1"/>
  <c r="M56" i="25"/>
  <c r="T5" i="18" s="1"/>
  <c r="M57" i="25"/>
  <c r="T6" i="18" s="1"/>
  <c r="M58" i="25"/>
  <c r="T7" i="18" s="1"/>
  <c r="M59" i="25"/>
  <c r="T8" i="18" s="1"/>
  <c r="M60" i="25"/>
  <c r="T9" i="18" s="1"/>
  <c r="M61" i="25"/>
  <c r="T10" i="18" s="1"/>
  <c r="M62" i="25"/>
  <c r="T11" i="18" s="1"/>
  <c r="M63" i="25"/>
  <c r="T12" i="18" s="1"/>
  <c r="M64" i="25"/>
  <c r="T13" i="18" s="1"/>
  <c r="M65" i="25"/>
  <c r="T14" i="18" s="1"/>
  <c r="M66" i="25"/>
  <c r="T15" i="18" s="1"/>
  <c r="M67" i="25"/>
  <c r="T16" i="18" s="1"/>
  <c r="M68" i="25"/>
  <c r="T17" i="18" s="1"/>
  <c r="M55" i="24"/>
  <c r="M56" i="24"/>
  <c r="M57" i="24"/>
  <c r="M58" i="24"/>
  <c r="M59" i="24"/>
  <c r="M60" i="24"/>
  <c r="M61" i="24"/>
  <c r="M62" i="24"/>
  <c r="M63" i="24"/>
  <c r="M64" i="24"/>
  <c r="M65" i="24"/>
  <c r="M66" i="24"/>
  <c r="M67" i="24"/>
  <c r="M68" i="24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55" i="21"/>
  <c r="M56" i="21"/>
  <c r="M57" i="21"/>
  <c r="M58" i="21"/>
  <c r="M59" i="21"/>
  <c r="M60" i="21"/>
  <c r="M61" i="21"/>
  <c r="M62" i="21"/>
  <c r="M63" i="21"/>
  <c r="M64" i="21"/>
  <c r="M65" i="21"/>
  <c r="M66" i="21"/>
  <c r="M67" i="21"/>
  <c r="M68" i="21"/>
  <c r="M55" i="20"/>
  <c r="M56" i="20"/>
  <c r="M57" i="20"/>
  <c r="M58" i="20"/>
  <c r="M59" i="20"/>
  <c r="M60" i="20"/>
  <c r="M61" i="20"/>
  <c r="M62" i="20"/>
  <c r="M63" i="20"/>
  <c r="M64" i="20"/>
  <c r="M65" i="20"/>
  <c r="M66" i="20"/>
  <c r="M67" i="20"/>
  <c r="M68" i="20"/>
  <c r="M55" i="19"/>
  <c r="M56" i="19"/>
  <c r="M57" i="19"/>
  <c r="M58" i="19"/>
  <c r="M59" i="19"/>
  <c r="M60" i="19"/>
  <c r="M61" i="19"/>
  <c r="M62" i="19"/>
  <c r="M63" i="19"/>
  <c r="M64" i="19"/>
  <c r="M65" i="19"/>
  <c r="M66" i="19"/>
  <c r="M67" i="19"/>
  <c r="M68" i="19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F1" i="40"/>
  <c r="F1" i="39"/>
  <c r="F1" i="38"/>
  <c r="F1" i="37"/>
  <c r="F1" i="36"/>
  <c r="F1" i="17"/>
  <c r="F1" i="34"/>
  <c r="F1" i="33"/>
  <c r="F1" i="32"/>
  <c r="F1" i="31"/>
  <c r="F1" i="16"/>
  <c r="F1" i="30"/>
  <c r="F1" i="29"/>
  <c r="F1" i="28"/>
  <c r="F1" i="23"/>
  <c r="F1" i="15"/>
  <c r="F1" i="27"/>
  <c r="F1" i="26"/>
  <c r="F1" i="25"/>
  <c r="F1" i="24"/>
  <c r="F1" i="13"/>
  <c r="F1" i="22"/>
  <c r="F1" i="21"/>
  <c r="F1" i="20"/>
  <c r="F1" i="19"/>
  <c r="F1" i="12"/>
  <c r="F1" i="11"/>
  <c r="F1" i="10"/>
  <c r="F1" i="9"/>
  <c r="F1" i="8"/>
  <c r="F1" i="7"/>
  <c r="F1" i="6"/>
  <c r="F1" i="5"/>
  <c r="F1" i="4"/>
  <c r="F1" i="1"/>
  <c r="F88" i="40"/>
  <c r="F82" i="40"/>
  <c r="F88" i="39"/>
  <c r="F82" i="39"/>
  <c r="F88" i="38"/>
  <c r="F82" i="38"/>
  <c r="F88" i="37"/>
  <c r="F82" i="37"/>
  <c r="F88" i="36"/>
  <c r="F82" i="36"/>
  <c r="F88" i="17"/>
  <c r="F82" i="17"/>
  <c r="F88" i="34"/>
  <c r="F82" i="34"/>
  <c r="F88" i="33"/>
  <c r="F82" i="33"/>
  <c r="F88" i="32"/>
  <c r="F82" i="32"/>
  <c r="F88" i="31"/>
  <c r="F82" i="31"/>
  <c r="F88" i="16"/>
  <c r="F82" i="16"/>
  <c r="F88" i="30"/>
  <c r="F82" i="30"/>
  <c r="F88" i="29"/>
  <c r="F82" i="29"/>
  <c r="F88" i="28"/>
  <c r="F82" i="28"/>
  <c r="F88" i="23"/>
  <c r="F82" i="23"/>
  <c r="F88" i="15"/>
  <c r="F82" i="15"/>
  <c r="F88" i="27"/>
  <c r="F82" i="27"/>
  <c r="F88" i="26"/>
  <c r="F82" i="26"/>
  <c r="F88" i="25"/>
  <c r="F82" i="25"/>
  <c r="F88" i="24"/>
  <c r="F82" i="24"/>
  <c r="F88" i="13"/>
  <c r="F82" i="13"/>
  <c r="F82" i="22"/>
  <c r="F88" i="22"/>
  <c r="F82" i="21"/>
  <c r="F88" i="21"/>
  <c r="F82" i="20"/>
  <c r="F88" i="20"/>
  <c r="F82" i="19"/>
  <c r="F88" i="19"/>
  <c r="F82" i="12"/>
  <c r="F88" i="12"/>
  <c r="F82" i="11"/>
  <c r="F88" i="11"/>
  <c r="F82" i="10"/>
  <c r="F88" i="10"/>
  <c r="F82" i="9"/>
  <c r="F88" i="9"/>
  <c r="F82" i="8"/>
  <c r="F88" i="8"/>
  <c r="F82" i="7"/>
  <c r="F88" i="7"/>
  <c r="F82" i="6"/>
  <c r="F88" i="6"/>
  <c r="F82" i="5"/>
  <c r="F88" i="5"/>
  <c r="P82" i="5"/>
  <c r="P83" i="5"/>
  <c r="F82" i="4"/>
  <c r="F88" i="4"/>
  <c r="F82" i="1"/>
  <c r="F88" i="1"/>
  <c r="R32" i="35"/>
  <c r="F89" i="5" s="1"/>
  <c r="R26" i="35"/>
  <c r="F83" i="34" s="1"/>
  <c r="O26" i="35"/>
  <c r="O27" i="35" s="1"/>
  <c r="O28" i="35" s="1"/>
  <c r="O29" i="35" s="1"/>
  <c r="O30" i="35" s="1"/>
  <c r="O31" i="35" s="1"/>
  <c r="O32" i="35" s="1"/>
  <c r="O33" i="35" s="1"/>
  <c r="O34" i="35" s="1"/>
  <c r="O35" i="35" s="1"/>
  <c r="O36" i="35" s="1"/>
  <c r="O37" i="35" s="1"/>
  <c r="O38" i="35" s="1"/>
  <c r="O39" i="35" s="1"/>
  <c r="AL16" i="18"/>
  <c r="AL5" i="18"/>
  <c r="AL6" i="18"/>
  <c r="AL8" i="18"/>
  <c r="AL9" i="18"/>
  <c r="AL10" i="18"/>
  <c r="AL4" i="18"/>
  <c r="AK17" i="18"/>
  <c r="AK6" i="18"/>
  <c r="AK8" i="18"/>
  <c r="AK10" i="18"/>
  <c r="AK13" i="18"/>
  <c r="AK14" i="18"/>
  <c r="AJ17" i="18"/>
  <c r="AJ16" i="18"/>
  <c r="AJ6" i="18"/>
  <c r="AJ7" i="18"/>
  <c r="AJ11" i="18"/>
  <c r="AJ12" i="18"/>
  <c r="AJ14" i="18"/>
  <c r="AJ15" i="18"/>
  <c r="AJ4" i="18"/>
  <c r="AI10" i="18"/>
  <c r="AI12" i="18"/>
  <c r="AI14" i="18"/>
  <c r="AI4" i="18"/>
  <c r="F83" i="9" l="1"/>
  <c r="F83" i="5"/>
  <c r="F83" i="1"/>
  <c r="F83" i="38"/>
  <c r="AL15" i="18"/>
  <c r="AL11" i="18"/>
  <c r="AL7" i="18"/>
  <c r="AI15" i="18"/>
  <c r="AI11" i="18"/>
  <c r="AI7" i="18"/>
  <c r="AK15" i="18"/>
  <c r="AK11" i="18"/>
  <c r="AK7" i="18"/>
  <c r="F89" i="19"/>
  <c r="F89" i="25"/>
  <c r="F89" i="22"/>
  <c r="F89" i="32"/>
  <c r="F89" i="39"/>
  <c r="F89" i="1"/>
  <c r="F89" i="7"/>
  <c r="F89" i="11"/>
  <c r="F89" i="21"/>
  <c r="F89" i="13"/>
  <c r="F83" i="16"/>
  <c r="F89" i="31"/>
  <c r="F89" i="40"/>
  <c r="R33" i="35"/>
  <c r="F90" i="5" s="1"/>
  <c r="R27" i="35"/>
  <c r="F84" i="19" s="1"/>
  <c r="F84" i="28"/>
  <c r="F84" i="38"/>
  <c r="F84" i="11"/>
  <c r="F84" i="7"/>
  <c r="F89" i="37"/>
  <c r="F89" i="33"/>
  <c r="F89" i="30"/>
  <c r="F89" i="15"/>
  <c r="F89" i="24"/>
  <c r="F89" i="20"/>
  <c r="F89" i="38"/>
  <c r="F89" i="34"/>
  <c r="F89" i="16"/>
  <c r="F89" i="23"/>
  <c r="F90" i="1"/>
  <c r="F89" i="4"/>
  <c r="F89" i="6"/>
  <c r="F83" i="8"/>
  <c r="F89" i="10"/>
  <c r="F89" i="12"/>
  <c r="F83" i="19"/>
  <c r="F83" i="20"/>
  <c r="F83" i="21"/>
  <c r="F90" i="32"/>
  <c r="F83" i="33"/>
  <c r="F83" i="7"/>
  <c r="F89" i="9"/>
  <c r="F83" i="11"/>
  <c r="F83" i="27"/>
  <c r="F83" i="15"/>
  <c r="F83" i="23"/>
  <c r="F89" i="28"/>
  <c r="F89" i="29"/>
  <c r="F89" i="17"/>
  <c r="F89" i="36"/>
  <c r="F90" i="17"/>
  <c r="F90" i="31"/>
  <c r="F90" i="28"/>
  <c r="F83" i="39"/>
  <c r="F83" i="17"/>
  <c r="F83" i="31"/>
  <c r="F83" i="28"/>
  <c r="F83" i="26"/>
  <c r="F83" i="22"/>
  <c r="F83" i="12"/>
  <c r="F83" i="40"/>
  <c r="F83" i="36"/>
  <c r="F83" i="32"/>
  <c r="F83" i="29"/>
  <c r="F83" i="4"/>
  <c r="F83" i="6"/>
  <c r="F89" i="8"/>
  <c r="F83" i="10"/>
  <c r="F83" i="13"/>
  <c r="F83" i="24"/>
  <c r="F83" i="25"/>
  <c r="F89" i="26"/>
  <c r="F89" i="27"/>
  <c r="F90" i="15"/>
  <c r="F83" i="30"/>
  <c r="F83" i="37"/>
  <c r="F90" i="37"/>
  <c r="F90" i="13" l="1"/>
  <c r="F90" i="39"/>
  <c r="F84" i="10"/>
  <c r="F90" i="19"/>
  <c r="F84" i="26"/>
  <c r="F90" i="22"/>
  <c r="F90" i="25"/>
  <c r="F90" i="21"/>
  <c r="F90" i="23"/>
  <c r="F84" i="34"/>
  <c r="F90" i="36"/>
  <c r="F90" i="11"/>
  <c r="F90" i="16"/>
  <c r="F90" i="9"/>
  <c r="F84" i="27"/>
  <c r="F84" i="29"/>
  <c r="F90" i="30"/>
  <c r="F90" i="34"/>
  <c r="F90" i="38"/>
  <c r="F90" i="40"/>
  <c r="R28" i="35"/>
  <c r="F85" i="24" s="1"/>
  <c r="F90" i="29"/>
  <c r="F90" i="7"/>
  <c r="R34" i="35"/>
  <c r="F91" i="26" s="1"/>
  <c r="F90" i="33"/>
  <c r="F84" i="22"/>
  <c r="F84" i="6"/>
  <c r="F84" i="9"/>
  <c r="F84" i="33"/>
  <c r="F84" i="37"/>
  <c r="F84" i="31"/>
  <c r="F84" i="40"/>
  <c r="F84" i="12"/>
  <c r="F84" i="39"/>
  <c r="F84" i="1"/>
  <c r="F84" i="15"/>
  <c r="F84" i="17"/>
  <c r="F84" i="21"/>
  <c r="F84" i="32"/>
  <c r="F90" i="8"/>
  <c r="F90" i="26"/>
  <c r="F90" i="20"/>
  <c r="F90" i="10"/>
  <c r="F90" i="6"/>
  <c r="F90" i="24"/>
  <c r="F90" i="12"/>
  <c r="F90" i="27"/>
  <c r="F90" i="4"/>
  <c r="F84" i="25"/>
  <c r="F84" i="8"/>
  <c r="F84" i="20"/>
  <c r="F84" i="16"/>
  <c r="F84" i="4"/>
  <c r="F84" i="5"/>
  <c r="F84" i="23"/>
  <c r="F84" i="30"/>
  <c r="F84" i="13"/>
  <c r="F84" i="36"/>
  <c r="F84" i="24"/>
  <c r="R29" i="35"/>
  <c r="F85" i="37"/>
  <c r="F85" i="33"/>
  <c r="F85" i="30"/>
  <c r="F85" i="15"/>
  <c r="F85" i="20"/>
  <c r="F85" i="38"/>
  <c r="F85" i="34"/>
  <c r="F85" i="16"/>
  <c r="F85" i="23"/>
  <c r="F85" i="29"/>
  <c r="F85" i="27"/>
  <c r="F85" i="22"/>
  <c r="F85" i="19"/>
  <c r="F85" i="8"/>
  <c r="F85" i="17"/>
  <c r="F85" i="39"/>
  <c r="F85" i="31"/>
  <c r="F85" i="9"/>
  <c r="F85" i="5"/>
  <c r="F85" i="40"/>
  <c r="F85" i="32"/>
  <c r="F85" i="25"/>
  <c r="F85" i="10"/>
  <c r="F85" i="6"/>
  <c r="F85" i="4"/>
  <c r="F85" i="26"/>
  <c r="F85" i="7"/>
  <c r="F85" i="28"/>
  <c r="F85" i="13"/>
  <c r="F85" i="21"/>
  <c r="F85" i="12"/>
  <c r="F85" i="11"/>
  <c r="R35" i="35"/>
  <c r="F91" i="39"/>
  <c r="F91" i="17"/>
  <c r="F91" i="31"/>
  <c r="F91" i="28"/>
  <c r="F91" i="22"/>
  <c r="F91" i="12"/>
  <c r="F91" i="40"/>
  <c r="F91" i="36"/>
  <c r="F91" i="32"/>
  <c r="F91" i="20"/>
  <c r="F91" i="19"/>
  <c r="F91" i="10"/>
  <c r="F91" i="6"/>
  <c r="F91" i="4"/>
  <c r="F91" i="30"/>
  <c r="F91" i="34"/>
  <c r="F91" i="33"/>
  <c r="F91" i="23"/>
  <c r="F91" i="13"/>
  <c r="F91" i="11"/>
  <c r="F91" i="7"/>
  <c r="F91" i="27"/>
  <c r="F91" i="25"/>
  <c r="F91" i="24"/>
  <c r="F91" i="38"/>
  <c r="F91" i="37"/>
  <c r="F91" i="15"/>
  <c r="F91" i="9"/>
  <c r="F91" i="1"/>
  <c r="F91" i="5" l="1"/>
  <c r="F91" i="21"/>
  <c r="F91" i="29"/>
  <c r="F85" i="36"/>
  <c r="F91" i="8"/>
  <c r="F91" i="16"/>
  <c r="F85" i="1"/>
  <c r="R36" i="35"/>
  <c r="F92" i="40"/>
  <c r="F92" i="36"/>
  <c r="F92" i="32"/>
  <c r="F92" i="29"/>
  <c r="F92" i="27"/>
  <c r="F92" i="13"/>
  <c r="F92" i="21"/>
  <c r="F92" i="37"/>
  <c r="F92" i="33"/>
  <c r="F92" i="30"/>
  <c r="F92" i="17"/>
  <c r="F92" i="34"/>
  <c r="F92" i="28"/>
  <c r="F92" i="23"/>
  <c r="F92" i="12"/>
  <c r="F92" i="9"/>
  <c r="F92" i="5"/>
  <c r="F92" i="1"/>
  <c r="F92" i="25"/>
  <c r="F92" i="24"/>
  <c r="F92" i="22"/>
  <c r="F92" i="20"/>
  <c r="F92" i="19"/>
  <c r="F92" i="10"/>
  <c r="F92" i="6"/>
  <c r="F92" i="4"/>
  <c r="F92" i="39"/>
  <c r="F92" i="38"/>
  <c r="F92" i="31"/>
  <c r="F92" i="16"/>
  <c r="F92" i="15"/>
  <c r="F92" i="26"/>
  <c r="F92" i="11"/>
  <c r="F92" i="7"/>
  <c r="F92" i="8"/>
  <c r="R30" i="35"/>
  <c r="F86" i="38"/>
  <c r="F86" i="34"/>
  <c r="F86" i="16"/>
  <c r="F86" i="23"/>
  <c r="F86" i="25"/>
  <c r="F86" i="19"/>
  <c r="F86" i="39"/>
  <c r="F86" i="17"/>
  <c r="F86" i="31"/>
  <c r="F86" i="28"/>
  <c r="F86" i="21"/>
  <c r="F86" i="20"/>
  <c r="F86" i="12"/>
  <c r="F86" i="11"/>
  <c r="F86" i="7"/>
  <c r="F86" i="37"/>
  <c r="F86" i="36"/>
  <c r="F86" i="40"/>
  <c r="F86" i="33"/>
  <c r="F86" i="32"/>
  <c r="F86" i="22"/>
  <c r="F86" i="8"/>
  <c r="F86" i="26"/>
  <c r="F86" i="24"/>
  <c r="F86" i="13"/>
  <c r="F86" i="9"/>
  <c r="F86" i="5"/>
  <c r="F86" i="1"/>
  <c r="F86" i="30"/>
  <c r="F86" i="29"/>
  <c r="F86" i="10"/>
  <c r="F86" i="4"/>
  <c r="F86" i="6"/>
  <c r="F86" i="15"/>
  <c r="F86" i="27"/>
  <c r="F87" i="39" l="1"/>
  <c r="F87" i="17"/>
  <c r="F87" i="31"/>
  <c r="F87" i="28"/>
  <c r="F87" i="26"/>
  <c r="F87" i="22"/>
  <c r="F87" i="12"/>
  <c r="F87" i="40"/>
  <c r="F87" i="36"/>
  <c r="F87" i="32"/>
  <c r="F87" i="29"/>
  <c r="F87" i="33"/>
  <c r="F87" i="10"/>
  <c r="F87" i="6"/>
  <c r="F87" i="4"/>
  <c r="F87" i="34"/>
  <c r="F87" i="38"/>
  <c r="F87" i="16"/>
  <c r="F87" i="25"/>
  <c r="F87" i="24"/>
  <c r="F87" i="13"/>
  <c r="F87" i="21"/>
  <c r="F87" i="20"/>
  <c r="F87" i="19"/>
  <c r="F87" i="11"/>
  <c r="F87" i="7"/>
  <c r="F87" i="37"/>
  <c r="F87" i="30"/>
  <c r="F87" i="15"/>
  <c r="F87" i="27"/>
  <c r="F87" i="8"/>
  <c r="F87" i="23"/>
  <c r="F87" i="1"/>
  <c r="F87" i="5"/>
  <c r="F87" i="9"/>
  <c r="R37" i="35"/>
  <c r="F93" i="37"/>
  <c r="F93" i="33"/>
  <c r="F93" i="30"/>
  <c r="F93" i="15"/>
  <c r="F93" i="24"/>
  <c r="F93" i="20"/>
  <c r="F93" i="38"/>
  <c r="F93" i="34"/>
  <c r="F93" i="16"/>
  <c r="F93" i="23"/>
  <c r="F93" i="25"/>
  <c r="F93" i="13"/>
  <c r="F93" i="8"/>
  <c r="F93" i="5"/>
  <c r="F93" i="1"/>
  <c r="F93" i="29"/>
  <c r="F93" i="28"/>
  <c r="F93" i="40"/>
  <c r="F93" i="39"/>
  <c r="F93" i="32"/>
  <c r="F93" i="31"/>
  <c r="F93" i="27"/>
  <c r="F93" i="26"/>
  <c r="F93" i="12"/>
  <c r="F93" i="9"/>
  <c r="F93" i="22"/>
  <c r="F93" i="21"/>
  <c r="F93" i="19"/>
  <c r="F93" i="10"/>
  <c r="F93" i="6"/>
  <c r="F93" i="4"/>
  <c r="F93" i="36"/>
  <c r="F93" i="17"/>
  <c r="F93" i="7"/>
  <c r="F93" i="11"/>
  <c r="R38" i="35" l="1"/>
  <c r="F94" i="38"/>
  <c r="F94" i="34"/>
  <c r="F94" i="16"/>
  <c r="F94" i="23"/>
  <c r="F94" i="25"/>
  <c r="F94" i="19"/>
  <c r="F94" i="39"/>
  <c r="F94" i="17"/>
  <c r="F94" i="31"/>
  <c r="F94" i="28"/>
  <c r="F94" i="40"/>
  <c r="F94" i="33"/>
  <c r="F94" i="32"/>
  <c r="F94" i="27"/>
  <c r="F94" i="26"/>
  <c r="F94" i="24"/>
  <c r="F94" i="11"/>
  <c r="F94" i="7"/>
  <c r="F94" i="15"/>
  <c r="F94" i="8"/>
  <c r="F94" i="37"/>
  <c r="F94" i="36"/>
  <c r="F94" i="30"/>
  <c r="F94" i="29"/>
  <c r="F94" i="20"/>
  <c r="F94" i="12"/>
  <c r="F94" i="9"/>
  <c r="F94" i="5"/>
  <c r="F94" i="1"/>
  <c r="F94" i="13"/>
  <c r="F94" i="6"/>
  <c r="F94" i="22"/>
  <c r="F94" i="21"/>
  <c r="F94" i="4"/>
  <c r="F94" i="10"/>
  <c r="R39" i="35" l="1"/>
  <c r="F95" i="39"/>
  <c r="F95" i="17"/>
  <c r="F95" i="31"/>
  <c r="F95" i="28"/>
  <c r="F95" i="26"/>
  <c r="F95" i="22"/>
  <c r="F95" i="12"/>
  <c r="F95" i="40"/>
  <c r="F95" i="36"/>
  <c r="F95" i="32"/>
  <c r="F95" i="29"/>
  <c r="F95" i="15"/>
  <c r="F95" i="21"/>
  <c r="F95" i="10"/>
  <c r="F95" i="6"/>
  <c r="F95" i="4"/>
  <c r="F95" i="38"/>
  <c r="F95" i="37"/>
  <c r="F95" i="16"/>
  <c r="F95" i="30"/>
  <c r="F95" i="11"/>
  <c r="F95" i="7"/>
  <c r="F95" i="13"/>
  <c r="F95" i="8"/>
  <c r="F95" i="34"/>
  <c r="F95" i="33"/>
  <c r="F95" i="27"/>
  <c r="F95" i="19"/>
  <c r="F95" i="9"/>
  <c r="F95" i="1"/>
  <c r="F95" i="23"/>
  <c r="F95" i="25"/>
  <c r="F95" i="24"/>
  <c r="F95" i="20"/>
  <c r="F95" i="5"/>
  <c r="F96" i="40" l="1"/>
  <c r="F96" i="36"/>
  <c r="F96" i="32"/>
  <c r="F96" i="29"/>
  <c r="F96" i="27"/>
  <c r="F96" i="13"/>
  <c r="F96" i="21"/>
  <c r="F96" i="37"/>
  <c r="F96" i="33"/>
  <c r="F96" i="30"/>
  <c r="F96" i="39"/>
  <c r="F96" i="38"/>
  <c r="F96" i="31"/>
  <c r="F96" i="16"/>
  <c r="F96" i="22"/>
  <c r="F96" i="20"/>
  <c r="F96" i="19"/>
  <c r="F96" i="9"/>
  <c r="F96" i="5"/>
  <c r="F96" i="1"/>
  <c r="F96" i="10"/>
  <c r="F96" i="6"/>
  <c r="F96" i="4"/>
  <c r="F96" i="17"/>
  <c r="F96" i="34"/>
  <c r="F96" i="28"/>
  <c r="F96" i="23"/>
  <c r="F96" i="25"/>
  <c r="F96" i="24"/>
  <c r="F96" i="11"/>
  <c r="F96" i="7"/>
  <c r="F96" i="26"/>
  <c r="F96" i="12"/>
  <c r="F96" i="8"/>
  <c r="F96" i="15"/>
  <c r="AH17" i="18" l="1"/>
  <c r="AH16" i="18"/>
  <c r="AH15" i="18"/>
  <c r="AH14" i="18"/>
  <c r="AH13" i="18"/>
  <c r="AH12" i="18"/>
  <c r="AH11" i="18"/>
  <c r="AH10" i="18"/>
  <c r="AH9" i="18"/>
  <c r="AH8" i="18"/>
  <c r="AH7" i="18"/>
  <c r="AH6" i="18"/>
  <c r="AH5" i="18"/>
  <c r="AH4" i="18"/>
  <c r="P89" i="40"/>
  <c r="P88" i="40"/>
  <c r="P87" i="40"/>
  <c r="P86" i="40"/>
  <c r="P85" i="40"/>
  <c r="P84" i="40"/>
  <c r="P83" i="40"/>
  <c r="C83" i="40"/>
  <c r="C84" i="40" s="1"/>
  <c r="C85" i="40" s="1"/>
  <c r="C86" i="40" s="1"/>
  <c r="C87" i="40" s="1"/>
  <c r="C88" i="40" s="1"/>
  <c r="C89" i="40" s="1"/>
  <c r="C90" i="40" s="1"/>
  <c r="C91" i="40" s="1"/>
  <c r="C92" i="40" s="1"/>
  <c r="C93" i="40" s="1"/>
  <c r="C94" i="40" s="1"/>
  <c r="C95" i="40" s="1"/>
  <c r="C96" i="40" s="1"/>
  <c r="P82" i="40"/>
  <c r="P81" i="40"/>
  <c r="P80" i="40"/>
  <c r="P79" i="40"/>
  <c r="P78" i="40"/>
  <c r="P77" i="40"/>
  <c r="P76" i="40"/>
  <c r="P75" i="40"/>
  <c r="I75" i="40"/>
  <c r="I74" i="40"/>
  <c r="I76" i="40" s="1"/>
  <c r="G74" i="40"/>
  <c r="G75" i="40" s="1"/>
  <c r="G76" i="40" s="1"/>
  <c r="I73" i="40"/>
  <c r="E71" i="40"/>
  <c r="E70" i="40"/>
  <c r="E69" i="40"/>
  <c r="I68" i="40"/>
  <c r="E68" i="40"/>
  <c r="I67" i="40"/>
  <c r="E67" i="40"/>
  <c r="I66" i="40"/>
  <c r="E66" i="40"/>
  <c r="I65" i="40"/>
  <c r="E65" i="40"/>
  <c r="I64" i="40"/>
  <c r="E64" i="40"/>
  <c r="I63" i="40"/>
  <c r="I62" i="40"/>
  <c r="I61" i="40"/>
  <c r="I60" i="40"/>
  <c r="I59" i="40"/>
  <c r="E59" i="40"/>
  <c r="I58" i="40"/>
  <c r="E58" i="40"/>
  <c r="C58" i="40"/>
  <c r="C59" i="40" s="1"/>
  <c r="I57" i="40"/>
  <c r="G57" i="40"/>
  <c r="G58" i="40" s="1"/>
  <c r="G59" i="40" s="1"/>
  <c r="G60" i="40" s="1"/>
  <c r="G61" i="40" s="1"/>
  <c r="G62" i="40" s="1"/>
  <c r="G63" i="40" s="1"/>
  <c r="G64" i="40" s="1"/>
  <c r="G65" i="40" s="1"/>
  <c r="G66" i="40" s="1"/>
  <c r="G67" i="40" s="1"/>
  <c r="G68" i="40" s="1"/>
  <c r="C64" i="40" s="1"/>
  <c r="C65" i="40" s="1"/>
  <c r="C66" i="40" s="1"/>
  <c r="C67" i="40" s="1"/>
  <c r="C68" i="40" s="1"/>
  <c r="C69" i="40" s="1"/>
  <c r="C70" i="40" s="1"/>
  <c r="C71" i="40" s="1"/>
  <c r="E57" i="40"/>
  <c r="C57" i="40"/>
  <c r="I56" i="40"/>
  <c r="E56" i="40"/>
  <c r="I49" i="40"/>
  <c r="U53" i="40" s="1"/>
  <c r="H49" i="40"/>
  <c r="E49" i="40"/>
  <c r="U51" i="40" s="1"/>
  <c r="D49" i="40"/>
  <c r="I48" i="40"/>
  <c r="H48" i="40"/>
  <c r="E48" i="40"/>
  <c r="U50" i="40" s="1"/>
  <c r="D48" i="40"/>
  <c r="I47" i="40"/>
  <c r="U48" i="40" s="1"/>
  <c r="H47" i="40"/>
  <c r="E47" i="40"/>
  <c r="U49" i="40" s="1"/>
  <c r="D47" i="40"/>
  <c r="I46" i="40"/>
  <c r="U54" i="40" s="1"/>
  <c r="H46" i="40"/>
  <c r="E46" i="40"/>
  <c r="U40" i="40" s="1"/>
  <c r="D46" i="40"/>
  <c r="I45" i="40"/>
  <c r="H45" i="40"/>
  <c r="E45" i="40"/>
  <c r="U38" i="40" s="1"/>
  <c r="D45" i="40"/>
  <c r="I44" i="40"/>
  <c r="H44" i="40"/>
  <c r="E44" i="40"/>
  <c r="U39" i="40" s="1"/>
  <c r="D44" i="40"/>
  <c r="M43" i="40"/>
  <c r="X38" i="40" s="1"/>
  <c r="L43" i="40"/>
  <c r="K43" i="40"/>
  <c r="I43" i="40"/>
  <c r="H43" i="40"/>
  <c r="G43" i="40"/>
  <c r="G44" i="40" s="1"/>
  <c r="G45" i="40" s="1"/>
  <c r="G46" i="40" s="1"/>
  <c r="G47" i="40" s="1"/>
  <c r="G48" i="40" s="1"/>
  <c r="E43" i="40"/>
  <c r="D43" i="40"/>
  <c r="M42" i="40"/>
  <c r="X37" i="40" s="1"/>
  <c r="L42" i="40"/>
  <c r="I42" i="40"/>
  <c r="H42" i="40"/>
  <c r="P37" i="40"/>
  <c r="P38" i="40" s="1"/>
  <c r="P39" i="40" s="1"/>
  <c r="P40" i="40" s="1"/>
  <c r="P41" i="40" s="1"/>
  <c r="P42" i="40" s="1"/>
  <c r="P43" i="40" s="1"/>
  <c r="P44" i="40" s="1"/>
  <c r="P45" i="40" s="1"/>
  <c r="P46" i="40" s="1"/>
  <c r="P47" i="40" s="1"/>
  <c r="P48" i="40" s="1"/>
  <c r="P49" i="40" s="1"/>
  <c r="P50" i="40" s="1"/>
  <c r="P51" i="40" s="1"/>
  <c r="P52" i="40" s="1"/>
  <c r="P53" i="40" s="1"/>
  <c r="P54" i="40" s="1"/>
  <c r="S36" i="40" s="1"/>
  <c r="S37" i="40" s="1"/>
  <c r="S38" i="40" s="1"/>
  <c r="S39" i="40" s="1"/>
  <c r="S40" i="40" s="1"/>
  <c r="S41" i="40" s="1"/>
  <c r="S42" i="40" s="1"/>
  <c r="S43" i="40" s="1"/>
  <c r="S44" i="40" s="1"/>
  <c r="S45" i="40" s="1"/>
  <c r="E37" i="40"/>
  <c r="D37" i="40"/>
  <c r="I36" i="40"/>
  <c r="H36" i="40"/>
  <c r="E36" i="40"/>
  <c r="D36" i="40"/>
  <c r="I35" i="40"/>
  <c r="U46" i="40" s="1"/>
  <c r="H35" i="40"/>
  <c r="E35" i="40"/>
  <c r="R53" i="40" s="1"/>
  <c r="D35" i="40"/>
  <c r="M34" i="40"/>
  <c r="X45" i="40" s="1"/>
  <c r="L34" i="40"/>
  <c r="I34" i="40"/>
  <c r="H34" i="40"/>
  <c r="E34" i="40"/>
  <c r="R52" i="40" s="1"/>
  <c r="D34" i="40"/>
  <c r="M33" i="40"/>
  <c r="X44" i="40" s="1"/>
  <c r="L33" i="40"/>
  <c r="I33" i="40"/>
  <c r="H33" i="40"/>
  <c r="E33" i="40"/>
  <c r="R41" i="40" s="1"/>
  <c r="D33" i="40"/>
  <c r="C33" i="40"/>
  <c r="C34" i="40" s="1"/>
  <c r="M32" i="40"/>
  <c r="X43" i="40" s="1"/>
  <c r="L32" i="40"/>
  <c r="I32" i="40"/>
  <c r="H32" i="40"/>
  <c r="E32" i="40"/>
  <c r="R39" i="40" s="1"/>
  <c r="D32" i="40"/>
  <c r="W31" i="40"/>
  <c r="T31" i="40"/>
  <c r="Q31" i="40"/>
  <c r="M31" i="40"/>
  <c r="X54" i="40" s="1"/>
  <c r="L31" i="40"/>
  <c r="I31" i="40"/>
  <c r="H31" i="40"/>
  <c r="E31" i="40"/>
  <c r="D31" i="40"/>
  <c r="W30" i="40"/>
  <c r="T30" i="40"/>
  <c r="Q30" i="40"/>
  <c r="M30" i="40"/>
  <c r="X53" i="40" s="1"/>
  <c r="L30" i="40"/>
  <c r="I30" i="40"/>
  <c r="H30" i="40"/>
  <c r="W29" i="40"/>
  <c r="T29" i="40"/>
  <c r="Q29" i="40"/>
  <c r="M29" i="40"/>
  <c r="X40" i="40" s="1"/>
  <c r="L29" i="40"/>
  <c r="I29" i="40"/>
  <c r="H29" i="40"/>
  <c r="W28" i="40"/>
  <c r="T28" i="40"/>
  <c r="Q28" i="40"/>
  <c r="P28" i="40"/>
  <c r="M28" i="40"/>
  <c r="X52" i="40" s="1"/>
  <c r="L28" i="40"/>
  <c r="I28" i="40"/>
  <c r="H28" i="40"/>
  <c r="M27" i="40"/>
  <c r="X51" i="40" s="1"/>
  <c r="L27" i="40"/>
  <c r="I27" i="40"/>
  <c r="H27" i="40"/>
  <c r="M26" i="40"/>
  <c r="X50" i="40" s="1"/>
  <c r="L26" i="40"/>
  <c r="I26" i="40"/>
  <c r="R48" i="40" s="1"/>
  <c r="H26" i="40"/>
  <c r="M25" i="40"/>
  <c r="X49" i="40" s="1"/>
  <c r="L25" i="40"/>
  <c r="I25" i="40"/>
  <c r="H25" i="40"/>
  <c r="G25" i="40"/>
  <c r="G26" i="40" s="1"/>
  <c r="G27" i="40" s="1"/>
  <c r="G28" i="40" s="1"/>
  <c r="G29" i="40" s="1"/>
  <c r="G30" i="40" s="1"/>
  <c r="G31" i="40" s="1"/>
  <c r="G32" i="40" s="1"/>
  <c r="G33" i="40" s="1"/>
  <c r="G34" i="40" s="1"/>
  <c r="G35" i="40" s="1"/>
  <c r="G36" i="40" s="1"/>
  <c r="E25" i="40"/>
  <c r="D25" i="40"/>
  <c r="M24" i="40"/>
  <c r="L24" i="40"/>
  <c r="K24" i="40"/>
  <c r="K23" i="40" s="1"/>
  <c r="K25" i="40" s="1"/>
  <c r="K26" i="40" s="1"/>
  <c r="K27" i="40" s="1"/>
  <c r="K28" i="40" s="1"/>
  <c r="K29" i="40" s="1"/>
  <c r="K30" i="40" s="1"/>
  <c r="K31" i="40" s="1"/>
  <c r="K32" i="40" s="1"/>
  <c r="K33" i="40" s="1"/>
  <c r="K34" i="40" s="1"/>
  <c r="I24" i="40"/>
  <c r="H24" i="40"/>
  <c r="E24" i="40"/>
  <c r="D24" i="40"/>
  <c r="W23" i="40"/>
  <c r="T23" i="40"/>
  <c r="Q23" i="40"/>
  <c r="M23" i="40"/>
  <c r="L23" i="40"/>
  <c r="E23" i="40"/>
  <c r="D23" i="40"/>
  <c r="C23" i="40"/>
  <c r="C24" i="40" s="1"/>
  <c r="W22" i="40"/>
  <c r="T22" i="40"/>
  <c r="Q22" i="40"/>
  <c r="M22" i="40"/>
  <c r="L22" i="40"/>
  <c r="E22" i="40"/>
  <c r="D22" i="40"/>
  <c r="W21" i="40"/>
  <c r="T21" i="40"/>
  <c r="Q21" i="40"/>
  <c r="W20" i="40"/>
  <c r="T20" i="40"/>
  <c r="Q20" i="40"/>
  <c r="W19" i="40"/>
  <c r="T19" i="40"/>
  <c r="Q19" i="40"/>
  <c r="W18" i="40"/>
  <c r="T18" i="40"/>
  <c r="Q18" i="40"/>
  <c r="I18" i="40"/>
  <c r="H18" i="40"/>
  <c r="W17" i="40"/>
  <c r="T17" i="40"/>
  <c r="Q17" i="40"/>
  <c r="I17" i="40"/>
  <c r="U52" i="40" s="1"/>
  <c r="H17" i="40"/>
  <c r="W16" i="40"/>
  <c r="T16" i="40"/>
  <c r="Q16" i="40"/>
  <c r="I16" i="40"/>
  <c r="H16" i="40"/>
  <c r="E16" i="40"/>
  <c r="R44" i="40" s="1"/>
  <c r="D16" i="40"/>
  <c r="W15" i="40"/>
  <c r="T15" i="40"/>
  <c r="Q15" i="40"/>
  <c r="I15" i="40"/>
  <c r="U44" i="40" s="1"/>
  <c r="H15" i="40"/>
  <c r="E15" i="40"/>
  <c r="D15" i="40"/>
  <c r="W14" i="40"/>
  <c r="T14" i="40"/>
  <c r="Q14" i="40"/>
  <c r="M14" i="40"/>
  <c r="L14" i="40"/>
  <c r="I14" i="40"/>
  <c r="H14" i="40"/>
  <c r="E14" i="40"/>
  <c r="U36" i="40" s="1"/>
  <c r="D14" i="40"/>
  <c r="W13" i="40"/>
  <c r="T13" i="40"/>
  <c r="Q13" i="40"/>
  <c r="M13" i="40"/>
  <c r="L13" i="40"/>
  <c r="I13" i="40"/>
  <c r="H13" i="40"/>
  <c r="E13" i="40"/>
  <c r="U43" i="40" s="1"/>
  <c r="D13" i="40"/>
  <c r="W12" i="40"/>
  <c r="T12" i="40"/>
  <c r="Q12" i="40"/>
  <c r="M12" i="40"/>
  <c r="X39" i="40" s="1"/>
  <c r="L12" i="40"/>
  <c r="I12" i="40"/>
  <c r="H12" i="40"/>
  <c r="E12" i="40"/>
  <c r="R45" i="40" s="1"/>
  <c r="D12" i="40"/>
  <c r="W11" i="40"/>
  <c r="T11" i="40"/>
  <c r="Q11" i="40"/>
  <c r="M11" i="40"/>
  <c r="X42" i="40" s="1"/>
  <c r="L11" i="40"/>
  <c r="I11" i="40"/>
  <c r="R54" i="40" s="1"/>
  <c r="H11" i="40"/>
  <c r="E11" i="40"/>
  <c r="D11" i="40"/>
  <c r="W10" i="40"/>
  <c r="T10" i="40"/>
  <c r="Q10" i="40"/>
  <c r="M10" i="40"/>
  <c r="X48" i="40" s="1"/>
  <c r="L10" i="40"/>
  <c r="K10" i="40"/>
  <c r="K11" i="40" s="1"/>
  <c r="K12" i="40" s="1"/>
  <c r="I10" i="40"/>
  <c r="H10" i="40"/>
  <c r="E10" i="40"/>
  <c r="R43" i="40" s="1"/>
  <c r="D10" i="40"/>
  <c r="W9" i="40"/>
  <c r="T9" i="40"/>
  <c r="Q9" i="40"/>
  <c r="M9" i="40"/>
  <c r="X36" i="40" s="1"/>
  <c r="L9" i="40"/>
  <c r="I9" i="40"/>
  <c r="R49" i="40" s="1"/>
  <c r="H9" i="40"/>
  <c r="E9" i="40"/>
  <c r="D9" i="40"/>
  <c r="W8" i="40"/>
  <c r="T8" i="40"/>
  <c r="Q8" i="40"/>
  <c r="M8" i="40"/>
  <c r="L8" i="40"/>
  <c r="K8" i="40"/>
  <c r="I8" i="40"/>
  <c r="R47" i="40" s="1"/>
  <c r="H8" i="40"/>
  <c r="E8" i="40"/>
  <c r="R38" i="40" s="1"/>
  <c r="D8" i="40"/>
  <c r="W7" i="40"/>
  <c r="T7" i="40"/>
  <c r="Q7" i="40"/>
  <c r="M7" i="40"/>
  <c r="L7" i="40"/>
  <c r="I7" i="40"/>
  <c r="H7" i="40"/>
  <c r="G7" i="40"/>
  <c r="G8" i="40" s="1"/>
  <c r="G9" i="40" s="1"/>
  <c r="G10" i="40" s="1"/>
  <c r="G11" i="40" s="1"/>
  <c r="G12" i="40" s="1"/>
  <c r="G13" i="40" s="1"/>
  <c r="G14" i="40" s="1"/>
  <c r="G15" i="40" s="1"/>
  <c r="G16" i="40" s="1"/>
  <c r="G17" i="40" s="1"/>
  <c r="G49" i="40" s="1"/>
  <c r="G18" i="40" s="1"/>
  <c r="E7" i="40"/>
  <c r="R36" i="40" s="1"/>
  <c r="D7" i="40"/>
  <c r="C7" i="40"/>
  <c r="C8" i="40" s="1"/>
  <c r="C9" i="40" s="1"/>
  <c r="C10" i="40" s="1"/>
  <c r="C11" i="40" s="1"/>
  <c r="C12" i="40" s="1"/>
  <c r="C13" i="40" s="1"/>
  <c r="C14" i="40" s="1"/>
  <c r="C15" i="40" s="1"/>
  <c r="C16" i="40" s="1"/>
  <c r="C25" i="40" s="1"/>
  <c r="W6" i="40"/>
  <c r="T6" i="40"/>
  <c r="Q6" i="40"/>
  <c r="M6" i="40"/>
  <c r="L6" i="40"/>
  <c r="I6" i="40"/>
  <c r="H6" i="40"/>
  <c r="E6" i="40"/>
  <c r="D6" i="40"/>
  <c r="W5" i="40"/>
  <c r="T5" i="40"/>
  <c r="Q5" i="40"/>
  <c r="P89" i="39"/>
  <c r="P88" i="39"/>
  <c r="P87" i="39"/>
  <c r="P86" i="39"/>
  <c r="P85" i="39"/>
  <c r="P84" i="39"/>
  <c r="P83" i="39"/>
  <c r="C83" i="39"/>
  <c r="C84" i="39" s="1"/>
  <c r="C85" i="39" s="1"/>
  <c r="C86" i="39" s="1"/>
  <c r="C87" i="39" s="1"/>
  <c r="C88" i="39" s="1"/>
  <c r="C89" i="39" s="1"/>
  <c r="C90" i="39" s="1"/>
  <c r="C91" i="39" s="1"/>
  <c r="C92" i="39" s="1"/>
  <c r="C93" i="39" s="1"/>
  <c r="C94" i="39" s="1"/>
  <c r="C95" i="39" s="1"/>
  <c r="C96" i="39" s="1"/>
  <c r="P82" i="39"/>
  <c r="P81" i="39"/>
  <c r="P80" i="39"/>
  <c r="P79" i="39"/>
  <c r="P78" i="39"/>
  <c r="P77" i="39"/>
  <c r="P76" i="39"/>
  <c r="P75" i="39"/>
  <c r="I75" i="39"/>
  <c r="I74" i="39"/>
  <c r="I76" i="39" s="1"/>
  <c r="G74" i="39"/>
  <c r="G75" i="39" s="1"/>
  <c r="G76" i="39" s="1"/>
  <c r="I73" i="39"/>
  <c r="E71" i="39"/>
  <c r="E70" i="39"/>
  <c r="E69" i="39"/>
  <c r="I68" i="39"/>
  <c r="E68" i="39"/>
  <c r="I67" i="39"/>
  <c r="E67" i="39"/>
  <c r="I66" i="39"/>
  <c r="E66" i="39"/>
  <c r="I65" i="39"/>
  <c r="E65" i="39"/>
  <c r="I64" i="39"/>
  <c r="E64" i="39"/>
  <c r="I63" i="39"/>
  <c r="I62" i="39"/>
  <c r="I61" i="39"/>
  <c r="I60" i="39"/>
  <c r="I59" i="39"/>
  <c r="E59" i="39"/>
  <c r="I58" i="39"/>
  <c r="E58" i="39"/>
  <c r="C58" i="39"/>
  <c r="C59" i="39" s="1"/>
  <c r="I57" i="39"/>
  <c r="G57" i="39"/>
  <c r="G58" i="39" s="1"/>
  <c r="G59" i="39" s="1"/>
  <c r="G60" i="39" s="1"/>
  <c r="G61" i="39" s="1"/>
  <c r="G62" i="39" s="1"/>
  <c r="G63" i="39" s="1"/>
  <c r="G64" i="39" s="1"/>
  <c r="G65" i="39" s="1"/>
  <c r="G66" i="39" s="1"/>
  <c r="G67" i="39" s="1"/>
  <c r="G68" i="39" s="1"/>
  <c r="C64" i="39" s="1"/>
  <c r="C65" i="39" s="1"/>
  <c r="C66" i="39" s="1"/>
  <c r="C67" i="39" s="1"/>
  <c r="C68" i="39" s="1"/>
  <c r="C69" i="39" s="1"/>
  <c r="C70" i="39" s="1"/>
  <c r="C71" i="39" s="1"/>
  <c r="E57" i="39"/>
  <c r="C57" i="39"/>
  <c r="I56" i="39"/>
  <c r="E56" i="39"/>
  <c r="I49" i="39"/>
  <c r="U53" i="39" s="1"/>
  <c r="H49" i="39"/>
  <c r="E49" i="39"/>
  <c r="U51" i="39" s="1"/>
  <c r="D49" i="39"/>
  <c r="I48" i="39"/>
  <c r="H48" i="39"/>
  <c r="E48" i="39"/>
  <c r="U50" i="39" s="1"/>
  <c r="D48" i="39"/>
  <c r="I47" i="39"/>
  <c r="U48" i="39" s="1"/>
  <c r="H47" i="39"/>
  <c r="E47" i="39"/>
  <c r="U49" i="39" s="1"/>
  <c r="D47" i="39"/>
  <c r="I46" i="39"/>
  <c r="U54" i="39" s="1"/>
  <c r="H46" i="39"/>
  <c r="E46" i="39"/>
  <c r="U40" i="39" s="1"/>
  <c r="D46" i="39"/>
  <c r="I45" i="39"/>
  <c r="H45" i="39"/>
  <c r="E45" i="39"/>
  <c r="U38" i="39" s="1"/>
  <c r="D45" i="39"/>
  <c r="I44" i="39"/>
  <c r="H44" i="39"/>
  <c r="E44" i="39"/>
  <c r="U39" i="39" s="1"/>
  <c r="D44" i="39"/>
  <c r="M43" i="39"/>
  <c r="X38" i="39" s="1"/>
  <c r="L43" i="39"/>
  <c r="K43" i="39"/>
  <c r="I43" i="39"/>
  <c r="H43" i="39"/>
  <c r="G43" i="39"/>
  <c r="G44" i="39" s="1"/>
  <c r="G45" i="39" s="1"/>
  <c r="G46" i="39" s="1"/>
  <c r="G47" i="39" s="1"/>
  <c r="G48" i="39" s="1"/>
  <c r="E43" i="39"/>
  <c r="D43" i="39"/>
  <c r="M42" i="39"/>
  <c r="X37" i="39" s="1"/>
  <c r="L42" i="39"/>
  <c r="I42" i="39"/>
  <c r="H42" i="39"/>
  <c r="P39" i="39"/>
  <c r="P40" i="39" s="1"/>
  <c r="P41" i="39" s="1"/>
  <c r="P42" i="39" s="1"/>
  <c r="P43" i="39" s="1"/>
  <c r="P44" i="39" s="1"/>
  <c r="P45" i="39" s="1"/>
  <c r="P46" i="39" s="1"/>
  <c r="P47" i="39" s="1"/>
  <c r="P48" i="39" s="1"/>
  <c r="P49" i="39" s="1"/>
  <c r="P50" i="39" s="1"/>
  <c r="P51" i="39" s="1"/>
  <c r="P52" i="39" s="1"/>
  <c r="P53" i="39" s="1"/>
  <c r="P54" i="39" s="1"/>
  <c r="S36" i="39" s="1"/>
  <c r="S37" i="39" s="1"/>
  <c r="S38" i="39" s="1"/>
  <c r="S39" i="39" s="1"/>
  <c r="S40" i="39" s="1"/>
  <c r="S41" i="39" s="1"/>
  <c r="S42" i="39" s="1"/>
  <c r="S43" i="39" s="1"/>
  <c r="S44" i="39" s="1"/>
  <c r="S45" i="39" s="1"/>
  <c r="P37" i="39"/>
  <c r="P38" i="39" s="1"/>
  <c r="E37" i="39"/>
  <c r="D37" i="39"/>
  <c r="I36" i="39"/>
  <c r="H36" i="39"/>
  <c r="E36" i="39"/>
  <c r="D36" i="39"/>
  <c r="I35" i="39"/>
  <c r="U46" i="39" s="1"/>
  <c r="H35" i="39"/>
  <c r="E35" i="39"/>
  <c r="R53" i="39" s="1"/>
  <c r="D35" i="39"/>
  <c r="M34" i="39"/>
  <c r="X45" i="39" s="1"/>
  <c r="L34" i="39"/>
  <c r="I34" i="39"/>
  <c r="H34" i="39"/>
  <c r="E34" i="39"/>
  <c r="R52" i="39" s="1"/>
  <c r="D34" i="39"/>
  <c r="M33" i="39"/>
  <c r="X44" i="39" s="1"/>
  <c r="L33" i="39"/>
  <c r="I33" i="39"/>
  <c r="H33" i="39"/>
  <c r="E33" i="39"/>
  <c r="R41" i="39" s="1"/>
  <c r="D33" i="39"/>
  <c r="C33" i="39"/>
  <c r="C34" i="39" s="1"/>
  <c r="M32" i="39"/>
  <c r="X43" i="39" s="1"/>
  <c r="L32" i="39"/>
  <c r="I32" i="39"/>
  <c r="H32" i="39"/>
  <c r="E32" i="39"/>
  <c r="R39" i="39" s="1"/>
  <c r="D32" i="39"/>
  <c r="W31" i="39"/>
  <c r="T31" i="39"/>
  <c r="Q31" i="39"/>
  <c r="M31" i="39"/>
  <c r="X54" i="39" s="1"/>
  <c r="L31" i="39"/>
  <c r="I31" i="39"/>
  <c r="H31" i="39"/>
  <c r="E31" i="39"/>
  <c r="D31" i="39"/>
  <c r="W30" i="39"/>
  <c r="T30" i="39"/>
  <c r="Q30" i="39"/>
  <c r="M30" i="39"/>
  <c r="X53" i="39" s="1"/>
  <c r="L30" i="39"/>
  <c r="I30" i="39"/>
  <c r="H30" i="39"/>
  <c r="W29" i="39"/>
  <c r="T29" i="39"/>
  <c r="Q29" i="39"/>
  <c r="M29" i="39"/>
  <c r="X40" i="39" s="1"/>
  <c r="L29" i="39"/>
  <c r="I29" i="39"/>
  <c r="H29" i="39"/>
  <c r="W28" i="39"/>
  <c r="T28" i="39"/>
  <c r="Q28" i="39"/>
  <c r="P28" i="39"/>
  <c r="M28" i="39"/>
  <c r="X52" i="39" s="1"/>
  <c r="L28" i="39"/>
  <c r="I28" i="39"/>
  <c r="H28" i="39"/>
  <c r="M27" i="39"/>
  <c r="X51" i="39" s="1"/>
  <c r="L27" i="39"/>
  <c r="I27" i="39"/>
  <c r="H27" i="39"/>
  <c r="M26" i="39"/>
  <c r="X50" i="39" s="1"/>
  <c r="L26" i="39"/>
  <c r="I26" i="39"/>
  <c r="R48" i="39" s="1"/>
  <c r="H26" i="39"/>
  <c r="M25" i="39"/>
  <c r="X49" i="39" s="1"/>
  <c r="L25" i="39"/>
  <c r="I25" i="39"/>
  <c r="H25" i="39"/>
  <c r="G25" i="39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E25" i="39"/>
  <c r="D25" i="39"/>
  <c r="M24" i="39"/>
  <c r="L24" i="39"/>
  <c r="K24" i="39"/>
  <c r="K23" i="39" s="1"/>
  <c r="K25" i="39" s="1"/>
  <c r="K26" i="39" s="1"/>
  <c r="K27" i="39" s="1"/>
  <c r="K28" i="39" s="1"/>
  <c r="K29" i="39" s="1"/>
  <c r="K30" i="39" s="1"/>
  <c r="K31" i="39" s="1"/>
  <c r="K32" i="39" s="1"/>
  <c r="K33" i="39" s="1"/>
  <c r="K34" i="39" s="1"/>
  <c r="I24" i="39"/>
  <c r="H24" i="39"/>
  <c r="E24" i="39"/>
  <c r="D24" i="39"/>
  <c r="C24" i="39"/>
  <c r="W23" i="39"/>
  <c r="T23" i="39"/>
  <c r="Q23" i="39"/>
  <c r="M23" i="39"/>
  <c r="L23" i="39"/>
  <c r="E23" i="39"/>
  <c r="D23" i="39"/>
  <c r="C23" i="39"/>
  <c r="W22" i="39"/>
  <c r="T22" i="39"/>
  <c r="Q22" i="39"/>
  <c r="M22" i="39"/>
  <c r="L22" i="39"/>
  <c r="E22" i="39"/>
  <c r="D22" i="39"/>
  <c r="W21" i="39"/>
  <c r="T21" i="39"/>
  <c r="Q21" i="39"/>
  <c r="W20" i="39"/>
  <c r="T20" i="39"/>
  <c r="Q20" i="39"/>
  <c r="W19" i="39"/>
  <c r="T19" i="39"/>
  <c r="Q19" i="39"/>
  <c r="W18" i="39"/>
  <c r="T18" i="39"/>
  <c r="Q18" i="39"/>
  <c r="I18" i="39"/>
  <c r="H18" i="39"/>
  <c r="W17" i="39"/>
  <c r="T17" i="39"/>
  <c r="Q17" i="39"/>
  <c r="I17" i="39"/>
  <c r="U52" i="39" s="1"/>
  <c r="H17" i="39"/>
  <c r="W16" i="39"/>
  <c r="T16" i="39"/>
  <c r="Q16" i="39"/>
  <c r="I16" i="39"/>
  <c r="H16" i="39"/>
  <c r="E16" i="39"/>
  <c r="R44" i="39" s="1"/>
  <c r="D16" i="39"/>
  <c r="W15" i="39"/>
  <c r="T15" i="39"/>
  <c r="Q15" i="39"/>
  <c r="I15" i="39"/>
  <c r="H15" i="39"/>
  <c r="E15" i="39"/>
  <c r="D15" i="39"/>
  <c r="W14" i="39"/>
  <c r="T14" i="39"/>
  <c r="Q14" i="39"/>
  <c r="M14" i="39"/>
  <c r="L14" i="39"/>
  <c r="I14" i="39"/>
  <c r="H14" i="39"/>
  <c r="E14" i="39"/>
  <c r="U36" i="39" s="1"/>
  <c r="D14" i="39"/>
  <c r="W13" i="39"/>
  <c r="T13" i="39"/>
  <c r="Q13" i="39"/>
  <c r="M13" i="39"/>
  <c r="L13" i="39"/>
  <c r="I13" i="39"/>
  <c r="H13" i="39"/>
  <c r="E13" i="39"/>
  <c r="U43" i="39" s="1"/>
  <c r="D13" i="39"/>
  <c r="W12" i="39"/>
  <c r="T12" i="39"/>
  <c r="Q12" i="39"/>
  <c r="M12" i="39"/>
  <c r="X39" i="39" s="1"/>
  <c r="L12" i="39"/>
  <c r="I12" i="39"/>
  <c r="H12" i="39"/>
  <c r="E12" i="39"/>
  <c r="R45" i="39" s="1"/>
  <c r="D12" i="39"/>
  <c r="W11" i="39"/>
  <c r="T11" i="39"/>
  <c r="Q11" i="39"/>
  <c r="M11" i="39"/>
  <c r="X42" i="39" s="1"/>
  <c r="L11" i="39"/>
  <c r="I11" i="39"/>
  <c r="H11" i="39"/>
  <c r="E11" i="39"/>
  <c r="D11" i="39"/>
  <c r="W10" i="39"/>
  <c r="T10" i="39"/>
  <c r="Q10" i="39"/>
  <c r="M10" i="39"/>
  <c r="X48" i="39" s="1"/>
  <c r="L10" i="39"/>
  <c r="K10" i="39"/>
  <c r="K11" i="39" s="1"/>
  <c r="K12" i="39" s="1"/>
  <c r="I10" i="39"/>
  <c r="H10" i="39"/>
  <c r="E10" i="39"/>
  <c r="R43" i="39" s="1"/>
  <c r="D10" i="39"/>
  <c r="W9" i="39"/>
  <c r="T9" i="39"/>
  <c r="Q9" i="39"/>
  <c r="M9" i="39"/>
  <c r="X36" i="39" s="1"/>
  <c r="L9" i="39"/>
  <c r="I9" i="39"/>
  <c r="H9" i="39"/>
  <c r="E9" i="39"/>
  <c r="D9" i="39"/>
  <c r="W8" i="39"/>
  <c r="T8" i="39"/>
  <c r="Q8" i="39"/>
  <c r="M8" i="39"/>
  <c r="L8" i="39"/>
  <c r="K8" i="39"/>
  <c r="I8" i="39"/>
  <c r="R47" i="39" s="1"/>
  <c r="H8" i="39"/>
  <c r="E8" i="39"/>
  <c r="R38" i="39" s="1"/>
  <c r="D8" i="39"/>
  <c r="W7" i="39"/>
  <c r="T7" i="39"/>
  <c r="Q7" i="39"/>
  <c r="M7" i="39"/>
  <c r="L7" i="39"/>
  <c r="I7" i="39"/>
  <c r="H7" i="39"/>
  <c r="G7" i="39"/>
  <c r="G8" i="39" s="1"/>
  <c r="G9" i="39" s="1"/>
  <c r="G10" i="39" s="1"/>
  <c r="G11" i="39" s="1"/>
  <c r="G12" i="39" s="1"/>
  <c r="G13" i="39" s="1"/>
  <c r="G14" i="39" s="1"/>
  <c r="G15" i="39" s="1"/>
  <c r="G16" i="39" s="1"/>
  <c r="G17" i="39" s="1"/>
  <c r="G49" i="39" s="1"/>
  <c r="G18" i="39" s="1"/>
  <c r="E7" i="39"/>
  <c r="R36" i="39" s="1"/>
  <c r="D7" i="39"/>
  <c r="C7" i="39"/>
  <c r="C8" i="39" s="1"/>
  <c r="C9" i="39" s="1"/>
  <c r="C10" i="39" s="1"/>
  <c r="C11" i="39" s="1"/>
  <c r="C12" i="39" s="1"/>
  <c r="C13" i="39" s="1"/>
  <c r="C14" i="39" s="1"/>
  <c r="C15" i="39" s="1"/>
  <c r="C16" i="39" s="1"/>
  <c r="C25" i="39" s="1"/>
  <c r="W6" i="39"/>
  <c r="T6" i="39"/>
  <c r="Q6" i="39"/>
  <c r="M6" i="39"/>
  <c r="L6" i="39"/>
  <c r="I6" i="39"/>
  <c r="H6" i="39"/>
  <c r="E6" i="39"/>
  <c r="D6" i="39"/>
  <c r="W5" i="39"/>
  <c r="T5" i="39"/>
  <c r="Q5" i="39"/>
  <c r="P89" i="38"/>
  <c r="P88" i="38"/>
  <c r="P87" i="38"/>
  <c r="P86" i="38"/>
  <c r="P85" i="38"/>
  <c r="P84" i="38"/>
  <c r="P83" i="38"/>
  <c r="C83" i="38"/>
  <c r="C84" i="38" s="1"/>
  <c r="C85" i="38" s="1"/>
  <c r="C86" i="38" s="1"/>
  <c r="C87" i="38" s="1"/>
  <c r="C88" i="38" s="1"/>
  <c r="C89" i="38" s="1"/>
  <c r="C90" i="38" s="1"/>
  <c r="C91" i="38" s="1"/>
  <c r="C92" i="38" s="1"/>
  <c r="C93" i="38" s="1"/>
  <c r="C94" i="38" s="1"/>
  <c r="C95" i="38" s="1"/>
  <c r="C96" i="38" s="1"/>
  <c r="P82" i="38"/>
  <c r="P81" i="38"/>
  <c r="P80" i="38"/>
  <c r="P79" i="38"/>
  <c r="P78" i="38"/>
  <c r="P77" i="38"/>
  <c r="P76" i="38"/>
  <c r="P75" i="38"/>
  <c r="I75" i="38"/>
  <c r="I74" i="38"/>
  <c r="I76" i="38" s="1"/>
  <c r="G74" i="38"/>
  <c r="G75" i="38" s="1"/>
  <c r="G76" i="38" s="1"/>
  <c r="I73" i="38"/>
  <c r="E71" i="38"/>
  <c r="E70" i="38"/>
  <c r="E69" i="38"/>
  <c r="I68" i="38"/>
  <c r="E68" i="38"/>
  <c r="I67" i="38"/>
  <c r="E67" i="38"/>
  <c r="I66" i="38"/>
  <c r="E66" i="38"/>
  <c r="I65" i="38"/>
  <c r="E65" i="38"/>
  <c r="I64" i="38"/>
  <c r="E64" i="38"/>
  <c r="I63" i="38"/>
  <c r="I62" i="38"/>
  <c r="I61" i="38"/>
  <c r="I60" i="38"/>
  <c r="I59" i="38"/>
  <c r="E59" i="38"/>
  <c r="I58" i="38"/>
  <c r="E58" i="38"/>
  <c r="C58" i="38"/>
  <c r="C59" i="38" s="1"/>
  <c r="I57" i="38"/>
  <c r="G57" i="38"/>
  <c r="G58" i="38" s="1"/>
  <c r="G59" i="38" s="1"/>
  <c r="G60" i="38" s="1"/>
  <c r="G61" i="38" s="1"/>
  <c r="G62" i="38" s="1"/>
  <c r="G63" i="38" s="1"/>
  <c r="G64" i="38" s="1"/>
  <c r="G65" i="38" s="1"/>
  <c r="G66" i="38" s="1"/>
  <c r="G67" i="38" s="1"/>
  <c r="G68" i="38" s="1"/>
  <c r="C64" i="38" s="1"/>
  <c r="C65" i="38" s="1"/>
  <c r="C66" i="38" s="1"/>
  <c r="C67" i="38" s="1"/>
  <c r="C68" i="38" s="1"/>
  <c r="C69" i="38" s="1"/>
  <c r="C70" i="38" s="1"/>
  <c r="C71" i="38" s="1"/>
  <c r="E57" i="38"/>
  <c r="C57" i="38"/>
  <c r="I56" i="38"/>
  <c r="E56" i="38"/>
  <c r="I49" i="38"/>
  <c r="U53" i="38" s="1"/>
  <c r="H49" i="38"/>
  <c r="E49" i="38"/>
  <c r="U51" i="38" s="1"/>
  <c r="D49" i="38"/>
  <c r="I48" i="38"/>
  <c r="H48" i="38"/>
  <c r="E48" i="38"/>
  <c r="U50" i="38" s="1"/>
  <c r="D48" i="38"/>
  <c r="I47" i="38"/>
  <c r="U48" i="38" s="1"/>
  <c r="H47" i="38"/>
  <c r="E47" i="38"/>
  <c r="U49" i="38" s="1"/>
  <c r="D47" i="38"/>
  <c r="I46" i="38"/>
  <c r="U54" i="38" s="1"/>
  <c r="H46" i="38"/>
  <c r="E46" i="38"/>
  <c r="U40" i="38" s="1"/>
  <c r="D46" i="38"/>
  <c r="I45" i="38"/>
  <c r="H45" i="38"/>
  <c r="E45" i="38"/>
  <c r="U38" i="38" s="1"/>
  <c r="D45" i="38"/>
  <c r="I44" i="38"/>
  <c r="H44" i="38"/>
  <c r="G44" i="38"/>
  <c r="G45" i="38" s="1"/>
  <c r="G46" i="38" s="1"/>
  <c r="G47" i="38" s="1"/>
  <c r="G48" i="38" s="1"/>
  <c r="E44" i="38"/>
  <c r="U39" i="38" s="1"/>
  <c r="D44" i="38"/>
  <c r="M43" i="38"/>
  <c r="X38" i="38" s="1"/>
  <c r="L43" i="38"/>
  <c r="K43" i="38"/>
  <c r="I43" i="38"/>
  <c r="H43" i="38"/>
  <c r="G43" i="38"/>
  <c r="E43" i="38"/>
  <c r="D43" i="38"/>
  <c r="M42" i="38"/>
  <c r="L42" i="38"/>
  <c r="I42" i="38"/>
  <c r="H42" i="38"/>
  <c r="P37" i="38"/>
  <c r="P38" i="38" s="1"/>
  <c r="P39" i="38" s="1"/>
  <c r="P40" i="38" s="1"/>
  <c r="P41" i="38" s="1"/>
  <c r="P42" i="38" s="1"/>
  <c r="P43" i="38" s="1"/>
  <c r="P44" i="38" s="1"/>
  <c r="P45" i="38" s="1"/>
  <c r="P46" i="38" s="1"/>
  <c r="P47" i="38" s="1"/>
  <c r="P48" i="38" s="1"/>
  <c r="P49" i="38" s="1"/>
  <c r="P50" i="38" s="1"/>
  <c r="P51" i="38" s="1"/>
  <c r="P52" i="38" s="1"/>
  <c r="P53" i="38" s="1"/>
  <c r="P54" i="38" s="1"/>
  <c r="S36" i="38" s="1"/>
  <c r="S37" i="38" s="1"/>
  <c r="S38" i="38" s="1"/>
  <c r="S39" i="38" s="1"/>
  <c r="S40" i="38" s="1"/>
  <c r="S41" i="38" s="1"/>
  <c r="S42" i="38" s="1"/>
  <c r="S43" i="38" s="1"/>
  <c r="S44" i="38" s="1"/>
  <c r="S45" i="38" s="1"/>
  <c r="E37" i="38"/>
  <c r="D37" i="38"/>
  <c r="I36" i="38"/>
  <c r="H36" i="38"/>
  <c r="E36" i="38"/>
  <c r="D36" i="38"/>
  <c r="I35" i="38"/>
  <c r="U46" i="38" s="1"/>
  <c r="H35" i="38"/>
  <c r="E35" i="38"/>
  <c r="R53" i="38" s="1"/>
  <c r="D35" i="38"/>
  <c r="M34" i="38"/>
  <c r="X45" i="38" s="1"/>
  <c r="L34" i="38"/>
  <c r="I34" i="38"/>
  <c r="H34" i="38"/>
  <c r="E34" i="38"/>
  <c r="R52" i="38" s="1"/>
  <c r="D34" i="38"/>
  <c r="M33" i="38"/>
  <c r="X44" i="38" s="1"/>
  <c r="L33" i="38"/>
  <c r="I33" i="38"/>
  <c r="H33" i="38"/>
  <c r="E33" i="38"/>
  <c r="R41" i="38" s="1"/>
  <c r="D33" i="38"/>
  <c r="C33" i="38"/>
  <c r="C34" i="38" s="1"/>
  <c r="M32" i="38"/>
  <c r="X43" i="38" s="1"/>
  <c r="L32" i="38"/>
  <c r="I32" i="38"/>
  <c r="H32" i="38"/>
  <c r="E32" i="38"/>
  <c r="D32" i="38"/>
  <c r="W31" i="38"/>
  <c r="T31" i="38"/>
  <c r="Q31" i="38"/>
  <c r="M31" i="38"/>
  <c r="X54" i="38" s="1"/>
  <c r="L31" i="38"/>
  <c r="I31" i="38"/>
  <c r="H31" i="38"/>
  <c r="E31" i="38"/>
  <c r="D31" i="38"/>
  <c r="W30" i="38"/>
  <c r="T30" i="38"/>
  <c r="Q30" i="38"/>
  <c r="M30" i="38"/>
  <c r="X53" i="38" s="1"/>
  <c r="L30" i="38"/>
  <c r="I30" i="38"/>
  <c r="H30" i="38"/>
  <c r="W29" i="38"/>
  <c r="T29" i="38"/>
  <c r="Q29" i="38"/>
  <c r="M29" i="38"/>
  <c r="X40" i="38" s="1"/>
  <c r="L29" i="38"/>
  <c r="I29" i="38"/>
  <c r="H29" i="38"/>
  <c r="W28" i="38"/>
  <c r="T28" i="38"/>
  <c r="Q28" i="38"/>
  <c r="P28" i="38"/>
  <c r="M28" i="38"/>
  <c r="X52" i="38" s="1"/>
  <c r="L28" i="38"/>
  <c r="I28" i="38"/>
  <c r="H28" i="38"/>
  <c r="M27" i="38"/>
  <c r="X51" i="38" s="1"/>
  <c r="L27" i="38"/>
  <c r="I27" i="38"/>
  <c r="H27" i="38"/>
  <c r="M26" i="38"/>
  <c r="X50" i="38" s="1"/>
  <c r="L26" i="38"/>
  <c r="I26" i="38"/>
  <c r="R48" i="38" s="1"/>
  <c r="H26" i="38"/>
  <c r="M25" i="38"/>
  <c r="X49" i="38" s="1"/>
  <c r="L25" i="38"/>
  <c r="I25" i="38"/>
  <c r="H25" i="38"/>
  <c r="G25" i="38"/>
  <c r="G26" i="38" s="1"/>
  <c r="G27" i="38" s="1"/>
  <c r="G28" i="38" s="1"/>
  <c r="G29" i="38" s="1"/>
  <c r="G30" i="38" s="1"/>
  <c r="G31" i="38" s="1"/>
  <c r="G32" i="38" s="1"/>
  <c r="G33" i="38" s="1"/>
  <c r="G34" i="38" s="1"/>
  <c r="G35" i="38" s="1"/>
  <c r="G36" i="38" s="1"/>
  <c r="E25" i="38"/>
  <c r="D25" i="38"/>
  <c r="M24" i="38"/>
  <c r="L24" i="38"/>
  <c r="K24" i="38"/>
  <c r="K23" i="38" s="1"/>
  <c r="K25" i="38" s="1"/>
  <c r="K26" i="38" s="1"/>
  <c r="K27" i="38" s="1"/>
  <c r="K28" i="38" s="1"/>
  <c r="K29" i="38" s="1"/>
  <c r="K30" i="38" s="1"/>
  <c r="K31" i="38" s="1"/>
  <c r="K32" i="38" s="1"/>
  <c r="K33" i="38" s="1"/>
  <c r="K34" i="38" s="1"/>
  <c r="I24" i="38"/>
  <c r="H24" i="38"/>
  <c r="E24" i="38"/>
  <c r="D24" i="38"/>
  <c r="C24" i="38"/>
  <c r="W23" i="38"/>
  <c r="T23" i="38"/>
  <c r="Q23" i="38"/>
  <c r="M23" i="38"/>
  <c r="L23" i="38"/>
  <c r="E23" i="38"/>
  <c r="D23" i="38"/>
  <c r="C23" i="38"/>
  <c r="W22" i="38"/>
  <c r="T22" i="38"/>
  <c r="Q22" i="38"/>
  <c r="M22" i="38"/>
  <c r="L22" i="38"/>
  <c r="E22" i="38"/>
  <c r="D22" i="38"/>
  <c r="W21" i="38"/>
  <c r="T21" i="38"/>
  <c r="Q21" i="38"/>
  <c r="W20" i="38"/>
  <c r="T20" i="38"/>
  <c r="Q20" i="38"/>
  <c r="W19" i="38"/>
  <c r="T19" i="38"/>
  <c r="Q19" i="38"/>
  <c r="W18" i="38"/>
  <c r="T18" i="38"/>
  <c r="Q18" i="38"/>
  <c r="I18" i="38"/>
  <c r="H18" i="38"/>
  <c r="W17" i="38"/>
  <c r="T17" i="38"/>
  <c r="Q17" i="38"/>
  <c r="I17" i="38"/>
  <c r="U52" i="38" s="1"/>
  <c r="H17" i="38"/>
  <c r="W16" i="38"/>
  <c r="T16" i="38"/>
  <c r="Q16" i="38"/>
  <c r="I16" i="38"/>
  <c r="H16" i="38"/>
  <c r="G16" i="38"/>
  <c r="G17" i="38" s="1"/>
  <c r="G49" i="38" s="1"/>
  <c r="G18" i="38" s="1"/>
  <c r="E16" i="38"/>
  <c r="R44" i="38" s="1"/>
  <c r="D16" i="38"/>
  <c r="W15" i="38"/>
  <c r="T15" i="38"/>
  <c r="Q15" i="38"/>
  <c r="I15" i="38"/>
  <c r="H15" i="38"/>
  <c r="E15" i="38"/>
  <c r="D15" i="38"/>
  <c r="W14" i="38"/>
  <c r="T14" i="38"/>
  <c r="Q14" i="38"/>
  <c r="M14" i="38"/>
  <c r="L14" i="38"/>
  <c r="K14" i="38"/>
  <c r="I14" i="38"/>
  <c r="H14" i="38"/>
  <c r="E14" i="38"/>
  <c r="D14" i="38"/>
  <c r="W13" i="38"/>
  <c r="T13" i="38"/>
  <c r="Q13" i="38"/>
  <c r="M13" i="38"/>
  <c r="L13" i="38"/>
  <c r="I13" i="38"/>
  <c r="H13" i="38"/>
  <c r="E13" i="38"/>
  <c r="U43" i="38" s="1"/>
  <c r="D13" i="38"/>
  <c r="W12" i="38"/>
  <c r="T12" i="38"/>
  <c r="Q12" i="38"/>
  <c r="M12" i="38"/>
  <c r="X39" i="38" s="1"/>
  <c r="L12" i="38"/>
  <c r="I12" i="38"/>
  <c r="H12" i="38"/>
  <c r="E12" i="38"/>
  <c r="R45" i="38" s="1"/>
  <c r="D12" i="38"/>
  <c r="W11" i="38"/>
  <c r="T11" i="38"/>
  <c r="Q11" i="38"/>
  <c r="M11" i="38"/>
  <c r="X42" i="38" s="1"/>
  <c r="L11" i="38"/>
  <c r="I11" i="38"/>
  <c r="H11" i="38"/>
  <c r="E11" i="38"/>
  <c r="D11" i="38"/>
  <c r="W10" i="38"/>
  <c r="T10" i="38"/>
  <c r="Q10" i="38"/>
  <c r="M10" i="38"/>
  <c r="X48" i="38" s="1"/>
  <c r="L10" i="38"/>
  <c r="K10" i="38"/>
  <c r="K11" i="38" s="1"/>
  <c r="K12" i="38" s="1"/>
  <c r="K13" i="38" s="1"/>
  <c r="I10" i="38"/>
  <c r="H10" i="38"/>
  <c r="E10" i="38"/>
  <c r="R43" i="38" s="1"/>
  <c r="D10" i="38"/>
  <c r="W9" i="38"/>
  <c r="T9" i="38"/>
  <c r="Q9" i="38"/>
  <c r="M9" i="38"/>
  <c r="X36" i="38" s="1"/>
  <c r="L9" i="38"/>
  <c r="K9" i="38"/>
  <c r="I9" i="38"/>
  <c r="H9" i="38"/>
  <c r="E9" i="38"/>
  <c r="D9" i="38"/>
  <c r="W8" i="38"/>
  <c r="T8" i="38"/>
  <c r="Q8" i="38"/>
  <c r="M8" i="38"/>
  <c r="L8" i="38"/>
  <c r="K8" i="38"/>
  <c r="I8" i="38"/>
  <c r="R47" i="38" s="1"/>
  <c r="H8" i="38"/>
  <c r="G8" i="38"/>
  <c r="G9" i="38" s="1"/>
  <c r="G10" i="38" s="1"/>
  <c r="G11" i="38" s="1"/>
  <c r="G12" i="38" s="1"/>
  <c r="G13" i="38" s="1"/>
  <c r="G14" i="38" s="1"/>
  <c r="G15" i="38" s="1"/>
  <c r="E8" i="38"/>
  <c r="R38" i="38" s="1"/>
  <c r="D8" i="38"/>
  <c r="W7" i="38"/>
  <c r="T7" i="38"/>
  <c r="Q7" i="38"/>
  <c r="M7" i="38"/>
  <c r="L7" i="38"/>
  <c r="I7" i="38"/>
  <c r="H7" i="38"/>
  <c r="G7" i="38"/>
  <c r="E7" i="38"/>
  <c r="R36" i="38" s="1"/>
  <c r="D7" i="38"/>
  <c r="C7" i="38"/>
  <c r="C8" i="38" s="1"/>
  <c r="C9" i="38" s="1"/>
  <c r="C10" i="38" s="1"/>
  <c r="C11" i="38" s="1"/>
  <c r="C12" i="38" s="1"/>
  <c r="C13" i="38" s="1"/>
  <c r="C14" i="38" s="1"/>
  <c r="C15" i="38" s="1"/>
  <c r="C16" i="38" s="1"/>
  <c r="C25" i="38" s="1"/>
  <c r="W6" i="38"/>
  <c r="T6" i="38"/>
  <c r="Q6" i="38"/>
  <c r="M6" i="38"/>
  <c r="X46" i="38" s="1"/>
  <c r="L6" i="38"/>
  <c r="I6" i="38"/>
  <c r="H6" i="38"/>
  <c r="E6" i="38"/>
  <c r="D6" i="38"/>
  <c r="W5" i="38"/>
  <c r="T5" i="38"/>
  <c r="Q5" i="38"/>
  <c r="P89" i="37"/>
  <c r="P88" i="37"/>
  <c r="P87" i="37"/>
  <c r="P86" i="37"/>
  <c r="P85" i="37"/>
  <c r="P84" i="37"/>
  <c r="C84" i="37"/>
  <c r="C85" i="37" s="1"/>
  <c r="C86" i="37" s="1"/>
  <c r="C87" i="37" s="1"/>
  <c r="C88" i="37" s="1"/>
  <c r="C89" i="37" s="1"/>
  <c r="C90" i="37" s="1"/>
  <c r="C91" i="37" s="1"/>
  <c r="C92" i="37" s="1"/>
  <c r="C93" i="37" s="1"/>
  <c r="C94" i="37" s="1"/>
  <c r="C95" i="37" s="1"/>
  <c r="C96" i="37" s="1"/>
  <c r="P83" i="37"/>
  <c r="C83" i="37"/>
  <c r="P82" i="37"/>
  <c r="P81" i="37"/>
  <c r="P80" i="37"/>
  <c r="P79" i="37"/>
  <c r="P78" i="37"/>
  <c r="P77" i="37"/>
  <c r="P76" i="37"/>
  <c r="P75" i="37"/>
  <c r="I75" i="37"/>
  <c r="G75" i="37"/>
  <c r="G76" i="37" s="1"/>
  <c r="I74" i="37"/>
  <c r="I76" i="37" s="1"/>
  <c r="G74" i="37"/>
  <c r="I73" i="37"/>
  <c r="E71" i="37"/>
  <c r="E70" i="37"/>
  <c r="E69" i="37"/>
  <c r="I68" i="37"/>
  <c r="E68" i="37"/>
  <c r="I67" i="37"/>
  <c r="E67" i="37"/>
  <c r="I66" i="37"/>
  <c r="E66" i="37"/>
  <c r="I65" i="37"/>
  <c r="E65" i="37"/>
  <c r="I64" i="37"/>
  <c r="E64" i="37"/>
  <c r="I63" i="37"/>
  <c r="I62" i="37"/>
  <c r="I61" i="37"/>
  <c r="I60" i="37"/>
  <c r="I59" i="37"/>
  <c r="E59" i="37"/>
  <c r="I58" i="37"/>
  <c r="E58" i="37"/>
  <c r="C58" i="37"/>
  <c r="C59" i="37" s="1"/>
  <c r="I57" i="37"/>
  <c r="G57" i="37"/>
  <c r="G58" i="37" s="1"/>
  <c r="G59" i="37" s="1"/>
  <c r="G60" i="37" s="1"/>
  <c r="G61" i="37" s="1"/>
  <c r="G62" i="37" s="1"/>
  <c r="G63" i="37" s="1"/>
  <c r="G64" i="37" s="1"/>
  <c r="G65" i="37" s="1"/>
  <c r="G66" i="37" s="1"/>
  <c r="G67" i="37" s="1"/>
  <c r="G68" i="37" s="1"/>
  <c r="C64" i="37" s="1"/>
  <c r="C65" i="37" s="1"/>
  <c r="C66" i="37" s="1"/>
  <c r="C67" i="37" s="1"/>
  <c r="C68" i="37" s="1"/>
  <c r="C69" i="37" s="1"/>
  <c r="C70" i="37" s="1"/>
  <c r="C71" i="37" s="1"/>
  <c r="E57" i="37"/>
  <c r="C57" i="37"/>
  <c r="I56" i="37"/>
  <c r="E56" i="37"/>
  <c r="I49" i="37"/>
  <c r="U53" i="37" s="1"/>
  <c r="H49" i="37"/>
  <c r="E49" i="37"/>
  <c r="U51" i="37" s="1"/>
  <c r="D49" i="37"/>
  <c r="I48" i="37"/>
  <c r="H48" i="37"/>
  <c r="E48" i="37"/>
  <c r="U50" i="37" s="1"/>
  <c r="D48" i="37"/>
  <c r="I47" i="37"/>
  <c r="U48" i="37" s="1"/>
  <c r="H47" i="37"/>
  <c r="E47" i="37"/>
  <c r="U49" i="37" s="1"/>
  <c r="D47" i="37"/>
  <c r="I46" i="37"/>
  <c r="U54" i="37" s="1"/>
  <c r="H46" i="37"/>
  <c r="E46" i="37"/>
  <c r="U40" i="37" s="1"/>
  <c r="D46" i="37"/>
  <c r="I45" i="37"/>
  <c r="H45" i="37"/>
  <c r="E45" i="37"/>
  <c r="U38" i="37" s="1"/>
  <c r="D45" i="37"/>
  <c r="I44" i="37"/>
  <c r="H44" i="37"/>
  <c r="E44" i="37"/>
  <c r="U39" i="37" s="1"/>
  <c r="D44" i="37"/>
  <c r="M43" i="37"/>
  <c r="X38" i="37" s="1"/>
  <c r="L43" i="37"/>
  <c r="K43" i="37"/>
  <c r="I43" i="37"/>
  <c r="H43" i="37"/>
  <c r="G43" i="37"/>
  <c r="G44" i="37" s="1"/>
  <c r="G45" i="37" s="1"/>
  <c r="G46" i="37" s="1"/>
  <c r="G47" i="37" s="1"/>
  <c r="G48" i="37" s="1"/>
  <c r="E43" i="37"/>
  <c r="D43" i="37"/>
  <c r="M42" i="37"/>
  <c r="X37" i="37" s="1"/>
  <c r="L42" i="37"/>
  <c r="I42" i="37"/>
  <c r="H42" i="37"/>
  <c r="P37" i="37"/>
  <c r="P38" i="37" s="1"/>
  <c r="P39" i="37" s="1"/>
  <c r="P40" i="37" s="1"/>
  <c r="P41" i="37" s="1"/>
  <c r="P42" i="37" s="1"/>
  <c r="P43" i="37" s="1"/>
  <c r="P44" i="37" s="1"/>
  <c r="P45" i="37" s="1"/>
  <c r="P46" i="37" s="1"/>
  <c r="P47" i="37" s="1"/>
  <c r="P48" i="37" s="1"/>
  <c r="P49" i="37" s="1"/>
  <c r="P50" i="37" s="1"/>
  <c r="P51" i="37" s="1"/>
  <c r="P52" i="37" s="1"/>
  <c r="P53" i="37" s="1"/>
  <c r="P54" i="37" s="1"/>
  <c r="S36" i="37" s="1"/>
  <c r="S37" i="37" s="1"/>
  <c r="S38" i="37" s="1"/>
  <c r="S39" i="37" s="1"/>
  <c r="S40" i="37" s="1"/>
  <c r="S41" i="37" s="1"/>
  <c r="S42" i="37" s="1"/>
  <c r="S43" i="37" s="1"/>
  <c r="S44" i="37" s="1"/>
  <c r="S45" i="37" s="1"/>
  <c r="E37" i="37"/>
  <c r="D37" i="37"/>
  <c r="I36" i="37"/>
  <c r="H36" i="37"/>
  <c r="E36" i="37"/>
  <c r="D36" i="37"/>
  <c r="I35" i="37"/>
  <c r="U46" i="37" s="1"/>
  <c r="H35" i="37"/>
  <c r="E35" i="37"/>
  <c r="R53" i="37" s="1"/>
  <c r="D35" i="37"/>
  <c r="M34" i="37"/>
  <c r="X45" i="37" s="1"/>
  <c r="L34" i="37"/>
  <c r="I34" i="37"/>
  <c r="H34" i="37"/>
  <c r="E34" i="37"/>
  <c r="R52" i="37" s="1"/>
  <c r="D34" i="37"/>
  <c r="M33" i="37"/>
  <c r="X44" i="37" s="1"/>
  <c r="L33" i="37"/>
  <c r="I33" i="37"/>
  <c r="H33" i="37"/>
  <c r="E33" i="37"/>
  <c r="R41" i="37" s="1"/>
  <c r="D33" i="37"/>
  <c r="C33" i="37"/>
  <c r="C34" i="37" s="1"/>
  <c r="M32" i="37"/>
  <c r="X43" i="37" s="1"/>
  <c r="L32" i="37"/>
  <c r="I32" i="37"/>
  <c r="H32" i="37"/>
  <c r="E32" i="37"/>
  <c r="R39" i="37" s="1"/>
  <c r="D32" i="37"/>
  <c r="W31" i="37"/>
  <c r="T31" i="37"/>
  <c r="Q31" i="37"/>
  <c r="M31" i="37"/>
  <c r="X54" i="37" s="1"/>
  <c r="L31" i="37"/>
  <c r="I31" i="37"/>
  <c r="H31" i="37"/>
  <c r="E31" i="37"/>
  <c r="D31" i="37"/>
  <c r="W30" i="37"/>
  <c r="T30" i="37"/>
  <c r="Q30" i="37"/>
  <c r="M30" i="37"/>
  <c r="X53" i="37" s="1"/>
  <c r="L30" i="37"/>
  <c r="I30" i="37"/>
  <c r="H30" i="37"/>
  <c r="W29" i="37"/>
  <c r="T29" i="37"/>
  <c r="Q29" i="37"/>
  <c r="M29" i="37"/>
  <c r="X40" i="37" s="1"/>
  <c r="L29" i="37"/>
  <c r="I29" i="37"/>
  <c r="H29" i="37"/>
  <c r="W28" i="37"/>
  <c r="T28" i="37"/>
  <c r="Q28" i="37"/>
  <c r="P28" i="37"/>
  <c r="M28" i="37"/>
  <c r="X52" i="37" s="1"/>
  <c r="L28" i="37"/>
  <c r="I28" i="37"/>
  <c r="H28" i="37"/>
  <c r="M27" i="37"/>
  <c r="X51" i="37" s="1"/>
  <c r="L27" i="37"/>
  <c r="I27" i="37"/>
  <c r="H27" i="37"/>
  <c r="M26" i="37"/>
  <c r="X50" i="37" s="1"/>
  <c r="L26" i="37"/>
  <c r="I26" i="37"/>
  <c r="R48" i="37" s="1"/>
  <c r="H26" i="37"/>
  <c r="M25" i="37"/>
  <c r="X49" i="37" s="1"/>
  <c r="L25" i="37"/>
  <c r="I25" i="37"/>
  <c r="H25" i="37"/>
  <c r="G25" i="37"/>
  <c r="G26" i="37" s="1"/>
  <c r="G27" i="37" s="1"/>
  <c r="G28" i="37" s="1"/>
  <c r="G29" i="37" s="1"/>
  <c r="G30" i="37" s="1"/>
  <c r="G31" i="37" s="1"/>
  <c r="G32" i="37" s="1"/>
  <c r="G33" i="37" s="1"/>
  <c r="G34" i="37" s="1"/>
  <c r="G35" i="37" s="1"/>
  <c r="G36" i="37" s="1"/>
  <c r="E25" i="37"/>
  <c r="D25" i="37"/>
  <c r="M24" i="37"/>
  <c r="L24" i="37"/>
  <c r="K24" i="37"/>
  <c r="I24" i="37"/>
  <c r="H24" i="37"/>
  <c r="E24" i="37"/>
  <c r="D24" i="37"/>
  <c r="W23" i="37"/>
  <c r="T23" i="37"/>
  <c r="Q23" i="37"/>
  <c r="M23" i="37"/>
  <c r="L23" i="37"/>
  <c r="K23" i="37"/>
  <c r="K25" i="37" s="1"/>
  <c r="K26" i="37" s="1"/>
  <c r="K27" i="37" s="1"/>
  <c r="K28" i="37" s="1"/>
  <c r="K29" i="37" s="1"/>
  <c r="K30" i="37" s="1"/>
  <c r="K31" i="37" s="1"/>
  <c r="K32" i="37" s="1"/>
  <c r="K33" i="37" s="1"/>
  <c r="K34" i="37" s="1"/>
  <c r="E23" i="37"/>
  <c r="D23" i="37"/>
  <c r="C23" i="37"/>
  <c r="C24" i="37" s="1"/>
  <c r="W22" i="37"/>
  <c r="T22" i="37"/>
  <c r="Q22" i="37"/>
  <c r="M22" i="37"/>
  <c r="L22" i="37"/>
  <c r="E22" i="37"/>
  <c r="D22" i="37"/>
  <c r="W21" i="37"/>
  <c r="T21" i="37"/>
  <c r="Q21" i="37"/>
  <c r="W20" i="37"/>
  <c r="T20" i="37"/>
  <c r="Q20" i="37"/>
  <c r="W19" i="37"/>
  <c r="T19" i="37"/>
  <c r="Q19" i="37"/>
  <c r="W18" i="37"/>
  <c r="T18" i="37"/>
  <c r="Q18" i="37"/>
  <c r="I18" i="37"/>
  <c r="H18" i="37"/>
  <c r="W17" i="37"/>
  <c r="T17" i="37"/>
  <c r="Q17" i="37"/>
  <c r="I17" i="37"/>
  <c r="U52" i="37" s="1"/>
  <c r="H17" i="37"/>
  <c r="W16" i="37"/>
  <c r="T16" i="37"/>
  <c r="Q16" i="37"/>
  <c r="I16" i="37"/>
  <c r="H16" i="37"/>
  <c r="E16" i="37"/>
  <c r="R44" i="37" s="1"/>
  <c r="D16" i="37"/>
  <c r="W15" i="37"/>
  <c r="T15" i="37"/>
  <c r="Q15" i="37"/>
  <c r="I15" i="37"/>
  <c r="H15" i="37"/>
  <c r="E15" i="37"/>
  <c r="D15" i="37"/>
  <c r="W14" i="37"/>
  <c r="T14" i="37"/>
  <c r="Q14" i="37"/>
  <c r="M14" i="37"/>
  <c r="L14" i="37"/>
  <c r="I14" i="37"/>
  <c r="H14" i="37"/>
  <c r="E14" i="37"/>
  <c r="D14" i="37"/>
  <c r="W13" i="37"/>
  <c r="T13" i="37"/>
  <c r="Q13" i="37"/>
  <c r="M13" i="37"/>
  <c r="L13" i="37"/>
  <c r="I13" i="37"/>
  <c r="H13" i="37"/>
  <c r="E13" i="37"/>
  <c r="U43" i="37" s="1"/>
  <c r="D13" i="37"/>
  <c r="W12" i="37"/>
  <c r="T12" i="37"/>
  <c r="Q12" i="37"/>
  <c r="M12" i="37"/>
  <c r="X39" i="37" s="1"/>
  <c r="L12" i="37"/>
  <c r="I12" i="37"/>
  <c r="H12" i="37"/>
  <c r="E12" i="37"/>
  <c r="R45" i="37" s="1"/>
  <c r="D12" i="37"/>
  <c r="W11" i="37"/>
  <c r="T11" i="37"/>
  <c r="Q11" i="37"/>
  <c r="M11" i="37"/>
  <c r="X42" i="37" s="1"/>
  <c r="L11" i="37"/>
  <c r="K11" i="37"/>
  <c r="K12" i="37" s="1"/>
  <c r="I11" i="37"/>
  <c r="H11" i="37"/>
  <c r="E11" i="37"/>
  <c r="D11" i="37"/>
  <c r="W10" i="37"/>
  <c r="T10" i="37"/>
  <c r="Q10" i="37"/>
  <c r="M10" i="37"/>
  <c r="X48" i="37" s="1"/>
  <c r="L10" i="37"/>
  <c r="K10" i="37"/>
  <c r="I10" i="37"/>
  <c r="H10" i="37"/>
  <c r="E10" i="37"/>
  <c r="R43" i="37" s="1"/>
  <c r="D10" i="37"/>
  <c r="W9" i="37"/>
  <c r="T9" i="37"/>
  <c r="Q9" i="37"/>
  <c r="M9" i="37"/>
  <c r="X36" i="37" s="1"/>
  <c r="L9" i="37"/>
  <c r="I9" i="37"/>
  <c r="R49" i="37" s="1"/>
  <c r="H9" i="37"/>
  <c r="E9" i="37"/>
  <c r="D9" i="37"/>
  <c r="W8" i="37"/>
  <c r="T8" i="37"/>
  <c r="Q8" i="37"/>
  <c r="M8" i="37"/>
  <c r="L8" i="37"/>
  <c r="K8" i="37"/>
  <c r="I8" i="37"/>
  <c r="R47" i="37" s="1"/>
  <c r="H8" i="37"/>
  <c r="E8" i="37"/>
  <c r="R38" i="37" s="1"/>
  <c r="D8" i="37"/>
  <c r="W7" i="37"/>
  <c r="T7" i="37"/>
  <c r="Q7" i="37"/>
  <c r="M7" i="37"/>
  <c r="L7" i="37"/>
  <c r="I7" i="37"/>
  <c r="H7" i="37"/>
  <c r="G7" i="37"/>
  <c r="G8" i="37" s="1"/>
  <c r="G9" i="37" s="1"/>
  <c r="G10" i="37" s="1"/>
  <c r="G11" i="37" s="1"/>
  <c r="G12" i="37" s="1"/>
  <c r="G13" i="37" s="1"/>
  <c r="G14" i="37" s="1"/>
  <c r="G15" i="37" s="1"/>
  <c r="G16" i="37" s="1"/>
  <c r="G17" i="37" s="1"/>
  <c r="G49" i="37" s="1"/>
  <c r="G18" i="37" s="1"/>
  <c r="E7" i="37"/>
  <c r="R36" i="37" s="1"/>
  <c r="D7" i="37"/>
  <c r="C7" i="37"/>
  <c r="C8" i="37" s="1"/>
  <c r="C9" i="37" s="1"/>
  <c r="C10" i="37" s="1"/>
  <c r="C11" i="37" s="1"/>
  <c r="C12" i="37" s="1"/>
  <c r="C13" i="37" s="1"/>
  <c r="C14" i="37" s="1"/>
  <c r="C15" i="37" s="1"/>
  <c r="C16" i="37" s="1"/>
  <c r="C25" i="37" s="1"/>
  <c r="W6" i="37"/>
  <c r="T6" i="37"/>
  <c r="Q6" i="37"/>
  <c r="M6" i="37"/>
  <c r="L6" i="37"/>
  <c r="I6" i="37"/>
  <c r="H6" i="37"/>
  <c r="E6" i="37"/>
  <c r="D6" i="37"/>
  <c r="W5" i="37"/>
  <c r="T5" i="37"/>
  <c r="Q5" i="37"/>
  <c r="P89" i="36"/>
  <c r="P88" i="36"/>
  <c r="P87" i="36"/>
  <c r="P86" i="36"/>
  <c r="P85" i="36"/>
  <c r="P84" i="36"/>
  <c r="C84" i="36"/>
  <c r="C85" i="36" s="1"/>
  <c r="C86" i="36" s="1"/>
  <c r="C87" i="36" s="1"/>
  <c r="C88" i="36" s="1"/>
  <c r="C89" i="36" s="1"/>
  <c r="C90" i="36" s="1"/>
  <c r="C91" i="36" s="1"/>
  <c r="C92" i="36" s="1"/>
  <c r="C93" i="36" s="1"/>
  <c r="C94" i="36" s="1"/>
  <c r="C95" i="36" s="1"/>
  <c r="C96" i="36" s="1"/>
  <c r="P83" i="36"/>
  <c r="C83" i="36"/>
  <c r="P82" i="36"/>
  <c r="P81" i="36"/>
  <c r="P80" i="36"/>
  <c r="P79" i="36"/>
  <c r="P78" i="36"/>
  <c r="P77" i="36"/>
  <c r="P76" i="36"/>
  <c r="P75" i="36"/>
  <c r="I75" i="36"/>
  <c r="G75" i="36"/>
  <c r="G76" i="36" s="1"/>
  <c r="I74" i="36"/>
  <c r="I76" i="36" s="1"/>
  <c r="G74" i="36"/>
  <c r="I73" i="36"/>
  <c r="E71" i="36"/>
  <c r="E70" i="36"/>
  <c r="E69" i="36"/>
  <c r="I68" i="36"/>
  <c r="E68" i="36"/>
  <c r="I67" i="36"/>
  <c r="E67" i="36"/>
  <c r="I66" i="36"/>
  <c r="E66" i="36"/>
  <c r="I65" i="36"/>
  <c r="E65" i="36"/>
  <c r="I64" i="36"/>
  <c r="E64" i="36"/>
  <c r="I63" i="36"/>
  <c r="I62" i="36"/>
  <c r="I61" i="36"/>
  <c r="I60" i="36"/>
  <c r="I59" i="36"/>
  <c r="E59" i="36"/>
  <c r="I58" i="36"/>
  <c r="E58" i="36"/>
  <c r="I57" i="36"/>
  <c r="G57" i="36"/>
  <c r="G58" i="36" s="1"/>
  <c r="G59" i="36" s="1"/>
  <c r="G60" i="36" s="1"/>
  <c r="G61" i="36" s="1"/>
  <c r="G62" i="36" s="1"/>
  <c r="G63" i="36" s="1"/>
  <c r="G64" i="36" s="1"/>
  <c r="G65" i="36" s="1"/>
  <c r="G66" i="36" s="1"/>
  <c r="G67" i="36" s="1"/>
  <c r="G68" i="36" s="1"/>
  <c r="C64" i="36" s="1"/>
  <c r="C65" i="36" s="1"/>
  <c r="C66" i="36" s="1"/>
  <c r="C67" i="36" s="1"/>
  <c r="C68" i="36" s="1"/>
  <c r="C69" i="36" s="1"/>
  <c r="C70" i="36" s="1"/>
  <c r="C71" i="36" s="1"/>
  <c r="E57" i="36"/>
  <c r="C57" i="36"/>
  <c r="C58" i="36" s="1"/>
  <c r="C59" i="36" s="1"/>
  <c r="I56" i="36"/>
  <c r="E56" i="36"/>
  <c r="I49" i="36"/>
  <c r="U53" i="36" s="1"/>
  <c r="H49" i="36"/>
  <c r="E49" i="36"/>
  <c r="U51" i="36" s="1"/>
  <c r="D49" i="36"/>
  <c r="I48" i="36"/>
  <c r="H48" i="36"/>
  <c r="E48" i="36"/>
  <c r="U50" i="36" s="1"/>
  <c r="D48" i="36"/>
  <c r="I47" i="36"/>
  <c r="U48" i="36" s="1"/>
  <c r="H47" i="36"/>
  <c r="E47" i="36"/>
  <c r="U49" i="36" s="1"/>
  <c r="D47" i="36"/>
  <c r="I46" i="36"/>
  <c r="U54" i="36" s="1"/>
  <c r="H46" i="36"/>
  <c r="E46" i="36"/>
  <c r="U40" i="36" s="1"/>
  <c r="D46" i="36"/>
  <c r="I45" i="36"/>
  <c r="H45" i="36"/>
  <c r="E45" i="36"/>
  <c r="U38" i="36" s="1"/>
  <c r="D45" i="36"/>
  <c r="I44" i="36"/>
  <c r="H44" i="36"/>
  <c r="E44" i="36"/>
  <c r="U39" i="36" s="1"/>
  <c r="D44" i="36"/>
  <c r="M43" i="36"/>
  <c r="X38" i="36" s="1"/>
  <c r="L43" i="36"/>
  <c r="K43" i="36"/>
  <c r="I43" i="36"/>
  <c r="H43" i="36"/>
  <c r="G43" i="36"/>
  <c r="G44" i="36" s="1"/>
  <c r="G45" i="36" s="1"/>
  <c r="G46" i="36" s="1"/>
  <c r="G47" i="36" s="1"/>
  <c r="G48" i="36" s="1"/>
  <c r="E43" i="36"/>
  <c r="D43" i="36"/>
  <c r="M42" i="36"/>
  <c r="X37" i="36" s="1"/>
  <c r="L42" i="36"/>
  <c r="I42" i="36"/>
  <c r="H42" i="36"/>
  <c r="P37" i="36"/>
  <c r="P38" i="36" s="1"/>
  <c r="P39" i="36" s="1"/>
  <c r="P40" i="36" s="1"/>
  <c r="P41" i="36" s="1"/>
  <c r="P42" i="36" s="1"/>
  <c r="P43" i="36" s="1"/>
  <c r="P44" i="36" s="1"/>
  <c r="P45" i="36" s="1"/>
  <c r="P46" i="36" s="1"/>
  <c r="P47" i="36" s="1"/>
  <c r="P48" i="36" s="1"/>
  <c r="P49" i="36" s="1"/>
  <c r="P50" i="36" s="1"/>
  <c r="P51" i="36" s="1"/>
  <c r="P52" i="36" s="1"/>
  <c r="P53" i="36" s="1"/>
  <c r="P54" i="36" s="1"/>
  <c r="S36" i="36" s="1"/>
  <c r="S37" i="36" s="1"/>
  <c r="S38" i="36" s="1"/>
  <c r="S39" i="36" s="1"/>
  <c r="S40" i="36" s="1"/>
  <c r="S41" i="36" s="1"/>
  <c r="S42" i="36" s="1"/>
  <c r="S43" i="36" s="1"/>
  <c r="S44" i="36" s="1"/>
  <c r="S45" i="36" s="1"/>
  <c r="E37" i="36"/>
  <c r="D37" i="36"/>
  <c r="I36" i="36"/>
  <c r="H36" i="36"/>
  <c r="E36" i="36"/>
  <c r="D36" i="36"/>
  <c r="I35" i="36"/>
  <c r="U46" i="36" s="1"/>
  <c r="H35" i="36"/>
  <c r="E35" i="36"/>
  <c r="R53" i="36" s="1"/>
  <c r="D35" i="36"/>
  <c r="M34" i="36"/>
  <c r="X45" i="36" s="1"/>
  <c r="L34" i="36"/>
  <c r="I34" i="36"/>
  <c r="H34" i="36"/>
  <c r="E34" i="36"/>
  <c r="R52" i="36" s="1"/>
  <c r="D34" i="36"/>
  <c r="M33" i="36"/>
  <c r="X44" i="36" s="1"/>
  <c r="L33" i="36"/>
  <c r="I33" i="36"/>
  <c r="H33" i="36"/>
  <c r="E33" i="36"/>
  <c r="R41" i="36" s="1"/>
  <c r="D33" i="36"/>
  <c r="C33" i="36"/>
  <c r="C34" i="36" s="1"/>
  <c r="M32" i="36"/>
  <c r="X43" i="36" s="1"/>
  <c r="L32" i="36"/>
  <c r="I32" i="36"/>
  <c r="H32" i="36"/>
  <c r="E32" i="36"/>
  <c r="R39" i="36" s="1"/>
  <c r="D32" i="36"/>
  <c r="W31" i="36"/>
  <c r="T31" i="36"/>
  <c r="Q31" i="36"/>
  <c r="M31" i="36"/>
  <c r="X54" i="36" s="1"/>
  <c r="L31" i="36"/>
  <c r="I31" i="36"/>
  <c r="H31" i="36"/>
  <c r="E31" i="36"/>
  <c r="D31" i="36"/>
  <c r="W30" i="36"/>
  <c r="T30" i="36"/>
  <c r="Q30" i="36"/>
  <c r="M30" i="36"/>
  <c r="X53" i="36" s="1"/>
  <c r="L30" i="36"/>
  <c r="I30" i="36"/>
  <c r="H30" i="36"/>
  <c r="W29" i="36"/>
  <c r="T29" i="36"/>
  <c r="Q29" i="36"/>
  <c r="M29" i="36"/>
  <c r="X40" i="36" s="1"/>
  <c r="L29" i="36"/>
  <c r="I29" i="36"/>
  <c r="H29" i="36"/>
  <c r="W28" i="36"/>
  <c r="T28" i="36"/>
  <c r="Q28" i="36"/>
  <c r="P28" i="36"/>
  <c r="M28" i="36"/>
  <c r="X52" i="36" s="1"/>
  <c r="L28" i="36"/>
  <c r="I28" i="36"/>
  <c r="H28" i="36"/>
  <c r="M27" i="36"/>
  <c r="X51" i="36" s="1"/>
  <c r="L27" i="36"/>
  <c r="I27" i="36"/>
  <c r="H27" i="36"/>
  <c r="M26" i="36"/>
  <c r="X50" i="36" s="1"/>
  <c r="L26" i="36"/>
  <c r="I26" i="36"/>
  <c r="R48" i="36" s="1"/>
  <c r="H26" i="36"/>
  <c r="M25" i="36"/>
  <c r="X49" i="36" s="1"/>
  <c r="L25" i="36"/>
  <c r="K25" i="36"/>
  <c r="K26" i="36" s="1"/>
  <c r="K27" i="36" s="1"/>
  <c r="K28" i="36" s="1"/>
  <c r="K29" i="36" s="1"/>
  <c r="K30" i="36" s="1"/>
  <c r="K31" i="36" s="1"/>
  <c r="K32" i="36" s="1"/>
  <c r="K33" i="36" s="1"/>
  <c r="K34" i="36" s="1"/>
  <c r="I25" i="36"/>
  <c r="H25" i="36"/>
  <c r="G25" i="36"/>
  <c r="G26" i="36" s="1"/>
  <c r="G27" i="36" s="1"/>
  <c r="G28" i="36" s="1"/>
  <c r="G29" i="36" s="1"/>
  <c r="G30" i="36" s="1"/>
  <c r="G31" i="36" s="1"/>
  <c r="G32" i="36" s="1"/>
  <c r="G33" i="36" s="1"/>
  <c r="G34" i="36" s="1"/>
  <c r="G35" i="36" s="1"/>
  <c r="G36" i="36" s="1"/>
  <c r="E25" i="36"/>
  <c r="D25" i="36"/>
  <c r="M24" i="36"/>
  <c r="L24" i="36"/>
  <c r="K24" i="36"/>
  <c r="I24" i="36"/>
  <c r="H24" i="36"/>
  <c r="E24" i="36"/>
  <c r="D24" i="36"/>
  <c r="W23" i="36"/>
  <c r="T23" i="36"/>
  <c r="Q23" i="36"/>
  <c r="M23" i="36"/>
  <c r="L23" i="36"/>
  <c r="K23" i="36"/>
  <c r="E23" i="36"/>
  <c r="D23" i="36"/>
  <c r="C23" i="36"/>
  <c r="C24" i="36" s="1"/>
  <c r="W22" i="36"/>
  <c r="T22" i="36"/>
  <c r="Q22" i="36"/>
  <c r="M22" i="36"/>
  <c r="L22" i="36"/>
  <c r="E22" i="36"/>
  <c r="D22" i="36"/>
  <c r="W21" i="36"/>
  <c r="T21" i="36"/>
  <c r="Q21" i="36"/>
  <c r="W20" i="36"/>
  <c r="T20" i="36"/>
  <c r="Q20" i="36"/>
  <c r="W19" i="36"/>
  <c r="T19" i="36"/>
  <c r="Q19" i="36"/>
  <c r="W18" i="36"/>
  <c r="T18" i="36"/>
  <c r="Q18" i="36"/>
  <c r="I18" i="36"/>
  <c r="H18" i="36"/>
  <c r="W17" i="36"/>
  <c r="T17" i="36"/>
  <c r="Q17" i="36"/>
  <c r="I17" i="36"/>
  <c r="U52" i="36" s="1"/>
  <c r="H17" i="36"/>
  <c r="W16" i="36"/>
  <c r="T16" i="36"/>
  <c r="Q16" i="36"/>
  <c r="I16" i="36"/>
  <c r="H16" i="36"/>
  <c r="E16" i="36"/>
  <c r="R44" i="36" s="1"/>
  <c r="D16" i="36"/>
  <c r="W15" i="36"/>
  <c r="T15" i="36"/>
  <c r="Q15" i="36"/>
  <c r="I15" i="36"/>
  <c r="H15" i="36"/>
  <c r="E15" i="36"/>
  <c r="R37" i="36" s="1"/>
  <c r="D15" i="36"/>
  <c r="W14" i="36"/>
  <c r="T14" i="36"/>
  <c r="Q14" i="36"/>
  <c r="M14" i="36"/>
  <c r="L14" i="36"/>
  <c r="I14" i="36"/>
  <c r="H14" i="36"/>
  <c r="E14" i="36"/>
  <c r="D14" i="36"/>
  <c r="W13" i="36"/>
  <c r="T13" i="36"/>
  <c r="Q13" i="36"/>
  <c r="M13" i="36"/>
  <c r="L13" i="36"/>
  <c r="I13" i="36"/>
  <c r="H13" i="36"/>
  <c r="E13" i="36"/>
  <c r="U43" i="36" s="1"/>
  <c r="D13" i="36"/>
  <c r="W12" i="36"/>
  <c r="T12" i="36"/>
  <c r="Q12" i="36"/>
  <c r="M12" i="36"/>
  <c r="X39" i="36" s="1"/>
  <c r="L12" i="36"/>
  <c r="I12" i="36"/>
  <c r="H12" i="36"/>
  <c r="E12" i="36"/>
  <c r="R45" i="36" s="1"/>
  <c r="D12" i="36"/>
  <c r="W11" i="36"/>
  <c r="T11" i="36"/>
  <c r="Q11" i="36"/>
  <c r="M11" i="36"/>
  <c r="X42" i="36" s="1"/>
  <c r="L11" i="36"/>
  <c r="I11" i="36"/>
  <c r="H11" i="36"/>
  <c r="E11" i="36"/>
  <c r="D11" i="36"/>
  <c r="W10" i="36"/>
  <c r="T10" i="36"/>
  <c r="Q10" i="36"/>
  <c r="M10" i="36"/>
  <c r="X48" i="36" s="1"/>
  <c r="L10" i="36"/>
  <c r="K10" i="36"/>
  <c r="K11" i="36" s="1"/>
  <c r="K12" i="36" s="1"/>
  <c r="I10" i="36"/>
  <c r="H10" i="36"/>
  <c r="E10" i="36"/>
  <c r="R43" i="36" s="1"/>
  <c r="D10" i="36"/>
  <c r="W9" i="36"/>
  <c r="T9" i="36"/>
  <c r="Q9" i="36"/>
  <c r="M9" i="36"/>
  <c r="X36" i="36" s="1"/>
  <c r="L9" i="36"/>
  <c r="I9" i="36"/>
  <c r="H9" i="36"/>
  <c r="E9" i="36"/>
  <c r="D9" i="36"/>
  <c r="W8" i="36"/>
  <c r="T8" i="36"/>
  <c r="Q8" i="36"/>
  <c r="M8" i="36"/>
  <c r="L8" i="36"/>
  <c r="K8" i="36"/>
  <c r="I8" i="36"/>
  <c r="R47" i="36" s="1"/>
  <c r="H8" i="36"/>
  <c r="E8" i="36"/>
  <c r="R38" i="36" s="1"/>
  <c r="D8" i="36"/>
  <c r="C8" i="36"/>
  <c r="C9" i="36" s="1"/>
  <c r="C10" i="36" s="1"/>
  <c r="C11" i="36" s="1"/>
  <c r="C12" i="36" s="1"/>
  <c r="C13" i="36" s="1"/>
  <c r="C14" i="36" s="1"/>
  <c r="C15" i="36" s="1"/>
  <c r="C16" i="36" s="1"/>
  <c r="C25" i="36" s="1"/>
  <c r="W7" i="36"/>
  <c r="T7" i="36"/>
  <c r="Q7" i="36"/>
  <c r="M7" i="36"/>
  <c r="L7" i="36"/>
  <c r="I7" i="36"/>
  <c r="R46" i="36" s="1"/>
  <c r="H7" i="36"/>
  <c r="G7" i="36"/>
  <c r="G8" i="36" s="1"/>
  <c r="G9" i="36" s="1"/>
  <c r="G10" i="36" s="1"/>
  <c r="G11" i="36" s="1"/>
  <c r="G12" i="36" s="1"/>
  <c r="G13" i="36" s="1"/>
  <c r="G14" i="36" s="1"/>
  <c r="G15" i="36" s="1"/>
  <c r="G16" i="36" s="1"/>
  <c r="G17" i="36" s="1"/>
  <c r="G49" i="36" s="1"/>
  <c r="G18" i="36" s="1"/>
  <c r="E7" i="36"/>
  <c r="R36" i="36" s="1"/>
  <c r="D7" i="36"/>
  <c r="C7" i="36"/>
  <c r="W6" i="36"/>
  <c r="T6" i="36"/>
  <c r="Q6" i="36"/>
  <c r="M6" i="36"/>
  <c r="L6" i="36"/>
  <c r="I6" i="36"/>
  <c r="H6" i="36"/>
  <c r="E6" i="36"/>
  <c r="D6" i="36"/>
  <c r="W5" i="36"/>
  <c r="T5" i="36"/>
  <c r="Q5" i="36"/>
  <c r="U41" i="37" l="1"/>
  <c r="R46" i="39"/>
  <c r="I77" i="38"/>
  <c r="U44" i="37"/>
  <c r="R46" i="38"/>
  <c r="U44" i="36"/>
  <c r="R37" i="40"/>
  <c r="U42" i="40"/>
  <c r="U36" i="38"/>
  <c r="R37" i="37"/>
  <c r="R40" i="38"/>
  <c r="U41" i="39"/>
  <c r="U42" i="36"/>
  <c r="R37" i="39"/>
  <c r="U45" i="40"/>
  <c r="C44" i="37"/>
  <c r="C45" i="37" s="1"/>
  <c r="C46" i="37" s="1"/>
  <c r="C47" i="37" s="1"/>
  <c r="C48" i="37" s="1"/>
  <c r="C49" i="37" s="1"/>
  <c r="C35" i="37"/>
  <c r="C36" i="37" s="1"/>
  <c r="C37" i="37" s="1"/>
  <c r="X47" i="36"/>
  <c r="R46" i="37"/>
  <c r="E38" i="37"/>
  <c r="R42" i="38"/>
  <c r="U36" i="37"/>
  <c r="X47" i="39"/>
  <c r="U41" i="40"/>
  <c r="R49" i="38"/>
  <c r="R54" i="38"/>
  <c r="R46" i="40"/>
  <c r="X47" i="40"/>
  <c r="R40" i="40"/>
  <c r="U45" i="37"/>
  <c r="X47" i="38"/>
  <c r="R54" i="39"/>
  <c r="U44" i="39"/>
  <c r="E38" i="39"/>
  <c r="R51" i="36"/>
  <c r="R54" i="36"/>
  <c r="U45" i="36"/>
  <c r="U47" i="36"/>
  <c r="R54" i="37"/>
  <c r="U44" i="38"/>
  <c r="U45" i="38"/>
  <c r="X41" i="38"/>
  <c r="E60" i="38"/>
  <c r="U45" i="39"/>
  <c r="E26" i="39"/>
  <c r="U47" i="39"/>
  <c r="I69" i="40"/>
  <c r="M75" i="40" s="1"/>
  <c r="R40" i="36"/>
  <c r="R40" i="37"/>
  <c r="R42" i="37"/>
  <c r="R37" i="38"/>
  <c r="R49" i="39"/>
  <c r="R42" i="40"/>
  <c r="U47" i="40"/>
  <c r="E72" i="40"/>
  <c r="M74" i="40" s="1"/>
  <c r="U42" i="39"/>
  <c r="R51" i="39"/>
  <c r="M17" i="39"/>
  <c r="M72" i="39" s="1"/>
  <c r="I50" i="39"/>
  <c r="M71" i="39" s="1"/>
  <c r="E72" i="39"/>
  <c r="M74" i="39" s="1"/>
  <c r="M50" i="39"/>
  <c r="R42" i="39"/>
  <c r="R40" i="39"/>
  <c r="I37" i="38"/>
  <c r="U37" i="38"/>
  <c r="U47" i="38"/>
  <c r="U41" i="38"/>
  <c r="E72" i="38"/>
  <c r="M74" i="38" s="1"/>
  <c r="M37" i="38"/>
  <c r="X47" i="37"/>
  <c r="M37" i="37"/>
  <c r="M50" i="37"/>
  <c r="I19" i="37"/>
  <c r="U47" i="37"/>
  <c r="I50" i="37"/>
  <c r="M71" i="37" s="1"/>
  <c r="E72" i="37"/>
  <c r="M74" i="37" s="1"/>
  <c r="R51" i="37"/>
  <c r="M17" i="37"/>
  <c r="M72" i="37" s="1"/>
  <c r="U42" i="37"/>
  <c r="I50" i="36"/>
  <c r="M71" i="36" s="1"/>
  <c r="I19" i="36"/>
  <c r="R42" i="36"/>
  <c r="U41" i="36"/>
  <c r="U36" i="36"/>
  <c r="I69" i="36"/>
  <c r="M75" i="36" s="1"/>
  <c r="E17" i="36"/>
  <c r="M50" i="36"/>
  <c r="E72" i="36"/>
  <c r="M74" i="36" s="1"/>
  <c r="E60" i="37"/>
  <c r="E60" i="39"/>
  <c r="E60" i="36"/>
  <c r="K13" i="40"/>
  <c r="K14" i="40" s="1"/>
  <c r="K9" i="40"/>
  <c r="S47" i="40"/>
  <c r="S48" i="40" s="1"/>
  <c r="S49" i="40" s="1"/>
  <c r="S50" i="40" s="1"/>
  <c r="S51" i="40" s="1"/>
  <c r="S52" i="40" s="1"/>
  <c r="S53" i="40" s="1"/>
  <c r="S54" i="40" s="1"/>
  <c r="V36" i="40" s="1"/>
  <c r="V37" i="40" s="1"/>
  <c r="V38" i="40" s="1"/>
  <c r="V39" i="40" s="1"/>
  <c r="V40" i="40" s="1"/>
  <c r="V41" i="40" s="1"/>
  <c r="V42" i="40" s="1"/>
  <c r="V43" i="40" s="1"/>
  <c r="V44" i="40" s="1"/>
  <c r="V45" i="40" s="1"/>
  <c r="V46" i="40" s="1"/>
  <c r="V47" i="40" s="1"/>
  <c r="V48" i="40" s="1"/>
  <c r="V49" i="40" s="1"/>
  <c r="V50" i="40" s="1"/>
  <c r="V51" i="40" s="1"/>
  <c r="V52" i="40" s="1"/>
  <c r="V53" i="40" s="1"/>
  <c r="V54" i="40" s="1"/>
  <c r="S46" i="40"/>
  <c r="C44" i="40"/>
  <c r="C45" i="40" s="1"/>
  <c r="C46" i="40" s="1"/>
  <c r="C47" i="40" s="1"/>
  <c r="C48" i="40" s="1"/>
  <c r="C49" i="40" s="1"/>
  <c r="C35" i="40"/>
  <c r="C36" i="40" s="1"/>
  <c r="C37" i="40" s="1"/>
  <c r="R51" i="40"/>
  <c r="X46" i="40"/>
  <c r="M37" i="40"/>
  <c r="U37" i="40"/>
  <c r="E60" i="40"/>
  <c r="I77" i="40"/>
  <c r="I19" i="40"/>
  <c r="I37" i="40"/>
  <c r="E38" i="40"/>
  <c r="R50" i="40"/>
  <c r="X41" i="40"/>
  <c r="E26" i="40"/>
  <c r="E17" i="40"/>
  <c r="M17" i="40"/>
  <c r="I50" i="40"/>
  <c r="M71" i="40" s="1"/>
  <c r="M50" i="40"/>
  <c r="E50" i="40"/>
  <c r="K13" i="39"/>
  <c r="K14" i="39" s="1"/>
  <c r="K9" i="39"/>
  <c r="C44" i="39"/>
  <c r="C45" i="39" s="1"/>
  <c r="C46" i="39" s="1"/>
  <c r="C47" i="39" s="1"/>
  <c r="C48" i="39" s="1"/>
  <c r="C49" i="39" s="1"/>
  <c r="C35" i="39"/>
  <c r="C36" i="39" s="1"/>
  <c r="C37" i="39" s="1"/>
  <c r="S47" i="39"/>
  <c r="S48" i="39" s="1"/>
  <c r="S49" i="39" s="1"/>
  <c r="S50" i="39" s="1"/>
  <c r="S51" i="39" s="1"/>
  <c r="S52" i="39" s="1"/>
  <c r="S53" i="39" s="1"/>
  <c r="S54" i="39" s="1"/>
  <c r="V36" i="39" s="1"/>
  <c r="V37" i="39" s="1"/>
  <c r="V38" i="39" s="1"/>
  <c r="V39" i="39" s="1"/>
  <c r="V40" i="39" s="1"/>
  <c r="V41" i="39" s="1"/>
  <c r="V42" i="39" s="1"/>
  <c r="V43" i="39" s="1"/>
  <c r="V44" i="39" s="1"/>
  <c r="V45" i="39" s="1"/>
  <c r="V46" i="39" s="1"/>
  <c r="V47" i="39" s="1"/>
  <c r="V48" i="39" s="1"/>
  <c r="V49" i="39" s="1"/>
  <c r="V50" i="39" s="1"/>
  <c r="V51" i="39" s="1"/>
  <c r="V52" i="39" s="1"/>
  <c r="V53" i="39" s="1"/>
  <c r="V54" i="39" s="1"/>
  <c r="S46" i="39"/>
  <c r="E17" i="39"/>
  <c r="R50" i="39"/>
  <c r="I69" i="39"/>
  <c r="M75" i="39" s="1"/>
  <c r="I77" i="39"/>
  <c r="I19" i="39"/>
  <c r="I37" i="39"/>
  <c r="X41" i="39"/>
  <c r="X46" i="39"/>
  <c r="M37" i="39"/>
  <c r="U37" i="39"/>
  <c r="E50" i="39"/>
  <c r="S47" i="38"/>
  <c r="S48" i="38" s="1"/>
  <c r="S49" i="38" s="1"/>
  <c r="S50" i="38" s="1"/>
  <c r="S51" i="38" s="1"/>
  <c r="S52" i="38" s="1"/>
  <c r="S53" i="38" s="1"/>
  <c r="S54" i="38" s="1"/>
  <c r="V36" i="38" s="1"/>
  <c r="V37" i="38" s="1"/>
  <c r="V38" i="38" s="1"/>
  <c r="V39" i="38" s="1"/>
  <c r="V40" i="38" s="1"/>
  <c r="V41" i="38" s="1"/>
  <c r="V42" i="38" s="1"/>
  <c r="V43" i="38" s="1"/>
  <c r="V44" i="38" s="1"/>
  <c r="V45" i="38" s="1"/>
  <c r="V46" i="38" s="1"/>
  <c r="V47" i="38" s="1"/>
  <c r="V48" i="38" s="1"/>
  <c r="V49" i="38" s="1"/>
  <c r="V50" i="38" s="1"/>
  <c r="V51" i="38" s="1"/>
  <c r="V52" i="38" s="1"/>
  <c r="V53" i="38" s="1"/>
  <c r="V54" i="38" s="1"/>
  <c r="S46" i="38"/>
  <c r="E38" i="38"/>
  <c r="I50" i="38"/>
  <c r="M71" i="38" s="1"/>
  <c r="M17" i="38"/>
  <c r="C44" i="38"/>
  <c r="C45" i="38" s="1"/>
  <c r="C46" i="38" s="1"/>
  <c r="C47" i="38" s="1"/>
  <c r="C48" i="38" s="1"/>
  <c r="C49" i="38" s="1"/>
  <c r="C35" i="38"/>
  <c r="C36" i="38" s="1"/>
  <c r="C37" i="38" s="1"/>
  <c r="R39" i="38"/>
  <c r="R51" i="38"/>
  <c r="I19" i="38"/>
  <c r="E17" i="38"/>
  <c r="U42" i="38"/>
  <c r="M50" i="38"/>
  <c r="X37" i="38"/>
  <c r="E26" i="38"/>
  <c r="E50" i="38"/>
  <c r="R50" i="38"/>
  <c r="I69" i="38"/>
  <c r="M75" i="38" s="1"/>
  <c r="K13" i="37"/>
  <c r="K14" i="37" s="1"/>
  <c r="K9" i="37"/>
  <c r="S47" i="37"/>
  <c r="S48" i="37" s="1"/>
  <c r="S49" i="37" s="1"/>
  <c r="S50" i="37" s="1"/>
  <c r="S51" i="37" s="1"/>
  <c r="S52" i="37" s="1"/>
  <c r="S53" i="37" s="1"/>
  <c r="S54" i="37" s="1"/>
  <c r="V36" i="37" s="1"/>
  <c r="V37" i="37" s="1"/>
  <c r="V38" i="37" s="1"/>
  <c r="V39" i="37" s="1"/>
  <c r="V40" i="37" s="1"/>
  <c r="V41" i="37" s="1"/>
  <c r="V42" i="37" s="1"/>
  <c r="V43" i="37" s="1"/>
  <c r="V44" i="37" s="1"/>
  <c r="V45" i="37" s="1"/>
  <c r="V46" i="37" s="1"/>
  <c r="V47" i="37" s="1"/>
  <c r="V48" i="37" s="1"/>
  <c r="V49" i="37" s="1"/>
  <c r="V50" i="37" s="1"/>
  <c r="V51" i="37" s="1"/>
  <c r="V52" i="37" s="1"/>
  <c r="V53" i="37" s="1"/>
  <c r="V54" i="37" s="1"/>
  <c r="S46" i="37"/>
  <c r="E17" i="37"/>
  <c r="R50" i="37"/>
  <c r="X46" i="37"/>
  <c r="U37" i="37"/>
  <c r="I37" i="37"/>
  <c r="I69" i="37"/>
  <c r="M75" i="37" s="1"/>
  <c r="I77" i="37"/>
  <c r="X41" i="37"/>
  <c r="E26" i="37"/>
  <c r="E50" i="37"/>
  <c r="C44" i="36"/>
  <c r="C45" i="36" s="1"/>
  <c r="C46" i="36" s="1"/>
  <c r="C47" i="36" s="1"/>
  <c r="C48" i="36" s="1"/>
  <c r="C49" i="36" s="1"/>
  <c r="C35" i="36"/>
  <c r="C36" i="36" s="1"/>
  <c r="C37" i="36" s="1"/>
  <c r="K9" i="36"/>
  <c r="K13" i="36"/>
  <c r="K14" i="36" s="1"/>
  <c r="S47" i="36"/>
  <c r="S48" i="36" s="1"/>
  <c r="S49" i="36" s="1"/>
  <c r="S50" i="36" s="1"/>
  <c r="S51" i="36" s="1"/>
  <c r="S52" i="36" s="1"/>
  <c r="S53" i="36" s="1"/>
  <c r="S54" i="36" s="1"/>
  <c r="V36" i="36" s="1"/>
  <c r="V37" i="36" s="1"/>
  <c r="V38" i="36" s="1"/>
  <c r="V39" i="36" s="1"/>
  <c r="V40" i="36" s="1"/>
  <c r="V41" i="36" s="1"/>
  <c r="V42" i="36" s="1"/>
  <c r="V43" i="36" s="1"/>
  <c r="V44" i="36" s="1"/>
  <c r="V45" i="36" s="1"/>
  <c r="V46" i="36" s="1"/>
  <c r="V47" i="36" s="1"/>
  <c r="V48" i="36" s="1"/>
  <c r="V49" i="36" s="1"/>
  <c r="V50" i="36" s="1"/>
  <c r="V51" i="36" s="1"/>
  <c r="V52" i="36" s="1"/>
  <c r="V53" i="36" s="1"/>
  <c r="V54" i="36" s="1"/>
  <c r="S46" i="36"/>
  <c r="X46" i="36"/>
  <c r="M37" i="36"/>
  <c r="U37" i="36"/>
  <c r="I37" i="36"/>
  <c r="I52" i="36" s="1"/>
  <c r="E38" i="36"/>
  <c r="R50" i="36"/>
  <c r="I77" i="36"/>
  <c r="M17" i="36"/>
  <c r="R49" i="36"/>
  <c r="X41" i="36"/>
  <c r="E26" i="36"/>
  <c r="E50" i="36"/>
  <c r="B80" i="35"/>
  <c r="H94" i="35"/>
  <c r="H57" i="35"/>
  <c r="H56" i="35"/>
  <c r="H55" i="35"/>
  <c r="H50" i="35"/>
  <c r="H49" i="35"/>
  <c r="H48" i="35"/>
  <c r="H47" i="35"/>
  <c r="H46" i="35"/>
  <c r="H45" i="35"/>
  <c r="H44" i="35"/>
  <c r="H41" i="35"/>
  <c r="H43" i="35"/>
  <c r="H96" i="35"/>
  <c r="H66" i="35"/>
  <c r="H65" i="35"/>
  <c r="H63" i="35"/>
  <c r="H62" i="35"/>
  <c r="H69" i="35"/>
  <c r="H70" i="35"/>
  <c r="H72" i="35"/>
  <c r="H73" i="35"/>
  <c r="H74" i="35"/>
  <c r="H75" i="35"/>
  <c r="H76" i="35"/>
  <c r="H77" i="35"/>
  <c r="H78" i="35"/>
  <c r="H79" i="35"/>
  <c r="H71" i="35"/>
  <c r="H95" i="35"/>
  <c r="H42" i="35"/>
  <c r="H51" i="35"/>
  <c r="H52" i="35"/>
  <c r="H53" i="35"/>
  <c r="H54" i="35"/>
  <c r="H58" i="35"/>
  <c r="H59" i="35"/>
  <c r="AW21" i="18"/>
  <c r="AW20" i="18"/>
  <c r="AW17" i="18"/>
  <c r="AW16" i="18"/>
  <c r="AW13" i="18"/>
  <c r="AW12" i="18"/>
  <c r="AW9" i="18"/>
  <c r="AW8" i="18"/>
  <c r="AT20" i="18"/>
  <c r="AT16" i="18"/>
  <c r="AT12" i="18"/>
  <c r="AT8" i="18"/>
  <c r="AQ22" i="18"/>
  <c r="AQ20" i="18"/>
  <c r="AQ18" i="18"/>
  <c r="AQ16" i="18"/>
  <c r="AQ14" i="18"/>
  <c r="AQ12" i="18"/>
  <c r="AQ10" i="18"/>
  <c r="AQ8" i="18"/>
  <c r="AQ6" i="18"/>
  <c r="H89" i="35"/>
  <c r="H90" i="35"/>
  <c r="H91" i="35"/>
  <c r="H92" i="35"/>
  <c r="H93" i="35"/>
  <c r="H97" i="35"/>
  <c r="H98" i="35"/>
  <c r="H99" i="35"/>
  <c r="H64" i="35"/>
  <c r="H67" i="35"/>
  <c r="H68" i="35"/>
  <c r="AT14" i="18"/>
  <c r="H61" i="35"/>
  <c r="H81" i="35"/>
  <c r="H82" i="35"/>
  <c r="H83" i="35"/>
  <c r="H84" i="35"/>
  <c r="H85" i="35"/>
  <c r="H86" i="35"/>
  <c r="H87" i="35"/>
  <c r="H88" i="35"/>
  <c r="AU23" i="18"/>
  <c r="V23" i="21" s="1"/>
  <c r="AU22" i="18"/>
  <c r="AU21" i="18"/>
  <c r="AU20" i="18"/>
  <c r="AU19" i="18"/>
  <c r="AU18" i="18"/>
  <c r="AU17" i="18"/>
  <c r="AU16" i="18"/>
  <c r="AU15" i="18"/>
  <c r="V15" i="31" s="1"/>
  <c r="AU14" i="18"/>
  <c r="AU13" i="18"/>
  <c r="V13" i="34" s="1"/>
  <c r="AU12" i="18"/>
  <c r="V12" i="29" s="1"/>
  <c r="AU11" i="18"/>
  <c r="AU10" i="18"/>
  <c r="AU9" i="18"/>
  <c r="AU8" i="18"/>
  <c r="AU7" i="18"/>
  <c r="AU6" i="18"/>
  <c r="AU5" i="18"/>
  <c r="AR23" i="18"/>
  <c r="S23" i="29" s="1"/>
  <c r="AR22" i="18"/>
  <c r="S22" i="28" s="1"/>
  <c r="AR21" i="18"/>
  <c r="S21" i="12" s="1"/>
  <c r="AR20" i="18"/>
  <c r="S20" i="27" s="1"/>
  <c r="AR19" i="18"/>
  <c r="S19" i="24" s="1"/>
  <c r="AR18" i="18"/>
  <c r="AR17" i="18"/>
  <c r="AR16" i="18"/>
  <c r="AR15" i="18"/>
  <c r="AR14" i="18"/>
  <c r="S14" i="19" s="1"/>
  <c r="AR13" i="18"/>
  <c r="AR12" i="18"/>
  <c r="AR11" i="18"/>
  <c r="AR10" i="18"/>
  <c r="S10" i="32" s="1"/>
  <c r="AR9" i="18"/>
  <c r="AR8" i="18"/>
  <c r="S8" i="4" s="1"/>
  <c r="AR7" i="18"/>
  <c r="S7" i="19" s="1"/>
  <c r="AR6" i="18"/>
  <c r="AR5" i="18"/>
  <c r="AO23" i="18"/>
  <c r="P23" i="22" s="1"/>
  <c r="AO22" i="18"/>
  <c r="AO21" i="18"/>
  <c r="P21" i="29" s="1"/>
  <c r="AO20" i="18"/>
  <c r="AO19" i="18"/>
  <c r="AO18" i="18"/>
  <c r="AO17" i="18"/>
  <c r="P17" i="12" s="1"/>
  <c r="AO16" i="18"/>
  <c r="AO15" i="18"/>
  <c r="P15" i="32" s="1"/>
  <c r="AO14" i="18"/>
  <c r="P14" i="23" s="1"/>
  <c r="AO13" i="18"/>
  <c r="P13" i="27" s="1"/>
  <c r="AO12" i="18"/>
  <c r="AO11" i="18"/>
  <c r="P11" i="33" s="1"/>
  <c r="AO10" i="18"/>
  <c r="AO9" i="18"/>
  <c r="P9" i="8" s="1"/>
  <c r="AO8" i="18"/>
  <c r="AO7" i="18"/>
  <c r="P7" i="34" s="1"/>
  <c r="AO6" i="18"/>
  <c r="AO5" i="18"/>
  <c r="P5" i="20" s="1"/>
  <c r="AQ32" i="35"/>
  <c r="AQ29" i="18" s="1"/>
  <c r="AQ28" i="18"/>
  <c r="R28" i="26" s="1"/>
  <c r="AW23" i="18"/>
  <c r="AW22" i="18"/>
  <c r="AW19" i="18"/>
  <c r="AW18" i="18"/>
  <c r="AW15" i="18"/>
  <c r="AW14" i="18"/>
  <c r="AW11" i="18"/>
  <c r="AW10" i="18"/>
  <c r="AW7" i="18"/>
  <c r="AW6" i="18"/>
  <c r="AW5" i="18"/>
  <c r="AT23" i="18"/>
  <c r="AT22" i="18"/>
  <c r="U22" i="12" s="1"/>
  <c r="AT21" i="18"/>
  <c r="U21" i="10" s="1"/>
  <c r="AT19" i="18"/>
  <c r="AT18" i="18"/>
  <c r="AT17" i="18"/>
  <c r="AT15" i="18"/>
  <c r="AT13" i="18"/>
  <c r="AT11" i="18"/>
  <c r="AT10" i="18"/>
  <c r="AT9" i="18"/>
  <c r="AT7" i="18"/>
  <c r="AT6" i="18"/>
  <c r="AT5" i="18"/>
  <c r="AQ23" i="18"/>
  <c r="AQ21" i="18"/>
  <c r="AQ19" i="18"/>
  <c r="AQ17" i="18"/>
  <c r="AQ15" i="18"/>
  <c r="AQ13" i="18"/>
  <c r="AQ11" i="18"/>
  <c r="AQ9" i="18"/>
  <c r="AQ7" i="18"/>
  <c r="AQ5" i="18"/>
  <c r="AW34" i="35"/>
  <c r="AW31" i="18" s="1"/>
  <c r="AT34" i="35"/>
  <c r="AT31" i="18" s="1"/>
  <c r="AQ34" i="35"/>
  <c r="AQ31" i="18" s="1"/>
  <c r="AW33" i="35"/>
  <c r="AW30" i="18" s="1"/>
  <c r="AT33" i="35"/>
  <c r="AT30" i="18" s="1"/>
  <c r="AQ33" i="35"/>
  <c r="AQ30" i="18" s="1"/>
  <c r="AW32" i="35"/>
  <c r="AW29" i="18" s="1"/>
  <c r="AT32" i="35"/>
  <c r="AT29" i="18" s="1"/>
  <c r="AO32" i="35"/>
  <c r="AO33" i="35" s="1"/>
  <c r="AO34" i="35" s="1"/>
  <c r="AR31" i="35" s="1"/>
  <c r="AR32" i="35" s="1"/>
  <c r="AR33" i="35" s="1"/>
  <c r="AR34" i="35" s="1"/>
  <c r="AU31" i="35" s="1"/>
  <c r="AU32" i="35" s="1"/>
  <c r="AU33" i="35" s="1"/>
  <c r="AU34" i="35" s="1"/>
  <c r="AW31" i="35"/>
  <c r="AW28" i="18" s="1"/>
  <c r="AT31" i="35"/>
  <c r="AT28" i="18" s="1"/>
  <c r="P89" i="17"/>
  <c r="P88" i="17"/>
  <c r="P87" i="17"/>
  <c r="P86" i="17"/>
  <c r="P85" i="17"/>
  <c r="P84" i="17"/>
  <c r="P83" i="17"/>
  <c r="P82" i="17"/>
  <c r="P81" i="17"/>
  <c r="P80" i="17"/>
  <c r="P79" i="17"/>
  <c r="P78" i="17"/>
  <c r="P77" i="17"/>
  <c r="P76" i="17"/>
  <c r="P75" i="17"/>
  <c r="P89" i="34"/>
  <c r="P88" i="34"/>
  <c r="P87" i="34"/>
  <c r="P86" i="34"/>
  <c r="P85" i="34"/>
  <c r="P84" i="34"/>
  <c r="P83" i="34"/>
  <c r="P82" i="34"/>
  <c r="P81" i="34"/>
  <c r="P80" i="34"/>
  <c r="P79" i="34"/>
  <c r="P78" i="34"/>
  <c r="P77" i="34"/>
  <c r="P76" i="34"/>
  <c r="P75" i="34"/>
  <c r="P89" i="33"/>
  <c r="P88" i="33"/>
  <c r="P87" i="33"/>
  <c r="P86" i="33"/>
  <c r="P85" i="33"/>
  <c r="P84" i="33"/>
  <c r="P83" i="33"/>
  <c r="P82" i="33"/>
  <c r="P81" i="33"/>
  <c r="P80" i="33"/>
  <c r="P79" i="33"/>
  <c r="P78" i="33"/>
  <c r="P77" i="33"/>
  <c r="P76" i="33"/>
  <c r="P75" i="33"/>
  <c r="P89" i="32"/>
  <c r="P88" i="32"/>
  <c r="P87" i="32"/>
  <c r="P86" i="32"/>
  <c r="P85" i="32"/>
  <c r="P84" i="32"/>
  <c r="P83" i="32"/>
  <c r="P82" i="32"/>
  <c r="P81" i="32"/>
  <c r="P80" i="32"/>
  <c r="P79" i="32"/>
  <c r="P78" i="32"/>
  <c r="P77" i="32"/>
  <c r="P76" i="32"/>
  <c r="P75" i="32"/>
  <c r="P89" i="31"/>
  <c r="P88" i="31"/>
  <c r="P87" i="31"/>
  <c r="P86" i="31"/>
  <c r="P85" i="31"/>
  <c r="P84" i="31"/>
  <c r="P83" i="31"/>
  <c r="P82" i="31"/>
  <c r="P81" i="31"/>
  <c r="P80" i="31"/>
  <c r="P79" i="31"/>
  <c r="P78" i="31"/>
  <c r="P77" i="31"/>
  <c r="P76" i="31"/>
  <c r="P75" i="31"/>
  <c r="P89" i="16"/>
  <c r="P88" i="16"/>
  <c r="P87" i="16"/>
  <c r="P86" i="16"/>
  <c r="P85" i="16"/>
  <c r="P84" i="16"/>
  <c r="P83" i="16"/>
  <c r="P82" i="16"/>
  <c r="P81" i="16"/>
  <c r="P80" i="16"/>
  <c r="P79" i="16"/>
  <c r="P78" i="16"/>
  <c r="P77" i="16"/>
  <c r="P76" i="16"/>
  <c r="P75" i="16"/>
  <c r="P89" i="30"/>
  <c r="P88" i="30"/>
  <c r="P87" i="30"/>
  <c r="P86" i="30"/>
  <c r="P85" i="30"/>
  <c r="P84" i="30"/>
  <c r="P83" i="30"/>
  <c r="P82" i="30"/>
  <c r="P81" i="30"/>
  <c r="P80" i="30"/>
  <c r="P79" i="30"/>
  <c r="P78" i="30"/>
  <c r="P77" i="30"/>
  <c r="P76" i="30"/>
  <c r="P75" i="30"/>
  <c r="P89" i="29"/>
  <c r="P88" i="29"/>
  <c r="P87" i="29"/>
  <c r="P86" i="29"/>
  <c r="P85" i="29"/>
  <c r="P84" i="29"/>
  <c r="P83" i="29"/>
  <c r="P82" i="29"/>
  <c r="P81" i="29"/>
  <c r="P80" i="29"/>
  <c r="P79" i="29"/>
  <c r="P78" i="29"/>
  <c r="P77" i="29"/>
  <c r="P76" i="29"/>
  <c r="P75" i="29"/>
  <c r="P89" i="28"/>
  <c r="P88" i="28"/>
  <c r="P87" i="28"/>
  <c r="P86" i="28"/>
  <c r="P85" i="28"/>
  <c r="P84" i="28"/>
  <c r="P83" i="28"/>
  <c r="P82" i="28"/>
  <c r="P81" i="28"/>
  <c r="P80" i="28"/>
  <c r="P79" i="28"/>
  <c r="P78" i="28"/>
  <c r="P77" i="28"/>
  <c r="P76" i="28"/>
  <c r="P75" i="28"/>
  <c r="P89" i="23"/>
  <c r="P88" i="23"/>
  <c r="P87" i="23"/>
  <c r="P86" i="23"/>
  <c r="P85" i="23"/>
  <c r="P84" i="23"/>
  <c r="P83" i="23"/>
  <c r="P82" i="23"/>
  <c r="P81" i="23"/>
  <c r="P80" i="23"/>
  <c r="P79" i="23"/>
  <c r="P78" i="23"/>
  <c r="P77" i="23"/>
  <c r="P76" i="23"/>
  <c r="P75" i="23"/>
  <c r="P89" i="15"/>
  <c r="P88" i="15"/>
  <c r="P87" i="15"/>
  <c r="P86" i="15"/>
  <c r="P85" i="15"/>
  <c r="P84" i="15"/>
  <c r="P83" i="15"/>
  <c r="P82" i="15"/>
  <c r="P81" i="15"/>
  <c r="P80" i="15"/>
  <c r="P79" i="15"/>
  <c r="P78" i="15"/>
  <c r="P77" i="15"/>
  <c r="P76" i="15"/>
  <c r="P75" i="15"/>
  <c r="P89" i="27"/>
  <c r="P88" i="27"/>
  <c r="P87" i="27"/>
  <c r="P86" i="27"/>
  <c r="P85" i="27"/>
  <c r="P84" i="27"/>
  <c r="P83" i="27"/>
  <c r="P82" i="27"/>
  <c r="P81" i="27"/>
  <c r="P80" i="27"/>
  <c r="P79" i="27"/>
  <c r="P78" i="27"/>
  <c r="P77" i="27"/>
  <c r="P76" i="27"/>
  <c r="P75" i="27"/>
  <c r="P89" i="26"/>
  <c r="P88" i="26"/>
  <c r="P87" i="26"/>
  <c r="P86" i="26"/>
  <c r="P85" i="26"/>
  <c r="P84" i="26"/>
  <c r="P83" i="26"/>
  <c r="P82" i="26"/>
  <c r="P81" i="26"/>
  <c r="P80" i="26"/>
  <c r="P79" i="26"/>
  <c r="P78" i="26"/>
  <c r="P77" i="26"/>
  <c r="P76" i="26"/>
  <c r="P75" i="26"/>
  <c r="P89" i="25"/>
  <c r="P88" i="25"/>
  <c r="P87" i="25"/>
  <c r="P86" i="25"/>
  <c r="P85" i="25"/>
  <c r="P84" i="25"/>
  <c r="P83" i="25"/>
  <c r="P82" i="25"/>
  <c r="P81" i="25"/>
  <c r="P80" i="25"/>
  <c r="P79" i="25"/>
  <c r="P78" i="25"/>
  <c r="P77" i="25"/>
  <c r="P76" i="25"/>
  <c r="P75" i="25"/>
  <c r="P89" i="24"/>
  <c r="P88" i="24"/>
  <c r="P87" i="24"/>
  <c r="P86" i="24"/>
  <c r="P85" i="24"/>
  <c r="P84" i="24"/>
  <c r="P83" i="24"/>
  <c r="P82" i="24"/>
  <c r="P81" i="24"/>
  <c r="P80" i="24"/>
  <c r="P79" i="24"/>
  <c r="P78" i="24"/>
  <c r="P77" i="24"/>
  <c r="P76" i="24"/>
  <c r="P75" i="24"/>
  <c r="P89" i="13"/>
  <c r="P88" i="13"/>
  <c r="P87" i="13"/>
  <c r="P86" i="13"/>
  <c r="P85" i="13"/>
  <c r="P84" i="13"/>
  <c r="P83" i="13"/>
  <c r="P82" i="13"/>
  <c r="P81" i="13"/>
  <c r="P80" i="13"/>
  <c r="P79" i="13"/>
  <c r="P78" i="13"/>
  <c r="P77" i="13"/>
  <c r="P76" i="13"/>
  <c r="P75" i="13"/>
  <c r="P89" i="22"/>
  <c r="P88" i="22"/>
  <c r="P87" i="22"/>
  <c r="P86" i="22"/>
  <c r="P85" i="22"/>
  <c r="P84" i="22"/>
  <c r="P83" i="22"/>
  <c r="P82" i="22"/>
  <c r="P81" i="22"/>
  <c r="P80" i="22"/>
  <c r="P79" i="22"/>
  <c r="P78" i="22"/>
  <c r="P77" i="22"/>
  <c r="P76" i="22"/>
  <c r="P75" i="22"/>
  <c r="P89" i="21"/>
  <c r="P88" i="21"/>
  <c r="P87" i="21"/>
  <c r="P86" i="21"/>
  <c r="P85" i="21"/>
  <c r="P84" i="21"/>
  <c r="P83" i="21"/>
  <c r="P82" i="21"/>
  <c r="P81" i="21"/>
  <c r="P80" i="21"/>
  <c r="P79" i="21"/>
  <c r="P78" i="21"/>
  <c r="P77" i="21"/>
  <c r="P76" i="21"/>
  <c r="P75" i="21"/>
  <c r="P89" i="20"/>
  <c r="P88" i="20"/>
  <c r="P87" i="20"/>
  <c r="P86" i="20"/>
  <c r="P85" i="20"/>
  <c r="P84" i="20"/>
  <c r="P83" i="20"/>
  <c r="P82" i="20"/>
  <c r="P81" i="20"/>
  <c r="P80" i="20"/>
  <c r="P79" i="20"/>
  <c r="P78" i="20"/>
  <c r="P77" i="20"/>
  <c r="P76" i="20"/>
  <c r="P75" i="20"/>
  <c r="P89" i="19"/>
  <c r="P88" i="19"/>
  <c r="P87" i="19"/>
  <c r="P86" i="19"/>
  <c r="P85" i="19"/>
  <c r="P84" i="19"/>
  <c r="P83" i="19"/>
  <c r="P82" i="19"/>
  <c r="P81" i="19"/>
  <c r="P80" i="19"/>
  <c r="P79" i="19"/>
  <c r="P78" i="19"/>
  <c r="P77" i="19"/>
  <c r="P76" i="19"/>
  <c r="P75" i="19"/>
  <c r="P89" i="12"/>
  <c r="P88" i="12"/>
  <c r="P87" i="12"/>
  <c r="P86" i="12"/>
  <c r="P85" i="12"/>
  <c r="P84" i="12"/>
  <c r="P83" i="12"/>
  <c r="P82" i="12"/>
  <c r="P81" i="12"/>
  <c r="P80" i="12"/>
  <c r="P79" i="12"/>
  <c r="P78" i="12"/>
  <c r="P77" i="12"/>
  <c r="P76" i="12"/>
  <c r="P75" i="12"/>
  <c r="P89" i="11"/>
  <c r="P88" i="11"/>
  <c r="P87" i="11"/>
  <c r="P86" i="11"/>
  <c r="P85" i="11"/>
  <c r="P84" i="11"/>
  <c r="P83" i="11"/>
  <c r="P82" i="11"/>
  <c r="P81" i="11"/>
  <c r="P80" i="11"/>
  <c r="P79" i="11"/>
  <c r="P78" i="11"/>
  <c r="P77" i="11"/>
  <c r="P76" i="11"/>
  <c r="P75" i="11"/>
  <c r="P89" i="10"/>
  <c r="P88" i="10"/>
  <c r="P87" i="10"/>
  <c r="P86" i="10"/>
  <c r="P85" i="10"/>
  <c r="P84" i="10"/>
  <c r="P83" i="10"/>
  <c r="P82" i="10"/>
  <c r="P81" i="10"/>
  <c r="P80" i="10"/>
  <c r="P79" i="10"/>
  <c r="P78" i="10"/>
  <c r="P77" i="10"/>
  <c r="P76" i="10"/>
  <c r="P75" i="10"/>
  <c r="P89" i="9"/>
  <c r="P88" i="9"/>
  <c r="P87" i="9"/>
  <c r="P86" i="9"/>
  <c r="P85" i="9"/>
  <c r="P84" i="9"/>
  <c r="P83" i="9"/>
  <c r="P82" i="9"/>
  <c r="P81" i="9"/>
  <c r="P80" i="9"/>
  <c r="P79" i="9"/>
  <c r="P78" i="9"/>
  <c r="P77" i="9"/>
  <c r="P76" i="9"/>
  <c r="P75" i="9"/>
  <c r="P89" i="8"/>
  <c r="P88" i="8"/>
  <c r="P87" i="8"/>
  <c r="P86" i="8"/>
  <c r="P85" i="8"/>
  <c r="P84" i="8"/>
  <c r="P83" i="8"/>
  <c r="P82" i="8"/>
  <c r="P81" i="8"/>
  <c r="P80" i="8"/>
  <c r="P79" i="8"/>
  <c r="P78" i="8"/>
  <c r="P77" i="8"/>
  <c r="P76" i="8"/>
  <c r="P75" i="8"/>
  <c r="P89" i="7"/>
  <c r="P88" i="7"/>
  <c r="P87" i="7"/>
  <c r="P86" i="7"/>
  <c r="P85" i="7"/>
  <c r="P84" i="7"/>
  <c r="P83" i="7"/>
  <c r="P82" i="7"/>
  <c r="P81" i="7"/>
  <c r="P80" i="7"/>
  <c r="P79" i="7"/>
  <c r="P78" i="7"/>
  <c r="P77" i="7"/>
  <c r="P76" i="7"/>
  <c r="P75" i="7"/>
  <c r="P89" i="6"/>
  <c r="P88" i="6"/>
  <c r="P87" i="6"/>
  <c r="P86" i="6"/>
  <c r="P85" i="6"/>
  <c r="P84" i="6"/>
  <c r="P83" i="6"/>
  <c r="P82" i="6"/>
  <c r="P81" i="6"/>
  <c r="P80" i="6"/>
  <c r="P79" i="6"/>
  <c r="P78" i="6"/>
  <c r="P77" i="6"/>
  <c r="P76" i="6"/>
  <c r="P75" i="6"/>
  <c r="P89" i="5"/>
  <c r="P88" i="5"/>
  <c r="P87" i="5"/>
  <c r="P86" i="5"/>
  <c r="P85" i="5"/>
  <c r="P84" i="5"/>
  <c r="P81" i="5"/>
  <c r="P80" i="5"/>
  <c r="P79" i="5"/>
  <c r="P78" i="5"/>
  <c r="P77" i="5"/>
  <c r="P76" i="5"/>
  <c r="P75" i="5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75" i="1"/>
  <c r="W31" i="17"/>
  <c r="T31" i="17"/>
  <c r="Q31" i="17"/>
  <c r="W30" i="17"/>
  <c r="T30" i="17"/>
  <c r="Q30" i="17"/>
  <c r="W29" i="17"/>
  <c r="T29" i="17"/>
  <c r="Q29" i="17"/>
  <c r="W28" i="17"/>
  <c r="T28" i="17"/>
  <c r="Q28" i="17"/>
  <c r="P28" i="17"/>
  <c r="W23" i="17"/>
  <c r="T23" i="17"/>
  <c r="Q23" i="17"/>
  <c r="W22" i="17"/>
  <c r="T22" i="17"/>
  <c r="Q22" i="17"/>
  <c r="W21" i="17"/>
  <c r="T21" i="17"/>
  <c r="Q21" i="17"/>
  <c r="W20" i="17"/>
  <c r="T20" i="17"/>
  <c r="Q20" i="17"/>
  <c r="W19" i="17"/>
  <c r="T19" i="17"/>
  <c r="Q19" i="17"/>
  <c r="W18" i="17"/>
  <c r="T18" i="17"/>
  <c r="Q18" i="17"/>
  <c r="W17" i="17"/>
  <c r="T17" i="17"/>
  <c r="Q17" i="17"/>
  <c r="W16" i="17"/>
  <c r="T16" i="17"/>
  <c r="Q16" i="17"/>
  <c r="W15" i="17"/>
  <c r="T15" i="17"/>
  <c r="Q15" i="17"/>
  <c r="W14" i="17"/>
  <c r="T14" i="17"/>
  <c r="Q14" i="17"/>
  <c r="W13" i="17"/>
  <c r="T13" i="17"/>
  <c r="Q13" i="17"/>
  <c r="W12" i="17"/>
  <c r="T12" i="17"/>
  <c r="Q12" i="17"/>
  <c r="W11" i="17"/>
  <c r="T11" i="17"/>
  <c r="Q11" i="17"/>
  <c r="W10" i="17"/>
  <c r="T10" i="17"/>
  <c r="Q10" i="17"/>
  <c r="W9" i="17"/>
  <c r="T9" i="17"/>
  <c r="Q9" i="17"/>
  <c r="W8" i="17"/>
  <c r="T8" i="17"/>
  <c r="Q8" i="17"/>
  <c r="W7" i="17"/>
  <c r="T7" i="17"/>
  <c r="Q7" i="17"/>
  <c r="W6" i="17"/>
  <c r="T6" i="17"/>
  <c r="Q6" i="17"/>
  <c r="W5" i="17"/>
  <c r="T5" i="17"/>
  <c r="Q5" i="17"/>
  <c r="W31" i="34"/>
  <c r="T31" i="34"/>
  <c r="Q31" i="34"/>
  <c r="W30" i="34"/>
  <c r="T30" i="34"/>
  <c r="Q30" i="34"/>
  <c r="W29" i="34"/>
  <c r="T29" i="34"/>
  <c r="Q29" i="34"/>
  <c r="W28" i="34"/>
  <c r="T28" i="34"/>
  <c r="Q28" i="34"/>
  <c r="P28" i="34"/>
  <c r="W23" i="34"/>
  <c r="T23" i="34"/>
  <c r="Q23" i="34"/>
  <c r="W22" i="34"/>
  <c r="T22" i="34"/>
  <c r="Q22" i="34"/>
  <c r="W21" i="34"/>
  <c r="T21" i="34"/>
  <c r="Q21" i="34"/>
  <c r="W20" i="34"/>
  <c r="T20" i="34"/>
  <c r="Q20" i="34"/>
  <c r="W19" i="34"/>
  <c r="T19" i="34"/>
  <c r="Q19" i="34"/>
  <c r="W18" i="34"/>
  <c r="T18" i="34"/>
  <c r="Q18" i="34"/>
  <c r="W17" i="34"/>
  <c r="T17" i="34"/>
  <c r="Q17" i="34"/>
  <c r="W16" i="34"/>
  <c r="T16" i="34"/>
  <c r="Q16" i="34"/>
  <c r="W15" i="34"/>
  <c r="T15" i="34"/>
  <c r="Q15" i="34"/>
  <c r="W14" i="34"/>
  <c r="T14" i="34"/>
  <c r="Q14" i="34"/>
  <c r="W13" i="34"/>
  <c r="T13" i="34"/>
  <c r="Q13" i="34"/>
  <c r="W12" i="34"/>
  <c r="T12" i="34"/>
  <c r="Q12" i="34"/>
  <c r="W11" i="34"/>
  <c r="T11" i="34"/>
  <c r="Q11" i="34"/>
  <c r="W10" i="34"/>
  <c r="T10" i="34"/>
  <c r="Q10" i="34"/>
  <c r="W9" i="34"/>
  <c r="T9" i="34"/>
  <c r="Q9" i="34"/>
  <c r="W8" i="34"/>
  <c r="T8" i="34"/>
  <c r="Q8" i="34"/>
  <c r="W7" i="34"/>
  <c r="T7" i="34"/>
  <c r="Q7" i="34"/>
  <c r="W6" i="34"/>
  <c r="T6" i="34"/>
  <c r="Q6" i="34"/>
  <c r="W5" i="34"/>
  <c r="T5" i="34"/>
  <c r="Q5" i="34"/>
  <c r="W31" i="33"/>
  <c r="T31" i="33"/>
  <c r="Q31" i="33"/>
  <c r="W30" i="33"/>
  <c r="T30" i="33"/>
  <c r="Q30" i="33"/>
  <c r="W29" i="33"/>
  <c r="T29" i="33"/>
  <c r="Q29" i="33"/>
  <c r="W28" i="33"/>
  <c r="T28" i="33"/>
  <c r="Q28" i="33"/>
  <c r="P28" i="33"/>
  <c r="W23" i="33"/>
  <c r="T23" i="33"/>
  <c r="Q23" i="33"/>
  <c r="W22" i="33"/>
  <c r="T22" i="33"/>
  <c r="Q22" i="33"/>
  <c r="W21" i="33"/>
  <c r="T21" i="33"/>
  <c r="Q21" i="33"/>
  <c r="W20" i="33"/>
  <c r="T20" i="33"/>
  <c r="Q20" i="33"/>
  <c r="W19" i="33"/>
  <c r="T19" i="33"/>
  <c r="Q19" i="33"/>
  <c r="W18" i="33"/>
  <c r="T18" i="33"/>
  <c r="Q18" i="33"/>
  <c r="W17" i="33"/>
  <c r="T17" i="33"/>
  <c r="Q17" i="33"/>
  <c r="W16" i="33"/>
  <c r="T16" i="33"/>
  <c r="Q16" i="33"/>
  <c r="W15" i="33"/>
  <c r="T15" i="33"/>
  <c r="Q15" i="33"/>
  <c r="W14" i="33"/>
  <c r="T14" i="33"/>
  <c r="Q14" i="33"/>
  <c r="W13" i="33"/>
  <c r="T13" i="33"/>
  <c r="Q13" i="33"/>
  <c r="W12" i="33"/>
  <c r="T12" i="33"/>
  <c r="Q12" i="33"/>
  <c r="W11" i="33"/>
  <c r="T11" i="33"/>
  <c r="Q11" i="33"/>
  <c r="W10" i="33"/>
  <c r="T10" i="33"/>
  <c r="Q10" i="33"/>
  <c r="W9" i="33"/>
  <c r="T9" i="33"/>
  <c r="Q9" i="33"/>
  <c r="W8" i="33"/>
  <c r="T8" i="33"/>
  <c r="Q8" i="33"/>
  <c r="W7" i="33"/>
  <c r="T7" i="33"/>
  <c r="Q7" i="33"/>
  <c r="W6" i="33"/>
  <c r="T6" i="33"/>
  <c r="Q6" i="33"/>
  <c r="W5" i="33"/>
  <c r="T5" i="33"/>
  <c r="Q5" i="33"/>
  <c r="W31" i="32"/>
  <c r="T31" i="32"/>
  <c r="Q31" i="32"/>
  <c r="W30" i="32"/>
  <c r="T30" i="32"/>
  <c r="Q30" i="32"/>
  <c r="W29" i="32"/>
  <c r="T29" i="32"/>
  <c r="Q29" i="32"/>
  <c r="W28" i="32"/>
  <c r="T28" i="32"/>
  <c r="Q28" i="32"/>
  <c r="P28" i="32"/>
  <c r="W23" i="32"/>
  <c r="T23" i="32"/>
  <c r="Q23" i="32"/>
  <c r="W22" i="32"/>
  <c r="T22" i="32"/>
  <c r="Q22" i="32"/>
  <c r="W21" i="32"/>
  <c r="T21" i="32"/>
  <c r="Q21" i="32"/>
  <c r="W20" i="32"/>
  <c r="T20" i="32"/>
  <c r="Q20" i="32"/>
  <c r="W19" i="32"/>
  <c r="T19" i="32"/>
  <c r="Q19" i="32"/>
  <c r="W18" i="32"/>
  <c r="T18" i="32"/>
  <c r="Q18" i="32"/>
  <c r="W17" i="32"/>
  <c r="T17" i="32"/>
  <c r="Q17" i="32"/>
  <c r="W16" i="32"/>
  <c r="T16" i="32"/>
  <c r="Q16" i="32"/>
  <c r="W15" i="32"/>
  <c r="T15" i="32"/>
  <c r="Q15" i="32"/>
  <c r="W14" i="32"/>
  <c r="T14" i="32"/>
  <c r="S14" i="32"/>
  <c r="Q14" i="32"/>
  <c r="W13" i="32"/>
  <c r="T13" i="32"/>
  <c r="Q13" i="32"/>
  <c r="W12" i="32"/>
  <c r="T12" i="32"/>
  <c r="Q12" i="32"/>
  <c r="W11" i="32"/>
  <c r="T11" i="32"/>
  <c r="Q11" i="32"/>
  <c r="W10" i="32"/>
  <c r="T10" i="32"/>
  <c r="Q10" i="32"/>
  <c r="W9" i="32"/>
  <c r="T9" i="32"/>
  <c r="Q9" i="32"/>
  <c r="W8" i="32"/>
  <c r="T8" i="32"/>
  <c r="Q8" i="32"/>
  <c r="W7" i="32"/>
  <c r="T7" i="32"/>
  <c r="Q7" i="32"/>
  <c r="W6" i="32"/>
  <c r="T6" i="32"/>
  <c r="Q6" i="32"/>
  <c r="W5" i="32"/>
  <c r="T5" i="32"/>
  <c r="Q5" i="32"/>
  <c r="W31" i="31"/>
  <c r="T31" i="31"/>
  <c r="Q31" i="31"/>
  <c r="W30" i="31"/>
  <c r="T30" i="31"/>
  <c r="Q30" i="31"/>
  <c r="W29" i="31"/>
  <c r="T29" i="31"/>
  <c r="Q29" i="31"/>
  <c r="W28" i="31"/>
  <c r="T28" i="31"/>
  <c r="Q28" i="31"/>
  <c r="P28" i="31"/>
  <c r="W23" i="31"/>
  <c r="T23" i="31"/>
  <c r="Q23" i="31"/>
  <c r="W22" i="31"/>
  <c r="T22" i="31"/>
  <c r="Q22" i="31"/>
  <c r="W21" i="31"/>
  <c r="T21" i="31"/>
  <c r="Q21" i="31"/>
  <c r="W20" i="31"/>
  <c r="T20" i="31"/>
  <c r="Q20" i="31"/>
  <c r="W19" i="31"/>
  <c r="T19" i="31"/>
  <c r="Q19" i="31"/>
  <c r="W18" i="31"/>
  <c r="T18" i="31"/>
  <c r="Q18" i="31"/>
  <c r="W17" i="31"/>
  <c r="T17" i="31"/>
  <c r="Q17" i="31"/>
  <c r="W16" i="31"/>
  <c r="T16" i="31"/>
  <c r="Q16" i="31"/>
  <c r="W15" i="31"/>
  <c r="T15" i="31"/>
  <c r="Q15" i="31"/>
  <c r="W14" i="31"/>
  <c r="T14" i="31"/>
  <c r="Q14" i="31"/>
  <c r="W13" i="31"/>
  <c r="T13" i="31"/>
  <c r="Q13" i="31"/>
  <c r="W12" i="31"/>
  <c r="T12" i="31"/>
  <c r="Q12" i="31"/>
  <c r="W11" i="31"/>
  <c r="T11" i="31"/>
  <c r="Q11" i="31"/>
  <c r="W10" i="31"/>
  <c r="T10" i="31"/>
  <c r="Q10" i="31"/>
  <c r="W9" i="31"/>
  <c r="T9" i="31"/>
  <c r="Q9" i="31"/>
  <c r="W8" i="31"/>
  <c r="T8" i="31"/>
  <c r="Q8" i="31"/>
  <c r="W7" i="31"/>
  <c r="T7" i="31"/>
  <c r="Q7" i="31"/>
  <c r="W6" i="31"/>
  <c r="T6" i="31"/>
  <c r="Q6" i="31"/>
  <c r="W5" i="31"/>
  <c r="T5" i="31"/>
  <c r="Q5" i="31"/>
  <c r="W31" i="16"/>
  <c r="T31" i="16"/>
  <c r="Q31" i="16"/>
  <c r="W30" i="16"/>
  <c r="T30" i="16"/>
  <c r="Q30" i="16"/>
  <c r="W29" i="16"/>
  <c r="T29" i="16"/>
  <c r="Q29" i="16"/>
  <c r="W28" i="16"/>
  <c r="T28" i="16"/>
  <c r="Q28" i="16"/>
  <c r="P28" i="16"/>
  <c r="W23" i="16"/>
  <c r="T23" i="16"/>
  <c r="Q23" i="16"/>
  <c r="W22" i="16"/>
  <c r="T22" i="16"/>
  <c r="Q22" i="16"/>
  <c r="W21" i="16"/>
  <c r="T21" i="16"/>
  <c r="Q21" i="16"/>
  <c r="W20" i="16"/>
  <c r="T20" i="16"/>
  <c r="Q20" i="16"/>
  <c r="W19" i="16"/>
  <c r="T19" i="16"/>
  <c r="Q19" i="16"/>
  <c r="W18" i="16"/>
  <c r="T18" i="16"/>
  <c r="Q18" i="16"/>
  <c r="W17" i="16"/>
  <c r="T17" i="16"/>
  <c r="Q17" i="16"/>
  <c r="W16" i="16"/>
  <c r="T16" i="16"/>
  <c r="Q16" i="16"/>
  <c r="W15" i="16"/>
  <c r="T15" i="16"/>
  <c r="Q15" i="16"/>
  <c r="W14" i="16"/>
  <c r="T14" i="16"/>
  <c r="Q14" i="16"/>
  <c r="W13" i="16"/>
  <c r="T13" i="16"/>
  <c r="Q13" i="16"/>
  <c r="W12" i="16"/>
  <c r="T12" i="16"/>
  <c r="Q12" i="16"/>
  <c r="W11" i="16"/>
  <c r="T11" i="16"/>
  <c r="Q11" i="16"/>
  <c r="W10" i="16"/>
  <c r="T10" i="16"/>
  <c r="Q10" i="16"/>
  <c r="W9" i="16"/>
  <c r="T9" i="16"/>
  <c r="Q9" i="16"/>
  <c r="W8" i="16"/>
  <c r="T8" i="16"/>
  <c r="Q8" i="16"/>
  <c r="W7" i="16"/>
  <c r="T7" i="16"/>
  <c r="Q7" i="16"/>
  <c r="W6" i="16"/>
  <c r="T6" i="16"/>
  <c r="Q6" i="16"/>
  <c r="W5" i="16"/>
  <c r="T5" i="16"/>
  <c r="Q5" i="16"/>
  <c r="W31" i="30"/>
  <c r="T31" i="30"/>
  <c r="Q31" i="30"/>
  <c r="W30" i="30"/>
  <c r="T30" i="30"/>
  <c r="Q30" i="30"/>
  <c r="W29" i="30"/>
  <c r="T29" i="30"/>
  <c r="Q29" i="30"/>
  <c r="W28" i="30"/>
  <c r="T28" i="30"/>
  <c r="Q28" i="30"/>
  <c r="P28" i="30"/>
  <c r="W23" i="30"/>
  <c r="T23" i="30"/>
  <c r="Q23" i="30"/>
  <c r="W22" i="30"/>
  <c r="T22" i="30"/>
  <c r="Q22" i="30"/>
  <c r="W21" i="30"/>
  <c r="T21" i="30"/>
  <c r="Q21" i="30"/>
  <c r="W20" i="30"/>
  <c r="T20" i="30"/>
  <c r="Q20" i="30"/>
  <c r="W19" i="30"/>
  <c r="T19" i="30"/>
  <c r="Q19" i="30"/>
  <c r="W18" i="30"/>
  <c r="T18" i="30"/>
  <c r="Q18" i="30"/>
  <c r="W17" i="30"/>
  <c r="T17" i="30"/>
  <c r="Q17" i="30"/>
  <c r="W16" i="30"/>
  <c r="T16" i="30"/>
  <c r="Q16" i="30"/>
  <c r="W15" i="30"/>
  <c r="T15" i="30"/>
  <c r="Q15" i="30"/>
  <c r="W14" i="30"/>
  <c r="T14" i="30"/>
  <c r="Q14" i="30"/>
  <c r="W13" i="30"/>
  <c r="T13" i="30"/>
  <c r="Q13" i="30"/>
  <c r="W12" i="30"/>
  <c r="T12" i="30"/>
  <c r="Q12" i="30"/>
  <c r="W11" i="30"/>
  <c r="T11" i="30"/>
  <c r="Q11" i="30"/>
  <c r="W10" i="30"/>
  <c r="T10" i="30"/>
  <c r="Q10" i="30"/>
  <c r="W9" i="30"/>
  <c r="T9" i="30"/>
  <c r="Q9" i="30"/>
  <c r="W8" i="30"/>
  <c r="T8" i="30"/>
  <c r="Q8" i="30"/>
  <c r="W7" i="30"/>
  <c r="T7" i="30"/>
  <c r="Q7" i="30"/>
  <c r="W6" i="30"/>
  <c r="T6" i="30"/>
  <c r="Q6" i="30"/>
  <c r="W5" i="30"/>
  <c r="T5" i="30"/>
  <c r="Q5" i="30"/>
  <c r="W31" i="29"/>
  <c r="T31" i="29"/>
  <c r="Q31" i="29"/>
  <c r="W30" i="29"/>
  <c r="T30" i="29"/>
  <c r="Q30" i="29"/>
  <c r="W29" i="29"/>
  <c r="T29" i="29"/>
  <c r="Q29" i="29"/>
  <c r="W28" i="29"/>
  <c r="T28" i="29"/>
  <c r="Q28" i="29"/>
  <c r="P28" i="29"/>
  <c r="W23" i="29"/>
  <c r="T23" i="29"/>
  <c r="Q23" i="29"/>
  <c r="W22" i="29"/>
  <c r="T22" i="29"/>
  <c r="Q22" i="29"/>
  <c r="W21" i="29"/>
  <c r="T21" i="29"/>
  <c r="Q21" i="29"/>
  <c r="W20" i="29"/>
  <c r="T20" i="29"/>
  <c r="Q20" i="29"/>
  <c r="W19" i="29"/>
  <c r="T19" i="29"/>
  <c r="Q19" i="29"/>
  <c r="W18" i="29"/>
  <c r="T18" i="29"/>
  <c r="Q18" i="29"/>
  <c r="W17" i="29"/>
  <c r="T17" i="29"/>
  <c r="Q17" i="29"/>
  <c r="W16" i="29"/>
  <c r="T16" i="29"/>
  <c r="Q16" i="29"/>
  <c r="W15" i="29"/>
  <c r="T15" i="29"/>
  <c r="Q15" i="29"/>
  <c r="W14" i="29"/>
  <c r="T14" i="29"/>
  <c r="Q14" i="29"/>
  <c r="W13" i="29"/>
  <c r="T13" i="29"/>
  <c r="Q13" i="29"/>
  <c r="W12" i="29"/>
  <c r="T12" i="29"/>
  <c r="Q12" i="29"/>
  <c r="W11" i="29"/>
  <c r="T11" i="29"/>
  <c r="Q11" i="29"/>
  <c r="W10" i="29"/>
  <c r="T10" i="29"/>
  <c r="Q10" i="29"/>
  <c r="W9" i="29"/>
  <c r="T9" i="29"/>
  <c r="Q9" i="29"/>
  <c r="W8" i="29"/>
  <c r="T8" i="29"/>
  <c r="Q8" i="29"/>
  <c r="W7" i="29"/>
  <c r="V7" i="29"/>
  <c r="T7" i="29"/>
  <c r="Q7" i="29"/>
  <c r="W6" i="29"/>
  <c r="T6" i="29"/>
  <c r="Q6" i="29"/>
  <c r="W5" i="29"/>
  <c r="T5" i="29"/>
  <c r="Q5" i="29"/>
  <c r="W31" i="28"/>
  <c r="T31" i="28"/>
  <c r="Q31" i="28"/>
  <c r="W30" i="28"/>
  <c r="T30" i="28"/>
  <c r="Q30" i="28"/>
  <c r="W29" i="28"/>
  <c r="T29" i="28"/>
  <c r="Q29" i="28"/>
  <c r="W28" i="28"/>
  <c r="T28" i="28"/>
  <c r="Q28" i="28"/>
  <c r="P28" i="28"/>
  <c r="W23" i="28"/>
  <c r="T23" i="28"/>
  <c r="Q23" i="28"/>
  <c r="W22" i="28"/>
  <c r="T22" i="28"/>
  <c r="Q22" i="28"/>
  <c r="W21" i="28"/>
  <c r="T21" i="28"/>
  <c r="Q21" i="28"/>
  <c r="W20" i="28"/>
  <c r="T20" i="28"/>
  <c r="Q20" i="28"/>
  <c r="W19" i="28"/>
  <c r="T19" i="28"/>
  <c r="Q19" i="28"/>
  <c r="W18" i="28"/>
  <c r="T18" i="28"/>
  <c r="Q18" i="28"/>
  <c r="W17" i="28"/>
  <c r="T17" i="28"/>
  <c r="Q17" i="28"/>
  <c r="W16" i="28"/>
  <c r="T16" i="28"/>
  <c r="Q16" i="28"/>
  <c r="W15" i="28"/>
  <c r="T15" i="28"/>
  <c r="Q15" i="28"/>
  <c r="W14" i="28"/>
  <c r="T14" i="28"/>
  <c r="Q14" i="28"/>
  <c r="W13" i="28"/>
  <c r="T13" i="28"/>
  <c r="Q13" i="28"/>
  <c r="W12" i="28"/>
  <c r="T12" i="28"/>
  <c r="Q12" i="28"/>
  <c r="W11" i="28"/>
  <c r="T11" i="28"/>
  <c r="Q11" i="28"/>
  <c r="W10" i="28"/>
  <c r="T10" i="28"/>
  <c r="Q10" i="28"/>
  <c r="W9" i="28"/>
  <c r="T9" i="28"/>
  <c r="Q9" i="28"/>
  <c r="W8" i="28"/>
  <c r="T8" i="28"/>
  <c r="Q8" i="28"/>
  <c r="W7" i="28"/>
  <c r="T7" i="28"/>
  <c r="Q7" i="28"/>
  <c r="W6" i="28"/>
  <c r="T6" i="28"/>
  <c r="Q6" i="28"/>
  <c r="W5" i="28"/>
  <c r="T5" i="28"/>
  <c r="Q5" i="28"/>
  <c r="W31" i="23"/>
  <c r="T31" i="23"/>
  <c r="Q31" i="23"/>
  <c r="W30" i="23"/>
  <c r="T30" i="23"/>
  <c r="Q30" i="23"/>
  <c r="W29" i="23"/>
  <c r="T29" i="23"/>
  <c r="Q29" i="23"/>
  <c r="W28" i="23"/>
  <c r="T28" i="23"/>
  <c r="Q28" i="23"/>
  <c r="P28" i="23"/>
  <c r="W23" i="23"/>
  <c r="T23" i="23"/>
  <c r="Q23" i="23"/>
  <c r="W22" i="23"/>
  <c r="T22" i="23"/>
  <c r="Q22" i="23"/>
  <c r="W21" i="23"/>
  <c r="T21" i="23"/>
  <c r="Q21" i="23"/>
  <c r="W20" i="23"/>
  <c r="T20" i="23"/>
  <c r="Q20" i="23"/>
  <c r="W19" i="23"/>
  <c r="T19" i="23"/>
  <c r="Q19" i="23"/>
  <c r="W18" i="23"/>
  <c r="T18" i="23"/>
  <c r="Q18" i="23"/>
  <c r="W17" i="23"/>
  <c r="T17" i="23"/>
  <c r="Q17" i="23"/>
  <c r="W16" i="23"/>
  <c r="T16" i="23"/>
  <c r="Q16" i="23"/>
  <c r="W15" i="23"/>
  <c r="T15" i="23"/>
  <c r="Q15" i="23"/>
  <c r="W14" i="23"/>
  <c r="T14" i="23"/>
  <c r="Q14" i="23"/>
  <c r="W13" i="23"/>
  <c r="T13" i="23"/>
  <c r="Q13" i="23"/>
  <c r="W12" i="23"/>
  <c r="T12" i="23"/>
  <c r="Q12" i="23"/>
  <c r="W11" i="23"/>
  <c r="T11" i="23"/>
  <c r="Q11" i="23"/>
  <c r="W10" i="23"/>
  <c r="T10" i="23"/>
  <c r="Q10" i="23"/>
  <c r="W9" i="23"/>
  <c r="T9" i="23"/>
  <c r="Q9" i="23"/>
  <c r="W8" i="23"/>
  <c r="T8" i="23"/>
  <c r="Q8" i="23"/>
  <c r="W7" i="23"/>
  <c r="T7" i="23"/>
  <c r="Q7" i="23"/>
  <c r="W6" i="23"/>
  <c r="T6" i="23"/>
  <c r="Q6" i="23"/>
  <c r="W5" i="23"/>
  <c r="T5" i="23"/>
  <c r="Q5" i="23"/>
  <c r="W31" i="15"/>
  <c r="T31" i="15"/>
  <c r="Q31" i="15"/>
  <c r="W30" i="15"/>
  <c r="T30" i="15"/>
  <c r="Q30" i="15"/>
  <c r="W29" i="15"/>
  <c r="T29" i="15"/>
  <c r="Q29" i="15"/>
  <c r="W28" i="15"/>
  <c r="T28" i="15"/>
  <c r="Q28" i="15"/>
  <c r="P28" i="15"/>
  <c r="W23" i="15"/>
  <c r="T23" i="15"/>
  <c r="Q23" i="15"/>
  <c r="W22" i="15"/>
  <c r="T22" i="15"/>
  <c r="Q22" i="15"/>
  <c r="W21" i="15"/>
  <c r="T21" i="15"/>
  <c r="Q21" i="15"/>
  <c r="W20" i="15"/>
  <c r="T20" i="15"/>
  <c r="Q20" i="15"/>
  <c r="W19" i="15"/>
  <c r="T19" i="15"/>
  <c r="Q19" i="15"/>
  <c r="W18" i="15"/>
  <c r="T18" i="15"/>
  <c r="Q18" i="15"/>
  <c r="W17" i="15"/>
  <c r="T17" i="15"/>
  <c r="Q17" i="15"/>
  <c r="W16" i="15"/>
  <c r="T16" i="15"/>
  <c r="Q16" i="15"/>
  <c r="W15" i="15"/>
  <c r="T15" i="15"/>
  <c r="Q15" i="15"/>
  <c r="W14" i="15"/>
  <c r="T14" i="15"/>
  <c r="Q14" i="15"/>
  <c r="W13" i="15"/>
  <c r="T13" i="15"/>
  <c r="Q13" i="15"/>
  <c r="W12" i="15"/>
  <c r="T12" i="15"/>
  <c r="Q12" i="15"/>
  <c r="W11" i="15"/>
  <c r="T11" i="15"/>
  <c r="Q11" i="15"/>
  <c r="W10" i="15"/>
  <c r="T10" i="15"/>
  <c r="Q10" i="15"/>
  <c r="W9" i="15"/>
  <c r="T9" i="15"/>
  <c r="Q9" i="15"/>
  <c r="W8" i="15"/>
  <c r="T8" i="15"/>
  <c r="Q8" i="15"/>
  <c r="W7" i="15"/>
  <c r="T7" i="15"/>
  <c r="Q7" i="15"/>
  <c r="W6" i="15"/>
  <c r="T6" i="15"/>
  <c r="Q6" i="15"/>
  <c r="W5" i="15"/>
  <c r="T5" i="15"/>
  <c r="Q5" i="15"/>
  <c r="W31" i="27"/>
  <c r="T31" i="27"/>
  <c r="Q31" i="27"/>
  <c r="W30" i="27"/>
  <c r="T30" i="27"/>
  <c r="Q30" i="27"/>
  <c r="W29" i="27"/>
  <c r="T29" i="27"/>
  <c r="Q29" i="27"/>
  <c r="W28" i="27"/>
  <c r="T28" i="27"/>
  <c r="Q28" i="27"/>
  <c r="P28" i="27"/>
  <c r="W23" i="27"/>
  <c r="T23" i="27"/>
  <c r="Q23" i="27"/>
  <c r="W22" i="27"/>
  <c r="T22" i="27"/>
  <c r="Q22" i="27"/>
  <c r="W21" i="27"/>
  <c r="T21" i="27"/>
  <c r="Q21" i="27"/>
  <c r="W20" i="27"/>
  <c r="T20" i="27"/>
  <c r="Q20" i="27"/>
  <c r="W19" i="27"/>
  <c r="T19" i="27"/>
  <c r="Q19" i="27"/>
  <c r="W18" i="27"/>
  <c r="T18" i="27"/>
  <c r="Q18" i="27"/>
  <c r="W17" i="27"/>
  <c r="T17" i="27"/>
  <c r="Q17" i="27"/>
  <c r="W16" i="27"/>
  <c r="T16" i="27"/>
  <c r="Q16" i="27"/>
  <c r="W15" i="27"/>
  <c r="T15" i="27"/>
  <c r="Q15" i="27"/>
  <c r="W14" i="27"/>
  <c r="T14" i="27"/>
  <c r="Q14" i="27"/>
  <c r="W13" i="27"/>
  <c r="T13" i="27"/>
  <c r="Q13" i="27"/>
  <c r="W12" i="27"/>
  <c r="T12" i="27"/>
  <c r="Q12" i="27"/>
  <c r="W11" i="27"/>
  <c r="T11" i="27"/>
  <c r="Q11" i="27"/>
  <c r="W10" i="27"/>
  <c r="T10" i="27"/>
  <c r="Q10" i="27"/>
  <c r="W9" i="27"/>
  <c r="T9" i="27"/>
  <c r="Q9" i="27"/>
  <c r="W8" i="27"/>
  <c r="T8" i="27"/>
  <c r="Q8" i="27"/>
  <c r="W7" i="27"/>
  <c r="T7" i="27"/>
  <c r="Q7" i="27"/>
  <c r="W6" i="27"/>
  <c r="T6" i="27"/>
  <c r="Q6" i="27"/>
  <c r="W5" i="27"/>
  <c r="T5" i="27"/>
  <c r="Q5" i="27"/>
  <c r="W31" i="26"/>
  <c r="T31" i="26"/>
  <c r="Q31" i="26"/>
  <c r="W30" i="26"/>
  <c r="T30" i="26"/>
  <c r="Q30" i="26"/>
  <c r="W29" i="26"/>
  <c r="T29" i="26"/>
  <c r="Q29" i="26"/>
  <c r="W28" i="26"/>
  <c r="T28" i="26"/>
  <c r="Q28" i="26"/>
  <c r="P28" i="26"/>
  <c r="W23" i="26"/>
  <c r="T23" i="26"/>
  <c r="Q23" i="26"/>
  <c r="W22" i="26"/>
  <c r="T22" i="26"/>
  <c r="Q22" i="26"/>
  <c r="W21" i="26"/>
  <c r="T21" i="26"/>
  <c r="Q21" i="26"/>
  <c r="W20" i="26"/>
  <c r="T20" i="26"/>
  <c r="Q20" i="26"/>
  <c r="W19" i="26"/>
  <c r="T19" i="26"/>
  <c r="Q19" i="26"/>
  <c r="W18" i="26"/>
  <c r="T18" i="26"/>
  <c r="Q18" i="26"/>
  <c r="W17" i="26"/>
  <c r="T17" i="26"/>
  <c r="Q17" i="26"/>
  <c r="W16" i="26"/>
  <c r="T16" i="26"/>
  <c r="Q16" i="26"/>
  <c r="W15" i="26"/>
  <c r="T15" i="26"/>
  <c r="Q15" i="26"/>
  <c r="W14" i="26"/>
  <c r="T14" i="26"/>
  <c r="Q14" i="26"/>
  <c r="W13" i="26"/>
  <c r="T13" i="26"/>
  <c r="Q13" i="26"/>
  <c r="W12" i="26"/>
  <c r="T12" i="26"/>
  <c r="Q12" i="26"/>
  <c r="W11" i="26"/>
  <c r="T11" i="26"/>
  <c r="Q11" i="26"/>
  <c r="W10" i="26"/>
  <c r="T10" i="26"/>
  <c r="Q10" i="26"/>
  <c r="W9" i="26"/>
  <c r="T9" i="26"/>
  <c r="Q9" i="26"/>
  <c r="W8" i="26"/>
  <c r="T8" i="26"/>
  <c r="Q8" i="26"/>
  <c r="W7" i="26"/>
  <c r="V7" i="26"/>
  <c r="T7" i="26"/>
  <c r="Q7" i="26"/>
  <c r="W6" i="26"/>
  <c r="T6" i="26"/>
  <c r="Q6" i="26"/>
  <c r="W5" i="26"/>
  <c r="T5" i="26"/>
  <c r="Q5" i="26"/>
  <c r="W31" i="25"/>
  <c r="T31" i="25"/>
  <c r="Q31" i="25"/>
  <c r="W30" i="25"/>
  <c r="T30" i="25"/>
  <c r="Q30" i="25"/>
  <c r="W29" i="25"/>
  <c r="T29" i="25"/>
  <c r="Q29" i="25"/>
  <c r="W28" i="25"/>
  <c r="T28" i="25"/>
  <c r="R28" i="25"/>
  <c r="Q28" i="25"/>
  <c r="P28" i="25"/>
  <c r="W23" i="25"/>
  <c r="V23" i="25"/>
  <c r="T23" i="25"/>
  <c r="Q23" i="25"/>
  <c r="W22" i="25"/>
  <c r="T22" i="25"/>
  <c r="Q22" i="25"/>
  <c r="W21" i="25"/>
  <c r="T21" i="25"/>
  <c r="Q21" i="25"/>
  <c r="W20" i="25"/>
  <c r="T20" i="25"/>
  <c r="Q20" i="25"/>
  <c r="W19" i="25"/>
  <c r="T19" i="25"/>
  <c r="Q19" i="25"/>
  <c r="W18" i="25"/>
  <c r="T18" i="25"/>
  <c r="Q18" i="25"/>
  <c r="W17" i="25"/>
  <c r="T17" i="25"/>
  <c r="Q17" i="25"/>
  <c r="W16" i="25"/>
  <c r="T16" i="25"/>
  <c r="Q16" i="25"/>
  <c r="W15" i="25"/>
  <c r="T15" i="25"/>
  <c r="Q15" i="25"/>
  <c r="W14" i="25"/>
  <c r="T14" i="25"/>
  <c r="Q14" i="25"/>
  <c r="W13" i="25"/>
  <c r="T13" i="25"/>
  <c r="Q13" i="25"/>
  <c r="W12" i="25"/>
  <c r="T12" i="25"/>
  <c r="Q12" i="25"/>
  <c r="W11" i="25"/>
  <c r="T11" i="25"/>
  <c r="Q11" i="25"/>
  <c r="W10" i="25"/>
  <c r="T10" i="25"/>
  <c r="Q10" i="25"/>
  <c r="W9" i="25"/>
  <c r="T9" i="25"/>
  <c r="Q9" i="25"/>
  <c r="W8" i="25"/>
  <c r="T8" i="25"/>
  <c r="Q8" i="25"/>
  <c r="W7" i="25"/>
  <c r="T7" i="25"/>
  <c r="Q7" i="25"/>
  <c r="W6" i="25"/>
  <c r="T6" i="25"/>
  <c r="Q6" i="25"/>
  <c r="W5" i="25"/>
  <c r="T5" i="25"/>
  <c r="Q5" i="25"/>
  <c r="W31" i="24"/>
  <c r="T31" i="24"/>
  <c r="Q31" i="24"/>
  <c r="W30" i="24"/>
  <c r="T30" i="24"/>
  <c r="Q30" i="24"/>
  <c r="W29" i="24"/>
  <c r="T29" i="24"/>
  <c r="Q29" i="24"/>
  <c r="W28" i="24"/>
  <c r="T28" i="24"/>
  <c r="Q28" i="24"/>
  <c r="P28" i="24"/>
  <c r="W23" i="24"/>
  <c r="T23" i="24"/>
  <c r="Q23" i="24"/>
  <c r="W22" i="24"/>
  <c r="T22" i="24"/>
  <c r="Q22" i="24"/>
  <c r="W21" i="24"/>
  <c r="T21" i="24"/>
  <c r="Q21" i="24"/>
  <c r="W20" i="24"/>
  <c r="T20" i="24"/>
  <c r="Q20" i="24"/>
  <c r="W19" i="24"/>
  <c r="T19" i="24"/>
  <c r="Q19" i="24"/>
  <c r="W18" i="24"/>
  <c r="T18" i="24"/>
  <c r="Q18" i="24"/>
  <c r="W17" i="24"/>
  <c r="T17" i="24"/>
  <c r="Q17" i="24"/>
  <c r="W16" i="24"/>
  <c r="T16" i="24"/>
  <c r="Q16" i="24"/>
  <c r="W15" i="24"/>
  <c r="T15" i="24"/>
  <c r="Q15" i="24"/>
  <c r="W14" i="24"/>
  <c r="T14" i="24"/>
  <c r="Q14" i="24"/>
  <c r="W13" i="24"/>
  <c r="T13" i="24"/>
  <c r="Q13" i="24"/>
  <c r="W12" i="24"/>
  <c r="T12" i="24"/>
  <c r="Q12" i="24"/>
  <c r="W11" i="24"/>
  <c r="T11" i="24"/>
  <c r="Q11" i="24"/>
  <c r="W10" i="24"/>
  <c r="T10" i="24"/>
  <c r="Q10" i="24"/>
  <c r="W9" i="24"/>
  <c r="T9" i="24"/>
  <c r="Q9" i="24"/>
  <c r="W8" i="24"/>
  <c r="T8" i="24"/>
  <c r="Q8" i="24"/>
  <c r="W7" i="24"/>
  <c r="T7" i="24"/>
  <c r="Q7" i="24"/>
  <c r="W6" i="24"/>
  <c r="T6" i="24"/>
  <c r="Q6" i="24"/>
  <c r="W5" i="24"/>
  <c r="T5" i="24"/>
  <c r="Q5" i="24"/>
  <c r="W31" i="13"/>
  <c r="T31" i="13"/>
  <c r="Q31" i="13"/>
  <c r="W30" i="13"/>
  <c r="T30" i="13"/>
  <c r="Q30" i="13"/>
  <c r="W29" i="13"/>
  <c r="T29" i="13"/>
  <c r="Q29" i="13"/>
  <c r="W28" i="13"/>
  <c r="T28" i="13"/>
  <c r="Q28" i="13"/>
  <c r="P28" i="13"/>
  <c r="W23" i="13"/>
  <c r="T23" i="13"/>
  <c r="Q23" i="13"/>
  <c r="W22" i="13"/>
  <c r="T22" i="13"/>
  <c r="Q22" i="13"/>
  <c r="W21" i="13"/>
  <c r="T21" i="13"/>
  <c r="Q21" i="13"/>
  <c r="W20" i="13"/>
  <c r="T20" i="13"/>
  <c r="Q20" i="13"/>
  <c r="W19" i="13"/>
  <c r="T19" i="13"/>
  <c r="Q19" i="13"/>
  <c r="W18" i="13"/>
  <c r="T18" i="13"/>
  <c r="Q18" i="13"/>
  <c r="W17" i="13"/>
  <c r="T17" i="13"/>
  <c r="Q17" i="13"/>
  <c r="W16" i="13"/>
  <c r="T16" i="13"/>
  <c r="Q16" i="13"/>
  <c r="W15" i="13"/>
  <c r="T15" i="13"/>
  <c r="Q15" i="13"/>
  <c r="W14" i="13"/>
  <c r="T14" i="13"/>
  <c r="Q14" i="13"/>
  <c r="W13" i="13"/>
  <c r="T13" i="13"/>
  <c r="Q13" i="13"/>
  <c r="W12" i="13"/>
  <c r="T12" i="13"/>
  <c r="Q12" i="13"/>
  <c r="W11" i="13"/>
  <c r="T11" i="13"/>
  <c r="Q11" i="13"/>
  <c r="W10" i="13"/>
  <c r="T10" i="13"/>
  <c r="R10" i="13"/>
  <c r="Q10" i="13"/>
  <c r="W9" i="13"/>
  <c r="T9" i="13"/>
  <c r="Q9" i="13"/>
  <c r="W8" i="13"/>
  <c r="T8" i="13"/>
  <c r="Q8" i="13"/>
  <c r="W7" i="13"/>
  <c r="T7" i="13"/>
  <c r="Q7" i="13"/>
  <c r="W6" i="13"/>
  <c r="T6" i="13"/>
  <c r="Q6" i="13"/>
  <c r="W5" i="13"/>
  <c r="T5" i="13"/>
  <c r="Q5" i="13"/>
  <c r="W31" i="22"/>
  <c r="T31" i="22"/>
  <c r="Q31" i="22"/>
  <c r="W30" i="22"/>
  <c r="T30" i="22"/>
  <c r="Q30" i="22"/>
  <c r="W29" i="22"/>
  <c r="T29" i="22"/>
  <c r="Q29" i="22"/>
  <c r="W28" i="22"/>
  <c r="T28" i="22"/>
  <c r="Q28" i="22"/>
  <c r="P28" i="22"/>
  <c r="W23" i="22"/>
  <c r="T23" i="22"/>
  <c r="Q23" i="22"/>
  <c r="W22" i="22"/>
  <c r="T22" i="22"/>
  <c r="Q22" i="22"/>
  <c r="W21" i="22"/>
  <c r="T21" i="22"/>
  <c r="Q21" i="22"/>
  <c r="W20" i="22"/>
  <c r="T20" i="22"/>
  <c r="Q20" i="22"/>
  <c r="W19" i="22"/>
  <c r="T19" i="22"/>
  <c r="Q19" i="22"/>
  <c r="W18" i="22"/>
  <c r="T18" i="22"/>
  <c r="Q18" i="22"/>
  <c r="W17" i="22"/>
  <c r="T17" i="22"/>
  <c r="Q17" i="22"/>
  <c r="W16" i="22"/>
  <c r="T16" i="22"/>
  <c r="Q16" i="22"/>
  <c r="W15" i="22"/>
  <c r="T15" i="22"/>
  <c r="Q15" i="22"/>
  <c r="W14" i="22"/>
  <c r="T14" i="22"/>
  <c r="Q14" i="22"/>
  <c r="W13" i="22"/>
  <c r="T13" i="22"/>
  <c r="Q13" i="22"/>
  <c r="W12" i="22"/>
  <c r="T12" i="22"/>
  <c r="Q12" i="22"/>
  <c r="W11" i="22"/>
  <c r="T11" i="22"/>
  <c r="Q11" i="22"/>
  <c r="W10" i="22"/>
  <c r="T10" i="22"/>
  <c r="Q10" i="22"/>
  <c r="W9" i="22"/>
  <c r="T9" i="22"/>
  <c r="Q9" i="22"/>
  <c r="W8" i="22"/>
  <c r="T8" i="22"/>
  <c r="Q8" i="22"/>
  <c r="W7" i="22"/>
  <c r="T7" i="22"/>
  <c r="Q7" i="22"/>
  <c r="W6" i="22"/>
  <c r="T6" i="22"/>
  <c r="Q6" i="22"/>
  <c r="W5" i="22"/>
  <c r="T5" i="22"/>
  <c r="Q5" i="22"/>
  <c r="W31" i="21"/>
  <c r="T31" i="21"/>
  <c r="Q31" i="21"/>
  <c r="W30" i="21"/>
  <c r="T30" i="21"/>
  <c r="Q30" i="21"/>
  <c r="W29" i="21"/>
  <c r="T29" i="21"/>
  <c r="Q29" i="21"/>
  <c r="W28" i="21"/>
  <c r="T28" i="21"/>
  <c r="Q28" i="21"/>
  <c r="P28" i="21"/>
  <c r="W23" i="21"/>
  <c r="T23" i="21"/>
  <c r="Q23" i="21"/>
  <c r="W22" i="21"/>
  <c r="T22" i="21"/>
  <c r="Q22" i="21"/>
  <c r="W21" i="21"/>
  <c r="T21" i="21"/>
  <c r="Q21" i="21"/>
  <c r="W20" i="21"/>
  <c r="T20" i="21"/>
  <c r="Q20" i="21"/>
  <c r="W19" i="21"/>
  <c r="T19" i="21"/>
  <c r="Q19" i="21"/>
  <c r="W18" i="21"/>
  <c r="T18" i="21"/>
  <c r="Q18" i="21"/>
  <c r="W17" i="21"/>
  <c r="T17" i="21"/>
  <c r="Q17" i="21"/>
  <c r="W16" i="21"/>
  <c r="T16" i="21"/>
  <c r="Q16" i="21"/>
  <c r="W15" i="21"/>
  <c r="V15" i="21"/>
  <c r="T15" i="21"/>
  <c r="Q15" i="21"/>
  <c r="W14" i="21"/>
  <c r="T14" i="21"/>
  <c r="Q14" i="21"/>
  <c r="W13" i="21"/>
  <c r="T13" i="21"/>
  <c r="Q13" i="21"/>
  <c r="W12" i="21"/>
  <c r="T12" i="21"/>
  <c r="Q12" i="21"/>
  <c r="W11" i="21"/>
  <c r="T11" i="21"/>
  <c r="Q11" i="21"/>
  <c r="W10" i="21"/>
  <c r="T10" i="21"/>
  <c r="Q10" i="21"/>
  <c r="W9" i="21"/>
  <c r="T9" i="21"/>
  <c r="Q9" i="21"/>
  <c r="W8" i="21"/>
  <c r="T8" i="21"/>
  <c r="Q8" i="21"/>
  <c r="W7" i="21"/>
  <c r="T7" i="21"/>
  <c r="Q7" i="21"/>
  <c r="W6" i="21"/>
  <c r="T6" i="21"/>
  <c r="Q6" i="21"/>
  <c r="W5" i="21"/>
  <c r="T5" i="21"/>
  <c r="Q5" i="21"/>
  <c r="W31" i="20"/>
  <c r="T31" i="20"/>
  <c r="Q31" i="20"/>
  <c r="W30" i="20"/>
  <c r="T30" i="20"/>
  <c r="Q30" i="20"/>
  <c r="W29" i="20"/>
  <c r="T29" i="20"/>
  <c r="Q29" i="20"/>
  <c r="W28" i="20"/>
  <c r="T28" i="20"/>
  <c r="Q28" i="20"/>
  <c r="P28" i="20"/>
  <c r="W23" i="20"/>
  <c r="T23" i="20"/>
  <c r="Q23" i="20"/>
  <c r="W22" i="20"/>
  <c r="T22" i="20"/>
  <c r="Q22" i="20"/>
  <c r="W21" i="20"/>
  <c r="T21" i="20"/>
  <c r="Q21" i="20"/>
  <c r="W20" i="20"/>
  <c r="T20" i="20"/>
  <c r="Q20" i="20"/>
  <c r="W19" i="20"/>
  <c r="T19" i="20"/>
  <c r="Q19" i="20"/>
  <c r="W18" i="20"/>
  <c r="T18" i="20"/>
  <c r="Q18" i="20"/>
  <c r="W17" i="20"/>
  <c r="T17" i="20"/>
  <c r="Q17" i="20"/>
  <c r="W16" i="20"/>
  <c r="T16" i="20"/>
  <c r="Q16" i="20"/>
  <c r="W15" i="20"/>
  <c r="T15" i="20"/>
  <c r="Q15" i="20"/>
  <c r="W14" i="20"/>
  <c r="T14" i="20"/>
  <c r="Q14" i="20"/>
  <c r="W13" i="20"/>
  <c r="T13" i="20"/>
  <c r="Q13" i="20"/>
  <c r="W12" i="20"/>
  <c r="T12" i="20"/>
  <c r="Q12" i="20"/>
  <c r="W11" i="20"/>
  <c r="T11" i="20"/>
  <c r="Q11" i="20"/>
  <c r="W10" i="20"/>
  <c r="T10" i="20"/>
  <c r="Q10" i="20"/>
  <c r="W9" i="20"/>
  <c r="T9" i="20"/>
  <c r="Q9" i="20"/>
  <c r="W8" i="20"/>
  <c r="T8" i="20"/>
  <c r="Q8" i="20"/>
  <c r="W7" i="20"/>
  <c r="T7" i="20"/>
  <c r="Q7" i="20"/>
  <c r="W6" i="20"/>
  <c r="T6" i="20"/>
  <c r="Q6" i="20"/>
  <c r="W5" i="20"/>
  <c r="T5" i="20"/>
  <c r="Q5" i="20"/>
  <c r="W31" i="19"/>
  <c r="T31" i="19"/>
  <c r="Q31" i="19"/>
  <c r="W30" i="19"/>
  <c r="T30" i="19"/>
  <c r="Q30" i="19"/>
  <c r="W29" i="19"/>
  <c r="T29" i="19"/>
  <c r="Q29" i="19"/>
  <c r="W28" i="19"/>
  <c r="T28" i="19"/>
  <c r="Q28" i="19"/>
  <c r="P28" i="19"/>
  <c r="W23" i="19"/>
  <c r="T23" i="19"/>
  <c r="Q23" i="19"/>
  <c r="W22" i="19"/>
  <c r="T22" i="19"/>
  <c r="Q22" i="19"/>
  <c r="W21" i="19"/>
  <c r="T21" i="19"/>
  <c r="Q21" i="19"/>
  <c r="W20" i="19"/>
  <c r="T20" i="19"/>
  <c r="Q20" i="19"/>
  <c r="W19" i="19"/>
  <c r="T19" i="19"/>
  <c r="Q19" i="19"/>
  <c r="W18" i="19"/>
  <c r="T18" i="19"/>
  <c r="Q18" i="19"/>
  <c r="W17" i="19"/>
  <c r="T17" i="19"/>
  <c r="Q17" i="19"/>
  <c r="W16" i="19"/>
  <c r="T16" i="19"/>
  <c r="Q16" i="19"/>
  <c r="W15" i="19"/>
  <c r="T15" i="19"/>
  <c r="Q15" i="19"/>
  <c r="W14" i="19"/>
  <c r="T14" i="19"/>
  <c r="Q14" i="19"/>
  <c r="W13" i="19"/>
  <c r="T13" i="19"/>
  <c r="Q13" i="19"/>
  <c r="W12" i="19"/>
  <c r="T12" i="19"/>
  <c r="Q12" i="19"/>
  <c r="W11" i="19"/>
  <c r="T11" i="19"/>
  <c r="Q11" i="19"/>
  <c r="W10" i="19"/>
  <c r="T10" i="19"/>
  <c r="S10" i="19"/>
  <c r="Q10" i="19"/>
  <c r="W9" i="19"/>
  <c r="T9" i="19"/>
  <c r="Q9" i="19"/>
  <c r="W8" i="19"/>
  <c r="T8" i="19"/>
  <c r="Q8" i="19"/>
  <c r="W7" i="19"/>
  <c r="T7" i="19"/>
  <c r="Q7" i="19"/>
  <c r="W6" i="19"/>
  <c r="T6" i="19"/>
  <c r="Q6" i="19"/>
  <c r="W5" i="19"/>
  <c r="T5" i="19"/>
  <c r="Q5" i="19"/>
  <c r="W31" i="12"/>
  <c r="T31" i="12"/>
  <c r="Q31" i="12"/>
  <c r="W30" i="12"/>
  <c r="T30" i="12"/>
  <c r="Q30" i="12"/>
  <c r="W29" i="12"/>
  <c r="T29" i="12"/>
  <c r="Q29" i="12"/>
  <c r="W28" i="12"/>
  <c r="T28" i="12"/>
  <c r="Q28" i="12"/>
  <c r="P28" i="12"/>
  <c r="W23" i="12"/>
  <c r="T23" i="12"/>
  <c r="Q23" i="12"/>
  <c r="W22" i="12"/>
  <c r="T22" i="12"/>
  <c r="Q22" i="12"/>
  <c r="W21" i="12"/>
  <c r="T21" i="12"/>
  <c r="Q21" i="12"/>
  <c r="W20" i="12"/>
  <c r="T20" i="12"/>
  <c r="Q20" i="12"/>
  <c r="W19" i="12"/>
  <c r="T19" i="12"/>
  <c r="Q19" i="12"/>
  <c r="W18" i="12"/>
  <c r="T18" i="12"/>
  <c r="Q18" i="12"/>
  <c r="W17" i="12"/>
  <c r="T17" i="12"/>
  <c r="Q17" i="12"/>
  <c r="W16" i="12"/>
  <c r="T16" i="12"/>
  <c r="Q16" i="12"/>
  <c r="W15" i="12"/>
  <c r="T15" i="12"/>
  <c r="Q15" i="12"/>
  <c r="W14" i="12"/>
  <c r="T14" i="12"/>
  <c r="Q14" i="12"/>
  <c r="W13" i="12"/>
  <c r="T13" i="12"/>
  <c r="Q13" i="12"/>
  <c r="W12" i="12"/>
  <c r="T12" i="12"/>
  <c r="Q12" i="12"/>
  <c r="W11" i="12"/>
  <c r="T11" i="12"/>
  <c r="Q11" i="12"/>
  <c r="W10" i="12"/>
  <c r="T10" i="12"/>
  <c r="Q10" i="12"/>
  <c r="W9" i="12"/>
  <c r="T9" i="12"/>
  <c r="Q9" i="12"/>
  <c r="W8" i="12"/>
  <c r="T8" i="12"/>
  <c r="Q8" i="12"/>
  <c r="W7" i="12"/>
  <c r="T7" i="12"/>
  <c r="Q7" i="12"/>
  <c r="W6" i="12"/>
  <c r="T6" i="12"/>
  <c r="Q6" i="12"/>
  <c r="W5" i="12"/>
  <c r="T5" i="12"/>
  <c r="Q5" i="12"/>
  <c r="W31" i="11"/>
  <c r="T31" i="11"/>
  <c r="Q31" i="11"/>
  <c r="W30" i="11"/>
  <c r="T30" i="11"/>
  <c r="Q30" i="11"/>
  <c r="W29" i="11"/>
  <c r="T29" i="11"/>
  <c r="Q29" i="11"/>
  <c r="W28" i="11"/>
  <c r="T28" i="11"/>
  <c r="Q28" i="11"/>
  <c r="P28" i="11"/>
  <c r="W23" i="11"/>
  <c r="T23" i="11"/>
  <c r="Q23" i="11"/>
  <c r="W22" i="11"/>
  <c r="T22" i="11"/>
  <c r="Q22" i="11"/>
  <c r="W21" i="11"/>
  <c r="T21" i="11"/>
  <c r="Q21" i="11"/>
  <c r="W20" i="11"/>
  <c r="T20" i="11"/>
  <c r="Q20" i="11"/>
  <c r="W19" i="11"/>
  <c r="T19" i="11"/>
  <c r="Q19" i="11"/>
  <c r="W18" i="11"/>
  <c r="T18" i="11"/>
  <c r="Q18" i="11"/>
  <c r="W17" i="11"/>
  <c r="T17" i="11"/>
  <c r="Q17" i="11"/>
  <c r="W16" i="11"/>
  <c r="T16" i="11"/>
  <c r="Q16" i="11"/>
  <c r="W15" i="11"/>
  <c r="T15" i="11"/>
  <c r="Q15" i="11"/>
  <c r="W14" i="11"/>
  <c r="T14" i="11"/>
  <c r="Q14" i="11"/>
  <c r="W13" i="11"/>
  <c r="T13" i="11"/>
  <c r="Q13" i="11"/>
  <c r="W12" i="11"/>
  <c r="T12" i="11"/>
  <c r="Q12" i="11"/>
  <c r="W11" i="11"/>
  <c r="T11" i="11"/>
  <c r="Q11" i="11"/>
  <c r="W10" i="11"/>
  <c r="T10" i="11"/>
  <c r="S10" i="11"/>
  <c r="Q10" i="11"/>
  <c r="W9" i="11"/>
  <c r="T9" i="11"/>
  <c r="Q9" i="11"/>
  <c r="W8" i="11"/>
  <c r="T8" i="11"/>
  <c r="Q8" i="11"/>
  <c r="W7" i="11"/>
  <c r="T7" i="11"/>
  <c r="Q7" i="11"/>
  <c r="W6" i="11"/>
  <c r="T6" i="11"/>
  <c r="Q6" i="11"/>
  <c r="W5" i="11"/>
  <c r="T5" i="11"/>
  <c r="Q5" i="11"/>
  <c r="W31" i="10"/>
  <c r="T31" i="10"/>
  <c r="Q31" i="10"/>
  <c r="W30" i="10"/>
  <c r="T30" i="10"/>
  <c r="Q30" i="10"/>
  <c r="W29" i="10"/>
  <c r="T29" i="10"/>
  <c r="Q29" i="10"/>
  <c r="W28" i="10"/>
  <c r="T28" i="10"/>
  <c r="Q28" i="10"/>
  <c r="P28" i="10"/>
  <c r="W23" i="10"/>
  <c r="V23" i="10"/>
  <c r="T23" i="10"/>
  <c r="Q23" i="10"/>
  <c r="W22" i="10"/>
  <c r="T22" i="10"/>
  <c r="Q22" i="10"/>
  <c r="W21" i="10"/>
  <c r="T21" i="10"/>
  <c r="Q21" i="10"/>
  <c r="W20" i="10"/>
  <c r="T20" i="10"/>
  <c r="Q20" i="10"/>
  <c r="W19" i="10"/>
  <c r="T19" i="10"/>
  <c r="Q19" i="10"/>
  <c r="W18" i="10"/>
  <c r="T18" i="10"/>
  <c r="Q18" i="10"/>
  <c r="W17" i="10"/>
  <c r="T17" i="10"/>
  <c r="Q17" i="10"/>
  <c r="W16" i="10"/>
  <c r="T16" i="10"/>
  <c r="Q16" i="10"/>
  <c r="W15" i="10"/>
  <c r="T15" i="10"/>
  <c r="Q15" i="10"/>
  <c r="W14" i="10"/>
  <c r="T14" i="10"/>
  <c r="Q14" i="10"/>
  <c r="W13" i="10"/>
  <c r="T13" i="10"/>
  <c r="Q13" i="10"/>
  <c r="W12" i="10"/>
  <c r="T12" i="10"/>
  <c r="Q12" i="10"/>
  <c r="W11" i="10"/>
  <c r="T11" i="10"/>
  <c r="Q11" i="10"/>
  <c r="W10" i="10"/>
  <c r="T10" i="10"/>
  <c r="Q10" i="10"/>
  <c r="W9" i="10"/>
  <c r="T9" i="10"/>
  <c r="Q9" i="10"/>
  <c r="W8" i="10"/>
  <c r="T8" i="10"/>
  <c r="Q8" i="10"/>
  <c r="W7" i="10"/>
  <c r="T7" i="10"/>
  <c r="Q7" i="10"/>
  <c r="W6" i="10"/>
  <c r="T6" i="10"/>
  <c r="Q6" i="10"/>
  <c r="W5" i="10"/>
  <c r="T5" i="10"/>
  <c r="Q5" i="10"/>
  <c r="W31" i="9"/>
  <c r="T31" i="9"/>
  <c r="Q31" i="9"/>
  <c r="W30" i="9"/>
  <c r="T30" i="9"/>
  <c r="Q30" i="9"/>
  <c r="W29" i="9"/>
  <c r="T29" i="9"/>
  <c r="Q29" i="9"/>
  <c r="W28" i="9"/>
  <c r="T28" i="9"/>
  <c r="Q28" i="9"/>
  <c r="P28" i="9"/>
  <c r="W23" i="9"/>
  <c r="T23" i="9"/>
  <c r="Q23" i="9"/>
  <c r="W22" i="9"/>
  <c r="T22" i="9"/>
  <c r="Q22" i="9"/>
  <c r="W21" i="9"/>
  <c r="T21" i="9"/>
  <c r="Q21" i="9"/>
  <c r="W20" i="9"/>
  <c r="T20" i="9"/>
  <c r="Q20" i="9"/>
  <c r="W19" i="9"/>
  <c r="T19" i="9"/>
  <c r="Q19" i="9"/>
  <c r="W18" i="9"/>
  <c r="T18" i="9"/>
  <c r="Q18" i="9"/>
  <c r="W17" i="9"/>
  <c r="T17" i="9"/>
  <c r="Q17" i="9"/>
  <c r="W16" i="9"/>
  <c r="T16" i="9"/>
  <c r="Q16" i="9"/>
  <c r="W15" i="9"/>
  <c r="T15" i="9"/>
  <c r="Q15" i="9"/>
  <c r="W14" i="9"/>
  <c r="T14" i="9"/>
  <c r="Q14" i="9"/>
  <c r="W13" i="9"/>
  <c r="T13" i="9"/>
  <c r="Q13" i="9"/>
  <c r="W12" i="9"/>
  <c r="T12" i="9"/>
  <c r="Q12" i="9"/>
  <c r="W11" i="9"/>
  <c r="T11" i="9"/>
  <c r="Q11" i="9"/>
  <c r="W10" i="9"/>
  <c r="T10" i="9"/>
  <c r="Q10" i="9"/>
  <c r="W9" i="9"/>
  <c r="T9" i="9"/>
  <c r="Q9" i="9"/>
  <c r="W8" i="9"/>
  <c r="T8" i="9"/>
  <c r="Q8" i="9"/>
  <c r="W7" i="9"/>
  <c r="T7" i="9"/>
  <c r="Q7" i="9"/>
  <c r="W6" i="9"/>
  <c r="T6" i="9"/>
  <c r="Q6" i="9"/>
  <c r="W5" i="9"/>
  <c r="T5" i="9"/>
  <c r="Q5" i="9"/>
  <c r="W31" i="8"/>
  <c r="T31" i="8"/>
  <c r="Q31" i="8"/>
  <c r="W30" i="8"/>
  <c r="T30" i="8"/>
  <c r="Q30" i="8"/>
  <c r="W29" i="8"/>
  <c r="T29" i="8"/>
  <c r="Q29" i="8"/>
  <c r="W28" i="8"/>
  <c r="T28" i="8"/>
  <c r="Q28" i="8"/>
  <c r="P28" i="8"/>
  <c r="W23" i="8"/>
  <c r="T23" i="8"/>
  <c r="Q23" i="8"/>
  <c r="W22" i="8"/>
  <c r="T22" i="8"/>
  <c r="Q22" i="8"/>
  <c r="W21" i="8"/>
  <c r="T21" i="8"/>
  <c r="Q21" i="8"/>
  <c r="W20" i="8"/>
  <c r="T20" i="8"/>
  <c r="Q20" i="8"/>
  <c r="W19" i="8"/>
  <c r="T19" i="8"/>
  <c r="Q19" i="8"/>
  <c r="W18" i="8"/>
  <c r="T18" i="8"/>
  <c r="Q18" i="8"/>
  <c r="W17" i="8"/>
  <c r="T17" i="8"/>
  <c r="Q17" i="8"/>
  <c r="W16" i="8"/>
  <c r="T16" i="8"/>
  <c r="Q16" i="8"/>
  <c r="W15" i="8"/>
  <c r="T15" i="8"/>
  <c r="Q15" i="8"/>
  <c r="P15" i="8"/>
  <c r="W14" i="8"/>
  <c r="T14" i="8"/>
  <c r="Q14" i="8"/>
  <c r="W13" i="8"/>
  <c r="T13" i="8"/>
  <c r="Q13" i="8"/>
  <c r="W12" i="8"/>
  <c r="T12" i="8"/>
  <c r="Q12" i="8"/>
  <c r="W11" i="8"/>
  <c r="T11" i="8"/>
  <c r="Q11" i="8"/>
  <c r="W10" i="8"/>
  <c r="T10" i="8"/>
  <c r="Q10" i="8"/>
  <c r="W9" i="8"/>
  <c r="T9" i="8"/>
  <c r="Q9" i="8"/>
  <c r="W8" i="8"/>
  <c r="T8" i="8"/>
  <c r="Q8" i="8"/>
  <c r="W7" i="8"/>
  <c r="T7" i="8"/>
  <c r="Q7" i="8"/>
  <c r="W6" i="8"/>
  <c r="T6" i="8"/>
  <c r="Q6" i="8"/>
  <c r="W5" i="8"/>
  <c r="T5" i="8"/>
  <c r="Q5" i="8"/>
  <c r="W31" i="7"/>
  <c r="T31" i="7"/>
  <c r="Q31" i="7"/>
  <c r="W30" i="7"/>
  <c r="T30" i="7"/>
  <c r="Q30" i="7"/>
  <c r="W29" i="7"/>
  <c r="T29" i="7"/>
  <c r="Q29" i="7"/>
  <c r="W28" i="7"/>
  <c r="T28" i="7"/>
  <c r="Q28" i="7"/>
  <c r="P28" i="7"/>
  <c r="W23" i="7"/>
  <c r="T23" i="7"/>
  <c r="Q23" i="7"/>
  <c r="W22" i="7"/>
  <c r="T22" i="7"/>
  <c r="Q22" i="7"/>
  <c r="W21" i="7"/>
  <c r="T21" i="7"/>
  <c r="Q21" i="7"/>
  <c r="W20" i="7"/>
  <c r="T20" i="7"/>
  <c r="Q20" i="7"/>
  <c r="W19" i="7"/>
  <c r="T19" i="7"/>
  <c r="Q19" i="7"/>
  <c r="W18" i="7"/>
  <c r="T18" i="7"/>
  <c r="Q18" i="7"/>
  <c r="W17" i="7"/>
  <c r="T17" i="7"/>
  <c r="Q17" i="7"/>
  <c r="W16" i="7"/>
  <c r="T16" i="7"/>
  <c r="Q16" i="7"/>
  <c r="W15" i="7"/>
  <c r="T15" i="7"/>
  <c r="Q15" i="7"/>
  <c r="W14" i="7"/>
  <c r="T14" i="7"/>
  <c r="Q14" i="7"/>
  <c r="W13" i="7"/>
  <c r="T13" i="7"/>
  <c r="Q13" i="7"/>
  <c r="P13" i="7"/>
  <c r="W12" i="7"/>
  <c r="T12" i="7"/>
  <c r="Q12" i="7"/>
  <c r="W11" i="7"/>
  <c r="T11" i="7"/>
  <c r="Q11" i="7"/>
  <c r="W10" i="7"/>
  <c r="T10" i="7"/>
  <c r="Q10" i="7"/>
  <c r="W9" i="7"/>
  <c r="T9" i="7"/>
  <c r="Q9" i="7"/>
  <c r="W8" i="7"/>
  <c r="T8" i="7"/>
  <c r="Q8" i="7"/>
  <c r="W7" i="7"/>
  <c r="T7" i="7"/>
  <c r="Q7" i="7"/>
  <c r="W6" i="7"/>
  <c r="T6" i="7"/>
  <c r="Q6" i="7"/>
  <c r="W5" i="7"/>
  <c r="T5" i="7"/>
  <c r="Q5" i="7"/>
  <c r="W31" i="6"/>
  <c r="T31" i="6"/>
  <c r="Q31" i="6"/>
  <c r="W30" i="6"/>
  <c r="T30" i="6"/>
  <c r="Q30" i="6"/>
  <c r="W29" i="6"/>
  <c r="T29" i="6"/>
  <c r="Q29" i="6"/>
  <c r="W28" i="6"/>
  <c r="T28" i="6"/>
  <c r="Q28" i="6"/>
  <c r="P28" i="6"/>
  <c r="W23" i="6"/>
  <c r="T23" i="6"/>
  <c r="Q23" i="6"/>
  <c r="W22" i="6"/>
  <c r="T22" i="6"/>
  <c r="Q22" i="6"/>
  <c r="W21" i="6"/>
  <c r="T21" i="6"/>
  <c r="Q21" i="6"/>
  <c r="W20" i="6"/>
  <c r="T20" i="6"/>
  <c r="Q20" i="6"/>
  <c r="W19" i="6"/>
  <c r="T19" i="6"/>
  <c r="Q19" i="6"/>
  <c r="W18" i="6"/>
  <c r="T18" i="6"/>
  <c r="Q18" i="6"/>
  <c r="W17" i="6"/>
  <c r="T17" i="6"/>
  <c r="Q17" i="6"/>
  <c r="W16" i="6"/>
  <c r="T16" i="6"/>
  <c r="Q16" i="6"/>
  <c r="W15" i="6"/>
  <c r="T15" i="6"/>
  <c r="Q15" i="6"/>
  <c r="W14" i="6"/>
  <c r="T14" i="6"/>
  <c r="Q14" i="6"/>
  <c r="W13" i="6"/>
  <c r="T13" i="6"/>
  <c r="Q13" i="6"/>
  <c r="W12" i="6"/>
  <c r="T12" i="6"/>
  <c r="Q12" i="6"/>
  <c r="W11" i="6"/>
  <c r="T11" i="6"/>
  <c r="Q11" i="6"/>
  <c r="W10" i="6"/>
  <c r="T10" i="6"/>
  <c r="Q10" i="6"/>
  <c r="W9" i="6"/>
  <c r="T9" i="6"/>
  <c r="Q9" i="6"/>
  <c r="W8" i="6"/>
  <c r="T8" i="6"/>
  <c r="Q8" i="6"/>
  <c r="W7" i="6"/>
  <c r="T7" i="6"/>
  <c r="Q7" i="6"/>
  <c r="W6" i="6"/>
  <c r="T6" i="6"/>
  <c r="Q6" i="6"/>
  <c r="W5" i="6"/>
  <c r="T5" i="6"/>
  <c r="Q5" i="6"/>
  <c r="P5" i="6"/>
  <c r="W31" i="5"/>
  <c r="T31" i="5"/>
  <c r="Q31" i="5"/>
  <c r="W30" i="5"/>
  <c r="T30" i="5"/>
  <c r="Q30" i="5"/>
  <c r="W29" i="5"/>
  <c r="T29" i="5"/>
  <c r="Q29" i="5"/>
  <c r="W28" i="5"/>
  <c r="T28" i="5"/>
  <c r="Q28" i="5"/>
  <c r="P28" i="5"/>
  <c r="W23" i="5"/>
  <c r="T23" i="5"/>
  <c r="Q23" i="5"/>
  <c r="W22" i="5"/>
  <c r="T22" i="5"/>
  <c r="S22" i="5"/>
  <c r="Q22" i="5"/>
  <c r="W21" i="5"/>
  <c r="T21" i="5"/>
  <c r="Q21" i="5"/>
  <c r="W20" i="5"/>
  <c r="T20" i="5"/>
  <c r="Q20" i="5"/>
  <c r="W19" i="5"/>
  <c r="T19" i="5"/>
  <c r="Q19" i="5"/>
  <c r="W18" i="5"/>
  <c r="T18" i="5"/>
  <c r="Q18" i="5"/>
  <c r="W17" i="5"/>
  <c r="T17" i="5"/>
  <c r="Q17" i="5"/>
  <c r="W16" i="5"/>
  <c r="T16" i="5"/>
  <c r="Q16" i="5"/>
  <c r="W15" i="5"/>
  <c r="T15" i="5"/>
  <c r="Q15" i="5"/>
  <c r="W14" i="5"/>
  <c r="T14" i="5"/>
  <c r="Q14" i="5"/>
  <c r="W13" i="5"/>
  <c r="T13" i="5"/>
  <c r="Q13" i="5"/>
  <c r="W12" i="5"/>
  <c r="T12" i="5"/>
  <c r="Q12" i="5"/>
  <c r="W11" i="5"/>
  <c r="T11" i="5"/>
  <c r="Q11" i="5"/>
  <c r="W10" i="5"/>
  <c r="T10" i="5"/>
  <c r="Q10" i="5"/>
  <c r="W9" i="5"/>
  <c r="T9" i="5"/>
  <c r="Q9" i="5"/>
  <c r="W8" i="5"/>
  <c r="T8" i="5"/>
  <c r="Q8" i="5"/>
  <c r="W7" i="5"/>
  <c r="T7" i="5"/>
  <c r="Q7" i="5"/>
  <c r="W6" i="5"/>
  <c r="T6" i="5"/>
  <c r="Q6" i="5"/>
  <c r="W5" i="5"/>
  <c r="T5" i="5"/>
  <c r="Q5" i="5"/>
  <c r="W31" i="4"/>
  <c r="T31" i="4"/>
  <c r="Q31" i="4"/>
  <c r="W30" i="4"/>
  <c r="T30" i="4"/>
  <c r="Q30" i="4"/>
  <c r="W29" i="4"/>
  <c r="T29" i="4"/>
  <c r="Q29" i="4"/>
  <c r="W28" i="4"/>
  <c r="T28" i="4"/>
  <c r="Q28" i="4"/>
  <c r="P28" i="4"/>
  <c r="W23" i="4"/>
  <c r="T23" i="4"/>
  <c r="Q23" i="4"/>
  <c r="W22" i="4"/>
  <c r="T22" i="4"/>
  <c r="Q22" i="4"/>
  <c r="W21" i="4"/>
  <c r="T21" i="4"/>
  <c r="Q21" i="4"/>
  <c r="W20" i="4"/>
  <c r="T20" i="4"/>
  <c r="Q20" i="4"/>
  <c r="W19" i="4"/>
  <c r="T19" i="4"/>
  <c r="Q19" i="4"/>
  <c r="W18" i="4"/>
  <c r="T18" i="4"/>
  <c r="Q18" i="4"/>
  <c r="W17" i="4"/>
  <c r="T17" i="4"/>
  <c r="Q17" i="4"/>
  <c r="W16" i="4"/>
  <c r="T16" i="4"/>
  <c r="Q16" i="4"/>
  <c r="W15" i="4"/>
  <c r="T15" i="4"/>
  <c r="Q15" i="4"/>
  <c r="W14" i="4"/>
  <c r="T14" i="4"/>
  <c r="Q14" i="4"/>
  <c r="W13" i="4"/>
  <c r="T13" i="4"/>
  <c r="Q13" i="4"/>
  <c r="W12" i="4"/>
  <c r="T12" i="4"/>
  <c r="Q12" i="4"/>
  <c r="W11" i="4"/>
  <c r="T11" i="4"/>
  <c r="Q11" i="4"/>
  <c r="W10" i="4"/>
  <c r="T10" i="4"/>
  <c r="Q10" i="4"/>
  <c r="W9" i="4"/>
  <c r="T9" i="4"/>
  <c r="Q9" i="4"/>
  <c r="W8" i="4"/>
  <c r="T8" i="4"/>
  <c r="Q8" i="4"/>
  <c r="W7" i="4"/>
  <c r="T7" i="4"/>
  <c r="Q7" i="4"/>
  <c r="W6" i="4"/>
  <c r="T6" i="4"/>
  <c r="Q6" i="4"/>
  <c r="W5" i="4"/>
  <c r="T5" i="4"/>
  <c r="Q5" i="4"/>
  <c r="W31" i="1"/>
  <c r="T31" i="1"/>
  <c r="Q31" i="1"/>
  <c r="W30" i="1"/>
  <c r="T30" i="1"/>
  <c r="Q30" i="1"/>
  <c r="W29" i="1"/>
  <c r="T29" i="1"/>
  <c r="Q29" i="1"/>
  <c r="W28" i="1"/>
  <c r="T28" i="1"/>
  <c r="Q28" i="1"/>
  <c r="P28" i="1"/>
  <c r="W23" i="1"/>
  <c r="T23" i="1"/>
  <c r="Q23" i="1"/>
  <c r="W22" i="1"/>
  <c r="T22" i="1"/>
  <c r="Q22" i="1"/>
  <c r="W21" i="1"/>
  <c r="T21" i="1"/>
  <c r="Q21" i="1"/>
  <c r="W20" i="1"/>
  <c r="T20" i="1"/>
  <c r="Q20" i="1"/>
  <c r="W19" i="1"/>
  <c r="T19" i="1"/>
  <c r="Q19" i="1"/>
  <c r="W18" i="1"/>
  <c r="T18" i="1"/>
  <c r="Q18" i="1"/>
  <c r="W17" i="1"/>
  <c r="T17" i="1"/>
  <c r="Q17" i="1"/>
  <c r="P17" i="1"/>
  <c r="W16" i="1"/>
  <c r="T16" i="1"/>
  <c r="Q16" i="1"/>
  <c r="W15" i="1"/>
  <c r="T15" i="1"/>
  <c r="Q15" i="1"/>
  <c r="W14" i="1"/>
  <c r="T14" i="1"/>
  <c r="Q14" i="1"/>
  <c r="W13" i="1"/>
  <c r="T13" i="1"/>
  <c r="Q13" i="1"/>
  <c r="W12" i="1"/>
  <c r="T12" i="1"/>
  <c r="Q12" i="1"/>
  <c r="W11" i="1"/>
  <c r="T11" i="1"/>
  <c r="Q11" i="1"/>
  <c r="W10" i="1"/>
  <c r="T10" i="1"/>
  <c r="Q10" i="1"/>
  <c r="W9" i="1"/>
  <c r="T9" i="1"/>
  <c r="Q9" i="1"/>
  <c r="W8" i="1"/>
  <c r="T8" i="1"/>
  <c r="Q8" i="1"/>
  <c r="W7" i="1"/>
  <c r="V7" i="1"/>
  <c r="T7" i="1"/>
  <c r="Q7" i="1"/>
  <c r="W6" i="1"/>
  <c r="T6" i="1"/>
  <c r="Q6" i="1"/>
  <c r="W5" i="1"/>
  <c r="T5" i="1"/>
  <c r="Q5" i="1"/>
  <c r="AF17" i="18"/>
  <c r="AF16" i="18"/>
  <c r="AF15" i="18"/>
  <c r="AF14" i="18"/>
  <c r="AF13" i="18"/>
  <c r="AF12" i="18"/>
  <c r="AF11" i="18"/>
  <c r="AF10" i="18"/>
  <c r="AF9" i="18"/>
  <c r="AF8" i="18"/>
  <c r="AF7" i="18"/>
  <c r="AF6" i="18"/>
  <c r="AF5" i="18"/>
  <c r="AF4" i="18"/>
  <c r="AE17" i="18"/>
  <c r="AE16" i="18"/>
  <c r="AE15" i="18"/>
  <c r="AE14" i="18"/>
  <c r="AE13" i="18"/>
  <c r="AE12" i="18"/>
  <c r="AE11" i="18"/>
  <c r="AE10" i="18"/>
  <c r="AE9" i="18"/>
  <c r="AE8" i="18"/>
  <c r="AE7" i="18"/>
  <c r="AE6" i="18"/>
  <c r="AE5" i="18"/>
  <c r="AE4" i="18"/>
  <c r="AD17" i="18"/>
  <c r="AD16" i="18"/>
  <c r="AD15" i="18"/>
  <c r="AD14" i="18"/>
  <c r="AD13" i="18"/>
  <c r="AD12" i="18"/>
  <c r="AD11" i="18"/>
  <c r="AD10" i="18"/>
  <c r="AD9" i="18"/>
  <c r="AD8" i="18"/>
  <c r="AD7" i="18"/>
  <c r="AD6" i="18"/>
  <c r="AD5" i="18"/>
  <c r="AD4" i="18"/>
  <c r="AC17" i="18"/>
  <c r="AC16" i="18"/>
  <c r="AC15" i="18"/>
  <c r="AC14" i="18"/>
  <c r="AC13" i="18"/>
  <c r="AC12" i="18"/>
  <c r="AC11" i="18"/>
  <c r="AC10" i="18"/>
  <c r="AC9" i="18"/>
  <c r="AC8" i="18"/>
  <c r="AC7" i="18"/>
  <c r="AC6" i="18"/>
  <c r="AC5" i="18"/>
  <c r="AC4" i="18"/>
  <c r="AA17" i="18"/>
  <c r="AA16" i="18"/>
  <c r="AA15" i="18"/>
  <c r="AA14" i="18"/>
  <c r="AA13" i="18"/>
  <c r="AA12" i="18"/>
  <c r="AA11" i="18"/>
  <c r="AA10" i="18"/>
  <c r="AA9" i="18"/>
  <c r="AA8" i="18"/>
  <c r="AA7" i="18"/>
  <c r="AA6" i="18"/>
  <c r="AA5" i="18"/>
  <c r="AA4" i="18"/>
  <c r="Z17" i="18"/>
  <c r="Z16" i="18"/>
  <c r="Y17" i="18"/>
  <c r="Y16" i="18"/>
  <c r="Z15" i="18"/>
  <c r="Z14" i="18"/>
  <c r="Z13" i="18"/>
  <c r="Z12" i="18"/>
  <c r="Z11" i="18"/>
  <c r="Z10" i="18"/>
  <c r="Z9" i="18"/>
  <c r="Z8" i="18"/>
  <c r="Z7" i="18"/>
  <c r="Z6" i="18"/>
  <c r="Z5" i="18"/>
  <c r="Z4" i="18"/>
  <c r="Y15" i="18"/>
  <c r="Y14" i="18"/>
  <c r="Y13" i="18"/>
  <c r="Y12" i="18"/>
  <c r="Y11" i="18"/>
  <c r="Y10" i="18"/>
  <c r="Y9" i="18"/>
  <c r="Y8" i="18"/>
  <c r="Y7" i="18"/>
  <c r="Y6" i="18"/>
  <c r="Y5" i="18"/>
  <c r="Y4" i="18"/>
  <c r="X17" i="18"/>
  <c r="X16" i="18"/>
  <c r="X5" i="18"/>
  <c r="X6" i="18"/>
  <c r="X7" i="18"/>
  <c r="X8" i="18"/>
  <c r="X9" i="18"/>
  <c r="X10" i="18"/>
  <c r="X11" i="18"/>
  <c r="X12" i="18"/>
  <c r="X13" i="18"/>
  <c r="X14" i="18"/>
  <c r="X15" i="18"/>
  <c r="X4" i="18"/>
  <c r="C83" i="34"/>
  <c r="C84" i="34" s="1"/>
  <c r="C85" i="34" s="1"/>
  <c r="C86" i="34" s="1"/>
  <c r="C87" i="34" s="1"/>
  <c r="C88" i="34" s="1"/>
  <c r="C89" i="34" s="1"/>
  <c r="C90" i="34" s="1"/>
  <c r="C91" i="34" s="1"/>
  <c r="C92" i="34" s="1"/>
  <c r="C93" i="34" s="1"/>
  <c r="C94" i="34" s="1"/>
  <c r="C95" i="34" s="1"/>
  <c r="C96" i="34" s="1"/>
  <c r="I75" i="34"/>
  <c r="I74" i="34"/>
  <c r="I76" i="34" s="1"/>
  <c r="G74" i="34"/>
  <c r="G75" i="34" s="1"/>
  <c r="G76" i="34" s="1"/>
  <c r="I73" i="34"/>
  <c r="E71" i="34"/>
  <c r="E70" i="34"/>
  <c r="E69" i="34"/>
  <c r="I68" i="34"/>
  <c r="E68" i="34"/>
  <c r="I67" i="34"/>
  <c r="E67" i="34"/>
  <c r="I66" i="34"/>
  <c r="E66" i="34"/>
  <c r="I65" i="34"/>
  <c r="E65" i="34"/>
  <c r="I64" i="34"/>
  <c r="E64" i="34"/>
  <c r="I63" i="34"/>
  <c r="I62" i="34"/>
  <c r="I61" i="34"/>
  <c r="I60" i="34"/>
  <c r="I59" i="34"/>
  <c r="E59" i="34"/>
  <c r="I58" i="34"/>
  <c r="E58" i="34"/>
  <c r="I57" i="34"/>
  <c r="G57" i="34"/>
  <c r="G58" i="34" s="1"/>
  <c r="G59" i="34" s="1"/>
  <c r="G60" i="34" s="1"/>
  <c r="G61" i="34" s="1"/>
  <c r="G62" i="34" s="1"/>
  <c r="G63" i="34" s="1"/>
  <c r="G64" i="34" s="1"/>
  <c r="G65" i="34" s="1"/>
  <c r="G66" i="34" s="1"/>
  <c r="G67" i="34" s="1"/>
  <c r="G68" i="34" s="1"/>
  <c r="C64" i="34" s="1"/>
  <c r="C65" i="34" s="1"/>
  <c r="C66" i="34" s="1"/>
  <c r="C67" i="34" s="1"/>
  <c r="C68" i="34" s="1"/>
  <c r="C69" i="34" s="1"/>
  <c r="C70" i="34" s="1"/>
  <c r="C71" i="34" s="1"/>
  <c r="E57" i="34"/>
  <c r="C57" i="34"/>
  <c r="C58" i="34" s="1"/>
  <c r="C59" i="34" s="1"/>
  <c r="I56" i="34"/>
  <c r="E56" i="34"/>
  <c r="I49" i="34"/>
  <c r="U53" i="34" s="1"/>
  <c r="H49" i="34"/>
  <c r="E49" i="34"/>
  <c r="U51" i="34" s="1"/>
  <c r="D49" i="34"/>
  <c r="I48" i="34"/>
  <c r="H48" i="34"/>
  <c r="E48" i="34"/>
  <c r="U50" i="34" s="1"/>
  <c r="D48" i="34"/>
  <c r="I47" i="34"/>
  <c r="U48" i="34" s="1"/>
  <c r="H47" i="34"/>
  <c r="E47" i="34"/>
  <c r="U49" i="34" s="1"/>
  <c r="D47" i="34"/>
  <c r="I46" i="34"/>
  <c r="U54" i="34" s="1"/>
  <c r="H46" i="34"/>
  <c r="E46" i="34"/>
  <c r="U40" i="34" s="1"/>
  <c r="D46" i="34"/>
  <c r="I45" i="34"/>
  <c r="H45" i="34"/>
  <c r="E45" i="34"/>
  <c r="U38" i="34" s="1"/>
  <c r="D45" i="34"/>
  <c r="I44" i="34"/>
  <c r="H44" i="34"/>
  <c r="G44" i="34"/>
  <c r="G45" i="34" s="1"/>
  <c r="G46" i="34" s="1"/>
  <c r="G47" i="34" s="1"/>
  <c r="G48" i="34" s="1"/>
  <c r="E44" i="34"/>
  <c r="U39" i="34" s="1"/>
  <c r="D44" i="34"/>
  <c r="M43" i="34"/>
  <c r="X38" i="34" s="1"/>
  <c r="L43" i="34"/>
  <c r="K43" i="34"/>
  <c r="I43" i="34"/>
  <c r="H43" i="34"/>
  <c r="G43" i="34"/>
  <c r="E43" i="34"/>
  <c r="D43" i="34"/>
  <c r="M42" i="34"/>
  <c r="L42" i="34"/>
  <c r="I42" i="34"/>
  <c r="H42" i="34"/>
  <c r="P37" i="34"/>
  <c r="P38" i="34" s="1"/>
  <c r="P39" i="34" s="1"/>
  <c r="P40" i="34" s="1"/>
  <c r="P41" i="34" s="1"/>
  <c r="P42" i="34" s="1"/>
  <c r="P43" i="34" s="1"/>
  <c r="P44" i="34" s="1"/>
  <c r="P45" i="34" s="1"/>
  <c r="P46" i="34" s="1"/>
  <c r="P47" i="34" s="1"/>
  <c r="P48" i="34" s="1"/>
  <c r="P49" i="34" s="1"/>
  <c r="P50" i="34" s="1"/>
  <c r="P51" i="34" s="1"/>
  <c r="P52" i="34" s="1"/>
  <c r="P53" i="34" s="1"/>
  <c r="P54" i="34" s="1"/>
  <c r="S36" i="34" s="1"/>
  <c r="S37" i="34" s="1"/>
  <c r="S38" i="34" s="1"/>
  <c r="S39" i="34" s="1"/>
  <c r="S40" i="34" s="1"/>
  <c r="S41" i="34" s="1"/>
  <c r="S42" i="34" s="1"/>
  <c r="S43" i="34" s="1"/>
  <c r="S44" i="34" s="1"/>
  <c r="S45" i="34" s="1"/>
  <c r="E37" i="34"/>
  <c r="D37" i="34"/>
  <c r="I36" i="34"/>
  <c r="H36" i="34"/>
  <c r="E36" i="34"/>
  <c r="D36" i="34"/>
  <c r="I35" i="34"/>
  <c r="U46" i="34" s="1"/>
  <c r="H35" i="34"/>
  <c r="E35" i="34"/>
  <c r="R53" i="34" s="1"/>
  <c r="D35" i="34"/>
  <c r="M34" i="34"/>
  <c r="X45" i="34" s="1"/>
  <c r="L34" i="34"/>
  <c r="I34" i="34"/>
  <c r="H34" i="34"/>
  <c r="E34" i="34"/>
  <c r="R52" i="34" s="1"/>
  <c r="D34" i="34"/>
  <c r="M33" i="34"/>
  <c r="X44" i="34" s="1"/>
  <c r="L33" i="34"/>
  <c r="I33" i="34"/>
  <c r="H33" i="34"/>
  <c r="E33" i="34"/>
  <c r="R41" i="34" s="1"/>
  <c r="D33" i="34"/>
  <c r="C33" i="34"/>
  <c r="C34" i="34" s="1"/>
  <c r="M32" i="34"/>
  <c r="X43" i="34" s="1"/>
  <c r="L32" i="34"/>
  <c r="I32" i="34"/>
  <c r="H32" i="34"/>
  <c r="E32" i="34"/>
  <c r="R39" i="34" s="1"/>
  <c r="D32" i="34"/>
  <c r="M31" i="34"/>
  <c r="X54" i="34" s="1"/>
  <c r="L31" i="34"/>
  <c r="I31" i="34"/>
  <c r="H31" i="34"/>
  <c r="E31" i="34"/>
  <c r="D31" i="34"/>
  <c r="M30" i="34"/>
  <c r="X53" i="34" s="1"/>
  <c r="L30" i="34"/>
  <c r="I30" i="34"/>
  <c r="H30" i="34"/>
  <c r="M29" i="34"/>
  <c r="X40" i="34" s="1"/>
  <c r="L29" i="34"/>
  <c r="I29" i="34"/>
  <c r="H29" i="34"/>
  <c r="M28" i="34"/>
  <c r="X52" i="34" s="1"/>
  <c r="L28" i="34"/>
  <c r="I28" i="34"/>
  <c r="H28" i="34"/>
  <c r="M27" i="34"/>
  <c r="X51" i="34" s="1"/>
  <c r="L27" i="34"/>
  <c r="I27" i="34"/>
  <c r="H27" i="34"/>
  <c r="M26" i="34"/>
  <c r="X50" i="34" s="1"/>
  <c r="L26" i="34"/>
  <c r="I26" i="34"/>
  <c r="R48" i="34" s="1"/>
  <c r="H26" i="34"/>
  <c r="G26" i="34"/>
  <c r="G27" i="34" s="1"/>
  <c r="G28" i="34" s="1"/>
  <c r="G29" i="34" s="1"/>
  <c r="G30" i="34" s="1"/>
  <c r="G31" i="34" s="1"/>
  <c r="G32" i="34" s="1"/>
  <c r="G33" i="34" s="1"/>
  <c r="G34" i="34" s="1"/>
  <c r="G35" i="34" s="1"/>
  <c r="G36" i="34" s="1"/>
  <c r="M25" i="34"/>
  <c r="X49" i="34" s="1"/>
  <c r="L25" i="34"/>
  <c r="I25" i="34"/>
  <c r="H25" i="34"/>
  <c r="G25" i="34"/>
  <c r="E25" i="34"/>
  <c r="D25" i="34"/>
  <c r="M24" i="34"/>
  <c r="L24" i="34"/>
  <c r="K24" i="34"/>
  <c r="K23" i="34" s="1"/>
  <c r="K25" i="34" s="1"/>
  <c r="K26" i="34" s="1"/>
  <c r="K27" i="34" s="1"/>
  <c r="K28" i="34" s="1"/>
  <c r="K29" i="34" s="1"/>
  <c r="K30" i="34" s="1"/>
  <c r="K31" i="34" s="1"/>
  <c r="K32" i="34" s="1"/>
  <c r="K33" i="34" s="1"/>
  <c r="K34" i="34" s="1"/>
  <c r="I24" i="34"/>
  <c r="H24" i="34"/>
  <c r="E24" i="34"/>
  <c r="D24" i="34"/>
  <c r="M23" i="34"/>
  <c r="L23" i="34"/>
  <c r="E23" i="34"/>
  <c r="D23" i="34"/>
  <c r="C23" i="34"/>
  <c r="C24" i="34" s="1"/>
  <c r="M22" i="34"/>
  <c r="L22" i="34"/>
  <c r="E22" i="34"/>
  <c r="D22" i="34"/>
  <c r="I18" i="34"/>
  <c r="H18" i="34"/>
  <c r="I17" i="34"/>
  <c r="U52" i="34" s="1"/>
  <c r="H17" i="34"/>
  <c r="I16" i="34"/>
  <c r="H16" i="34"/>
  <c r="E16" i="34"/>
  <c r="R44" i="34" s="1"/>
  <c r="D16" i="34"/>
  <c r="I15" i="34"/>
  <c r="H15" i="34"/>
  <c r="E15" i="34"/>
  <c r="D15" i="34"/>
  <c r="M14" i="34"/>
  <c r="L14" i="34"/>
  <c r="I14" i="34"/>
  <c r="H14" i="34"/>
  <c r="E14" i="34"/>
  <c r="D14" i="34"/>
  <c r="M13" i="34"/>
  <c r="L13" i="34"/>
  <c r="I13" i="34"/>
  <c r="H13" i="34"/>
  <c r="E13" i="34"/>
  <c r="U43" i="34" s="1"/>
  <c r="D13" i="34"/>
  <c r="M12" i="34"/>
  <c r="X39" i="34" s="1"/>
  <c r="L12" i="34"/>
  <c r="I12" i="34"/>
  <c r="H12" i="34"/>
  <c r="E12" i="34"/>
  <c r="R45" i="34" s="1"/>
  <c r="D12" i="34"/>
  <c r="M11" i="34"/>
  <c r="X42" i="34" s="1"/>
  <c r="L11" i="34"/>
  <c r="K11" i="34"/>
  <c r="K12" i="34" s="1"/>
  <c r="I11" i="34"/>
  <c r="H11" i="34"/>
  <c r="E11" i="34"/>
  <c r="D11" i="34"/>
  <c r="M10" i="34"/>
  <c r="X48" i="34" s="1"/>
  <c r="L10" i="34"/>
  <c r="K10" i="34"/>
  <c r="I10" i="34"/>
  <c r="H10" i="34"/>
  <c r="E10" i="34"/>
  <c r="R43" i="34" s="1"/>
  <c r="D10" i="34"/>
  <c r="M9" i="34"/>
  <c r="X36" i="34" s="1"/>
  <c r="L9" i="34"/>
  <c r="I9" i="34"/>
  <c r="R49" i="34" s="1"/>
  <c r="H9" i="34"/>
  <c r="E9" i="34"/>
  <c r="D9" i="34"/>
  <c r="M8" i="34"/>
  <c r="L8" i="34"/>
  <c r="K8" i="34"/>
  <c r="I8" i="34"/>
  <c r="R47" i="34" s="1"/>
  <c r="H8" i="34"/>
  <c r="E8" i="34"/>
  <c r="R38" i="34" s="1"/>
  <c r="D8" i="34"/>
  <c r="C8" i="34"/>
  <c r="C9" i="34" s="1"/>
  <c r="C10" i="34" s="1"/>
  <c r="C11" i="34" s="1"/>
  <c r="C12" i="34" s="1"/>
  <c r="C13" i="34" s="1"/>
  <c r="C14" i="34" s="1"/>
  <c r="C15" i="34" s="1"/>
  <c r="C16" i="34" s="1"/>
  <c r="C25" i="34" s="1"/>
  <c r="M7" i="34"/>
  <c r="L7" i="34"/>
  <c r="I7" i="34"/>
  <c r="H7" i="34"/>
  <c r="G7" i="34"/>
  <c r="G8" i="34" s="1"/>
  <c r="G9" i="34" s="1"/>
  <c r="G10" i="34" s="1"/>
  <c r="G11" i="34" s="1"/>
  <c r="G12" i="34" s="1"/>
  <c r="G13" i="34" s="1"/>
  <c r="G14" i="34" s="1"/>
  <c r="G15" i="34" s="1"/>
  <c r="G16" i="34" s="1"/>
  <c r="G17" i="34" s="1"/>
  <c r="G49" i="34" s="1"/>
  <c r="G18" i="34" s="1"/>
  <c r="E7" i="34"/>
  <c r="R36" i="34" s="1"/>
  <c r="D7" i="34"/>
  <c r="C7" i="34"/>
  <c r="M6" i="34"/>
  <c r="L6" i="34"/>
  <c r="I6" i="34"/>
  <c r="H6" i="34"/>
  <c r="E6" i="34"/>
  <c r="D6" i="34"/>
  <c r="C83" i="33"/>
  <c r="C84" i="33" s="1"/>
  <c r="C85" i="33" s="1"/>
  <c r="C86" i="33" s="1"/>
  <c r="C87" i="33" s="1"/>
  <c r="C88" i="33" s="1"/>
  <c r="C89" i="33" s="1"/>
  <c r="C90" i="33" s="1"/>
  <c r="C91" i="33" s="1"/>
  <c r="C92" i="33" s="1"/>
  <c r="C93" i="33" s="1"/>
  <c r="C94" i="33" s="1"/>
  <c r="C95" i="33" s="1"/>
  <c r="C96" i="33" s="1"/>
  <c r="I75" i="33"/>
  <c r="I74" i="33"/>
  <c r="I76" i="33" s="1"/>
  <c r="G74" i="33"/>
  <c r="G75" i="33" s="1"/>
  <c r="G76" i="33" s="1"/>
  <c r="I73" i="33"/>
  <c r="E71" i="33"/>
  <c r="E70" i="33"/>
  <c r="E69" i="33"/>
  <c r="I68" i="33"/>
  <c r="E68" i="33"/>
  <c r="I67" i="33"/>
  <c r="E67" i="33"/>
  <c r="I66" i="33"/>
  <c r="E66" i="33"/>
  <c r="I65" i="33"/>
  <c r="E65" i="33"/>
  <c r="I64" i="33"/>
  <c r="E64" i="33"/>
  <c r="I63" i="33"/>
  <c r="I62" i="33"/>
  <c r="I61" i="33"/>
  <c r="I60" i="33"/>
  <c r="I59" i="33"/>
  <c r="E59" i="33"/>
  <c r="I58" i="33"/>
  <c r="E58" i="33"/>
  <c r="I57" i="33"/>
  <c r="G57" i="33"/>
  <c r="G58" i="33" s="1"/>
  <c r="G59" i="33" s="1"/>
  <c r="G60" i="33" s="1"/>
  <c r="G61" i="33" s="1"/>
  <c r="G62" i="33" s="1"/>
  <c r="G63" i="33" s="1"/>
  <c r="G64" i="33" s="1"/>
  <c r="G65" i="33" s="1"/>
  <c r="G66" i="33" s="1"/>
  <c r="G67" i="33" s="1"/>
  <c r="G68" i="33" s="1"/>
  <c r="C64" i="33" s="1"/>
  <c r="C65" i="33" s="1"/>
  <c r="C66" i="33" s="1"/>
  <c r="C67" i="33" s="1"/>
  <c r="C68" i="33" s="1"/>
  <c r="C69" i="33" s="1"/>
  <c r="C70" i="33" s="1"/>
  <c r="C71" i="33" s="1"/>
  <c r="E57" i="33"/>
  <c r="C57" i="33"/>
  <c r="C58" i="33" s="1"/>
  <c r="C59" i="33" s="1"/>
  <c r="I56" i="33"/>
  <c r="E56" i="33"/>
  <c r="I49" i="33"/>
  <c r="U53" i="33" s="1"/>
  <c r="H49" i="33"/>
  <c r="E49" i="33"/>
  <c r="U51" i="33" s="1"/>
  <c r="D49" i="33"/>
  <c r="I48" i="33"/>
  <c r="H48" i="33"/>
  <c r="E48" i="33"/>
  <c r="U50" i="33" s="1"/>
  <c r="D48" i="33"/>
  <c r="I47" i="33"/>
  <c r="U48" i="33" s="1"/>
  <c r="H47" i="33"/>
  <c r="E47" i="33"/>
  <c r="U49" i="33" s="1"/>
  <c r="D47" i="33"/>
  <c r="I46" i="33"/>
  <c r="U54" i="33" s="1"/>
  <c r="H46" i="33"/>
  <c r="E46" i="33"/>
  <c r="U40" i="33" s="1"/>
  <c r="D46" i="33"/>
  <c r="I45" i="33"/>
  <c r="H45" i="33"/>
  <c r="E45" i="33"/>
  <c r="U38" i="33" s="1"/>
  <c r="D45" i="33"/>
  <c r="I44" i="33"/>
  <c r="H44" i="33"/>
  <c r="G44" i="33"/>
  <c r="G45" i="33" s="1"/>
  <c r="G46" i="33" s="1"/>
  <c r="G47" i="33" s="1"/>
  <c r="G48" i="33" s="1"/>
  <c r="E44" i="33"/>
  <c r="U39" i="33" s="1"/>
  <c r="D44" i="33"/>
  <c r="M43" i="33"/>
  <c r="X38" i="33" s="1"/>
  <c r="L43" i="33"/>
  <c r="K43" i="33"/>
  <c r="I43" i="33"/>
  <c r="H43" i="33"/>
  <c r="G43" i="33"/>
  <c r="E43" i="33"/>
  <c r="D43" i="33"/>
  <c r="M42" i="33"/>
  <c r="L42" i="33"/>
  <c r="I42" i="33"/>
  <c r="H42" i="33"/>
  <c r="P37" i="33"/>
  <c r="P38" i="33" s="1"/>
  <c r="P39" i="33" s="1"/>
  <c r="P40" i="33" s="1"/>
  <c r="P41" i="33" s="1"/>
  <c r="P42" i="33" s="1"/>
  <c r="P43" i="33" s="1"/>
  <c r="P44" i="33" s="1"/>
  <c r="P45" i="33" s="1"/>
  <c r="P46" i="33" s="1"/>
  <c r="P47" i="33" s="1"/>
  <c r="P48" i="33" s="1"/>
  <c r="P49" i="33" s="1"/>
  <c r="P50" i="33" s="1"/>
  <c r="P51" i="33" s="1"/>
  <c r="P52" i="33" s="1"/>
  <c r="P53" i="33" s="1"/>
  <c r="P54" i="33" s="1"/>
  <c r="S36" i="33" s="1"/>
  <c r="S37" i="33" s="1"/>
  <c r="S38" i="33" s="1"/>
  <c r="S39" i="33" s="1"/>
  <c r="S40" i="33" s="1"/>
  <c r="S41" i="33" s="1"/>
  <c r="S42" i="33" s="1"/>
  <c r="S43" i="33" s="1"/>
  <c r="S44" i="33" s="1"/>
  <c r="S45" i="33" s="1"/>
  <c r="E37" i="33"/>
  <c r="D37" i="33"/>
  <c r="I36" i="33"/>
  <c r="H36" i="33"/>
  <c r="E36" i="33"/>
  <c r="D36" i="33"/>
  <c r="I35" i="33"/>
  <c r="U46" i="33" s="1"/>
  <c r="H35" i="33"/>
  <c r="E35" i="33"/>
  <c r="R53" i="33" s="1"/>
  <c r="D35" i="33"/>
  <c r="M34" i="33"/>
  <c r="X45" i="33" s="1"/>
  <c r="L34" i="33"/>
  <c r="I34" i="33"/>
  <c r="H34" i="33"/>
  <c r="E34" i="33"/>
  <c r="R52" i="33" s="1"/>
  <c r="D34" i="33"/>
  <c r="M33" i="33"/>
  <c r="X44" i="33" s="1"/>
  <c r="L33" i="33"/>
  <c r="I33" i="33"/>
  <c r="H33" i="33"/>
  <c r="E33" i="33"/>
  <c r="D33" i="33"/>
  <c r="C33" i="33"/>
  <c r="C34" i="33" s="1"/>
  <c r="M32" i="33"/>
  <c r="X43" i="33" s="1"/>
  <c r="L32" i="33"/>
  <c r="I32" i="33"/>
  <c r="H32" i="33"/>
  <c r="E32" i="33"/>
  <c r="R39" i="33" s="1"/>
  <c r="D32" i="33"/>
  <c r="M31" i="33"/>
  <c r="X54" i="33" s="1"/>
  <c r="L31" i="33"/>
  <c r="I31" i="33"/>
  <c r="H31" i="33"/>
  <c r="E31" i="33"/>
  <c r="D31" i="33"/>
  <c r="M30" i="33"/>
  <c r="X53" i="33" s="1"/>
  <c r="L30" i="33"/>
  <c r="I30" i="33"/>
  <c r="H30" i="33"/>
  <c r="M29" i="33"/>
  <c r="X40" i="33" s="1"/>
  <c r="L29" i="33"/>
  <c r="I29" i="33"/>
  <c r="H29" i="33"/>
  <c r="M28" i="33"/>
  <c r="X52" i="33" s="1"/>
  <c r="L28" i="33"/>
  <c r="I28" i="33"/>
  <c r="H28" i="33"/>
  <c r="M27" i="33"/>
  <c r="X51" i="33" s="1"/>
  <c r="L27" i="33"/>
  <c r="I27" i="33"/>
  <c r="H27" i="33"/>
  <c r="M26" i="33"/>
  <c r="X50" i="33" s="1"/>
  <c r="L26" i="33"/>
  <c r="I26" i="33"/>
  <c r="R48" i="33" s="1"/>
  <c r="H26" i="33"/>
  <c r="G26" i="33"/>
  <c r="G27" i="33" s="1"/>
  <c r="G28" i="33" s="1"/>
  <c r="G29" i="33" s="1"/>
  <c r="G30" i="33" s="1"/>
  <c r="G31" i="33" s="1"/>
  <c r="G32" i="33" s="1"/>
  <c r="G33" i="33" s="1"/>
  <c r="G34" i="33" s="1"/>
  <c r="G35" i="33" s="1"/>
  <c r="G36" i="33" s="1"/>
  <c r="M25" i="33"/>
  <c r="X49" i="33" s="1"/>
  <c r="L25" i="33"/>
  <c r="K25" i="33"/>
  <c r="K26" i="33" s="1"/>
  <c r="K27" i="33" s="1"/>
  <c r="K28" i="33" s="1"/>
  <c r="K29" i="33" s="1"/>
  <c r="K30" i="33" s="1"/>
  <c r="K31" i="33" s="1"/>
  <c r="K32" i="33" s="1"/>
  <c r="K33" i="33" s="1"/>
  <c r="K34" i="33" s="1"/>
  <c r="I25" i="33"/>
  <c r="H25" i="33"/>
  <c r="G25" i="33"/>
  <c r="E25" i="33"/>
  <c r="D25" i="33"/>
  <c r="M24" i="33"/>
  <c r="L24" i="33"/>
  <c r="K24" i="33"/>
  <c r="I24" i="33"/>
  <c r="H24" i="33"/>
  <c r="E24" i="33"/>
  <c r="D24" i="33"/>
  <c r="M23" i="33"/>
  <c r="L23" i="33"/>
  <c r="K23" i="33"/>
  <c r="E23" i="33"/>
  <c r="D23" i="33"/>
  <c r="C23" i="33"/>
  <c r="C24" i="33" s="1"/>
  <c r="M22" i="33"/>
  <c r="L22" i="33"/>
  <c r="E22" i="33"/>
  <c r="D22" i="33"/>
  <c r="I18" i="33"/>
  <c r="H18" i="33"/>
  <c r="I17" i="33"/>
  <c r="U52" i="33" s="1"/>
  <c r="H17" i="33"/>
  <c r="I16" i="33"/>
  <c r="H16" i="33"/>
  <c r="E16" i="33"/>
  <c r="R44" i="33" s="1"/>
  <c r="D16" i="33"/>
  <c r="I15" i="33"/>
  <c r="H15" i="33"/>
  <c r="E15" i="33"/>
  <c r="D15" i="33"/>
  <c r="M14" i="33"/>
  <c r="L14" i="33"/>
  <c r="I14" i="33"/>
  <c r="H14" i="33"/>
  <c r="E14" i="33"/>
  <c r="D14" i="33"/>
  <c r="M13" i="33"/>
  <c r="L13" i="33"/>
  <c r="I13" i="33"/>
  <c r="H13" i="33"/>
  <c r="E13" i="33"/>
  <c r="U43" i="33" s="1"/>
  <c r="D13" i="33"/>
  <c r="M12" i="33"/>
  <c r="X39" i="33" s="1"/>
  <c r="L12" i="33"/>
  <c r="I12" i="33"/>
  <c r="H12" i="33"/>
  <c r="E12" i="33"/>
  <c r="R45" i="33" s="1"/>
  <c r="D12" i="33"/>
  <c r="M11" i="33"/>
  <c r="X42" i="33" s="1"/>
  <c r="L11" i="33"/>
  <c r="I11" i="33"/>
  <c r="H11" i="33"/>
  <c r="E11" i="33"/>
  <c r="D11" i="33"/>
  <c r="M10" i="33"/>
  <c r="X48" i="33" s="1"/>
  <c r="L10" i="33"/>
  <c r="K10" i="33"/>
  <c r="K11" i="33" s="1"/>
  <c r="K12" i="33" s="1"/>
  <c r="I10" i="33"/>
  <c r="H10" i="33"/>
  <c r="E10" i="33"/>
  <c r="R43" i="33" s="1"/>
  <c r="D10" i="33"/>
  <c r="M9" i="33"/>
  <c r="X36" i="33" s="1"/>
  <c r="L9" i="33"/>
  <c r="I9" i="33"/>
  <c r="H9" i="33"/>
  <c r="E9" i="33"/>
  <c r="D9" i="33"/>
  <c r="M8" i="33"/>
  <c r="L8" i="33"/>
  <c r="K8" i="33"/>
  <c r="I8" i="33"/>
  <c r="R47" i="33" s="1"/>
  <c r="H8" i="33"/>
  <c r="E8" i="33"/>
  <c r="R38" i="33" s="1"/>
  <c r="D8" i="33"/>
  <c r="M7" i="33"/>
  <c r="L7" i="33"/>
  <c r="I7" i="33"/>
  <c r="H7" i="33"/>
  <c r="G7" i="33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49" i="33" s="1"/>
  <c r="G18" i="33" s="1"/>
  <c r="E7" i="33"/>
  <c r="R36" i="33" s="1"/>
  <c r="D7" i="33"/>
  <c r="C7" i="33"/>
  <c r="C8" i="33" s="1"/>
  <c r="C9" i="33" s="1"/>
  <c r="C10" i="33" s="1"/>
  <c r="C11" i="33" s="1"/>
  <c r="C12" i="33" s="1"/>
  <c r="C13" i="33" s="1"/>
  <c r="C14" i="33" s="1"/>
  <c r="C15" i="33" s="1"/>
  <c r="C16" i="33" s="1"/>
  <c r="C25" i="33" s="1"/>
  <c r="M6" i="33"/>
  <c r="L6" i="33"/>
  <c r="I6" i="33"/>
  <c r="H6" i="33"/>
  <c r="E6" i="33"/>
  <c r="D6" i="33"/>
  <c r="C84" i="32"/>
  <c r="C85" i="32" s="1"/>
  <c r="C86" i="32" s="1"/>
  <c r="C87" i="32" s="1"/>
  <c r="C88" i="32" s="1"/>
  <c r="C89" i="32" s="1"/>
  <c r="C90" i="32" s="1"/>
  <c r="C91" i="32" s="1"/>
  <c r="C92" i="32" s="1"/>
  <c r="C93" i="32" s="1"/>
  <c r="C94" i="32" s="1"/>
  <c r="C95" i="32" s="1"/>
  <c r="C96" i="32" s="1"/>
  <c r="C83" i="32"/>
  <c r="I75" i="32"/>
  <c r="I74" i="32"/>
  <c r="I76" i="32" s="1"/>
  <c r="G74" i="32"/>
  <c r="G75" i="32" s="1"/>
  <c r="G76" i="32" s="1"/>
  <c r="I73" i="32"/>
  <c r="E71" i="32"/>
  <c r="E70" i="32"/>
  <c r="E69" i="32"/>
  <c r="I68" i="32"/>
  <c r="E68" i="32"/>
  <c r="I67" i="32"/>
  <c r="E67" i="32"/>
  <c r="I66" i="32"/>
  <c r="E66" i="32"/>
  <c r="I65" i="32"/>
  <c r="E65" i="32"/>
  <c r="I64" i="32"/>
  <c r="E64" i="32"/>
  <c r="I63" i="32"/>
  <c r="I62" i="32"/>
  <c r="I61" i="32"/>
  <c r="I60" i="32"/>
  <c r="I59" i="32"/>
  <c r="E59" i="32"/>
  <c r="I58" i="32"/>
  <c r="E58" i="32"/>
  <c r="C58" i="32"/>
  <c r="C59" i="32" s="1"/>
  <c r="I57" i="32"/>
  <c r="G57" i="32"/>
  <c r="G58" i="32" s="1"/>
  <c r="G59" i="32" s="1"/>
  <c r="G60" i="32" s="1"/>
  <c r="G61" i="32" s="1"/>
  <c r="G62" i="32" s="1"/>
  <c r="G63" i="32" s="1"/>
  <c r="G64" i="32" s="1"/>
  <c r="G65" i="32" s="1"/>
  <c r="G66" i="32" s="1"/>
  <c r="G67" i="32" s="1"/>
  <c r="G68" i="32" s="1"/>
  <c r="C64" i="32" s="1"/>
  <c r="C65" i="32" s="1"/>
  <c r="C66" i="32" s="1"/>
  <c r="C67" i="32" s="1"/>
  <c r="C68" i="32" s="1"/>
  <c r="C69" i="32" s="1"/>
  <c r="C70" i="32" s="1"/>
  <c r="C71" i="32" s="1"/>
  <c r="E57" i="32"/>
  <c r="C57" i="32"/>
  <c r="I56" i="32"/>
  <c r="E56" i="32"/>
  <c r="I49" i="32"/>
  <c r="U53" i="32" s="1"/>
  <c r="H49" i="32"/>
  <c r="E49" i="32"/>
  <c r="U51" i="32" s="1"/>
  <c r="D49" i="32"/>
  <c r="I48" i="32"/>
  <c r="H48" i="32"/>
  <c r="E48" i="32"/>
  <c r="U50" i="32" s="1"/>
  <c r="D48" i="32"/>
  <c r="I47" i="32"/>
  <c r="U48" i="32" s="1"/>
  <c r="H47" i="32"/>
  <c r="E47" i="32"/>
  <c r="U49" i="32" s="1"/>
  <c r="D47" i="32"/>
  <c r="I46" i="32"/>
  <c r="U54" i="32" s="1"/>
  <c r="H46" i="32"/>
  <c r="E46" i="32"/>
  <c r="U40" i="32" s="1"/>
  <c r="D46" i="32"/>
  <c r="I45" i="32"/>
  <c r="H45" i="32"/>
  <c r="E45" i="32"/>
  <c r="U38" i="32" s="1"/>
  <c r="D45" i="32"/>
  <c r="I44" i="32"/>
  <c r="H44" i="32"/>
  <c r="E44" i="32"/>
  <c r="U39" i="32" s="1"/>
  <c r="D44" i="32"/>
  <c r="M43" i="32"/>
  <c r="X38" i="32" s="1"/>
  <c r="L43" i="32"/>
  <c r="K43" i="32"/>
  <c r="I43" i="32"/>
  <c r="H43" i="32"/>
  <c r="G43" i="32"/>
  <c r="G44" i="32" s="1"/>
  <c r="G45" i="32" s="1"/>
  <c r="G46" i="32" s="1"/>
  <c r="G47" i="32" s="1"/>
  <c r="G48" i="32" s="1"/>
  <c r="E43" i="32"/>
  <c r="D43" i="32"/>
  <c r="M42" i="32"/>
  <c r="L42" i="32"/>
  <c r="I42" i="32"/>
  <c r="H42" i="32"/>
  <c r="P37" i="32"/>
  <c r="P38" i="32" s="1"/>
  <c r="P39" i="32" s="1"/>
  <c r="P40" i="32" s="1"/>
  <c r="P41" i="32" s="1"/>
  <c r="P42" i="32" s="1"/>
  <c r="P43" i="32" s="1"/>
  <c r="P44" i="32" s="1"/>
  <c r="P45" i="32" s="1"/>
  <c r="P46" i="32" s="1"/>
  <c r="P47" i="32" s="1"/>
  <c r="P48" i="32" s="1"/>
  <c r="P49" i="32" s="1"/>
  <c r="P50" i="32" s="1"/>
  <c r="P51" i="32" s="1"/>
  <c r="P52" i="32" s="1"/>
  <c r="P53" i="32" s="1"/>
  <c r="P54" i="32" s="1"/>
  <c r="S36" i="32" s="1"/>
  <c r="S37" i="32" s="1"/>
  <c r="S38" i="32" s="1"/>
  <c r="S39" i="32" s="1"/>
  <c r="S40" i="32" s="1"/>
  <c r="S41" i="32" s="1"/>
  <c r="S42" i="32" s="1"/>
  <c r="S43" i="32" s="1"/>
  <c r="S44" i="32" s="1"/>
  <c r="S45" i="32" s="1"/>
  <c r="E37" i="32"/>
  <c r="D37" i="32"/>
  <c r="I36" i="32"/>
  <c r="H36" i="32"/>
  <c r="E36" i="32"/>
  <c r="D36" i="32"/>
  <c r="I35" i="32"/>
  <c r="U46" i="32" s="1"/>
  <c r="H35" i="32"/>
  <c r="E35" i="32"/>
  <c r="R53" i="32" s="1"/>
  <c r="D35" i="32"/>
  <c r="M34" i="32"/>
  <c r="X45" i="32" s="1"/>
  <c r="L34" i="32"/>
  <c r="I34" i="32"/>
  <c r="H34" i="32"/>
  <c r="E34" i="32"/>
  <c r="R52" i="32" s="1"/>
  <c r="D34" i="32"/>
  <c r="M33" i="32"/>
  <c r="X44" i="32" s="1"/>
  <c r="L33" i="32"/>
  <c r="I33" i="32"/>
  <c r="H33" i="32"/>
  <c r="E33" i="32"/>
  <c r="R41" i="32" s="1"/>
  <c r="D33" i="32"/>
  <c r="C33" i="32"/>
  <c r="C34" i="32" s="1"/>
  <c r="M32" i="32"/>
  <c r="X43" i="32" s="1"/>
  <c r="L32" i="32"/>
  <c r="I32" i="32"/>
  <c r="H32" i="32"/>
  <c r="E32" i="32"/>
  <c r="R39" i="32" s="1"/>
  <c r="D32" i="32"/>
  <c r="M31" i="32"/>
  <c r="X54" i="32" s="1"/>
  <c r="L31" i="32"/>
  <c r="I31" i="32"/>
  <c r="H31" i="32"/>
  <c r="E31" i="32"/>
  <c r="D31" i="32"/>
  <c r="M30" i="32"/>
  <c r="X53" i="32" s="1"/>
  <c r="L30" i="32"/>
  <c r="I30" i="32"/>
  <c r="H30" i="32"/>
  <c r="M29" i="32"/>
  <c r="X40" i="32" s="1"/>
  <c r="L29" i="32"/>
  <c r="I29" i="32"/>
  <c r="H29" i="32"/>
  <c r="M28" i="32"/>
  <c r="X52" i="32" s="1"/>
  <c r="L28" i="32"/>
  <c r="I28" i="32"/>
  <c r="H28" i="32"/>
  <c r="M27" i="32"/>
  <c r="X51" i="32" s="1"/>
  <c r="L27" i="32"/>
  <c r="I27" i="32"/>
  <c r="H27" i="32"/>
  <c r="M26" i="32"/>
  <c r="X50" i="32" s="1"/>
  <c r="L26" i="32"/>
  <c r="I26" i="32"/>
  <c r="R48" i="32" s="1"/>
  <c r="H26" i="32"/>
  <c r="G26" i="32"/>
  <c r="G27" i="32" s="1"/>
  <c r="G28" i="32" s="1"/>
  <c r="G29" i="32" s="1"/>
  <c r="G30" i="32" s="1"/>
  <c r="G31" i="32" s="1"/>
  <c r="G32" i="32" s="1"/>
  <c r="G33" i="32" s="1"/>
  <c r="G34" i="32" s="1"/>
  <c r="G35" i="32" s="1"/>
  <c r="G36" i="32" s="1"/>
  <c r="M25" i="32"/>
  <c r="X49" i="32" s="1"/>
  <c r="L25" i="32"/>
  <c r="K25" i="32"/>
  <c r="K26" i="32" s="1"/>
  <c r="K27" i="32" s="1"/>
  <c r="K28" i="32" s="1"/>
  <c r="K29" i="32" s="1"/>
  <c r="K30" i="32" s="1"/>
  <c r="K31" i="32" s="1"/>
  <c r="K32" i="32" s="1"/>
  <c r="K33" i="32" s="1"/>
  <c r="K34" i="32" s="1"/>
  <c r="I25" i="32"/>
  <c r="H25" i="32"/>
  <c r="G25" i="32"/>
  <c r="E25" i="32"/>
  <c r="D25" i="32"/>
  <c r="M24" i="32"/>
  <c r="L24" i="32"/>
  <c r="K24" i="32"/>
  <c r="I24" i="32"/>
  <c r="H24" i="32"/>
  <c r="E24" i="32"/>
  <c r="D24" i="32"/>
  <c r="M23" i="32"/>
  <c r="L23" i="32"/>
  <c r="K23" i="32"/>
  <c r="E23" i="32"/>
  <c r="D23" i="32"/>
  <c r="C23" i="32"/>
  <c r="C24" i="32" s="1"/>
  <c r="M22" i="32"/>
  <c r="L22" i="32"/>
  <c r="E22" i="32"/>
  <c r="D22" i="32"/>
  <c r="I18" i="32"/>
  <c r="H18" i="32"/>
  <c r="I17" i="32"/>
  <c r="U52" i="32" s="1"/>
  <c r="H17" i="32"/>
  <c r="I16" i="32"/>
  <c r="H16" i="32"/>
  <c r="E16" i="32"/>
  <c r="R44" i="32" s="1"/>
  <c r="D16" i="32"/>
  <c r="I15" i="32"/>
  <c r="H15" i="32"/>
  <c r="E15" i="32"/>
  <c r="D15" i="32"/>
  <c r="M14" i="32"/>
  <c r="L14" i="32"/>
  <c r="I14" i="32"/>
  <c r="H14" i="32"/>
  <c r="E14" i="32"/>
  <c r="D14" i="32"/>
  <c r="M13" i="32"/>
  <c r="L13" i="32"/>
  <c r="I13" i="32"/>
  <c r="H13" i="32"/>
  <c r="E13" i="32"/>
  <c r="U43" i="32" s="1"/>
  <c r="D13" i="32"/>
  <c r="M12" i="32"/>
  <c r="X39" i="32" s="1"/>
  <c r="L12" i="32"/>
  <c r="I12" i="32"/>
  <c r="H12" i="32"/>
  <c r="E12" i="32"/>
  <c r="R45" i="32" s="1"/>
  <c r="D12" i="32"/>
  <c r="M11" i="32"/>
  <c r="X42" i="32" s="1"/>
  <c r="L11" i="32"/>
  <c r="K11" i="32"/>
  <c r="K12" i="32" s="1"/>
  <c r="I11" i="32"/>
  <c r="H11" i="32"/>
  <c r="E11" i="32"/>
  <c r="D11" i="32"/>
  <c r="M10" i="32"/>
  <c r="X48" i="32" s="1"/>
  <c r="L10" i="32"/>
  <c r="K10" i="32"/>
  <c r="I10" i="32"/>
  <c r="R40" i="32" s="1"/>
  <c r="H10" i="32"/>
  <c r="E10" i="32"/>
  <c r="R43" i="32" s="1"/>
  <c r="D10" i="32"/>
  <c r="M9" i="32"/>
  <c r="X36" i="32" s="1"/>
  <c r="L9" i="32"/>
  <c r="I9" i="32"/>
  <c r="H9" i="32"/>
  <c r="E9" i="32"/>
  <c r="D9" i="32"/>
  <c r="M8" i="32"/>
  <c r="L8" i="32"/>
  <c r="K8" i="32"/>
  <c r="I8" i="32"/>
  <c r="R47" i="32" s="1"/>
  <c r="H8" i="32"/>
  <c r="E8" i="32"/>
  <c r="R38" i="32" s="1"/>
  <c r="D8" i="32"/>
  <c r="M7" i="32"/>
  <c r="L7" i="32"/>
  <c r="I7" i="32"/>
  <c r="H7" i="32"/>
  <c r="G7" i="32"/>
  <c r="G8" i="32" s="1"/>
  <c r="G9" i="32" s="1"/>
  <c r="G10" i="32" s="1"/>
  <c r="G11" i="32" s="1"/>
  <c r="G12" i="32" s="1"/>
  <c r="G13" i="32" s="1"/>
  <c r="G14" i="32" s="1"/>
  <c r="G15" i="32" s="1"/>
  <c r="G16" i="32" s="1"/>
  <c r="G17" i="32" s="1"/>
  <c r="G49" i="32" s="1"/>
  <c r="G18" i="32" s="1"/>
  <c r="E7" i="32"/>
  <c r="R36" i="32" s="1"/>
  <c r="D7" i="32"/>
  <c r="C7" i="32"/>
  <c r="C8" i="32" s="1"/>
  <c r="C9" i="32" s="1"/>
  <c r="C10" i="32" s="1"/>
  <c r="C11" i="32" s="1"/>
  <c r="C12" i="32" s="1"/>
  <c r="C13" i="32" s="1"/>
  <c r="C14" i="32" s="1"/>
  <c r="C15" i="32" s="1"/>
  <c r="C16" i="32" s="1"/>
  <c r="C25" i="32" s="1"/>
  <c r="M6" i="32"/>
  <c r="L6" i="32"/>
  <c r="I6" i="32"/>
  <c r="H6" i="32"/>
  <c r="E6" i="32"/>
  <c r="D6" i="32"/>
  <c r="C83" i="31"/>
  <c r="C84" i="31" s="1"/>
  <c r="C85" i="31" s="1"/>
  <c r="C86" i="31" s="1"/>
  <c r="C87" i="31" s="1"/>
  <c r="C88" i="31" s="1"/>
  <c r="C89" i="31" s="1"/>
  <c r="C90" i="31" s="1"/>
  <c r="C91" i="31" s="1"/>
  <c r="C92" i="31" s="1"/>
  <c r="C93" i="31" s="1"/>
  <c r="C94" i="31" s="1"/>
  <c r="C95" i="31" s="1"/>
  <c r="C96" i="31" s="1"/>
  <c r="I75" i="31"/>
  <c r="G75" i="31"/>
  <c r="G76" i="31" s="1"/>
  <c r="I74" i="31"/>
  <c r="I76" i="31" s="1"/>
  <c r="G74" i="31"/>
  <c r="I73" i="31"/>
  <c r="E71" i="31"/>
  <c r="E70" i="31"/>
  <c r="E69" i="31"/>
  <c r="I68" i="31"/>
  <c r="E68" i="31"/>
  <c r="I67" i="31"/>
  <c r="E67" i="31"/>
  <c r="I66" i="31"/>
  <c r="E66" i="31"/>
  <c r="I65" i="31"/>
  <c r="E65" i="31"/>
  <c r="I64" i="31"/>
  <c r="E64" i="31"/>
  <c r="I63" i="31"/>
  <c r="I62" i="31"/>
  <c r="I61" i="31"/>
  <c r="I60" i="31"/>
  <c r="I59" i="31"/>
  <c r="E59" i="31"/>
  <c r="I58" i="31"/>
  <c r="E58" i="31"/>
  <c r="I57" i="31"/>
  <c r="G57" i="31"/>
  <c r="G58" i="31" s="1"/>
  <c r="G59" i="31" s="1"/>
  <c r="G60" i="31" s="1"/>
  <c r="G61" i="31" s="1"/>
  <c r="G62" i="31" s="1"/>
  <c r="G63" i="31" s="1"/>
  <c r="G64" i="31" s="1"/>
  <c r="G65" i="31" s="1"/>
  <c r="G66" i="31" s="1"/>
  <c r="G67" i="31" s="1"/>
  <c r="G68" i="31" s="1"/>
  <c r="C64" i="31" s="1"/>
  <c r="C65" i="31" s="1"/>
  <c r="C66" i="31" s="1"/>
  <c r="C67" i="31" s="1"/>
  <c r="C68" i="31" s="1"/>
  <c r="C69" i="31" s="1"/>
  <c r="C70" i="31" s="1"/>
  <c r="C71" i="31" s="1"/>
  <c r="E57" i="31"/>
  <c r="C57" i="31"/>
  <c r="C58" i="31" s="1"/>
  <c r="C59" i="31" s="1"/>
  <c r="I56" i="31"/>
  <c r="E56" i="31"/>
  <c r="I49" i="31"/>
  <c r="U53" i="31" s="1"/>
  <c r="H49" i="31"/>
  <c r="E49" i="31"/>
  <c r="U51" i="31" s="1"/>
  <c r="D49" i="31"/>
  <c r="I48" i="31"/>
  <c r="H48" i="31"/>
  <c r="E48" i="31"/>
  <c r="U50" i="31" s="1"/>
  <c r="D48" i="31"/>
  <c r="I47" i="31"/>
  <c r="U48" i="31" s="1"/>
  <c r="H47" i="31"/>
  <c r="E47" i="31"/>
  <c r="U49" i="31" s="1"/>
  <c r="D47" i="31"/>
  <c r="I46" i="31"/>
  <c r="U54" i="31" s="1"/>
  <c r="H46" i="31"/>
  <c r="E46" i="31"/>
  <c r="U40" i="31" s="1"/>
  <c r="D46" i="31"/>
  <c r="I45" i="31"/>
  <c r="H45" i="31"/>
  <c r="E45" i="31"/>
  <c r="U38" i="31" s="1"/>
  <c r="D45" i="31"/>
  <c r="I44" i="31"/>
  <c r="H44" i="31"/>
  <c r="G44" i="31"/>
  <c r="G45" i="31" s="1"/>
  <c r="G46" i="31" s="1"/>
  <c r="G47" i="31" s="1"/>
  <c r="G48" i="31" s="1"/>
  <c r="E44" i="31"/>
  <c r="U39" i="31" s="1"/>
  <c r="D44" i="31"/>
  <c r="M43" i="31"/>
  <c r="X38" i="31" s="1"/>
  <c r="L43" i="31"/>
  <c r="K43" i="31"/>
  <c r="I43" i="31"/>
  <c r="H43" i="31"/>
  <c r="G43" i="31"/>
  <c r="E43" i="31"/>
  <c r="D43" i="31"/>
  <c r="M42" i="31"/>
  <c r="L42" i="31"/>
  <c r="I42" i="31"/>
  <c r="H42" i="31"/>
  <c r="P37" i="31"/>
  <c r="P38" i="31" s="1"/>
  <c r="P39" i="31" s="1"/>
  <c r="P40" i="31" s="1"/>
  <c r="P41" i="31" s="1"/>
  <c r="P42" i="31" s="1"/>
  <c r="P43" i="31" s="1"/>
  <c r="P44" i="31" s="1"/>
  <c r="P45" i="31" s="1"/>
  <c r="P46" i="31" s="1"/>
  <c r="P47" i="31" s="1"/>
  <c r="P48" i="31" s="1"/>
  <c r="P49" i="31" s="1"/>
  <c r="P50" i="31" s="1"/>
  <c r="P51" i="31" s="1"/>
  <c r="P52" i="31" s="1"/>
  <c r="P53" i="31" s="1"/>
  <c r="P54" i="31" s="1"/>
  <c r="S36" i="31" s="1"/>
  <c r="S37" i="31" s="1"/>
  <c r="S38" i="31" s="1"/>
  <c r="S39" i="31" s="1"/>
  <c r="S40" i="31" s="1"/>
  <c r="S41" i="31" s="1"/>
  <c r="S42" i="31" s="1"/>
  <c r="S43" i="31" s="1"/>
  <c r="S44" i="31" s="1"/>
  <c r="S45" i="31" s="1"/>
  <c r="E37" i="31"/>
  <c r="D37" i="31"/>
  <c r="I36" i="31"/>
  <c r="H36" i="31"/>
  <c r="E36" i="31"/>
  <c r="D36" i="31"/>
  <c r="I35" i="31"/>
  <c r="U46" i="31" s="1"/>
  <c r="H35" i="31"/>
  <c r="E35" i="31"/>
  <c r="R53" i="31" s="1"/>
  <c r="D35" i="31"/>
  <c r="M34" i="31"/>
  <c r="X45" i="31" s="1"/>
  <c r="L34" i="31"/>
  <c r="I34" i="31"/>
  <c r="H34" i="31"/>
  <c r="E34" i="31"/>
  <c r="R52" i="31" s="1"/>
  <c r="D34" i="31"/>
  <c r="M33" i="31"/>
  <c r="X44" i="31" s="1"/>
  <c r="L33" i="31"/>
  <c r="I33" i="31"/>
  <c r="H33" i="31"/>
  <c r="E33" i="31"/>
  <c r="R41" i="31" s="1"/>
  <c r="D33" i="31"/>
  <c r="C33" i="31"/>
  <c r="C34" i="31" s="1"/>
  <c r="M32" i="31"/>
  <c r="X43" i="31" s="1"/>
  <c r="L32" i="31"/>
  <c r="I32" i="31"/>
  <c r="H32" i="31"/>
  <c r="E32" i="31"/>
  <c r="R39" i="31" s="1"/>
  <c r="D32" i="31"/>
  <c r="M31" i="31"/>
  <c r="X54" i="31" s="1"/>
  <c r="L31" i="31"/>
  <c r="I31" i="31"/>
  <c r="H31" i="31"/>
  <c r="E31" i="31"/>
  <c r="D31" i="31"/>
  <c r="M30" i="31"/>
  <c r="X53" i="31" s="1"/>
  <c r="L30" i="31"/>
  <c r="I30" i="31"/>
  <c r="H30" i="31"/>
  <c r="M29" i="31"/>
  <c r="X40" i="31" s="1"/>
  <c r="L29" i="31"/>
  <c r="I29" i="31"/>
  <c r="H29" i="31"/>
  <c r="M28" i="31"/>
  <c r="X52" i="31" s="1"/>
  <c r="L28" i="31"/>
  <c r="I28" i="31"/>
  <c r="H28" i="31"/>
  <c r="M27" i="31"/>
  <c r="X51" i="31" s="1"/>
  <c r="L27" i="31"/>
  <c r="I27" i="31"/>
  <c r="H27" i="31"/>
  <c r="M26" i="31"/>
  <c r="X50" i="31" s="1"/>
  <c r="L26" i="31"/>
  <c r="I26" i="31"/>
  <c r="R48" i="31" s="1"/>
  <c r="H26" i="31"/>
  <c r="M25" i="31"/>
  <c r="X49" i="31" s="1"/>
  <c r="L25" i="31"/>
  <c r="I25" i="31"/>
  <c r="H25" i="31"/>
  <c r="G25" i="31"/>
  <c r="G26" i="31" s="1"/>
  <c r="G27" i="31" s="1"/>
  <c r="G28" i="31" s="1"/>
  <c r="G29" i="31" s="1"/>
  <c r="G30" i="31" s="1"/>
  <c r="G31" i="31" s="1"/>
  <c r="G32" i="31" s="1"/>
  <c r="G33" i="31" s="1"/>
  <c r="G34" i="31" s="1"/>
  <c r="G35" i="31" s="1"/>
  <c r="G36" i="31" s="1"/>
  <c r="E25" i="31"/>
  <c r="D25" i="31"/>
  <c r="M24" i="31"/>
  <c r="L24" i="31"/>
  <c r="K24" i="31"/>
  <c r="I24" i="31"/>
  <c r="H24" i="31"/>
  <c r="E24" i="31"/>
  <c r="D24" i="31"/>
  <c r="M23" i="31"/>
  <c r="L23" i="31"/>
  <c r="K23" i="31"/>
  <c r="K25" i="31" s="1"/>
  <c r="K26" i="31" s="1"/>
  <c r="K27" i="31" s="1"/>
  <c r="K28" i="31" s="1"/>
  <c r="K29" i="31" s="1"/>
  <c r="K30" i="31" s="1"/>
  <c r="K31" i="31" s="1"/>
  <c r="K32" i="31" s="1"/>
  <c r="K33" i="31" s="1"/>
  <c r="K34" i="31" s="1"/>
  <c r="E23" i="31"/>
  <c r="D23" i="31"/>
  <c r="C23" i="31"/>
  <c r="C24" i="31" s="1"/>
  <c r="M22" i="31"/>
  <c r="L22" i="31"/>
  <c r="E22" i="31"/>
  <c r="D22" i="31"/>
  <c r="I18" i="31"/>
  <c r="H18" i="31"/>
  <c r="I17" i="31"/>
  <c r="U52" i="31" s="1"/>
  <c r="H17" i="31"/>
  <c r="I16" i="31"/>
  <c r="H16" i="31"/>
  <c r="E16" i="31"/>
  <c r="R44" i="31" s="1"/>
  <c r="D16" i="31"/>
  <c r="I15" i="31"/>
  <c r="H15" i="31"/>
  <c r="E15" i="31"/>
  <c r="D15" i="31"/>
  <c r="M14" i="31"/>
  <c r="L14" i="31"/>
  <c r="I14" i="31"/>
  <c r="H14" i="31"/>
  <c r="E14" i="31"/>
  <c r="D14" i="31"/>
  <c r="M13" i="31"/>
  <c r="L13" i="31"/>
  <c r="I13" i="31"/>
  <c r="H13" i="31"/>
  <c r="E13" i="31"/>
  <c r="U43" i="31" s="1"/>
  <c r="D13" i="31"/>
  <c r="M12" i="31"/>
  <c r="X39" i="31" s="1"/>
  <c r="L12" i="31"/>
  <c r="I12" i="31"/>
  <c r="H12" i="31"/>
  <c r="E12" i="31"/>
  <c r="R45" i="31" s="1"/>
  <c r="D12" i="31"/>
  <c r="M11" i="31"/>
  <c r="X42" i="31" s="1"/>
  <c r="L11" i="31"/>
  <c r="I11" i="31"/>
  <c r="H11" i="31"/>
  <c r="E11" i="31"/>
  <c r="R42" i="31" s="1"/>
  <c r="D11" i="31"/>
  <c r="M10" i="31"/>
  <c r="X48" i="31" s="1"/>
  <c r="L10" i="31"/>
  <c r="K10" i="31"/>
  <c r="K11" i="31" s="1"/>
  <c r="K12" i="31" s="1"/>
  <c r="I10" i="31"/>
  <c r="R40" i="31" s="1"/>
  <c r="H10" i="31"/>
  <c r="E10" i="31"/>
  <c r="R43" i="31" s="1"/>
  <c r="D10" i="31"/>
  <c r="M9" i="31"/>
  <c r="X36" i="31" s="1"/>
  <c r="L9" i="31"/>
  <c r="I9" i="31"/>
  <c r="H9" i="31"/>
  <c r="E9" i="31"/>
  <c r="D9" i="31"/>
  <c r="M8" i="31"/>
  <c r="L8" i="31"/>
  <c r="K8" i="31"/>
  <c r="I8" i="31"/>
  <c r="R47" i="31" s="1"/>
  <c r="H8" i="31"/>
  <c r="E8" i="31"/>
  <c r="R38" i="31" s="1"/>
  <c r="D8" i="31"/>
  <c r="M7" i="31"/>
  <c r="L7" i="31"/>
  <c r="I7" i="31"/>
  <c r="R46" i="31" s="1"/>
  <c r="H7" i="31"/>
  <c r="G7" i="31"/>
  <c r="G8" i="31" s="1"/>
  <c r="G9" i="31" s="1"/>
  <c r="G10" i="31" s="1"/>
  <c r="G11" i="31" s="1"/>
  <c r="G12" i="31" s="1"/>
  <c r="G13" i="31" s="1"/>
  <c r="G14" i="31" s="1"/>
  <c r="G15" i="31" s="1"/>
  <c r="G16" i="31" s="1"/>
  <c r="G17" i="31" s="1"/>
  <c r="G49" i="31" s="1"/>
  <c r="G18" i="31" s="1"/>
  <c r="E7" i="31"/>
  <c r="R36" i="31" s="1"/>
  <c r="D7" i="31"/>
  <c r="C7" i="31"/>
  <c r="C8" i="31" s="1"/>
  <c r="C9" i="31" s="1"/>
  <c r="C10" i="31" s="1"/>
  <c r="C11" i="31" s="1"/>
  <c r="C12" i="31" s="1"/>
  <c r="C13" i="31" s="1"/>
  <c r="C14" i="31" s="1"/>
  <c r="C15" i="31" s="1"/>
  <c r="C16" i="31" s="1"/>
  <c r="C25" i="31" s="1"/>
  <c r="M6" i="31"/>
  <c r="L6" i="31"/>
  <c r="I6" i="31"/>
  <c r="H6" i="31"/>
  <c r="E6" i="31"/>
  <c r="D6" i="31"/>
  <c r="C83" i="30"/>
  <c r="C84" i="30" s="1"/>
  <c r="C85" i="30" s="1"/>
  <c r="C86" i="30" s="1"/>
  <c r="C87" i="30" s="1"/>
  <c r="C88" i="30" s="1"/>
  <c r="C89" i="30" s="1"/>
  <c r="C90" i="30" s="1"/>
  <c r="C91" i="30" s="1"/>
  <c r="C92" i="30" s="1"/>
  <c r="C93" i="30" s="1"/>
  <c r="C94" i="30" s="1"/>
  <c r="C95" i="30" s="1"/>
  <c r="C96" i="30" s="1"/>
  <c r="I75" i="30"/>
  <c r="I74" i="30"/>
  <c r="I76" i="30" s="1"/>
  <c r="G74" i="30"/>
  <c r="G75" i="30" s="1"/>
  <c r="G76" i="30" s="1"/>
  <c r="I73" i="30"/>
  <c r="E71" i="30"/>
  <c r="E70" i="30"/>
  <c r="E69" i="30"/>
  <c r="I68" i="30"/>
  <c r="E68" i="30"/>
  <c r="I67" i="30"/>
  <c r="E67" i="30"/>
  <c r="I66" i="30"/>
  <c r="E66" i="30"/>
  <c r="I65" i="30"/>
  <c r="E65" i="30"/>
  <c r="I64" i="30"/>
  <c r="E64" i="30"/>
  <c r="I63" i="30"/>
  <c r="I62" i="30"/>
  <c r="I61" i="30"/>
  <c r="I60" i="30"/>
  <c r="I59" i="30"/>
  <c r="E59" i="30"/>
  <c r="I58" i="30"/>
  <c r="G58" i="30"/>
  <c r="G59" i="30" s="1"/>
  <c r="G60" i="30" s="1"/>
  <c r="G61" i="30" s="1"/>
  <c r="G62" i="30" s="1"/>
  <c r="G63" i="30" s="1"/>
  <c r="G64" i="30" s="1"/>
  <c r="G65" i="30" s="1"/>
  <c r="G66" i="30" s="1"/>
  <c r="G67" i="30" s="1"/>
  <c r="G68" i="30" s="1"/>
  <c r="C64" i="30" s="1"/>
  <c r="C65" i="30" s="1"/>
  <c r="C66" i="30" s="1"/>
  <c r="C67" i="30" s="1"/>
  <c r="C68" i="30" s="1"/>
  <c r="C69" i="30" s="1"/>
  <c r="C70" i="30" s="1"/>
  <c r="C71" i="30" s="1"/>
  <c r="E58" i="30"/>
  <c r="I57" i="30"/>
  <c r="G57" i="30"/>
  <c r="E57" i="30"/>
  <c r="C57" i="30"/>
  <c r="C58" i="30" s="1"/>
  <c r="C59" i="30" s="1"/>
  <c r="I56" i="30"/>
  <c r="E56" i="30"/>
  <c r="I49" i="30"/>
  <c r="U53" i="30" s="1"/>
  <c r="H49" i="30"/>
  <c r="E49" i="30"/>
  <c r="U51" i="30" s="1"/>
  <c r="D49" i="30"/>
  <c r="I48" i="30"/>
  <c r="H48" i="30"/>
  <c r="E48" i="30"/>
  <c r="U50" i="30" s="1"/>
  <c r="D48" i="30"/>
  <c r="I47" i="30"/>
  <c r="U48" i="30" s="1"/>
  <c r="H47" i="30"/>
  <c r="E47" i="30"/>
  <c r="U49" i="30" s="1"/>
  <c r="D47" i="30"/>
  <c r="I46" i="30"/>
  <c r="U54" i="30" s="1"/>
  <c r="H46" i="30"/>
  <c r="E46" i="30"/>
  <c r="U40" i="30" s="1"/>
  <c r="D46" i="30"/>
  <c r="I45" i="30"/>
  <c r="H45" i="30"/>
  <c r="E45" i="30"/>
  <c r="U38" i="30" s="1"/>
  <c r="D45" i="30"/>
  <c r="I44" i="30"/>
  <c r="H44" i="30"/>
  <c r="E44" i="30"/>
  <c r="U39" i="30" s="1"/>
  <c r="D44" i="30"/>
  <c r="M43" i="30"/>
  <c r="X38" i="30" s="1"/>
  <c r="L43" i="30"/>
  <c r="K43" i="30"/>
  <c r="I43" i="30"/>
  <c r="H43" i="30"/>
  <c r="G43" i="30"/>
  <c r="G44" i="30" s="1"/>
  <c r="G45" i="30" s="1"/>
  <c r="G46" i="30" s="1"/>
  <c r="G47" i="30" s="1"/>
  <c r="G48" i="30" s="1"/>
  <c r="E43" i="30"/>
  <c r="D43" i="30"/>
  <c r="M42" i="30"/>
  <c r="X37" i="30" s="1"/>
  <c r="L42" i="30"/>
  <c r="I42" i="30"/>
  <c r="H42" i="30"/>
  <c r="P37" i="30"/>
  <c r="P38" i="30" s="1"/>
  <c r="P39" i="30" s="1"/>
  <c r="P40" i="30" s="1"/>
  <c r="P41" i="30" s="1"/>
  <c r="P42" i="30" s="1"/>
  <c r="P43" i="30" s="1"/>
  <c r="P44" i="30" s="1"/>
  <c r="P45" i="30" s="1"/>
  <c r="P46" i="30" s="1"/>
  <c r="P47" i="30" s="1"/>
  <c r="P48" i="30" s="1"/>
  <c r="P49" i="30" s="1"/>
  <c r="P50" i="30" s="1"/>
  <c r="P51" i="30" s="1"/>
  <c r="P52" i="30" s="1"/>
  <c r="P53" i="30" s="1"/>
  <c r="P54" i="30" s="1"/>
  <c r="S36" i="30" s="1"/>
  <c r="S37" i="30" s="1"/>
  <c r="S38" i="30" s="1"/>
  <c r="S39" i="30" s="1"/>
  <c r="S40" i="30" s="1"/>
  <c r="S41" i="30" s="1"/>
  <c r="S42" i="30" s="1"/>
  <c r="S43" i="30" s="1"/>
  <c r="S44" i="30" s="1"/>
  <c r="S45" i="30" s="1"/>
  <c r="E37" i="30"/>
  <c r="D37" i="30"/>
  <c r="I36" i="30"/>
  <c r="H36" i="30"/>
  <c r="E36" i="30"/>
  <c r="D36" i="30"/>
  <c r="I35" i="30"/>
  <c r="U46" i="30" s="1"/>
  <c r="H35" i="30"/>
  <c r="E35" i="30"/>
  <c r="R53" i="30" s="1"/>
  <c r="D35" i="30"/>
  <c r="M34" i="30"/>
  <c r="X45" i="30" s="1"/>
  <c r="L34" i="30"/>
  <c r="I34" i="30"/>
  <c r="H34" i="30"/>
  <c r="E34" i="30"/>
  <c r="R52" i="30" s="1"/>
  <c r="D34" i="30"/>
  <c r="M33" i="30"/>
  <c r="X44" i="30" s="1"/>
  <c r="L33" i="30"/>
  <c r="I33" i="30"/>
  <c r="H33" i="30"/>
  <c r="E33" i="30"/>
  <c r="R41" i="30" s="1"/>
  <c r="D33" i="30"/>
  <c r="C33" i="30"/>
  <c r="C34" i="30" s="1"/>
  <c r="M32" i="30"/>
  <c r="X43" i="30" s="1"/>
  <c r="L32" i="30"/>
  <c r="I32" i="30"/>
  <c r="H32" i="30"/>
  <c r="E32" i="30"/>
  <c r="R39" i="30" s="1"/>
  <c r="D32" i="30"/>
  <c r="M31" i="30"/>
  <c r="X54" i="30" s="1"/>
  <c r="L31" i="30"/>
  <c r="I31" i="30"/>
  <c r="H31" i="30"/>
  <c r="E31" i="30"/>
  <c r="D31" i="30"/>
  <c r="M30" i="30"/>
  <c r="X53" i="30" s="1"/>
  <c r="L30" i="30"/>
  <c r="I30" i="30"/>
  <c r="H30" i="30"/>
  <c r="M29" i="30"/>
  <c r="X40" i="30" s="1"/>
  <c r="L29" i="30"/>
  <c r="I29" i="30"/>
  <c r="H29" i="30"/>
  <c r="M28" i="30"/>
  <c r="X52" i="30" s="1"/>
  <c r="L28" i="30"/>
  <c r="I28" i="30"/>
  <c r="H28" i="30"/>
  <c r="M27" i="30"/>
  <c r="X51" i="30" s="1"/>
  <c r="L27" i="30"/>
  <c r="I27" i="30"/>
  <c r="H27" i="30"/>
  <c r="M26" i="30"/>
  <c r="X50" i="30" s="1"/>
  <c r="L26" i="30"/>
  <c r="I26" i="30"/>
  <c r="R48" i="30" s="1"/>
  <c r="H26" i="30"/>
  <c r="M25" i="30"/>
  <c r="X49" i="30" s="1"/>
  <c r="L25" i="30"/>
  <c r="K25" i="30"/>
  <c r="K26" i="30" s="1"/>
  <c r="K27" i="30" s="1"/>
  <c r="K28" i="30" s="1"/>
  <c r="K29" i="30" s="1"/>
  <c r="K30" i="30" s="1"/>
  <c r="K31" i="30" s="1"/>
  <c r="K32" i="30" s="1"/>
  <c r="K33" i="30" s="1"/>
  <c r="K34" i="30" s="1"/>
  <c r="I25" i="30"/>
  <c r="H25" i="30"/>
  <c r="G25" i="30"/>
  <c r="G26" i="30" s="1"/>
  <c r="G27" i="30" s="1"/>
  <c r="G28" i="30" s="1"/>
  <c r="G29" i="30" s="1"/>
  <c r="G30" i="30" s="1"/>
  <c r="G31" i="30" s="1"/>
  <c r="G32" i="30" s="1"/>
  <c r="G33" i="30" s="1"/>
  <c r="G34" i="30" s="1"/>
  <c r="G35" i="30" s="1"/>
  <c r="G36" i="30" s="1"/>
  <c r="E25" i="30"/>
  <c r="D25" i="30"/>
  <c r="M24" i="30"/>
  <c r="L24" i="30"/>
  <c r="K24" i="30"/>
  <c r="I24" i="30"/>
  <c r="H24" i="30"/>
  <c r="E24" i="30"/>
  <c r="D24" i="30"/>
  <c r="M23" i="30"/>
  <c r="L23" i="30"/>
  <c r="K23" i="30"/>
  <c r="E23" i="30"/>
  <c r="D23" i="30"/>
  <c r="C23" i="30"/>
  <c r="C24" i="30" s="1"/>
  <c r="M22" i="30"/>
  <c r="L22" i="30"/>
  <c r="E22" i="30"/>
  <c r="D22" i="30"/>
  <c r="I18" i="30"/>
  <c r="H18" i="30"/>
  <c r="I17" i="30"/>
  <c r="U52" i="30" s="1"/>
  <c r="H17" i="30"/>
  <c r="I16" i="30"/>
  <c r="H16" i="30"/>
  <c r="E16" i="30"/>
  <c r="R44" i="30" s="1"/>
  <c r="D16" i="30"/>
  <c r="I15" i="30"/>
  <c r="H15" i="30"/>
  <c r="E15" i="30"/>
  <c r="D15" i="30"/>
  <c r="M14" i="30"/>
  <c r="L14" i="30"/>
  <c r="I14" i="30"/>
  <c r="H14" i="30"/>
  <c r="E14" i="30"/>
  <c r="D14" i="30"/>
  <c r="M13" i="30"/>
  <c r="L13" i="30"/>
  <c r="I13" i="30"/>
  <c r="H13" i="30"/>
  <c r="E13" i="30"/>
  <c r="U43" i="30" s="1"/>
  <c r="D13" i="30"/>
  <c r="M12" i="30"/>
  <c r="X39" i="30" s="1"/>
  <c r="L12" i="30"/>
  <c r="I12" i="30"/>
  <c r="H12" i="30"/>
  <c r="E12" i="30"/>
  <c r="R45" i="30" s="1"/>
  <c r="D12" i="30"/>
  <c r="M11" i="30"/>
  <c r="X42" i="30" s="1"/>
  <c r="L11" i="30"/>
  <c r="I11" i="30"/>
  <c r="H11" i="30"/>
  <c r="E11" i="30"/>
  <c r="D11" i="30"/>
  <c r="M10" i="30"/>
  <c r="X48" i="30" s="1"/>
  <c r="L10" i="30"/>
  <c r="K10" i="30"/>
  <c r="K11" i="30" s="1"/>
  <c r="K12" i="30" s="1"/>
  <c r="I10" i="30"/>
  <c r="H10" i="30"/>
  <c r="E10" i="30"/>
  <c r="R43" i="30" s="1"/>
  <c r="D10" i="30"/>
  <c r="M9" i="30"/>
  <c r="X36" i="30" s="1"/>
  <c r="L9" i="30"/>
  <c r="I9" i="30"/>
  <c r="H9" i="30"/>
  <c r="E9" i="30"/>
  <c r="D9" i="30"/>
  <c r="M8" i="30"/>
  <c r="L8" i="30"/>
  <c r="K8" i="30"/>
  <c r="I8" i="30"/>
  <c r="R47" i="30" s="1"/>
  <c r="H8" i="30"/>
  <c r="E8" i="30"/>
  <c r="R38" i="30" s="1"/>
  <c r="D8" i="30"/>
  <c r="M7" i="30"/>
  <c r="L7" i="30"/>
  <c r="I7" i="30"/>
  <c r="H7" i="30"/>
  <c r="G7" i="30"/>
  <c r="G8" i="30" s="1"/>
  <c r="G9" i="30" s="1"/>
  <c r="G10" i="30" s="1"/>
  <c r="G11" i="30" s="1"/>
  <c r="G12" i="30" s="1"/>
  <c r="G13" i="30" s="1"/>
  <c r="G14" i="30" s="1"/>
  <c r="G15" i="30" s="1"/>
  <c r="G16" i="30" s="1"/>
  <c r="G17" i="30" s="1"/>
  <c r="G49" i="30" s="1"/>
  <c r="G18" i="30" s="1"/>
  <c r="E7" i="30"/>
  <c r="R36" i="30" s="1"/>
  <c r="D7" i="30"/>
  <c r="C7" i="30"/>
  <c r="C8" i="30" s="1"/>
  <c r="C9" i="30" s="1"/>
  <c r="C10" i="30" s="1"/>
  <c r="C11" i="30" s="1"/>
  <c r="C12" i="30" s="1"/>
  <c r="C13" i="30" s="1"/>
  <c r="C14" i="30" s="1"/>
  <c r="C15" i="30" s="1"/>
  <c r="C16" i="30" s="1"/>
  <c r="C25" i="30" s="1"/>
  <c r="M6" i="30"/>
  <c r="L6" i="30"/>
  <c r="I6" i="30"/>
  <c r="H6" i="30"/>
  <c r="E6" i="30"/>
  <c r="D6" i="30"/>
  <c r="C83" i="29"/>
  <c r="C84" i="29" s="1"/>
  <c r="C85" i="29" s="1"/>
  <c r="C86" i="29" s="1"/>
  <c r="C87" i="29" s="1"/>
  <c r="C88" i="29" s="1"/>
  <c r="C89" i="29" s="1"/>
  <c r="C90" i="29" s="1"/>
  <c r="C91" i="29" s="1"/>
  <c r="C92" i="29" s="1"/>
  <c r="C93" i="29" s="1"/>
  <c r="C94" i="29" s="1"/>
  <c r="C95" i="29" s="1"/>
  <c r="C96" i="29" s="1"/>
  <c r="I75" i="29"/>
  <c r="I74" i="29"/>
  <c r="I76" i="29" s="1"/>
  <c r="G74" i="29"/>
  <c r="G75" i="29" s="1"/>
  <c r="G76" i="29" s="1"/>
  <c r="I73" i="29"/>
  <c r="E71" i="29"/>
  <c r="E70" i="29"/>
  <c r="E69" i="29"/>
  <c r="I68" i="29"/>
  <c r="E68" i="29"/>
  <c r="I67" i="29"/>
  <c r="E67" i="29"/>
  <c r="I66" i="29"/>
  <c r="E66" i="29"/>
  <c r="I65" i="29"/>
  <c r="E65" i="29"/>
  <c r="I64" i="29"/>
  <c r="E64" i="29"/>
  <c r="I63" i="29"/>
  <c r="I62" i="29"/>
  <c r="I61" i="29"/>
  <c r="I60" i="29"/>
  <c r="I59" i="29"/>
  <c r="E59" i="29"/>
  <c r="I58" i="29"/>
  <c r="E58" i="29"/>
  <c r="C58" i="29"/>
  <c r="C59" i="29" s="1"/>
  <c r="I57" i="29"/>
  <c r="G57" i="29"/>
  <c r="G58" i="29" s="1"/>
  <c r="G59" i="29" s="1"/>
  <c r="G60" i="29" s="1"/>
  <c r="G61" i="29" s="1"/>
  <c r="G62" i="29" s="1"/>
  <c r="G63" i="29" s="1"/>
  <c r="G64" i="29" s="1"/>
  <c r="G65" i="29" s="1"/>
  <c r="G66" i="29" s="1"/>
  <c r="G67" i="29" s="1"/>
  <c r="G68" i="29" s="1"/>
  <c r="C64" i="29" s="1"/>
  <c r="C65" i="29" s="1"/>
  <c r="C66" i="29" s="1"/>
  <c r="C67" i="29" s="1"/>
  <c r="C68" i="29" s="1"/>
  <c r="C69" i="29" s="1"/>
  <c r="C70" i="29" s="1"/>
  <c r="C71" i="29" s="1"/>
  <c r="E57" i="29"/>
  <c r="C57" i="29"/>
  <c r="I56" i="29"/>
  <c r="E56" i="29"/>
  <c r="I49" i="29"/>
  <c r="U53" i="29" s="1"/>
  <c r="H49" i="29"/>
  <c r="E49" i="29"/>
  <c r="U51" i="29" s="1"/>
  <c r="D49" i="29"/>
  <c r="I48" i="29"/>
  <c r="H48" i="29"/>
  <c r="E48" i="29"/>
  <c r="U50" i="29" s="1"/>
  <c r="D48" i="29"/>
  <c r="I47" i="29"/>
  <c r="U48" i="29" s="1"/>
  <c r="H47" i="29"/>
  <c r="E47" i="29"/>
  <c r="U49" i="29" s="1"/>
  <c r="D47" i="29"/>
  <c r="I46" i="29"/>
  <c r="U54" i="29" s="1"/>
  <c r="H46" i="29"/>
  <c r="E46" i="29"/>
  <c r="U40" i="29" s="1"/>
  <c r="D46" i="29"/>
  <c r="I45" i="29"/>
  <c r="H45" i="29"/>
  <c r="E45" i="29"/>
  <c r="U38" i="29" s="1"/>
  <c r="D45" i="29"/>
  <c r="I44" i="29"/>
  <c r="H44" i="29"/>
  <c r="E44" i="29"/>
  <c r="U39" i="29" s="1"/>
  <c r="D44" i="29"/>
  <c r="M43" i="29"/>
  <c r="X38" i="29" s="1"/>
  <c r="L43" i="29"/>
  <c r="K43" i="29"/>
  <c r="I43" i="29"/>
  <c r="H43" i="29"/>
  <c r="G43" i="29"/>
  <c r="G44" i="29" s="1"/>
  <c r="G45" i="29" s="1"/>
  <c r="G46" i="29" s="1"/>
  <c r="G47" i="29" s="1"/>
  <c r="G48" i="29" s="1"/>
  <c r="E43" i="29"/>
  <c r="D43" i="29"/>
  <c r="M42" i="29"/>
  <c r="L42" i="29"/>
  <c r="I42" i="29"/>
  <c r="H42" i="29"/>
  <c r="P37" i="29"/>
  <c r="P38" i="29" s="1"/>
  <c r="P39" i="29" s="1"/>
  <c r="P40" i="29" s="1"/>
  <c r="P41" i="29" s="1"/>
  <c r="P42" i="29" s="1"/>
  <c r="P43" i="29" s="1"/>
  <c r="P44" i="29" s="1"/>
  <c r="P45" i="29" s="1"/>
  <c r="P46" i="29" s="1"/>
  <c r="P47" i="29" s="1"/>
  <c r="P48" i="29" s="1"/>
  <c r="P49" i="29" s="1"/>
  <c r="P50" i="29" s="1"/>
  <c r="P51" i="29" s="1"/>
  <c r="P52" i="29" s="1"/>
  <c r="P53" i="29" s="1"/>
  <c r="P54" i="29" s="1"/>
  <c r="S36" i="29" s="1"/>
  <c r="S37" i="29" s="1"/>
  <c r="S38" i="29" s="1"/>
  <c r="S39" i="29" s="1"/>
  <c r="S40" i="29" s="1"/>
  <c r="S41" i="29" s="1"/>
  <c r="S42" i="29" s="1"/>
  <c r="S43" i="29" s="1"/>
  <c r="S44" i="29" s="1"/>
  <c r="S45" i="29" s="1"/>
  <c r="E37" i="29"/>
  <c r="D37" i="29"/>
  <c r="I36" i="29"/>
  <c r="H36" i="29"/>
  <c r="E36" i="29"/>
  <c r="D36" i="29"/>
  <c r="I35" i="29"/>
  <c r="U46" i="29" s="1"/>
  <c r="H35" i="29"/>
  <c r="E35" i="29"/>
  <c r="R53" i="29" s="1"/>
  <c r="D35" i="29"/>
  <c r="M34" i="29"/>
  <c r="X45" i="29" s="1"/>
  <c r="L34" i="29"/>
  <c r="I34" i="29"/>
  <c r="H34" i="29"/>
  <c r="E34" i="29"/>
  <c r="R52" i="29" s="1"/>
  <c r="D34" i="29"/>
  <c r="M33" i="29"/>
  <c r="X44" i="29" s="1"/>
  <c r="L33" i="29"/>
  <c r="I33" i="29"/>
  <c r="H33" i="29"/>
  <c r="E33" i="29"/>
  <c r="R41" i="29" s="1"/>
  <c r="D33" i="29"/>
  <c r="C33" i="29"/>
  <c r="C34" i="29" s="1"/>
  <c r="M32" i="29"/>
  <c r="X43" i="29" s="1"/>
  <c r="L32" i="29"/>
  <c r="I32" i="29"/>
  <c r="H32" i="29"/>
  <c r="E32" i="29"/>
  <c r="D32" i="29"/>
  <c r="M31" i="29"/>
  <c r="X54" i="29" s="1"/>
  <c r="L31" i="29"/>
  <c r="I31" i="29"/>
  <c r="H31" i="29"/>
  <c r="E31" i="29"/>
  <c r="D31" i="29"/>
  <c r="M30" i="29"/>
  <c r="X53" i="29" s="1"/>
  <c r="L30" i="29"/>
  <c r="I30" i="29"/>
  <c r="H30" i="29"/>
  <c r="M29" i="29"/>
  <c r="X40" i="29" s="1"/>
  <c r="L29" i="29"/>
  <c r="I29" i="29"/>
  <c r="H29" i="29"/>
  <c r="M28" i="29"/>
  <c r="X52" i="29" s="1"/>
  <c r="L28" i="29"/>
  <c r="I28" i="29"/>
  <c r="H28" i="29"/>
  <c r="M27" i="29"/>
  <c r="X51" i="29" s="1"/>
  <c r="L27" i="29"/>
  <c r="I27" i="29"/>
  <c r="H27" i="29"/>
  <c r="M26" i="29"/>
  <c r="X50" i="29" s="1"/>
  <c r="L26" i="29"/>
  <c r="I26" i="29"/>
  <c r="R48" i="29" s="1"/>
  <c r="H26" i="29"/>
  <c r="G26" i="29"/>
  <c r="G27" i="29" s="1"/>
  <c r="G28" i="29" s="1"/>
  <c r="G29" i="29" s="1"/>
  <c r="G30" i="29" s="1"/>
  <c r="G31" i="29" s="1"/>
  <c r="G32" i="29" s="1"/>
  <c r="G33" i="29" s="1"/>
  <c r="G34" i="29" s="1"/>
  <c r="G35" i="29" s="1"/>
  <c r="G36" i="29" s="1"/>
  <c r="M25" i="29"/>
  <c r="X49" i="29" s="1"/>
  <c r="L25" i="29"/>
  <c r="I25" i="29"/>
  <c r="H25" i="29"/>
  <c r="G25" i="29"/>
  <c r="E25" i="29"/>
  <c r="D25" i="29"/>
  <c r="M24" i="29"/>
  <c r="L24" i="29"/>
  <c r="K24" i="29"/>
  <c r="I24" i="29"/>
  <c r="H24" i="29"/>
  <c r="E24" i="29"/>
  <c r="D24" i="29"/>
  <c r="M23" i="29"/>
  <c r="L23" i="29"/>
  <c r="K23" i="29"/>
  <c r="K25" i="29" s="1"/>
  <c r="K26" i="29" s="1"/>
  <c r="K27" i="29" s="1"/>
  <c r="K28" i="29" s="1"/>
  <c r="K29" i="29" s="1"/>
  <c r="K30" i="29" s="1"/>
  <c r="K31" i="29" s="1"/>
  <c r="K32" i="29" s="1"/>
  <c r="K33" i="29" s="1"/>
  <c r="K34" i="29" s="1"/>
  <c r="E23" i="29"/>
  <c r="D23" i="29"/>
  <c r="C23" i="29"/>
  <c r="C24" i="29" s="1"/>
  <c r="M22" i="29"/>
  <c r="L22" i="29"/>
  <c r="E22" i="29"/>
  <c r="D22" i="29"/>
  <c r="I18" i="29"/>
  <c r="H18" i="29"/>
  <c r="I17" i="29"/>
  <c r="U52" i="29" s="1"/>
  <c r="H17" i="29"/>
  <c r="I16" i="29"/>
  <c r="H16" i="29"/>
  <c r="E16" i="29"/>
  <c r="R44" i="29" s="1"/>
  <c r="D16" i="29"/>
  <c r="I15" i="29"/>
  <c r="H15" i="29"/>
  <c r="E15" i="29"/>
  <c r="D15" i="29"/>
  <c r="M14" i="29"/>
  <c r="L14" i="29"/>
  <c r="I14" i="29"/>
  <c r="H14" i="29"/>
  <c r="E14" i="29"/>
  <c r="D14" i="29"/>
  <c r="M13" i="29"/>
  <c r="L13" i="29"/>
  <c r="I13" i="29"/>
  <c r="H13" i="29"/>
  <c r="E13" i="29"/>
  <c r="U43" i="29" s="1"/>
  <c r="D13" i="29"/>
  <c r="M12" i="29"/>
  <c r="X39" i="29" s="1"/>
  <c r="L12" i="29"/>
  <c r="I12" i="29"/>
  <c r="U41" i="29" s="1"/>
  <c r="H12" i="29"/>
  <c r="E12" i="29"/>
  <c r="R45" i="29" s="1"/>
  <c r="D12" i="29"/>
  <c r="M11" i="29"/>
  <c r="X42" i="29" s="1"/>
  <c r="L11" i="29"/>
  <c r="I11" i="29"/>
  <c r="H11" i="29"/>
  <c r="E11" i="29"/>
  <c r="D11" i="29"/>
  <c r="M10" i="29"/>
  <c r="X48" i="29" s="1"/>
  <c r="L10" i="29"/>
  <c r="K10" i="29"/>
  <c r="K11" i="29" s="1"/>
  <c r="K12" i="29" s="1"/>
  <c r="I10" i="29"/>
  <c r="H10" i="29"/>
  <c r="E10" i="29"/>
  <c r="R43" i="29" s="1"/>
  <c r="D10" i="29"/>
  <c r="M9" i="29"/>
  <c r="X36" i="29" s="1"/>
  <c r="L9" i="29"/>
  <c r="I9" i="29"/>
  <c r="H9" i="29"/>
  <c r="E9" i="29"/>
  <c r="D9" i="29"/>
  <c r="M8" i="29"/>
  <c r="L8" i="29"/>
  <c r="K8" i="29"/>
  <c r="I8" i="29"/>
  <c r="R47" i="29" s="1"/>
  <c r="H8" i="29"/>
  <c r="E8" i="29"/>
  <c r="R38" i="29" s="1"/>
  <c r="D8" i="29"/>
  <c r="M7" i="29"/>
  <c r="L7" i="29"/>
  <c r="I7" i="29"/>
  <c r="H7" i="29"/>
  <c r="G7" i="29"/>
  <c r="G8" i="29" s="1"/>
  <c r="G9" i="29" s="1"/>
  <c r="G10" i="29" s="1"/>
  <c r="G11" i="29" s="1"/>
  <c r="G12" i="29" s="1"/>
  <c r="G13" i="29" s="1"/>
  <c r="G14" i="29" s="1"/>
  <c r="G15" i="29" s="1"/>
  <c r="G16" i="29" s="1"/>
  <c r="G17" i="29" s="1"/>
  <c r="G49" i="29" s="1"/>
  <c r="G18" i="29" s="1"/>
  <c r="E7" i="29"/>
  <c r="R36" i="29" s="1"/>
  <c r="D7" i="29"/>
  <c r="C7" i="29"/>
  <c r="C8" i="29" s="1"/>
  <c r="C9" i="29" s="1"/>
  <c r="C10" i="29" s="1"/>
  <c r="C11" i="29" s="1"/>
  <c r="C12" i="29" s="1"/>
  <c r="C13" i="29" s="1"/>
  <c r="C14" i="29" s="1"/>
  <c r="C15" i="29" s="1"/>
  <c r="C16" i="29" s="1"/>
  <c r="C25" i="29" s="1"/>
  <c r="M6" i="29"/>
  <c r="L6" i="29"/>
  <c r="I6" i="29"/>
  <c r="H6" i="29"/>
  <c r="E6" i="29"/>
  <c r="D6" i="29"/>
  <c r="C84" i="28"/>
  <c r="C85" i="28" s="1"/>
  <c r="C86" i="28" s="1"/>
  <c r="C87" i="28" s="1"/>
  <c r="C88" i="28" s="1"/>
  <c r="C89" i="28" s="1"/>
  <c r="C90" i="28" s="1"/>
  <c r="C91" i="28" s="1"/>
  <c r="C92" i="28" s="1"/>
  <c r="C93" i="28" s="1"/>
  <c r="C94" i="28" s="1"/>
  <c r="C95" i="28" s="1"/>
  <c r="C96" i="28" s="1"/>
  <c r="C83" i="28"/>
  <c r="I75" i="28"/>
  <c r="I74" i="28"/>
  <c r="I76" i="28" s="1"/>
  <c r="G74" i="28"/>
  <c r="G75" i="28" s="1"/>
  <c r="G76" i="28" s="1"/>
  <c r="I73" i="28"/>
  <c r="E71" i="28"/>
  <c r="E70" i="28"/>
  <c r="E69" i="28"/>
  <c r="I68" i="28"/>
  <c r="E68" i="28"/>
  <c r="I67" i="28"/>
  <c r="E67" i="28"/>
  <c r="I66" i="28"/>
  <c r="E66" i="28"/>
  <c r="I65" i="28"/>
  <c r="E65" i="28"/>
  <c r="I64" i="28"/>
  <c r="E64" i="28"/>
  <c r="I63" i="28"/>
  <c r="I62" i="28"/>
  <c r="I61" i="28"/>
  <c r="I60" i="28"/>
  <c r="I59" i="28"/>
  <c r="E59" i="28"/>
  <c r="I58" i="28"/>
  <c r="E58" i="28"/>
  <c r="I57" i="28"/>
  <c r="G57" i="28"/>
  <c r="G58" i="28" s="1"/>
  <c r="G59" i="28" s="1"/>
  <c r="G60" i="28" s="1"/>
  <c r="G61" i="28" s="1"/>
  <c r="G62" i="28" s="1"/>
  <c r="G63" i="28" s="1"/>
  <c r="G64" i="28" s="1"/>
  <c r="G65" i="28" s="1"/>
  <c r="G66" i="28" s="1"/>
  <c r="G67" i="28" s="1"/>
  <c r="G68" i="28" s="1"/>
  <c r="C64" i="28" s="1"/>
  <c r="C65" i="28" s="1"/>
  <c r="C66" i="28" s="1"/>
  <c r="C67" i="28" s="1"/>
  <c r="C68" i="28" s="1"/>
  <c r="C69" i="28" s="1"/>
  <c r="C70" i="28" s="1"/>
  <c r="C71" i="28" s="1"/>
  <c r="E57" i="28"/>
  <c r="C57" i="28"/>
  <c r="C58" i="28" s="1"/>
  <c r="C59" i="28" s="1"/>
  <c r="I56" i="28"/>
  <c r="E56" i="28"/>
  <c r="I49" i="28"/>
  <c r="U53" i="28" s="1"/>
  <c r="H49" i="28"/>
  <c r="E49" i="28"/>
  <c r="U51" i="28" s="1"/>
  <c r="D49" i="28"/>
  <c r="I48" i="28"/>
  <c r="H48" i="28"/>
  <c r="E48" i="28"/>
  <c r="U50" i="28" s="1"/>
  <c r="D48" i="28"/>
  <c r="I47" i="28"/>
  <c r="U48" i="28" s="1"/>
  <c r="H47" i="28"/>
  <c r="E47" i="28"/>
  <c r="U49" i="28" s="1"/>
  <c r="D47" i="28"/>
  <c r="I46" i="28"/>
  <c r="U54" i="28" s="1"/>
  <c r="H46" i="28"/>
  <c r="E46" i="28"/>
  <c r="U40" i="28" s="1"/>
  <c r="D46" i="28"/>
  <c r="I45" i="28"/>
  <c r="H45" i="28"/>
  <c r="E45" i="28"/>
  <c r="U38" i="28" s="1"/>
  <c r="D45" i="28"/>
  <c r="I44" i="28"/>
  <c r="H44" i="28"/>
  <c r="E44" i="28"/>
  <c r="U39" i="28" s="1"/>
  <c r="D44" i="28"/>
  <c r="M43" i="28"/>
  <c r="X38" i="28" s="1"/>
  <c r="L43" i="28"/>
  <c r="K43" i="28"/>
  <c r="I43" i="28"/>
  <c r="H43" i="28"/>
  <c r="G43" i="28"/>
  <c r="G44" i="28" s="1"/>
  <c r="G45" i="28" s="1"/>
  <c r="G46" i="28" s="1"/>
  <c r="G47" i="28" s="1"/>
  <c r="G48" i="28" s="1"/>
  <c r="E43" i="28"/>
  <c r="D43" i="28"/>
  <c r="M42" i="28"/>
  <c r="L42" i="28"/>
  <c r="I42" i="28"/>
  <c r="H42" i="28"/>
  <c r="P37" i="28"/>
  <c r="P38" i="28" s="1"/>
  <c r="P39" i="28" s="1"/>
  <c r="P40" i="28" s="1"/>
  <c r="P41" i="28" s="1"/>
  <c r="P42" i="28" s="1"/>
  <c r="P43" i="28" s="1"/>
  <c r="P44" i="28" s="1"/>
  <c r="P45" i="28" s="1"/>
  <c r="P46" i="28" s="1"/>
  <c r="P47" i="28" s="1"/>
  <c r="P48" i="28" s="1"/>
  <c r="P49" i="28" s="1"/>
  <c r="P50" i="28" s="1"/>
  <c r="P51" i="28" s="1"/>
  <c r="P52" i="28" s="1"/>
  <c r="P53" i="28" s="1"/>
  <c r="P54" i="28" s="1"/>
  <c r="S36" i="28" s="1"/>
  <c r="S37" i="28" s="1"/>
  <c r="S38" i="28" s="1"/>
  <c r="S39" i="28" s="1"/>
  <c r="S40" i="28" s="1"/>
  <c r="S41" i="28" s="1"/>
  <c r="S42" i="28" s="1"/>
  <c r="S43" i="28" s="1"/>
  <c r="S44" i="28" s="1"/>
  <c r="S45" i="28" s="1"/>
  <c r="E37" i="28"/>
  <c r="D37" i="28"/>
  <c r="I36" i="28"/>
  <c r="H36" i="28"/>
  <c r="E36" i="28"/>
  <c r="D36" i="28"/>
  <c r="I35" i="28"/>
  <c r="U46" i="28" s="1"/>
  <c r="H35" i="28"/>
  <c r="E35" i="28"/>
  <c r="R53" i="28" s="1"/>
  <c r="D35" i="28"/>
  <c r="M34" i="28"/>
  <c r="X45" i="28" s="1"/>
  <c r="L34" i="28"/>
  <c r="I34" i="28"/>
  <c r="H34" i="28"/>
  <c r="E34" i="28"/>
  <c r="R52" i="28" s="1"/>
  <c r="D34" i="28"/>
  <c r="M33" i="28"/>
  <c r="X44" i="28" s="1"/>
  <c r="L33" i="28"/>
  <c r="I33" i="28"/>
  <c r="H33" i="28"/>
  <c r="E33" i="28"/>
  <c r="R41" i="28" s="1"/>
  <c r="D33" i="28"/>
  <c r="C33" i="28"/>
  <c r="C34" i="28" s="1"/>
  <c r="M32" i="28"/>
  <c r="X43" i="28" s="1"/>
  <c r="L32" i="28"/>
  <c r="I32" i="28"/>
  <c r="H32" i="28"/>
  <c r="E32" i="28"/>
  <c r="R39" i="28" s="1"/>
  <c r="D32" i="28"/>
  <c r="M31" i="28"/>
  <c r="X54" i="28" s="1"/>
  <c r="L31" i="28"/>
  <c r="I31" i="28"/>
  <c r="H31" i="28"/>
  <c r="E31" i="28"/>
  <c r="D31" i="28"/>
  <c r="M30" i="28"/>
  <c r="X53" i="28" s="1"/>
  <c r="L30" i="28"/>
  <c r="I30" i="28"/>
  <c r="H30" i="28"/>
  <c r="M29" i="28"/>
  <c r="X40" i="28" s="1"/>
  <c r="L29" i="28"/>
  <c r="I29" i="28"/>
  <c r="H29" i="28"/>
  <c r="M28" i="28"/>
  <c r="X52" i="28" s="1"/>
  <c r="L28" i="28"/>
  <c r="I28" i="28"/>
  <c r="H28" i="28"/>
  <c r="M27" i="28"/>
  <c r="X51" i="28" s="1"/>
  <c r="L27" i="28"/>
  <c r="I27" i="28"/>
  <c r="H27" i="28"/>
  <c r="M26" i="28"/>
  <c r="X50" i="28" s="1"/>
  <c r="L26" i="28"/>
  <c r="I26" i="28"/>
  <c r="R48" i="28" s="1"/>
  <c r="H26" i="28"/>
  <c r="M25" i="28"/>
  <c r="X49" i="28" s="1"/>
  <c r="L25" i="28"/>
  <c r="I25" i="28"/>
  <c r="H25" i="28"/>
  <c r="G25" i="28"/>
  <c r="G26" i="28" s="1"/>
  <c r="G27" i="28" s="1"/>
  <c r="G28" i="28" s="1"/>
  <c r="G29" i="28" s="1"/>
  <c r="G30" i="28" s="1"/>
  <c r="G31" i="28" s="1"/>
  <c r="G32" i="28" s="1"/>
  <c r="G33" i="28" s="1"/>
  <c r="G34" i="28" s="1"/>
  <c r="G35" i="28" s="1"/>
  <c r="G36" i="28" s="1"/>
  <c r="E25" i="28"/>
  <c r="D25" i="28"/>
  <c r="M24" i="28"/>
  <c r="L24" i="28"/>
  <c r="K24" i="28"/>
  <c r="K23" i="28" s="1"/>
  <c r="K25" i="28" s="1"/>
  <c r="K26" i="28" s="1"/>
  <c r="K27" i="28" s="1"/>
  <c r="K28" i="28" s="1"/>
  <c r="K29" i="28" s="1"/>
  <c r="K30" i="28" s="1"/>
  <c r="K31" i="28" s="1"/>
  <c r="K32" i="28" s="1"/>
  <c r="K33" i="28" s="1"/>
  <c r="K34" i="28" s="1"/>
  <c r="I24" i="28"/>
  <c r="H24" i="28"/>
  <c r="E24" i="28"/>
  <c r="D24" i="28"/>
  <c r="M23" i="28"/>
  <c r="L23" i="28"/>
  <c r="E23" i="28"/>
  <c r="D23" i="28"/>
  <c r="C23" i="28"/>
  <c r="C24" i="28" s="1"/>
  <c r="M22" i="28"/>
  <c r="L22" i="28"/>
  <c r="E22" i="28"/>
  <c r="D22" i="28"/>
  <c r="I18" i="28"/>
  <c r="H18" i="28"/>
  <c r="I17" i="28"/>
  <c r="U52" i="28" s="1"/>
  <c r="H17" i="28"/>
  <c r="I16" i="28"/>
  <c r="H16" i="28"/>
  <c r="E16" i="28"/>
  <c r="R44" i="28" s="1"/>
  <c r="D16" i="28"/>
  <c r="I15" i="28"/>
  <c r="H15" i="28"/>
  <c r="E15" i="28"/>
  <c r="D15" i="28"/>
  <c r="M14" i="28"/>
  <c r="L14" i="28"/>
  <c r="I14" i="28"/>
  <c r="H14" i="28"/>
  <c r="E14" i="28"/>
  <c r="D14" i="28"/>
  <c r="M13" i="28"/>
  <c r="L13" i="28"/>
  <c r="I13" i="28"/>
  <c r="H13" i="28"/>
  <c r="E13" i="28"/>
  <c r="U43" i="28" s="1"/>
  <c r="D13" i="28"/>
  <c r="M12" i="28"/>
  <c r="X39" i="28" s="1"/>
  <c r="L12" i="28"/>
  <c r="I12" i="28"/>
  <c r="H12" i="28"/>
  <c r="E12" i="28"/>
  <c r="R45" i="28" s="1"/>
  <c r="D12" i="28"/>
  <c r="M11" i="28"/>
  <c r="X42" i="28" s="1"/>
  <c r="L11" i="28"/>
  <c r="I11" i="28"/>
  <c r="H11" i="28"/>
  <c r="E11" i="28"/>
  <c r="D11" i="28"/>
  <c r="M10" i="28"/>
  <c r="X48" i="28" s="1"/>
  <c r="L10" i="28"/>
  <c r="K10" i="28"/>
  <c r="K11" i="28" s="1"/>
  <c r="K12" i="28" s="1"/>
  <c r="I10" i="28"/>
  <c r="H10" i="28"/>
  <c r="E10" i="28"/>
  <c r="R43" i="28" s="1"/>
  <c r="D10" i="28"/>
  <c r="M9" i="28"/>
  <c r="X36" i="28" s="1"/>
  <c r="L9" i="28"/>
  <c r="I9" i="28"/>
  <c r="H9" i="28"/>
  <c r="E9" i="28"/>
  <c r="D9" i="28"/>
  <c r="M8" i="28"/>
  <c r="L8" i="28"/>
  <c r="K8" i="28"/>
  <c r="I8" i="28"/>
  <c r="R47" i="28" s="1"/>
  <c r="H8" i="28"/>
  <c r="E8" i="28"/>
  <c r="R38" i="28" s="1"/>
  <c r="D8" i="28"/>
  <c r="M7" i="28"/>
  <c r="L7" i="28"/>
  <c r="I7" i="28"/>
  <c r="H7" i="28"/>
  <c r="G7" i="28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49" i="28" s="1"/>
  <c r="G18" i="28" s="1"/>
  <c r="E7" i="28"/>
  <c r="R36" i="28" s="1"/>
  <c r="D7" i="28"/>
  <c r="C7" i="28"/>
  <c r="C8" i="28" s="1"/>
  <c r="C9" i="28" s="1"/>
  <c r="C10" i="28" s="1"/>
  <c r="C11" i="28" s="1"/>
  <c r="C12" i="28" s="1"/>
  <c r="C13" i="28" s="1"/>
  <c r="C14" i="28" s="1"/>
  <c r="C15" i="28" s="1"/>
  <c r="C16" i="28" s="1"/>
  <c r="C25" i="28" s="1"/>
  <c r="M6" i="28"/>
  <c r="L6" i="28"/>
  <c r="I6" i="28"/>
  <c r="H6" i="28"/>
  <c r="E6" i="28"/>
  <c r="D6" i="28"/>
  <c r="C84" i="23"/>
  <c r="C85" i="23" s="1"/>
  <c r="C86" i="23" s="1"/>
  <c r="C87" i="23" s="1"/>
  <c r="C88" i="23" s="1"/>
  <c r="C89" i="23" s="1"/>
  <c r="C90" i="23" s="1"/>
  <c r="C91" i="23" s="1"/>
  <c r="C92" i="23" s="1"/>
  <c r="C93" i="23" s="1"/>
  <c r="C94" i="23" s="1"/>
  <c r="C95" i="23" s="1"/>
  <c r="C96" i="23" s="1"/>
  <c r="C83" i="23"/>
  <c r="I75" i="23"/>
  <c r="G75" i="23"/>
  <c r="G76" i="23" s="1"/>
  <c r="I74" i="23"/>
  <c r="I76" i="23" s="1"/>
  <c r="G74" i="23"/>
  <c r="I73" i="23"/>
  <c r="E71" i="23"/>
  <c r="E70" i="23"/>
  <c r="E69" i="23"/>
  <c r="I68" i="23"/>
  <c r="E68" i="23"/>
  <c r="I67" i="23"/>
  <c r="E67" i="23"/>
  <c r="I66" i="23"/>
  <c r="E66" i="23"/>
  <c r="I65" i="23"/>
  <c r="E65" i="23"/>
  <c r="I64" i="23"/>
  <c r="E64" i="23"/>
  <c r="I63" i="23"/>
  <c r="I62" i="23"/>
  <c r="I61" i="23"/>
  <c r="I60" i="23"/>
  <c r="I59" i="23"/>
  <c r="E59" i="23"/>
  <c r="I58" i="23"/>
  <c r="E58" i="23"/>
  <c r="I57" i="23"/>
  <c r="G57" i="23"/>
  <c r="G58" i="23" s="1"/>
  <c r="G59" i="23" s="1"/>
  <c r="G60" i="23" s="1"/>
  <c r="G61" i="23" s="1"/>
  <c r="G62" i="23" s="1"/>
  <c r="G63" i="23" s="1"/>
  <c r="G64" i="23" s="1"/>
  <c r="G65" i="23" s="1"/>
  <c r="G66" i="23" s="1"/>
  <c r="G67" i="23" s="1"/>
  <c r="G68" i="23" s="1"/>
  <c r="C64" i="23" s="1"/>
  <c r="C65" i="23" s="1"/>
  <c r="C66" i="23" s="1"/>
  <c r="C67" i="23" s="1"/>
  <c r="C68" i="23" s="1"/>
  <c r="C69" i="23" s="1"/>
  <c r="C70" i="23" s="1"/>
  <c r="C71" i="23" s="1"/>
  <c r="E57" i="23"/>
  <c r="C57" i="23"/>
  <c r="C58" i="23" s="1"/>
  <c r="C59" i="23" s="1"/>
  <c r="I56" i="23"/>
  <c r="E56" i="23"/>
  <c r="I49" i="23"/>
  <c r="U53" i="23" s="1"/>
  <c r="H49" i="23"/>
  <c r="E49" i="23"/>
  <c r="U51" i="23" s="1"/>
  <c r="D49" i="23"/>
  <c r="I48" i="23"/>
  <c r="H48" i="23"/>
  <c r="E48" i="23"/>
  <c r="U50" i="23" s="1"/>
  <c r="D48" i="23"/>
  <c r="I47" i="23"/>
  <c r="U48" i="23" s="1"/>
  <c r="H47" i="23"/>
  <c r="E47" i="23"/>
  <c r="U49" i="23" s="1"/>
  <c r="D47" i="23"/>
  <c r="I46" i="23"/>
  <c r="U54" i="23" s="1"/>
  <c r="H46" i="23"/>
  <c r="E46" i="23"/>
  <c r="U40" i="23" s="1"/>
  <c r="D46" i="23"/>
  <c r="I45" i="23"/>
  <c r="H45" i="23"/>
  <c r="E45" i="23"/>
  <c r="U38" i="23" s="1"/>
  <c r="D45" i="23"/>
  <c r="I44" i="23"/>
  <c r="H44" i="23"/>
  <c r="G44" i="23"/>
  <c r="G45" i="23" s="1"/>
  <c r="G46" i="23" s="1"/>
  <c r="G47" i="23" s="1"/>
  <c r="G48" i="23" s="1"/>
  <c r="E44" i="23"/>
  <c r="U39" i="23" s="1"/>
  <c r="D44" i="23"/>
  <c r="M43" i="23"/>
  <c r="X38" i="23" s="1"/>
  <c r="L43" i="23"/>
  <c r="K43" i="23"/>
  <c r="I43" i="23"/>
  <c r="H43" i="23"/>
  <c r="G43" i="23"/>
  <c r="E43" i="23"/>
  <c r="D43" i="23"/>
  <c r="M42" i="23"/>
  <c r="L42" i="23"/>
  <c r="I42" i="23"/>
  <c r="H42" i="23"/>
  <c r="P37" i="23"/>
  <c r="P38" i="23" s="1"/>
  <c r="P39" i="23" s="1"/>
  <c r="P40" i="23" s="1"/>
  <c r="P41" i="23" s="1"/>
  <c r="P42" i="23" s="1"/>
  <c r="P43" i="23" s="1"/>
  <c r="P44" i="23" s="1"/>
  <c r="P45" i="23" s="1"/>
  <c r="P46" i="23" s="1"/>
  <c r="P47" i="23" s="1"/>
  <c r="P48" i="23" s="1"/>
  <c r="P49" i="23" s="1"/>
  <c r="P50" i="23" s="1"/>
  <c r="P51" i="23" s="1"/>
  <c r="P52" i="23" s="1"/>
  <c r="P53" i="23" s="1"/>
  <c r="P54" i="23" s="1"/>
  <c r="S36" i="23" s="1"/>
  <c r="S37" i="23" s="1"/>
  <c r="S38" i="23" s="1"/>
  <c r="S39" i="23" s="1"/>
  <c r="S40" i="23" s="1"/>
  <c r="S41" i="23" s="1"/>
  <c r="S42" i="23" s="1"/>
  <c r="S43" i="23" s="1"/>
  <c r="S44" i="23" s="1"/>
  <c r="S45" i="23" s="1"/>
  <c r="E37" i="23"/>
  <c r="D37" i="23"/>
  <c r="I36" i="23"/>
  <c r="H36" i="23"/>
  <c r="E36" i="23"/>
  <c r="D36" i="23"/>
  <c r="I35" i="23"/>
  <c r="U46" i="23" s="1"/>
  <c r="H35" i="23"/>
  <c r="E35" i="23"/>
  <c r="R53" i="23" s="1"/>
  <c r="D35" i="23"/>
  <c r="M34" i="23"/>
  <c r="X45" i="23" s="1"/>
  <c r="L34" i="23"/>
  <c r="I34" i="23"/>
  <c r="H34" i="23"/>
  <c r="E34" i="23"/>
  <c r="R52" i="23" s="1"/>
  <c r="D34" i="23"/>
  <c r="M33" i="23"/>
  <c r="X44" i="23" s="1"/>
  <c r="L33" i="23"/>
  <c r="I33" i="23"/>
  <c r="H33" i="23"/>
  <c r="E33" i="23"/>
  <c r="R41" i="23" s="1"/>
  <c r="D33" i="23"/>
  <c r="C33" i="23"/>
  <c r="C34" i="23" s="1"/>
  <c r="M32" i="23"/>
  <c r="X43" i="23" s="1"/>
  <c r="L32" i="23"/>
  <c r="I32" i="23"/>
  <c r="H32" i="23"/>
  <c r="E32" i="23"/>
  <c r="R39" i="23" s="1"/>
  <c r="D32" i="23"/>
  <c r="M31" i="23"/>
  <c r="X54" i="23" s="1"/>
  <c r="L31" i="23"/>
  <c r="I31" i="23"/>
  <c r="H31" i="23"/>
  <c r="E31" i="23"/>
  <c r="D31" i="23"/>
  <c r="M30" i="23"/>
  <c r="X53" i="23" s="1"/>
  <c r="L30" i="23"/>
  <c r="I30" i="23"/>
  <c r="H30" i="23"/>
  <c r="M29" i="23"/>
  <c r="X40" i="23" s="1"/>
  <c r="L29" i="23"/>
  <c r="I29" i="23"/>
  <c r="H29" i="23"/>
  <c r="M28" i="23"/>
  <c r="X52" i="23" s="1"/>
  <c r="L28" i="23"/>
  <c r="I28" i="23"/>
  <c r="H28" i="23"/>
  <c r="M27" i="23"/>
  <c r="X51" i="23" s="1"/>
  <c r="L27" i="23"/>
  <c r="I27" i="23"/>
  <c r="H27" i="23"/>
  <c r="M26" i="23"/>
  <c r="X50" i="23" s="1"/>
  <c r="L26" i="23"/>
  <c r="I26" i="23"/>
  <c r="R48" i="23" s="1"/>
  <c r="H26" i="23"/>
  <c r="G26" i="23"/>
  <c r="G27" i="23" s="1"/>
  <c r="G28" i="23" s="1"/>
  <c r="G29" i="23" s="1"/>
  <c r="G30" i="23" s="1"/>
  <c r="G31" i="23" s="1"/>
  <c r="G32" i="23" s="1"/>
  <c r="G33" i="23" s="1"/>
  <c r="G34" i="23" s="1"/>
  <c r="G35" i="23" s="1"/>
  <c r="G36" i="23" s="1"/>
  <c r="M25" i="23"/>
  <c r="X49" i="23" s="1"/>
  <c r="L25" i="23"/>
  <c r="I25" i="23"/>
  <c r="H25" i="23"/>
  <c r="G25" i="23"/>
  <c r="E25" i="23"/>
  <c r="D25" i="23"/>
  <c r="M24" i="23"/>
  <c r="L24" i="23"/>
  <c r="K24" i="23"/>
  <c r="I24" i="23"/>
  <c r="H24" i="23"/>
  <c r="E24" i="23"/>
  <c r="D24" i="23"/>
  <c r="M23" i="23"/>
  <c r="L23" i="23"/>
  <c r="K23" i="23"/>
  <c r="K25" i="23" s="1"/>
  <c r="K26" i="23" s="1"/>
  <c r="K27" i="23" s="1"/>
  <c r="K28" i="23" s="1"/>
  <c r="K29" i="23" s="1"/>
  <c r="K30" i="23" s="1"/>
  <c r="K31" i="23" s="1"/>
  <c r="K32" i="23" s="1"/>
  <c r="K33" i="23" s="1"/>
  <c r="K34" i="23" s="1"/>
  <c r="E23" i="23"/>
  <c r="D23" i="23"/>
  <c r="C23" i="23"/>
  <c r="C24" i="23" s="1"/>
  <c r="M22" i="23"/>
  <c r="L22" i="23"/>
  <c r="E22" i="23"/>
  <c r="D22" i="23"/>
  <c r="I18" i="23"/>
  <c r="H18" i="23"/>
  <c r="I17" i="23"/>
  <c r="U52" i="23" s="1"/>
  <c r="H17" i="23"/>
  <c r="I16" i="23"/>
  <c r="H16" i="23"/>
  <c r="E16" i="23"/>
  <c r="R44" i="23" s="1"/>
  <c r="D16" i="23"/>
  <c r="I15" i="23"/>
  <c r="H15" i="23"/>
  <c r="E15" i="23"/>
  <c r="D15" i="23"/>
  <c r="M14" i="23"/>
  <c r="L14" i="23"/>
  <c r="I14" i="23"/>
  <c r="H14" i="23"/>
  <c r="E14" i="23"/>
  <c r="D14" i="23"/>
  <c r="M13" i="23"/>
  <c r="L13" i="23"/>
  <c r="I13" i="23"/>
  <c r="H13" i="23"/>
  <c r="E13" i="23"/>
  <c r="U43" i="23" s="1"/>
  <c r="D13" i="23"/>
  <c r="M12" i="23"/>
  <c r="X39" i="23" s="1"/>
  <c r="L12" i="23"/>
  <c r="I12" i="23"/>
  <c r="H12" i="23"/>
  <c r="E12" i="23"/>
  <c r="R45" i="23" s="1"/>
  <c r="D12" i="23"/>
  <c r="M11" i="23"/>
  <c r="X42" i="23" s="1"/>
  <c r="L11" i="23"/>
  <c r="I11" i="23"/>
  <c r="R54" i="23" s="1"/>
  <c r="H11" i="23"/>
  <c r="E11" i="23"/>
  <c r="D11" i="23"/>
  <c r="M10" i="23"/>
  <c r="X48" i="23" s="1"/>
  <c r="L10" i="23"/>
  <c r="K10" i="23"/>
  <c r="K11" i="23" s="1"/>
  <c r="K12" i="23" s="1"/>
  <c r="I10" i="23"/>
  <c r="H10" i="23"/>
  <c r="E10" i="23"/>
  <c r="R43" i="23" s="1"/>
  <c r="D10" i="23"/>
  <c r="M9" i="23"/>
  <c r="X36" i="23" s="1"/>
  <c r="L9" i="23"/>
  <c r="I9" i="23"/>
  <c r="H9" i="23"/>
  <c r="E9" i="23"/>
  <c r="D9" i="23"/>
  <c r="M8" i="23"/>
  <c r="L8" i="23"/>
  <c r="K8" i="23"/>
  <c r="I8" i="23"/>
  <c r="R47" i="23" s="1"/>
  <c r="H8" i="23"/>
  <c r="E8" i="23"/>
  <c r="R38" i="23" s="1"/>
  <c r="D8" i="23"/>
  <c r="M7" i="23"/>
  <c r="L7" i="23"/>
  <c r="I7" i="23"/>
  <c r="H7" i="23"/>
  <c r="G7" i="23"/>
  <c r="G8" i="23" s="1"/>
  <c r="G9" i="23" s="1"/>
  <c r="G10" i="23" s="1"/>
  <c r="G11" i="23" s="1"/>
  <c r="G12" i="23" s="1"/>
  <c r="G13" i="23" s="1"/>
  <c r="G14" i="23" s="1"/>
  <c r="G15" i="23" s="1"/>
  <c r="G16" i="23" s="1"/>
  <c r="G17" i="23" s="1"/>
  <c r="G49" i="23" s="1"/>
  <c r="G18" i="23" s="1"/>
  <c r="E7" i="23"/>
  <c r="R36" i="23" s="1"/>
  <c r="D7" i="23"/>
  <c r="C7" i="23"/>
  <c r="C8" i="23" s="1"/>
  <c r="C9" i="23" s="1"/>
  <c r="C10" i="23" s="1"/>
  <c r="C11" i="23" s="1"/>
  <c r="C12" i="23" s="1"/>
  <c r="C13" i="23" s="1"/>
  <c r="C14" i="23" s="1"/>
  <c r="C15" i="23" s="1"/>
  <c r="C16" i="23" s="1"/>
  <c r="C25" i="23" s="1"/>
  <c r="M6" i="23"/>
  <c r="X46" i="23" s="1"/>
  <c r="L6" i="23"/>
  <c r="I6" i="23"/>
  <c r="H6" i="23"/>
  <c r="E6" i="23"/>
  <c r="D6" i="23"/>
  <c r="V17" i="18"/>
  <c r="V16" i="18"/>
  <c r="U17" i="18"/>
  <c r="U16" i="18"/>
  <c r="V5" i="18"/>
  <c r="V6" i="18"/>
  <c r="V7" i="18"/>
  <c r="V8" i="18"/>
  <c r="V9" i="18"/>
  <c r="V10" i="18"/>
  <c r="V11" i="18"/>
  <c r="V12" i="18"/>
  <c r="V13" i="18"/>
  <c r="V14" i="18"/>
  <c r="V15" i="18"/>
  <c r="V4" i="18"/>
  <c r="U5" i="18"/>
  <c r="U6" i="18"/>
  <c r="U7" i="18"/>
  <c r="U8" i="18"/>
  <c r="U9" i="18"/>
  <c r="U10" i="18"/>
  <c r="U11" i="18"/>
  <c r="U12" i="18"/>
  <c r="U13" i="18"/>
  <c r="U14" i="18"/>
  <c r="U15" i="18"/>
  <c r="U4" i="18"/>
  <c r="C83" i="27"/>
  <c r="C84" i="27" s="1"/>
  <c r="C85" i="27" s="1"/>
  <c r="C86" i="27" s="1"/>
  <c r="C87" i="27" s="1"/>
  <c r="C88" i="27" s="1"/>
  <c r="C89" i="27" s="1"/>
  <c r="C90" i="27" s="1"/>
  <c r="C91" i="27" s="1"/>
  <c r="C92" i="27" s="1"/>
  <c r="C93" i="27" s="1"/>
  <c r="C94" i="27" s="1"/>
  <c r="C95" i="27" s="1"/>
  <c r="C96" i="27" s="1"/>
  <c r="I75" i="27"/>
  <c r="I74" i="27"/>
  <c r="I76" i="27" s="1"/>
  <c r="G74" i="27"/>
  <c r="G75" i="27" s="1"/>
  <c r="G76" i="27" s="1"/>
  <c r="I73" i="27"/>
  <c r="E71" i="27"/>
  <c r="E70" i="27"/>
  <c r="E69" i="27"/>
  <c r="I68" i="27"/>
  <c r="E68" i="27"/>
  <c r="I67" i="27"/>
  <c r="E67" i="27"/>
  <c r="I66" i="27"/>
  <c r="E66" i="27"/>
  <c r="I65" i="27"/>
  <c r="E65" i="27"/>
  <c r="I64" i="27"/>
  <c r="E64" i="27"/>
  <c r="I63" i="27"/>
  <c r="I62" i="27"/>
  <c r="I61" i="27"/>
  <c r="I60" i="27"/>
  <c r="I59" i="27"/>
  <c r="E59" i="27"/>
  <c r="I58" i="27"/>
  <c r="E58" i="27"/>
  <c r="I57" i="27"/>
  <c r="G57" i="27"/>
  <c r="G58" i="27" s="1"/>
  <c r="G59" i="27" s="1"/>
  <c r="G60" i="27" s="1"/>
  <c r="G61" i="27" s="1"/>
  <c r="G62" i="27" s="1"/>
  <c r="G63" i="27" s="1"/>
  <c r="G64" i="27" s="1"/>
  <c r="G65" i="27" s="1"/>
  <c r="G66" i="27" s="1"/>
  <c r="G67" i="27" s="1"/>
  <c r="G68" i="27" s="1"/>
  <c r="C64" i="27" s="1"/>
  <c r="C65" i="27" s="1"/>
  <c r="C66" i="27" s="1"/>
  <c r="C67" i="27" s="1"/>
  <c r="C68" i="27" s="1"/>
  <c r="C69" i="27" s="1"/>
  <c r="C70" i="27" s="1"/>
  <c r="C71" i="27" s="1"/>
  <c r="E57" i="27"/>
  <c r="C57" i="27"/>
  <c r="C58" i="27" s="1"/>
  <c r="C59" i="27" s="1"/>
  <c r="I56" i="27"/>
  <c r="E56" i="27"/>
  <c r="I49" i="27"/>
  <c r="U53" i="27" s="1"/>
  <c r="H49" i="27"/>
  <c r="E49" i="27"/>
  <c r="U51" i="27" s="1"/>
  <c r="D49" i="27"/>
  <c r="I48" i="27"/>
  <c r="H48" i="27"/>
  <c r="E48" i="27"/>
  <c r="U50" i="27" s="1"/>
  <c r="D48" i="27"/>
  <c r="I47" i="27"/>
  <c r="U48" i="27" s="1"/>
  <c r="H47" i="27"/>
  <c r="E47" i="27"/>
  <c r="U49" i="27" s="1"/>
  <c r="D47" i="27"/>
  <c r="I46" i="27"/>
  <c r="U54" i="27" s="1"/>
  <c r="H46" i="27"/>
  <c r="E46" i="27"/>
  <c r="U40" i="27" s="1"/>
  <c r="D46" i="27"/>
  <c r="I45" i="27"/>
  <c r="H45" i="27"/>
  <c r="E45" i="27"/>
  <c r="U38" i="27" s="1"/>
  <c r="D45" i="27"/>
  <c r="I44" i="27"/>
  <c r="H44" i="27"/>
  <c r="E44" i="27"/>
  <c r="D44" i="27"/>
  <c r="M43" i="27"/>
  <c r="X38" i="27" s="1"/>
  <c r="L43" i="27"/>
  <c r="K43" i="27"/>
  <c r="I43" i="27"/>
  <c r="H43" i="27"/>
  <c r="G43" i="27"/>
  <c r="G44" i="27" s="1"/>
  <c r="G45" i="27" s="1"/>
  <c r="G46" i="27" s="1"/>
  <c r="G47" i="27" s="1"/>
  <c r="G48" i="27" s="1"/>
  <c r="E43" i="27"/>
  <c r="D43" i="27"/>
  <c r="M42" i="27"/>
  <c r="L42" i="27"/>
  <c r="I42" i="27"/>
  <c r="H42" i="27"/>
  <c r="P37" i="27"/>
  <c r="P38" i="27" s="1"/>
  <c r="P39" i="27" s="1"/>
  <c r="P40" i="27" s="1"/>
  <c r="P41" i="27" s="1"/>
  <c r="P42" i="27" s="1"/>
  <c r="P43" i="27" s="1"/>
  <c r="P44" i="27" s="1"/>
  <c r="P45" i="27" s="1"/>
  <c r="P46" i="27" s="1"/>
  <c r="P47" i="27" s="1"/>
  <c r="P48" i="27" s="1"/>
  <c r="P49" i="27" s="1"/>
  <c r="P50" i="27" s="1"/>
  <c r="P51" i="27" s="1"/>
  <c r="P52" i="27" s="1"/>
  <c r="P53" i="27" s="1"/>
  <c r="P54" i="27" s="1"/>
  <c r="S36" i="27" s="1"/>
  <c r="S37" i="27" s="1"/>
  <c r="S38" i="27" s="1"/>
  <c r="S39" i="27" s="1"/>
  <c r="S40" i="27" s="1"/>
  <c r="S41" i="27" s="1"/>
  <c r="S42" i="27" s="1"/>
  <c r="S43" i="27" s="1"/>
  <c r="S44" i="27" s="1"/>
  <c r="S45" i="27" s="1"/>
  <c r="E37" i="27"/>
  <c r="D37" i="27"/>
  <c r="I36" i="27"/>
  <c r="H36" i="27"/>
  <c r="E36" i="27"/>
  <c r="D36" i="27"/>
  <c r="I35" i="27"/>
  <c r="U46" i="27" s="1"/>
  <c r="H35" i="27"/>
  <c r="E35" i="27"/>
  <c r="R53" i="27" s="1"/>
  <c r="D35" i="27"/>
  <c r="M34" i="27"/>
  <c r="X45" i="27" s="1"/>
  <c r="L34" i="27"/>
  <c r="I34" i="27"/>
  <c r="H34" i="27"/>
  <c r="E34" i="27"/>
  <c r="R52" i="27" s="1"/>
  <c r="D34" i="27"/>
  <c r="M33" i="27"/>
  <c r="X44" i="27" s="1"/>
  <c r="L33" i="27"/>
  <c r="I33" i="27"/>
  <c r="H33" i="27"/>
  <c r="E33" i="27"/>
  <c r="R41" i="27" s="1"/>
  <c r="D33" i="27"/>
  <c r="C33" i="27"/>
  <c r="C34" i="27" s="1"/>
  <c r="M32" i="27"/>
  <c r="X43" i="27" s="1"/>
  <c r="L32" i="27"/>
  <c r="I32" i="27"/>
  <c r="H32" i="27"/>
  <c r="E32" i="27"/>
  <c r="R39" i="27" s="1"/>
  <c r="D32" i="27"/>
  <c r="M31" i="27"/>
  <c r="X54" i="27" s="1"/>
  <c r="L31" i="27"/>
  <c r="I31" i="27"/>
  <c r="H31" i="27"/>
  <c r="E31" i="27"/>
  <c r="D31" i="27"/>
  <c r="M30" i="27"/>
  <c r="X53" i="27" s="1"/>
  <c r="L30" i="27"/>
  <c r="I30" i="27"/>
  <c r="H30" i="27"/>
  <c r="M29" i="27"/>
  <c r="X40" i="27" s="1"/>
  <c r="L29" i="27"/>
  <c r="I29" i="27"/>
  <c r="H29" i="27"/>
  <c r="M28" i="27"/>
  <c r="X52" i="27" s="1"/>
  <c r="L28" i="27"/>
  <c r="I28" i="27"/>
  <c r="H28" i="27"/>
  <c r="M27" i="27"/>
  <c r="X51" i="27" s="1"/>
  <c r="L27" i="27"/>
  <c r="I27" i="27"/>
  <c r="H27" i="27"/>
  <c r="M26" i="27"/>
  <c r="X50" i="27" s="1"/>
  <c r="L26" i="27"/>
  <c r="I26" i="27"/>
  <c r="R48" i="27" s="1"/>
  <c r="H26" i="27"/>
  <c r="G26" i="27"/>
  <c r="G27" i="27" s="1"/>
  <c r="G28" i="27" s="1"/>
  <c r="G29" i="27" s="1"/>
  <c r="G30" i="27" s="1"/>
  <c r="G31" i="27" s="1"/>
  <c r="G32" i="27" s="1"/>
  <c r="G33" i="27" s="1"/>
  <c r="G34" i="27" s="1"/>
  <c r="G35" i="27" s="1"/>
  <c r="G36" i="27" s="1"/>
  <c r="M25" i="27"/>
  <c r="X49" i="27" s="1"/>
  <c r="L25" i="27"/>
  <c r="I25" i="27"/>
  <c r="H25" i="27"/>
  <c r="G25" i="27"/>
  <c r="E25" i="27"/>
  <c r="D25" i="27"/>
  <c r="M24" i="27"/>
  <c r="L24" i="27"/>
  <c r="K24" i="27"/>
  <c r="K23" i="27" s="1"/>
  <c r="K25" i="27" s="1"/>
  <c r="K26" i="27" s="1"/>
  <c r="K27" i="27" s="1"/>
  <c r="K28" i="27" s="1"/>
  <c r="K29" i="27" s="1"/>
  <c r="K30" i="27" s="1"/>
  <c r="K31" i="27" s="1"/>
  <c r="K32" i="27" s="1"/>
  <c r="K33" i="27" s="1"/>
  <c r="K34" i="27" s="1"/>
  <c r="I24" i="27"/>
  <c r="H24" i="27"/>
  <c r="E24" i="27"/>
  <c r="D24" i="27"/>
  <c r="M23" i="27"/>
  <c r="L23" i="27"/>
  <c r="E23" i="27"/>
  <c r="D23" i="27"/>
  <c r="C23" i="27"/>
  <c r="C24" i="27" s="1"/>
  <c r="M22" i="27"/>
  <c r="L22" i="27"/>
  <c r="E22" i="27"/>
  <c r="D22" i="27"/>
  <c r="I18" i="27"/>
  <c r="H18" i="27"/>
  <c r="I17" i="27"/>
  <c r="U52" i="27" s="1"/>
  <c r="H17" i="27"/>
  <c r="I16" i="27"/>
  <c r="H16" i="27"/>
  <c r="E16" i="27"/>
  <c r="R44" i="27" s="1"/>
  <c r="D16" i="27"/>
  <c r="I15" i="27"/>
  <c r="H15" i="27"/>
  <c r="E15" i="27"/>
  <c r="D15" i="27"/>
  <c r="M14" i="27"/>
  <c r="L14" i="27"/>
  <c r="I14" i="27"/>
  <c r="H14" i="27"/>
  <c r="E14" i="27"/>
  <c r="D14" i="27"/>
  <c r="M13" i="27"/>
  <c r="L13" i="27"/>
  <c r="I13" i="27"/>
  <c r="H13" i="27"/>
  <c r="E13" i="27"/>
  <c r="U43" i="27" s="1"/>
  <c r="D13" i="27"/>
  <c r="M12" i="27"/>
  <c r="X39" i="27" s="1"/>
  <c r="L12" i="27"/>
  <c r="I12" i="27"/>
  <c r="H12" i="27"/>
  <c r="E12" i="27"/>
  <c r="R45" i="27" s="1"/>
  <c r="D12" i="27"/>
  <c r="M11" i="27"/>
  <c r="X42" i="27" s="1"/>
  <c r="L11" i="27"/>
  <c r="I11" i="27"/>
  <c r="H11" i="27"/>
  <c r="E11" i="27"/>
  <c r="D11" i="27"/>
  <c r="M10" i="27"/>
  <c r="X48" i="27" s="1"/>
  <c r="L10" i="27"/>
  <c r="K10" i="27"/>
  <c r="K11" i="27" s="1"/>
  <c r="K12" i="27" s="1"/>
  <c r="I10" i="27"/>
  <c r="H10" i="27"/>
  <c r="E10" i="27"/>
  <c r="R43" i="27" s="1"/>
  <c r="D10" i="27"/>
  <c r="M9" i="27"/>
  <c r="X36" i="27" s="1"/>
  <c r="L9" i="27"/>
  <c r="I9" i="27"/>
  <c r="H9" i="27"/>
  <c r="E9" i="27"/>
  <c r="D9" i="27"/>
  <c r="M8" i="27"/>
  <c r="L8" i="27"/>
  <c r="K8" i="27"/>
  <c r="I8" i="27"/>
  <c r="R47" i="27" s="1"/>
  <c r="H8" i="27"/>
  <c r="E8" i="27"/>
  <c r="R38" i="27" s="1"/>
  <c r="D8" i="27"/>
  <c r="M7" i="27"/>
  <c r="L7" i="27"/>
  <c r="I7" i="27"/>
  <c r="R46" i="27" s="1"/>
  <c r="H7" i="27"/>
  <c r="G7" i="27"/>
  <c r="G8" i="27" s="1"/>
  <c r="G9" i="27" s="1"/>
  <c r="G10" i="27" s="1"/>
  <c r="G11" i="27" s="1"/>
  <c r="G12" i="27" s="1"/>
  <c r="G13" i="27" s="1"/>
  <c r="G14" i="27" s="1"/>
  <c r="G15" i="27" s="1"/>
  <c r="G16" i="27" s="1"/>
  <c r="G17" i="27" s="1"/>
  <c r="G49" i="27" s="1"/>
  <c r="G18" i="27" s="1"/>
  <c r="E7" i="27"/>
  <c r="R36" i="27" s="1"/>
  <c r="D7" i="27"/>
  <c r="C7" i="27"/>
  <c r="C8" i="27" s="1"/>
  <c r="C9" i="27" s="1"/>
  <c r="C10" i="27" s="1"/>
  <c r="C11" i="27" s="1"/>
  <c r="C12" i="27" s="1"/>
  <c r="C13" i="27" s="1"/>
  <c r="C14" i="27" s="1"/>
  <c r="C15" i="27" s="1"/>
  <c r="C16" i="27" s="1"/>
  <c r="C25" i="27" s="1"/>
  <c r="M6" i="27"/>
  <c r="L6" i="27"/>
  <c r="I6" i="27"/>
  <c r="H6" i="27"/>
  <c r="E6" i="27"/>
  <c r="D6" i="27"/>
  <c r="C83" i="26"/>
  <c r="C84" i="26" s="1"/>
  <c r="C85" i="26" s="1"/>
  <c r="C86" i="26" s="1"/>
  <c r="C87" i="26" s="1"/>
  <c r="C88" i="26" s="1"/>
  <c r="C89" i="26" s="1"/>
  <c r="C90" i="26" s="1"/>
  <c r="C91" i="26" s="1"/>
  <c r="C92" i="26" s="1"/>
  <c r="C93" i="26" s="1"/>
  <c r="C94" i="26" s="1"/>
  <c r="C95" i="26" s="1"/>
  <c r="C96" i="26" s="1"/>
  <c r="I75" i="26"/>
  <c r="G75" i="26"/>
  <c r="G76" i="26" s="1"/>
  <c r="I74" i="26"/>
  <c r="I76" i="26" s="1"/>
  <c r="G74" i="26"/>
  <c r="I73" i="26"/>
  <c r="E71" i="26"/>
  <c r="E70" i="26"/>
  <c r="E69" i="26"/>
  <c r="I68" i="26"/>
  <c r="E68" i="26"/>
  <c r="I67" i="26"/>
  <c r="E67" i="26"/>
  <c r="I66" i="26"/>
  <c r="E66" i="26"/>
  <c r="I65" i="26"/>
  <c r="E65" i="26"/>
  <c r="I64" i="26"/>
  <c r="E64" i="26"/>
  <c r="I63" i="26"/>
  <c r="I62" i="26"/>
  <c r="I61" i="26"/>
  <c r="I60" i="26"/>
  <c r="I59" i="26"/>
  <c r="E59" i="26"/>
  <c r="I58" i="26"/>
  <c r="E58" i="26"/>
  <c r="I57" i="26"/>
  <c r="G57" i="26"/>
  <c r="G58" i="26" s="1"/>
  <c r="G59" i="26" s="1"/>
  <c r="G60" i="26" s="1"/>
  <c r="G61" i="26" s="1"/>
  <c r="G62" i="26" s="1"/>
  <c r="G63" i="26" s="1"/>
  <c r="G64" i="26" s="1"/>
  <c r="G65" i="26" s="1"/>
  <c r="G66" i="26" s="1"/>
  <c r="G67" i="26" s="1"/>
  <c r="G68" i="26" s="1"/>
  <c r="C64" i="26" s="1"/>
  <c r="C65" i="26" s="1"/>
  <c r="C66" i="26" s="1"/>
  <c r="C67" i="26" s="1"/>
  <c r="C68" i="26" s="1"/>
  <c r="C69" i="26" s="1"/>
  <c r="C70" i="26" s="1"/>
  <c r="C71" i="26" s="1"/>
  <c r="E57" i="26"/>
  <c r="C57" i="26"/>
  <c r="C58" i="26" s="1"/>
  <c r="C59" i="26" s="1"/>
  <c r="I56" i="26"/>
  <c r="E56" i="26"/>
  <c r="I49" i="26"/>
  <c r="U53" i="26" s="1"/>
  <c r="H49" i="26"/>
  <c r="E49" i="26"/>
  <c r="U51" i="26" s="1"/>
  <c r="D49" i="26"/>
  <c r="I48" i="26"/>
  <c r="H48" i="26"/>
  <c r="E48" i="26"/>
  <c r="U50" i="26" s="1"/>
  <c r="D48" i="26"/>
  <c r="I47" i="26"/>
  <c r="U48" i="26" s="1"/>
  <c r="H47" i="26"/>
  <c r="E47" i="26"/>
  <c r="U49" i="26" s="1"/>
  <c r="D47" i="26"/>
  <c r="I46" i="26"/>
  <c r="U54" i="26" s="1"/>
  <c r="H46" i="26"/>
  <c r="E46" i="26"/>
  <c r="U40" i="26" s="1"/>
  <c r="D46" i="26"/>
  <c r="I45" i="26"/>
  <c r="H45" i="26"/>
  <c r="E45" i="26"/>
  <c r="U38" i="26" s="1"/>
  <c r="D45" i="26"/>
  <c r="I44" i="26"/>
  <c r="H44" i="26"/>
  <c r="G44" i="26"/>
  <c r="G45" i="26" s="1"/>
  <c r="G46" i="26" s="1"/>
  <c r="G47" i="26" s="1"/>
  <c r="G48" i="26" s="1"/>
  <c r="E44" i="26"/>
  <c r="U39" i="26" s="1"/>
  <c r="D44" i="26"/>
  <c r="M43" i="26"/>
  <c r="X38" i="26" s="1"/>
  <c r="L43" i="26"/>
  <c r="K43" i="26"/>
  <c r="I43" i="26"/>
  <c r="H43" i="26"/>
  <c r="G43" i="26"/>
  <c r="E43" i="26"/>
  <c r="D43" i="26"/>
  <c r="M42" i="26"/>
  <c r="L42" i="26"/>
  <c r="I42" i="26"/>
  <c r="H42" i="26"/>
  <c r="P37" i="26"/>
  <c r="P38" i="26" s="1"/>
  <c r="P39" i="26" s="1"/>
  <c r="P40" i="26" s="1"/>
  <c r="P41" i="26" s="1"/>
  <c r="P42" i="26" s="1"/>
  <c r="P43" i="26" s="1"/>
  <c r="P44" i="26" s="1"/>
  <c r="P45" i="26" s="1"/>
  <c r="P46" i="26" s="1"/>
  <c r="P47" i="26" s="1"/>
  <c r="P48" i="26" s="1"/>
  <c r="P49" i="26" s="1"/>
  <c r="P50" i="26" s="1"/>
  <c r="P51" i="26" s="1"/>
  <c r="P52" i="26" s="1"/>
  <c r="P53" i="26" s="1"/>
  <c r="P54" i="26" s="1"/>
  <c r="S36" i="26" s="1"/>
  <c r="S37" i="26" s="1"/>
  <c r="S38" i="26" s="1"/>
  <c r="S39" i="26" s="1"/>
  <c r="S40" i="26" s="1"/>
  <c r="S41" i="26" s="1"/>
  <c r="S42" i="26" s="1"/>
  <c r="S43" i="26" s="1"/>
  <c r="S44" i="26" s="1"/>
  <c r="S45" i="26" s="1"/>
  <c r="E37" i="26"/>
  <c r="D37" i="26"/>
  <c r="I36" i="26"/>
  <c r="H36" i="26"/>
  <c r="E36" i="26"/>
  <c r="D36" i="26"/>
  <c r="I35" i="26"/>
  <c r="U46" i="26" s="1"/>
  <c r="H35" i="26"/>
  <c r="E35" i="26"/>
  <c r="R53" i="26" s="1"/>
  <c r="D35" i="26"/>
  <c r="M34" i="26"/>
  <c r="X45" i="26" s="1"/>
  <c r="L34" i="26"/>
  <c r="I34" i="26"/>
  <c r="H34" i="26"/>
  <c r="E34" i="26"/>
  <c r="R52" i="26" s="1"/>
  <c r="D34" i="26"/>
  <c r="M33" i="26"/>
  <c r="X44" i="26" s="1"/>
  <c r="L33" i="26"/>
  <c r="I33" i="26"/>
  <c r="H33" i="26"/>
  <c r="E33" i="26"/>
  <c r="R41" i="26" s="1"/>
  <c r="D33" i="26"/>
  <c r="C33" i="26"/>
  <c r="C34" i="26" s="1"/>
  <c r="M32" i="26"/>
  <c r="X43" i="26" s="1"/>
  <c r="L32" i="26"/>
  <c r="I32" i="26"/>
  <c r="H32" i="26"/>
  <c r="E32" i="26"/>
  <c r="R39" i="26" s="1"/>
  <c r="D32" i="26"/>
  <c r="M31" i="26"/>
  <c r="X54" i="26" s="1"/>
  <c r="L31" i="26"/>
  <c r="I31" i="26"/>
  <c r="H31" i="26"/>
  <c r="E31" i="26"/>
  <c r="D31" i="26"/>
  <c r="M30" i="26"/>
  <c r="X53" i="26" s="1"/>
  <c r="L30" i="26"/>
  <c r="I30" i="26"/>
  <c r="H30" i="26"/>
  <c r="M29" i="26"/>
  <c r="X40" i="26" s="1"/>
  <c r="L29" i="26"/>
  <c r="I29" i="26"/>
  <c r="H29" i="26"/>
  <c r="M28" i="26"/>
  <c r="X52" i="26" s="1"/>
  <c r="L28" i="26"/>
  <c r="I28" i="26"/>
  <c r="H28" i="26"/>
  <c r="M27" i="26"/>
  <c r="X51" i="26" s="1"/>
  <c r="L27" i="26"/>
  <c r="I27" i="26"/>
  <c r="H27" i="26"/>
  <c r="M26" i="26"/>
  <c r="X50" i="26" s="1"/>
  <c r="L26" i="26"/>
  <c r="I26" i="26"/>
  <c r="R48" i="26" s="1"/>
  <c r="H26" i="26"/>
  <c r="G26" i="26"/>
  <c r="G27" i="26" s="1"/>
  <c r="G28" i="26" s="1"/>
  <c r="G29" i="26" s="1"/>
  <c r="G30" i="26" s="1"/>
  <c r="G31" i="26" s="1"/>
  <c r="G32" i="26" s="1"/>
  <c r="G33" i="26" s="1"/>
  <c r="G34" i="26" s="1"/>
  <c r="G35" i="26" s="1"/>
  <c r="G36" i="26" s="1"/>
  <c r="M25" i="26"/>
  <c r="X49" i="26" s="1"/>
  <c r="L25" i="26"/>
  <c r="I25" i="26"/>
  <c r="H25" i="26"/>
  <c r="G25" i="26"/>
  <c r="E25" i="26"/>
  <c r="D25" i="26"/>
  <c r="M24" i="26"/>
  <c r="L24" i="26"/>
  <c r="K24" i="26"/>
  <c r="I24" i="26"/>
  <c r="H24" i="26"/>
  <c r="E24" i="26"/>
  <c r="D24" i="26"/>
  <c r="M23" i="26"/>
  <c r="L23" i="26"/>
  <c r="K23" i="26"/>
  <c r="K25" i="26" s="1"/>
  <c r="K26" i="26" s="1"/>
  <c r="K27" i="26" s="1"/>
  <c r="K28" i="26" s="1"/>
  <c r="K29" i="26" s="1"/>
  <c r="K30" i="26" s="1"/>
  <c r="K31" i="26" s="1"/>
  <c r="K32" i="26" s="1"/>
  <c r="K33" i="26" s="1"/>
  <c r="K34" i="26" s="1"/>
  <c r="E23" i="26"/>
  <c r="D23" i="26"/>
  <c r="C23" i="26"/>
  <c r="C24" i="26" s="1"/>
  <c r="M22" i="26"/>
  <c r="L22" i="26"/>
  <c r="E22" i="26"/>
  <c r="D22" i="26"/>
  <c r="I18" i="26"/>
  <c r="H18" i="26"/>
  <c r="I17" i="26"/>
  <c r="U52" i="26" s="1"/>
  <c r="H17" i="26"/>
  <c r="I16" i="26"/>
  <c r="H16" i="26"/>
  <c r="E16" i="26"/>
  <c r="R44" i="26" s="1"/>
  <c r="D16" i="26"/>
  <c r="I15" i="26"/>
  <c r="U44" i="26" s="1"/>
  <c r="H15" i="26"/>
  <c r="E15" i="26"/>
  <c r="R37" i="26" s="1"/>
  <c r="D15" i="26"/>
  <c r="M14" i="26"/>
  <c r="L14" i="26"/>
  <c r="I14" i="26"/>
  <c r="H14" i="26"/>
  <c r="E14" i="26"/>
  <c r="D14" i="26"/>
  <c r="M13" i="26"/>
  <c r="L13" i="26"/>
  <c r="I13" i="26"/>
  <c r="H13" i="26"/>
  <c r="E13" i="26"/>
  <c r="U43" i="26" s="1"/>
  <c r="D13" i="26"/>
  <c r="M12" i="26"/>
  <c r="X39" i="26" s="1"/>
  <c r="L12" i="26"/>
  <c r="I12" i="26"/>
  <c r="H12" i="26"/>
  <c r="E12" i="26"/>
  <c r="D12" i="26"/>
  <c r="M11" i="26"/>
  <c r="X42" i="26" s="1"/>
  <c r="L11" i="26"/>
  <c r="I11" i="26"/>
  <c r="H11" i="26"/>
  <c r="E11" i="26"/>
  <c r="D11" i="26"/>
  <c r="M10" i="26"/>
  <c r="X48" i="26" s="1"/>
  <c r="L10" i="26"/>
  <c r="K10" i="26"/>
  <c r="K11" i="26" s="1"/>
  <c r="K12" i="26" s="1"/>
  <c r="I10" i="26"/>
  <c r="H10" i="26"/>
  <c r="E10" i="26"/>
  <c r="R43" i="26" s="1"/>
  <c r="D10" i="26"/>
  <c r="M9" i="26"/>
  <c r="X36" i="26" s="1"/>
  <c r="L9" i="26"/>
  <c r="I9" i="26"/>
  <c r="H9" i="26"/>
  <c r="E9" i="26"/>
  <c r="D9" i="26"/>
  <c r="M8" i="26"/>
  <c r="L8" i="26"/>
  <c r="K8" i="26"/>
  <c r="I8" i="26"/>
  <c r="R47" i="26" s="1"/>
  <c r="H8" i="26"/>
  <c r="E8" i="26"/>
  <c r="R38" i="26" s="1"/>
  <c r="D8" i="26"/>
  <c r="M7" i="26"/>
  <c r="L7" i="26"/>
  <c r="I7" i="26"/>
  <c r="H7" i="26"/>
  <c r="G7" i="26"/>
  <c r="G8" i="26" s="1"/>
  <c r="G9" i="26" s="1"/>
  <c r="G10" i="26" s="1"/>
  <c r="G11" i="26" s="1"/>
  <c r="G12" i="26" s="1"/>
  <c r="G13" i="26" s="1"/>
  <c r="G14" i="26" s="1"/>
  <c r="G15" i="26" s="1"/>
  <c r="G16" i="26" s="1"/>
  <c r="G17" i="26" s="1"/>
  <c r="G49" i="26" s="1"/>
  <c r="G18" i="26" s="1"/>
  <c r="E7" i="26"/>
  <c r="R36" i="26" s="1"/>
  <c r="D7" i="26"/>
  <c r="C7" i="26"/>
  <c r="C8" i="26" s="1"/>
  <c r="C9" i="26" s="1"/>
  <c r="C10" i="26" s="1"/>
  <c r="C11" i="26" s="1"/>
  <c r="C12" i="26" s="1"/>
  <c r="C13" i="26" s="1"/>
  <c r="C14" i="26" s="1"/>
  <c r="C15" i="26" s="1"/>
  <c r="C16" i="26" s="1"/>
  <c r="C25" i="26" s="1"/>
  <c r="M6" i="26"/>
  <c r="L6" i="26"/>
  <c r="I6" i="26"/>
  <c r="H6" i="26"/>
  <c r="E6" i="26"/>
  <c r="D6" i="26"/>
  <c r="E37" i="17"/>
  <c r="D37" i="17"/>
  <c r="E36" i="17"/>
  <c r="D36" i="17"/>
  <c r="E35" i="17"/>
  <c r="D35" i="17"/>
  <c r="E34" i="17"/>
  <c r="D34" i="17"/>
  <c r="E33" i="17"/>
  <c r="D33" i="17"/>
  <c r="C33" i="17"/>
  <c r="C34" i="17" s="1"/>
  <c r="C35" i="17" s="1"/>
  <c r="C36" i="17" s="1"/>
  <c r="C37" i="17" s="1"/>
  <c r="E32" i="17"/>
  <c r="D32" i="17"/>
  <c r="E31" i="17"/>
  <c r="D31" i="17"/>
  <c r="E37" i="16"/>
  <c r="D37" i="16"/>
  <c r="E36" i="16"/>
  <c r="D36" i="16"/>
  <c r="E35" i="16"/>
  <c r="D35" i="16"/>
  <c r="E34" i="16"/>
  <c r="D34" i="16"/>
  <c r="C34" i="16"/>
  <c r="C35" i="16" s="1"/>
  <c r="C36" i="16" s="1"/>
  <c r="C37" i="16" s="1"/>
  <c r="E33" i="16"/>
  <c r="D33" i="16"/>
  <c r="C33" i="16"/>
  <c r="E32" i="16"/>
  <c r="D32" i="16"/>
  <c r="E31" i="16"/>
  <c r="D31" i="16"/>
  <c r="E37" i="15"/>
  <c r="D37" i="15"/>
  <c r="E36" i="15"/>
  <c r="D36" i="15"/>
  <c r="E35" i="15"/>
  <c r="D35" i="15"/>
  <c r="E34" i="15"/>
  <c r="D34" i="15"/>
  <c r="C34" i="15"/>
  <c r="C35" i="15" s="1"/>
  <c r="C36" i="15" s="1"/>
  <c r="C37" i="15" s="1"/>
  <c r="E33" i="15"/>
  <c r="D33" i="15"/>
  <c r="C33" i="15"/>
  <c r="E32" i="15"/>
  <c r="D32" i="15"/>
  <c r="E31" i="15"/>
  <c r="D31" i="15"/>
  <c r="E37" i="25"/>
  <c r="D37" i="25"/>
  <c r="E36" i="25"/>
  <c r="D36" i="25"/>
  <c r="E35" i="25"/>
  <c r="R53" i="25" s="1"/>
  <c r="D35" i="25"/>
  <c r="E34" i="25"/>
  <c r="R52" i="25" s="1"/>
  <c r="D34" i="25"/>
  <c r="E33" i="25"/>
  <c r="R41" i="25" s="1"/>
  <c r="D33" i="25"/>
  <c r="C33" i="25"/>
  <c r="C34" i="25" s="1"/>
  <c r="C35" i="25" s="1"/>
  <c r="C36" i="25" s="1"/>
  <c r="C37" i="25" s="1"/>
  <c r="E32" i="25"/>
  <c r="R39" i="25" s="1"/>
  <c r="D32" i="25"/>
  <c r="E31" i="25"/>
  <c r="D31" i="25"/>
  <c r="E37" i="24"/>
  <c r="D37" i="24"/>
  <c r="E36" i="24"/>
  <c r="D36" i="24"/>
  <c r="E35" i="24"/>
  <c r="D35" i="24"/>
  <c r="E34" i="24"/>
  <c r="D34" i="24"/>
  <c r="C34" i="24"/>
  <c r="C35" i="24" s="1"/>
  <c r="C36" i="24" s="1"/>
  <c r="C37" i="24" s="1"/>
  <c r="E33" i="24"/>
  <c r="D33" i="24"/>
  <c r="C33" i="24"/>
  <c r="E32" i="24"/>
  <c r="D32" i="24"/>
  <c r="E31" i="24"/>
  <c r="D31" i="24"/>
  <c r="E37" i="1"/>
  <c r="D37" i="1"/>
  <c r="E36" i="1"/>
  <c r="D36" i="1"/>
  <c r="E35" i="1"/>
  <c r="D35" i="1"/>
  <c r="E34" i="1"/>
  <c r="D34" i="1"/>
  <c r="C34" i="1"/>
  <c r="C35" i="1" s="1"/>
  <c r="C36" i="1" s="1"/>
  <c r="C37" i="1" s="1"/>
  <c r="E33" i="1"/>
  <c r="D33" i="1"/>
  <c r="C33" i="1"/>
  <c r="E32" i="1"/>
  <c r="D32" i="1"/>
  <c r="E31" i="1"/>
  <c r="D31" i="1"/>
  <c r="E37" i="4"/>
  <c r="D37" i="4"/>
  <c r="E36" i="4"/>
  <c r="D36" i="4"/>
  <c r="E35" i="4"/>
  <c r="D35" i="4"/>
  <c r="E34" i="4"/>
  <c r="D34" i="4"/>
  <c r="E33" i="4"/>
  <c r="D33" i="4"/>
  <c r="C33" i="4"/>
  <c r="C34" i="4" s="1"/>
  <c r="C35" i="4" s="1"/>
  <c r="C36" i="4" s="1"/>
  <c r="C37" i="4" s="1"/>
  <c r="E32" i="4"/>
  <c r="D32" i="4"/>
  <c r="E31" i="4"/>
  <c r="D31" i="4"/>
  <c r="E37" i="5"/>
  <c r="D37" i="5"/>
  <c r="E36" i="5"/>
  <c r="D36" i="5"/>
  <c r="E35" i="5"/>
  <c r="D35" i="5"/>
  <c r="E34" i="5"/>
  <c r="D34" i="5"/>
  <c r="C34" i="5"/>
  <c r="C35" i="5" s="1"/>
  <c r="C36" i="5" s="1"/>
  <c r="C37" i="5" s="1"/>
  <c r="E33" i="5"/>
  <c r="D33" i="5"/>
  <c r="C33" i="5"/>
  <c r="E32" i="5"/>
  <c r="D32" i="5"/>
  <c r="E31" i="5"/>
  <c r="D31" i="5"/>
  <c r="E37" i="6"/>
  <c r="D37" i="6"/>
  <c r="E36" i="6"/>
  <c r="D36" i="6"/>
  <c r="E35" i="6"/>
  <c r="D35" i="6"/>
  <c r="E34" i="6"/>
  <c r="D34" i="6"/>
  <c r="C34" i="6"/>
  <c r="C35" i="6" s="1"/>
  <c r="C36" i="6" s="1"/>
  <c r="C37" i="6" s="1"/>
  <c r="E33" i="6"/>
  <c r="D33" i="6"/>
  <c r="C33" i="6"/>
  <c r="E32" i="6"/>
  <c r="D32" i="6"/>
  <c r="E31" i="6"/>
  <c r="D31" i="6"/>
  <c r="E37" i="7"/>
  <c r="D37" i="7"/>
  <c r="E36" i="7"/>
  <c r="D36" i="7"/>
  <c r="E35" i="7"/>
  <c r="D35" i="7"/>
  <c r="E34" i="7"/>
  <c r="D34" i="7"/>
  <c r="E33" i="7"/>
  <c r="D33" i="7"/>
  <c r="C33" i="7"/>
  <c r="C34" i="7" s="1"/>
  <c r="C35" i="7" s="1"/>
  <c r="C36" i="7" s="1"/>
  <c r="C37" i="7" s="1"/>
  <c r="E32" i="7"/>
  <c r="D32" i="7"/>
  <c r="E31" i="7"/>
  <c r="D31" i="7"/>
  <c r="E37" i="8"/>
  <c r="D37" i="8"/>
  <c r="E36" i="8"/>
  <c r="D36" i="8"/>
  <c r="E35" i="8"/>
  <c r="D35" i="8"/>
  <c r="E34" i="8"/>
  <c r="D34" i="8"/>
  <c r="C34" i="8"/>
  <c r="C35" i="8" s="1"/>
  <c r="C36" i="8" s="1"/>
  <c r="C37" i="8" s="1"/>
  <c r="E33" i="8"/>
  <c r="D33" i="8"/>
  <c r="C33" i="8"/>
  <c r="E32" i="8"/>
  <c r="D32" i="8"/>
  <c r="E31" i="8"/>
  <c r="D31" i="8"/>
  <c r="E37" i="9"/>
  <c r="D37" i="9"/>
  <c r="E36" i="9"/>
  <c r="D36" i="9"/>
  <c r="E35" i="9"/>
  <c r="D35" i="9"/>
  <c r="E34" i="9"/>
  <c r="D34" i="9"/>
  <c r="C34" i="9"/>
  <c r="C35" i="9" s="1"/>
  <c r="C36" i="9" s="1"/>
  <c r="C37" i="9" s="1"/>
  <c r="E33" i="9"/>
  <c r="D33" i="9"/>
  <c r="C33" i="9"/>
  <c r="E32" i="9"/>
  <c r="D32" i="9"/>
  <c r="E31" i="9"/>
  <c r="D31" i="9"/>
  <c r="E37" i="10"/>
  <c r="D37" i="10"/>
  <c r="E36" i="10"/>
  <c r="D36" i="10"/>
  <c r="E35" i="10"/>
  <c r="D35" i="10"/>
  <c r="E34" i="10"/>
  <c r="D34" i="10"/>
  <c r="E33" i="10"/>
  <c r="D33" i="10"/>
  <c r="C33" i="10"/>
  <c r="C34" i="10" s="1"/>
  <c r="C35" i="10" s="1"/>
  <c r="C36" i="10" s="1"/>
  <c r="C37" i="10" s="1"/>
  <c r="E32" i="10"/>
  <c r="D32" i="10"/>
  <c r="E31" i="10"/>
  <c r="D31" i="10"/>
  <c r="E37" i="11"/>
  <c r="D37" i="11"/>
  <c r="E36" i="11"/>
  <c r="D36" i="11"/>
  <c r="E35" i="11"/>
  <c r="D35" i="11"/>
  <c r="E34" i="11"/>
  <c r="D34" i="11"/>
  <c r="C34" i="11"/>
  <c r="C35" i="11" s="1"/>
  <c r="C36" i="11" s="1"/>
  <c r="C37" i="11" s="1"/>
  <c r="E33" i="11"/>
  <c r="D33" i="11"/>
  <c r="C33" i="11"/>
  <c r="E32" i="11"/>
  <c r="D32" i="11"/>
  <c r="E31" i="11"/>
  <c r="D31" i="11"/>
  <c r="E37" i="12"/>
  <c r="D37" i="12"/>
  <c r="E36" i="12"/>
  <c r="D36" i="12"/>
  <c r="E35" i="12"/>
  <c r="D35" i="12"/>
  <c r="E34" i="12"/>
  <c r="D34" i="12"/>
  <c r="C34" i="12"/>
  <c r="C35" i="12" s="1"/>
  <c r="C36" i="12" s="1"/>
  <c r="C37" i="12" s="1"/>
  <c r="E33" i="12"/>
  <c r="D33" i="12"/>
  <c r="C33" i="12"/>
  <c r="E32" i="12"/>
  <c r="D32" i="12"/>
  <c r="E31" i="12"/>
  <c r="D31" i="12"/>
  <c r="E37" i="19"/>
  <c r="D37" i="19"/>
  <c r="E36" i="19"/>
  <c r="D36" i="19"/>
  <c r="E35" i="19"/>
  <c r="D35" i="19"/>
  <c r="E34" i="19"/>
  <c r="D34" i="19"/>
  <c r="E33" i="19"/>
  <c r="D33" i="19"/>
  <c r="C33" i="19"/>
  <c r="C34" i="19" s="1"/>
  <c r="C35" i="19" s="1"/>
  <c r="C36" i="19" s="1"/>
  <c r="C37" i="19" s="1"/>
  <c r="E32" i="19"/>
  <c r="D32" i="19"/>
  <c r="E31" i="19"/>
  <c r="D31" i="19"/>
  <c r="E37" i="20"/>
  <c r="D37" i="20"/>
  <c r="E36" i="20"/>
  <c r="D36" i="20"/>
  <c r="E35" i="20"/>
  <c r="D35" i="20"/>
  <c r="E34" i="20"/>
  <c r="D34" i="20"/>
  <c r="C34" i="20"/>
  <c r="C35" i="20" s="1"/>
  <c r="C36" i="20" s="1"/>
  <c r="C37" i="20" s="1"/>
  <c r="E33" i="20"/>
  <c r="D33" i="20"/>
  <c r="C33" i="20"/>
  <c r="E32" i="20"/>
  <c r="D32" i="20"/>
  <c r="E31" i="20"/>
  <c r="D31" i="20"/>
  <c r="E37" i="21"/>
  <c r="D37" i="21"/>
  <c r="E36" i="21"/>
  <c r="D36" i="21"/>
  <c r="E35" i="21"/>
  <c r="D35" i="21"/>
  <c r="E34" i="21"/>
  <c r="D34" i="21"/>
  <c r="C34" i="21"/>
  <c r="C35" i="21" s="1"/>
  <c r="C36" i="21" s="1"/>
  <c r="C37" i="21" s="1"/>
  <c r="E33" i="21"/>
  <c r="D33" i="21"/>
  <c r="C33" i="21"/>
  <c r="E32" i="21"/>
  <c r="D32" i="21"/>
  <c r="E31" i="21"/>
  <c r="D31" i="21"/>
  <c r="E37" i="22"/>
  <c r="D37" i="22"/>
  <c r="E36" i="22"/>
  <c r="D36" i="22"/>
  <c r="E35" i="22"/>
  <c r="D35" i="22"/>
  <c r="E34" i="22"/>
  <c r="D34" i="22"/>
  <c r="E33" i="22"/>
  <c r="D33" i="22"/>
  <c r="C33" i="22"/>
  <c r="C34" i="22" s="1"/>
  <c r="C35" i="22" s="1"/>
  <c r="C36" i="22" s="1"/>
  <c r="C37" i="22" s="1"/>
  <c r="E32" i="22"/>
  <c r="D32" i="22"/>
  <c r="E31" i="22"/>
  <c r="D31" i="22"/>
  <c r="E37" i="13"/>
  <c r="D37" i="13"/>
  <c r="E36" i="13"/>
  <c r="D36" i="13"/>
  <c r="E35" i="13"/>
  <c r="D35" i="13"/>
  <c r="E34" i="13"/>
  <c r="D34" i="13"/>
  <c r="E33" i="13"/>
  <c r="D33" i="13"/>
  <c r="C33" i="13"/>
  <c r="C34" i="13" s="1"/>
  <c r="C35" i="13" s="1"/>
  <c r="C36" i="13" s="1"/>
  <c r="C37" i="13" s="1"/>
  <c r="E32" i="13"/>
  <c r="D32" i="13"/>
  <c r="E31" i="13"/>
  <c r="D31" i="13"/>
  <c r="S17" i="18"/>
  <c r="S16" i="18"/>
  <c r="S5" i="18"/>
  <c r="S6" i="18"/>
  <c r="S7" i="18"/>
  <c r="S8" i="18"/>
  <c r="S9" i="18"/>
  <c r="S10" i="18"/>
  <c r="S11" i="18"/>
  <c r="S12" i="18"/>
  <c r="S13" i="18"/>
  <c r="S14" i="18"/>
  <c r="S15" i="18"/>
  <c r="S4" i="18"/>
  <c r="P17" i="18"/>
  <c r="P16" i="18"/>
  <c r="O17" i="18"/>
  <c r="O16" i="18"/>
  <c r="Q17" i="18"/>
  <c r="Q16" i="18"/>
  <c r="Q5" i="18"/>
  <c r="Q6" i="18"/>
  <c r="Q7" i="18"/>
  <c r="Q8" i="18"/>
  <c r="Q9" i="18"/>
  <c r="Q10" i="18"/>
  <c r="Q11" i="18"/>
  <c r="Q12" i="18"/>
  <c r="Q13" i="18"/>
  <c r="Q14" i="18"/>
  <c r="Q15" i="18"/>
  <c r="Q4" i="18"/>
  <c r="O5" i="18"/>
  <c r="O6" i="18"/>
  <c r="O7" i="18"/>
  <c r="O8" i="18"/>
  <c r="O9" i="18"/>
  <c r="O10" i="18"/>
  <c r="O11" i="18"/>
  <c r="O12" i="18"/>
  <c r="O13" i="18"/>
  <c r="O14" i="18"/>
  <c r="O15" i="18"/>
  <c r="O4" i="18"/>
  <c r="P5" i="18"/>
  <c r="P6" i="18"/>
  <c r="P7" i="18"/>
  <c r="P8" i="18"/>
  <c r="P9" i="18"/>
  <c r="P10" i="18"/>
  <c r="P11" i="18"/>
  <c r="P12" i="18"/>
  <c r="P13" i="18"/>
  <c r="P14" i="18"/>
  <c r="P15" i="18"/>
  <c r="P4" i="18"/>
  <c r="N17" i="18"/>
  <c r="N16" i="18"/>
  <c r="N5" i="18"/>
  <c r="N6" i="18"/>
  <c r="N7" i="18"/>
  <c r="N8" i="18"/>
  <c r="N9" i="18"/>
  <c r="N10" i="18"/>
  <c r="N11" i="18"/>
  <c r="N12" i="18"/>
  <c r="N13" i="18"/>
  <c r="N14" i="18"/>
  <c r="N15" i="18"/>
  <c r="N4" i="18"/>
  <c r="C83" i="25"/>
  <c r="C84" i="25" s="1"/>
  <c r="C85" i="25" s="1"/>
  <c r="C86" i="25" s="1"/>
  <c r="C87" i="25" s="1"/>
  <c r="C88" i="25" s="1"/>
  <c r="C89" i="25" s="1"/>
  <c r="C90" i="25" s="1"/>
  <c r="C91" i="25" s="1"/>
  <c r="C92" i="25" s="1"/>
  <c r="C93" i="25" s="1"/>
  <c r="C94" i="25" s="1"/>
  <c r="C95" i="25" s="1"/>
  <c r="C96" i="25" s="1"/>
  <c r="I75" i="25"/>
  <c r="G75" i="25"/>
  <c r="G76" i="25" s="1"/>
  <c r="I74" i="25"/>
  <c r="I76" i="25" s="1"/>
  <c r="G74" i="25"/>
  <c r="I73" i="25"/>
  <c r="E71" i="25"/>
  <c r="E70" i="25"/>
  <c r="E69" i="25"/>
  <c r="I68" i="25"/>
  <c r="E68" i="25"/>
  <c r="I67" i="25"/>
  <c r="E67" i="25"/>
  <c r="I66" i="25"/>
  <c r="E66" i="25"/>
  <c r="I65" i="25"/>
  <c r="E65" i="25"/>
  <c r="I64" i="25"/>
  <c r="E64" i="25"/>
  <c r="I63" i="25"/>
  <c r="I62" i="25"/>
  <c r="I61" i="25"/>
  <c r="I60" i="25"/>
  <c r="I59" i="25"/>
  <c r="E59" i="25"/>
  <c r="I58" i="25"/>
  <c r="E58" i="25"/>
  <c r="I57" i="25"/>
  <c r="G57" i="25"/>
  <c r="G58" i="25" s="1"/>
  <c r="G59" i="25" s="1"/>
  <c r="G60" i="25" s="1"/>
  <c r="G61" i="25" s="1"/>
  <c r="G62" i="25" s="1"/>
  <c r="G63" i="25" s="1"/>
  <c r="G64" i="25" s="1"/>
  <c r="G65" i="25" s="1"/>
  <c r="G66" i="25" s="1"/>
  <c r="G67" i="25" s="1"/>
  <c r="G68" i="25" s="1"/>
  <c r="C64" i="25" s="1"/>
  <c r="C65" i="25" s="1"/>
  <c r="C66" i="25" s="1"/>
  <c r="C67" i="25" s="1"/>
  <c r="C68" i="25" s="1"/>
  <c r="C69" i="25" s="1"/>
  <c r="C70" i="25" s="1"/>
  <c r="C71" i="25" s="1"/>
  <c r="E57" i="25"/>
  <c r="C57" i="25"/>
  <c r="C58" i="25" s="1"/>
  <c r="C59" i="25" s="1"/>
  <c r="I56" i="25"/>
  <c r="E56" i="25"/>
  <c r="I49" i="25"/>
  <c r="U53" i="25" s="1"/>
  <c r="H49" i="25"/>
  <c r="E49" i="25"/>
  <c r="U51" i="25" s="1"/>
  <c r="D49" i="25"/>
  <c r="I48" i="25"/>
  <c r="H48" i="25"/>
  <c r="E48" i="25"/>
  <c r="U50" i="25" s="1"/>
  <c r="D48" i="25"/>
  <c r="I47" i="25"/>
  <c r="U48" i="25" s="1"/>
  <c r="H47" i="25"/>
  <c r="E47" i="25"/>
  <c r="U49" i="25" s="1"/>
  <c r="D47" i="25"/>
  <c r="I46" i="25"/>
  <c r="U54" i="25" s="1"/>
  <c r="H46" i="25"/>
  <c r="E46" i="25"/>
  <c r="U40" i="25" s="1"/>
  <c r="D46" i="25"/>
  <c r="I45" i="25"/>
  <c r="H45" i="25"/>
  <c r="E45" i="25"/>
  <c r="U38" i="25" s="1"/>
  <c r="D45" i="25"/>
  <c r="I44" i="25"/>
  <c r="H44" i="25"/>
  <c r="G44" i="25"/>
  <c r="G45" i="25" s="1"/>
  <c r="G46" i="25" s="1"/>
  <c r="G47" i="25" s="1"/>
  <c r="G48" i="25" s="1"/>
  <c r="E44" i="25"/>
  <c r="U39" i="25" s="1"/>
  <c r="D44" i="25"/>
  <c r="M43" i="25"/>
  <c r="X38" i="25" s="1"/>
  <c r="L43" i="25"/>
  <c r="K43" i="25"/>
  <c r="I43" i="25"/>
  <c r="H43" i="25"/>
  <c r="G43" i="25"/>
  <c r="E43" i="25"/>
  <c r="D43" i="25"/>
  <c r="M42" i="25"/>
  <c r="L42" i="25"/>
  <c r="I42" i="25"/>
  <c r="H42" i="25"/>
  <c r="P37" i="25"/>
  <c r="P38" i="25" s="1"/>
  <c r="P39" i="25" s="1"/>
  <c r="P40" i="25" s="1"/>
  <c r="P41" i="25" s="1"/>
  <c r="P42" i="25" s="1"/>
  <c r="P43" i="25" s="1"/>
  <c r="P44" i="25" s="1"/>
  <c r="P45" i="25" s="1"/>
  <c r="P46" i="25" s="1"/>
  <c r="P47" i="25" s="1"/>
  <c r="P48" i="25" s="1"/>
  <c r="P49" i="25" s="1"/>
  <c r="P50" i="25" s="1"/>
  <c r="P51" i="25" s="1"/>
  <c r="P52" i="25" s="1"/>
  <c r="P53" i="25" s="1"/>
  <c r="P54" i="25" s="1"/>
  <c r="S36" i="25" s="1"/>
  <c r="S37" i="25" s="1"/>
  <c r="S38" i="25" s="1"/>
  <c r="S39" i="25" s="1"/>
  <c r="S40" i="25" s="1"/>
  <c r="S41" i="25" s="1"/>
  <c r="S42" i="25" s="1"/>
  <c r="S43" i="25" s="1"/>
  <c r="S44" i="25" s="1"/>
  <c r="S45" i="25" s="1"/>
  <c r="I36" i="25"/>
  <c r="H36" i="25"/>
  <c r="I35" i="25"/>
  <c r="U46" i="25" s="1"/>
  <c r="H35" i="25"/>
  <c r="M34" i="25"/>
  <c r="X45" i="25" s="1"/>
  <c r="L34" i="25"/>
  <c r="I34" i="25"/>
  <c r="H34" i="25"/>
  <c r="M33" i="25"/>
  <c r="X44" i="25" s="1"/>
  <c r="L33" i="25"/>
  <c r="I33" i="25"/>
  <c r="H33" i="25"/>
  <c r="M32" i="25"/>
  <c r="X43" i="25" s="1"/>
  <c r="L32" i="25"/>
  <c r="I32" i="25"/>
  <c r="H32" i="25"/>
  <c r="M31" i="25"/>
  <c r="X54" i="25" s="1"/>
  <c r="L31" i="25"/>
  <c r="I31" i="25"/>
  <c r="H31" i="25"/>
  <c r="M30" i="25"/>
  <c r="X53" i="25" s="1"/>
  <c r="L30" i="25"/>
  <c r="I30" i="25"/>
  <c r="H30" i="25"/>
  <c r="M29" i="25"/>
  <c r="X40" i="25" s="1"/>
  <c r="L29" i="25"/>
  <c r="I29" i="25"/>
  <c r="H29" i="25"/>
  <c r="M28" i="25"/>
  <c r="X52" i="25" s="1"/>
  <c r="L28" i="25"/>
  <c r="I28" i="25"/>
  <c r="H28" i="25"/>
  <c r="M27" i="25"/>
  <c r="X51" i="25" s="1"/>
  <c r="L27" i="25"/>
  <c r="I27" i="25"/>
  <c r="H27" i="25"/>
  <c r="M26" i="25"/>
  <c r="X50" i="25" s="1"/>
  <c r="L26" i="25"/>
  <c r="I26" i="25"/>
  <c r="R48" i="25" s="1"/>
  <c r="H26" i="25"/>
  <c r="M25" i="25"/>
  <c r="X49" i="25" s="1"/>
  <c r="L25" i="25"/>
  <c r="I25" i="25"/>
  <c r="H25" i="25"/>
  <c r="G25" i="25"/>
  <c r="G26" i="25" s="1"/>
  <c r="G27" i="25" s="1"/>
  <c r="G28" i="25" s="1"/>
  <c r="G29" i="25" s="1"/>
  <c r="G30" i="25" s="1"/>
  <c r="G31" i="25" s="1"/>
  <c r="G32" i="25" s="1"/>
  <c r="G33" i="25" s="1"/>
  <c r="G34" i="25" s="1"/>
  <c r="G35" i="25" s="1"/>
  <c r="G36" i="25" s="1"/>
  <c r="E25" i="25"/>
  <c r="D25" i="25"/>
  <c r="M24" i="25"/>
  <c r="L24" i="25"/>
  <c r="K24" i="25"/>
  <c r="K23" i="25" s="1"/>
  <c r="K25" i="25" s="1"/>
  <c r="K26" i="25" s="1"/>
  <c r="K27" i="25" s="1"/>
  <c r="K28" i="25" s="1"/>
  <c r="K29" i="25" s="1"/>
  <c r="K30" i="25" s="1"/>
  <c r="K31" i="25" s="1"/>
  <c r="K32" i="25" s="1"/>
  <c r="K33" i="25" s="1"/>
  <c r="K34" i="25" s="1"/>
  <c r="I24" i="25"/>
  <c r="H24" i="25"/>
  <c r="E24" i="25"/>
  <c r="D24" i="25"/>
  <c r="M23" i="25"/>
  <c r="L23" i="25"/>
  <c r="E23" i="25"/>
  <c r="D23" i="25"/>
  <c r="C23" i="25"/>
  <c r="C24" i="25" s="1"/>
  <c r="M22" i="25"/>
  <c r="L22" i="25"/>
  <c r="E22" i="25"/>
  <c r="D22" i="25"/>
  <c r="I18" i="25"/>
  <c r="H18" i="25"/>
  <c r="I17" i="25"/>
  <c r="U52" i="25" s="1"/>
  <c r="H17" i="25"/>
  <c r="I16" i="25"/>
  <c r="H16" i="25"/>
  <c r="E16" i="25"/>
  <c r="R44" i="25" s="1"/>
  <c r="D16" i="25"/>
  <c r="I15" i="25"/>
  <c r="H15" i="25"/>
  <c r="E15" i="25"/>
  <c r="D15" i="25"/>
  <c r="M14" i="25"/>
  <c r="L14" i="25"/>
  <c r="I14" i="25"/>
  <c r="H14" i="25"/>
  <c r="E14" i="25"/>
  <c r="D14" i="25"/>
  <c r="M13" i="25"/>
  <c r="L13" i="25"/>
  <c r="I13" i="25"/>
  <c r="H13" i="25"/>
  <c r="E13" i="25"/>
  <c r="U43" i="25" s="1"/>
  <c r="D13" i="25"/>
  <c r="M12" i="25"/>
  <c r="X39" i="25" s="1"/>
  <c r="L12" i="25"/>
  <c r="I12" i="25"/>
  <c r="H12" i="25"/>
  <c r="E12" i="25"/>
  <c r="R45" i="25" s="1"/>
  <c r="D12" i="25"/>
  <c r="M11" i="25"/>
  <c r="X42" i="25" s="1"/>
  <c r="L11" i="25"/>
  <c r="I11" i="25"/>
  <c r="H11" i="25"/>
  <c r="E11" i="25"/>
  <c r="D11" i="25"/>
  <c r="M10" i="25"/>
  <c r="X48" i="25" s="1"/>
  <c r="L10" i="25"/>
  <c r="K10" i="25"/>
  <c r="K11" i="25" s="1"/>
  <c r="K12" i="25" s="1"/>
  <c r="I10" i="25"/>
  <c r="H10" i="25"/>
  <c r="E10" i="25"/>
  <c r="R43" i="25" s="1"/>
  <c r="D10" i="25"/>
  <c r="M9" i="25"/>
  <c r="X36" i="25" s="1"/>
  <c r="L9" i="25"/>
  <c r="I9" i="25"/>
  <c r="H9" i="25"/>
  <c r="E9" i="25"/>
  <c r="D9" i="25"/>
  <c r="M8" i="25"/>
  <c r="L8" i="25"/>
  <c r="K8" i="25"/>
  <c r="I8" i="25"/>
  <c r="R47" i="25" s="1"/>
  <c r="H8" i="25"/>
  <c r="E8" i="25"/>
  <c r="R38" i="25" s="1"/>
  <c r="D8" i="25"/>
  <c r="M7" i="25"/>
  <c r="L7" i="25"/>
  <c r="I7" i="25"/>
  <c r="H7" i="25"/>
  <c r="G7" i="25"/>
  <c r="G8" i="25" s="1"/>
  <c r="G9" i="25" s="1"/>
  <c r="G10" i="25" s="1"/>
  <c r="G11" i="25" s="1"/>
  <c r="G12" i="25" s="1"/>
  <c r="G13" i="25" s="1"/>
  <c r="G14" i="25" s="1"/>
  <c r="G15" i="25" s="1"/>
  <c r="G16" i="25" s="1"/>
  <c r="G17" i="25" s="1"/>
  <c r="G49" i="25" s="1"/>
  <c r="G18" i="25" s="1"/>
  <c r="E7" i="25"/>
  <c r="R36" i="25" s="1"/>
  <c r="D7" i="25"/>
  <c r="C7" i="25"/>
  <c r="C8" i="25" s="1"/>
  <c r="C9" i="25" s="1"/>
  <c r="C10" i="25" s="1"/>
  <c r="C11" i="25" s="1"/>
  <c r="C12" i="25" s="1"/>
  <c r="C13" i="25" s="1"/>
  <c r="C14" i="25" s="1"/>
  <c r="C15" i="25" s="1"/>
  <c r="C16" i="25" s="1"/>
  <c r="C25" i="25" s="1"/>
  <c r="M6" i="25"/>
  <c r="L6" i="25"/>
  <c r="I6" i="25"/>
  <c r="H6" i="25"/>
  <c r="E6" i="25"/>
  <c r="D6" i="25"/>
  <c r="M73" i="37" l="1"/>
  <c r="R54" i="31"/>
  <c r="V15" i="24"/>
  <c r="U45" i="25"/>
  <c r="U36" i="33"/>
  <c r="U42" i="30"/>
  <c r="U36" i="23"/>
  <c r="R46" i="23"/>
  <c r="R49" i="33"/>
  <c r="R54" i="25"/>
  <c r="P13" i="34"/>
  <c r="R42" i="27"/>
  <c r="U36" i="30"/>
  <c r="U41" i="34"/>
  <c r="P9" i="15"/>
  <c r="U44" i="29"/>
  <c r="R46" i="25"/>
  <c r="U36" i="29"/>
  <c r="S7" i="34"/>
  <c r="X46" i="25"/>
  <c r="R37" i="33"/>
  <c r="R54" i="27"/>
  <c r="R54" i="28"/>
  <c r="U45" i="33"/>
  <c r="U45" i="30"/>
  <c r="R49" i="30"/>
  <c r="S19" i="4"/>
  <c r="R46" i="28"/>
  <c r="R42" i="23"/>
  <c r="R54" i="30"/>
  <c r="R40" i="30"/>
  <c r="M52" i="37"/>
  <c r="X46" i="31"/>
  <c r="M73" i="38"/>
  <c r="AJ22" i="18" s="1"/>
  <c r="K13" i="29"/>
  <c r="K14" i="29" s="1"/>
  <c r="K9" i="29"/>
  <c r="R54" i="34"/>
  <c r="R51" i="25"/>
  <c r="R54" i="33"/>
  <c r="U44" i="30"/>
  <c r="U41" i="31"/>
  <c r="R46" i="32"/>
  <c r="X55" i="40"/>
  <c r="U42" i="23"/>
  <c r="R40" i="34"/>
  <c r="U36" i="34"/>
  <c r="U55" i="38"/>
  <c r="X55" i="39"/>
  <c r="R40" i="33"/>
  <c r="R49" i="31"/>
  <c r="U41" i="30"/>
  <c r="U41" i="33"/>
  <c r="R50" i="27"/>
  <c r="U41" i="28"/>
  <c r="U42" i="29"/>
  <c r="R51" i="34"/>
  <c r="S20" i="12"/>
  <c r="R49" i="26"/>
  <c r="U41" i="26"/>
  <c r="R37" i="25"/>
  <c r="U36" i="28"/>
  <c r="U42" i="28"/>
  <c r="X47" i="30"/>
  <c r="U41" i="32"/>
  <c r="R40" i="27"/>
  <c r="R54" i="26"/>
  <c r="X47" i="25"/>
  <c r="R50" i="26"/>
  <c r="R40" i="26"/>
  <c r="U45" i="26"/>
  <c r="R49" i="27"/>
  <c r="U36" i="31"/>
  <c r="R54" i="32"/>
  <c r="R46" i="34"/>
  <c r="X55" i="36"/>
  <c r="X55" i="38"/>
  <c r="M73" i="39"/>
  <c r="AK22" i="18" s="1"/>
  <c r="U42" i="31"/>
  <c r="R46" i="33"/>
  <c r="AH23" i="18"/>
  <c r="AK21" i="18"/>
  <c r="U37" i="26"/>
  <c r="R49" i="23"/>
  <c r="R46" i="29"/>
  <c r="AI23" i="18"/>
  <c r="AJ24" i="18"/>
  <c r="AJ20" i="18"/>
  <c r="AK24" i="18"/>
  <c r="AK23" i="18"/>
  <c r="AH24" i="18"/>
  <c r="R42" i="29"/>
  <c r="U36" i="32"/>
  <c r="U42" i="32"/>
  <c r="I50" i="32"/>
  <c r="M71" i="32" s="1"/>
  <c r="AD20" i="18" s="1"/>
  <c r="R42" i="34"/>
  <c r="AI22" i="18"/>
  <c r="AJ23" i="18"/>
  <c r="AL20" i="18"/>
  <c r="AH20" i="18"/>
  <c r="U44" i="25"/>
  <c r="U44" i="27"/>
  <c r="AI24" i="18"/>
  <c r="AI21" i="18"/>
  <c r="U55" i="40"/>
  <c r="AI20" i="18"/>
  <c r="AK20" i="18"/>
  <c r="AL23" i="18"/>
  <c r="AL24" i="18"/>
  <c r="U55" i="39"/>
  <c r="U55" i="37"/>
  <c r="M70" i="37"/>
  <c r="X55" i="37"/>
  <c r="E52" i="36"/>
  <c r="M73" i="36"/>
  <c r="U55" i="36"/>
  <c r="R37" i="34"/>
  <c r="U37" i="34"/>
  <c r="U47" i="34"/>
  <c r="U45" i="34"/>
  <c r="U42" i="34"/>
  <c r="R42" i="33"/>
  <c r="E38" i="33"/>
  <c r="X47" i="32"/>
  <c r="R37" i="32"/>
  <c r="U37" i="32"/>
  <c r="U45" i="32"/>
  <c r="R37" i="31"/>
  <c r="X47" i="31"/>
  <c r="U45" i="31"/>
  <c r="R37" i="30"/>
  <c r="R51" i="30"/>
  <c r="X46" i="30"/>
  <c r="R54" i="29"/>
  <c r="R40" i="29"/>
  <c r="X47" i="29"/>
  <c r="X41" i="29"/>
  <c r="R49" i="28"/>
  <c r="U37" i="28"/>
  <c r="U47" i="28"/>
  <c r="E38" i="28"/>
  <c r="R40" i="28"/>
  <c r="R37" i="23"/>
  <c r="X47" i="23"/>
  <c r="M17" i="23"/>
  <c r="U45" i="23"/>
  <c r="R40" i="23"/>
  <c r="X47" i="27"/>
  <c r="U36" i="27"/>
  <c r="U45" i="27"/>
  <c r="I19" i="27"/>
  <c r="U47" i="26"/>
  <c r="R46" i="26"/>
  <c r="R40" i="25"/>
  <c r="U41" i="25"/>
  <c r="R49" i="25"/>
  <c r="E60" i="31"/>
  <c r="U22" i="31"/>
  <c r="V12" i="4"/>
  <c r="E60" i="30"/>
  <c r="E60" i="27"/>
  <c r="E60" i="29"/>
  <c r="E60" i="32"/>
  <c r="E60" i="26"/>
  <c r="E60" i="34"/>
  <c r="E60" i="23"/>
  <c r="S20" i="11"/>
  <c r="P15" i="31"/>
  <c r="P11" i="32"/>
  <c r="P15" i="33"/>
  <c r="V13" i="4"/>
  <c r="S20" i="6"/>
  <c r="V13" i="20"/>
  <c r="P15" i="28"/>
  <c r="P15" i="16"/>
  <c r="V13" i="17"/>
  <c r="P15" i="19"/>
  <c r="P15" i="13"/>
  <c r="P15" i="26"/>
  <c r="S20" i="29"/>
  <c r="P15" i="30"/>
  <c r="P15" i="34"/>
  <c r="P11" i="1"/>
  <c r="S20" i="19"/>
  <c r="P15" i="20"/>
  <c r="P15" i="21"/>
  <c r="S20" i="24"/>
  <c r="P15" i="25"/>
  <c r="P15" i="17"/>
  <c r="P15" i="5"/>
  <c r="R28" i="6"/>
  <c r="P15" i="10"/>
  <c r="S20" i="20"/>
  <c r="P15" i="22"/>
  <c r="S20" i="13"/>
  <c r="P15" i="24"/>
  <c r="P23" i="24"/>
  <c r="P15" i="27"/>
  <c r="V13" i="29"/>
  <c r="R28" i="30"/>
  <c r="R28" i="33"/>
  <c r="R28" i="34"/>
  <c r="S20" i="17"/>
  <c r="P15" i="4"/>
  <c r="V13" i="5"/>
  <c r="P15" i="7"/>
  <c r="V13" i="24"/>
  <c r="R28" i="23"/>
  <c r="S20" i="28"/>
  <c r="V13" i="32"/>
  <c r="R28" i="32"/>
  <c r="V13" i="1"/>
  <c r="P15" i="1"/>
  <c r="P15" i="6"/>
  <c r="P15" i="9"/>
  <c r="P15" i="11"/>
  <c r="P15" i="12"/>
  <c r="P11" i="19"/>
  <c r="S20" i="21"/>
  <c r="P11" i="13"/>
  <c r="P17" i="13"/>
  <c r="V13" i="26"/>
  <c r="V15" i="26"/>
  <c r="P15" i="15"/>
  <c r="P15" i="23"/>
  <c r="V13" i="28"/>
  <c r="P15" i="29"/>
  <c r="V15" i="16"/>
  <c r="X29" i="40"/>
  <c r="X29" i="38"/>
  <c r="X29" i="39"/>
  <c r="X29" i="37"/>
  <c r="X29" i="36"/>
  <c r="R7" i="17"/>
  <c r="R7" i="39"/>
  <c r="R7" i="40"/>
  <c r="R7" i="37"/>
  <c r="R7" i="38"/>
  <c r="R7" i="36"/>
  <c r="U9" i="32"/>
  <c r="U9" i="39"/>
  <c r="U9" i="40"/>
  <c r="U9" i="37"/>
  <c r="U9" i="36"/>
  <c r="U9" i="38"/>
  <c r="X6" i="17"/>
  <c r="X6" i="40"/>
  <c r="X6" i="38"/>
  <c r="X6" i="37"/>
  <c r="X6" i="39"/>
  <c r="X6" i="36"/>
  <c r="X22" i="33"/>
  <c r="X22" i="40"/>
  <c r="X22" i="38"/>
  <c r="X22" i="37"/>
  <c r="X22" i="39"/>
  <c r="X22" i="36"/>
  <c r="P13" i="32"/>
  <c r="P13" i="39"/>
  <c r="P13" i="40"/>
  <c r="P13" i="38"/>
  <c r="P13" i="37"/>
  <c r="P13" i="36"/>
  <c r="S6" i="6"/>
  <c r="S6" i="39"/>
  <c r="S6" i="40"/>
  <c r="S6" i="38"/>
  <c r="S6" i="37"/>
  <c r="S6" i="36"/>
  <c r="S18" i="10"/>
  <c r="S18" i="39"/>
  <c r="S18" i="40"/>
  <c r="S18" i="38"/>
  <c r="S18" i="37"/>
  <c r="S18" i="36"/>
  <c r="V11" i="19"/>
  <c r="V11" i="39"/>
  <c r="V11" i="38"/>
  <c r="V11" i="40"/>
  <c r="V11" i="37"/>
  <c r="V11" i="36"/>
  <c r="V19" i="32"/>
  <c r="V19" i="39"/>
  <c r="V19" i="40"/>
  <c r="V19" i="38"/>
  <c r="V19" i="37"/>
  <c r="V19" i="36"/>
  <c r="U12" i="39"/>
  <c r="U12" i="40"/>
  <c r="U12" i="38"/>
  <c r="U12" i="37"/>
  <c r="U12" i="36"/>
  <c r="V23" i="5"/>
  <c r="S6" i="8"/>
  <c r="S18" i="9"/>
  <c r="P13" i="10"/>
  <c r="P21" i="19"/>
  <c r="P13" i="22"/>
  <c r="S18" i="13"/>
  <c r="S6" i="24"/>
  <c r="V11" i="25"/>
  <c r="V11" i="26"/>
  <c r="V11" i="28"/>
  <c r="S18" i="16"/>
  <c r="X6" i="33"/>
  <c r="V19" i="17"/>
  <c r="X28" i="39"/>
  <c r="X28" i="40"/>
  <c r="X28" i="37"/>
  <c r="X28" i="38"/>
  <c r="X28" i="36"/>
  <c r="R30" i="39"/>
  <c r="H95" i="39" s="1"/>
  <c r="I95" i="39" s="1"/>
  <c r="R88" i="39" s="1"/>
  <c r="R30" i="40"/>
  <c r="H95" i="40" s="1"/>
  <c r="I95" i="40" s="1"/>
  <c r="R88" i="40" s="1"/>
  <c r="R30" i="37"/>
  <c r="H95" i="37" s="1"/>
  <c r="I95" i="37" s="1"/>
  <c r="R88" i="37" s="1"/>
  <c r="R30" i="38"/>
  <c r="H95" i="38" s="1"/>
  <c r="I95" i="38" s="1"/>
  <c r="R88" i="38" s="1"/>
  <c r="R30" i="36"/>
  <c r="H95" i="36" s="1"/>
  <c r="I95" i="36" s="1"/>
  <c r="R88" i="36" s="1"/>
  <c r="U31" i="40"/>
  <c r="H93" i="40" s="1"/>
  <c r="I93" i="40" s="1"/>
  <c r="U31" i="38"/>
  <c r="H93" i="38" s="1"/>
  <c r="U31" i="39"/>
  <c r="H93" i="39" s="1"/>
  <c r="U31" i="37"/>
  <c r="H93" i="37" s="1"/>
  <c r="U31" i="36"/>
  <c r="H93" i="36" s="1"/>
  <c r="R9" i="17"/>
  <c r="R9" i="39"/>
  <c r="R9" i="40"/>
  <c r="R9" i="38"/>
  <c r="R9" i="37"/>
  <c r="R9" i="36"/>
  <c r="R17" i="17"/>
  <c r="R17" i="39"/>
  <c r="R17" i="40"/>
  <c r="R17" i="38"/>
  <c r="R17" i="37"/>
  <c r="R17" i="36"/>
  <c r="U5" i="33"/>
  <c r="U5" i="39"/>
  <c r="U5" i="40"/>
  <c r="U5" i="37"/>
  <c r="U5" i="36"/>
  <c r="U5" i="38"/>
  <c r="U10" i="9"/>
  <c r="U10" i="39"/>
  <c r="U10" i="37"/>
  <c r="U10" i="40"/>
  <c r="U10" i="36"/>
  <c r="U10" i="38"/>
  <c r="U17" i="34"/>
  <c r="U17" i="39"/>
  <c r="U17" i="40"/>
  <c r="U17" i="38"/>
  <c r="U17" i="37"/>
  <c r="U17" i="36"/>
  <c r="U22" i="29"/>
  <c r="U22" i="39"/>
  <c r="U22" i="38"/>
  <c r="U22" i="40"/>
  <c r="U22" i="37"/>
  <c r="U22" i="36"/>
  <c r="X7" i="25"/>
  <c r="X7" i="39"/>
  <c r="X7" i="38"/>
  <c r="X7" i="40"/>
  <c r="X7" i="37"/>
  <c r="X7" i="36"/>
  <c r="X15" i="23"/>
  <c r="X15" i="39"/>
  <c r="X15" i="40"/>
  <c r="X15" i="37"/>
  <c r="X15" i="38"/>
  <c r="X15" i="36"/>
  <c r="X23" i="34"/>
  <c r="X23" i="39"/>
  <c r="X23" i="40"/>
  <c r="X23" i="38"/>
  <c r="X23" i="37"/>
  <c r="X23" i="36"/>
  <c r="P6" i="17"/>
  <c r="P6" i="40"/>
  <c r="P6" i="38"/>
  <c r="P6" i="37"/>
  <c r="P6" i="39"/>
  <c r="P6" i="36"/>
  <c r="P10" i="28"/>
  <c r="P10" i="40"/>
  <c r="P10" i="39"/>
  <c r="P10" i="37"/>
  <c r="P10" i="38"/>
  <c r="P10" i="36"/>
  <c r="P14" i="28"/>
  <c r="P14" i="40"/>
  <c r="P14" i="37"/>
  <c r="P14" i="36"/>
  <c r="P14" i="39"/>
  <c r="P14" i="38"/>
  <c r="P18" i="29"/>
  <c r="P18" i="40"/>
  <c r="P18" i="38"/>
  <c r="P18" i="37"/>
  <c r="P18" i="39"/>
  <c r="P18" i="36"/>
  <c r="P22" i="34"/>
  <c r="P22" i="40"/>
  <c r="P22" i="38"/>
  <c r="P22" i="37"/>
  <c r="P22" i="39"/>
  <c r="P22" i="36"/>
  <c r="S7" i="32"/>
  <c r="S7" i="40"/>
  <c r="S7" i="39"/>
  <c r="S7" i="38"/>
  <c r="S7" i="37"/>
  <c r="S7" i="36"/>
  <c r="S11" i="15"/>
  <c r="S11" i="39"/>
  <c r="S11" i="40"/>
  <c r="S11" i="38"/>
  <c r="S11" i="37"/>
  <c r="S11" i="36"/>
  <c r="S15" i="16"/>
  <c r="S15" i="40"/>
  <c r="S15" i="38"/>
  <c r="S15" i="37"/>
  <c r="S15" i="39"/>
  <c r="S15" i="36"/>
  <c r="S19" i="10"/>
  <c r="S19" i="40"/>
  <c r="S19" i="38"/>
  <c r="S19" i="37"/>
  <c r="S19" i="36"/>
  <c r="S19" i="39"/>
  <c r="S23" i="34"/>
  <c r="S23" i="39"/>
  <c r="S23" i="40"/>
  <c r="S23" i="38"/>
  <c r="S23" i="37"/>
  <c r="S23" i="36"/>
  <c r="V8" i="34"/>
  <c r="V8" i="39"/>
  <c r="V8" i="40"/>
  <c r="V8" i="38"/>
  <c r="V8" i="37"/>
  <c r="V8" i="36"/>
  <c r="V12" i="33"/>
  <c r="V12" i="40"/>
  <c r="V12" i="37"/>
  <c r="V12" i="39"/>
  <c r="V12" i="38"/>
  <c r="V12" i="36"/>
  <c r="V16" i="33"/>
  <c r="V16" i="40"/>
  <c r="V16" i="38"/>
  <c r="V16" i="37"/>
  <c r="V16" i="39"/>
  <c r="V16" i="36"/>
  <c r="V20" i="17"/>
  <c r="V20" i="40"/>
  <c r="V20" i="38"/>
  <c r="V20" i="37"/>
  <c r="V20" i="39"/>
  <c r="V20" i="36"/>
  <c r="R12" i="40"/>
  <c r="R12" i="37"/>
  <c r="R12" i="39"/>
  <c r="R12" i="36"/>
  <c r="R12" i="38"/>
  <c r="R20" i="40"/>
  <c r="R20" i="38"/>
  <c r="R20" i="37"/>
  <c r="R20" i="36"/>
  <c r="R20" i="39"/>
  <c r="U16" i="39"/>
  <c r="U16" i="40"/>
  <c r="U16" i="38"/>
  <c r="U16" i="37"/>
  <c r="U16" i="36"/>
  <c r="X12" i="29"/>
  <c r="X12" i="39"/>
  <c r="X12" i="40"/>
  <c r="X12" i="38"/>
  <c r="X12" i="37"/>
  <c r="X12" i="36"/>
  <c r="X20" i="39"/>
  <c r="X20" i="40"/>
  <c r="X20" i="38"/>
  <c r="X20" i="37"/>
  <c r="X20" i="36"/>
  <c r="U28" i="40"/>
  <c r="U28" i="38"/>
  <c r="U28" i="37"/>
  <c r="U28" i="36"/>
  <c r="U28" i="39"/>
  <c r="R15" i="15"/>
  <c r="R15" i="39"/>
  <c r="R15" i="40"/>
  <c r="R15" i="37"/>
  <c r="R15" i="38"/>
  <c r="R15" i="36"/>
  <c r="U15" i="32"/>
  <c r="U15" i="39"/>
  <c r="U15" i="40"/>
  <c r="U15" i="38"/>
  <c r="U15" i="37"/>
  <c r="U15" i="36"/>
  <c r="P5" i="30"/>
  <c r="P5" i="39"/>
  <c r="P5" i="40"/>
  <c r="P5" i="38"/>
  <c r="P5" i="37"/>
  <c r="P5" i="36"/>
  <c r="P17" i="5"/>
  <c r="P17" i="39"/>
  <c r="P17" i="38"/>
  <c r="P17" i="40"/>
  <c r="P17" i="37"/>
  <c r="P17" i="36"/>
  <c r="S10" i="17"/>
  <c r="S10" i="39"/>
  <c r="S10" i="40"/>
  <c r="S10" i="38"/>
  <c r="S10" i="37"/>
  <c r="S10" i="36"/>
  <c r="S22" i="31"/>
  <c r="S22" i="39"/>
  <c r="S22" i="40"/>
  <c r="S22" i="38"/>
  <c r="S22" i="37"/>
  <c r="S22" i="36"/>
  <c r="V15" i="34"/>
  <c r="V15" i="39"/>
  <c r="V15" i="40"/>
  <c r="V15" i="38"/>
  <c r="V15" i="37"/>
  <c r="V15" i="36"/>
  <c r="R10" i="32"/>
  <c r="R10" i="39"/>
  <c r="R10" i="40"/>
  <c r="R10" i="38"/>
  <c r="R10" i="37"/>
  <c r="R10" i="36"/>
  <c r="X17" i="8"/>
  <c r="X17" i="39"/>
  <c r="X17" i="40"/>
  <c r="X17" i="38"/>
  <c r="X17" i="37"/>
  <c r="X17" i="36"/>
  <c r="V11" i="6"/>
  <c r="S18" i="7"/>
  <c r="S22" i="9"/>
  <c r="P5" i="10"/>
  <c r="X6" i="10"/>
  <c r="P5" i="12"/>
  <c r="S22" i="19"/>
  <c r="X22" i="22"/>
  <c r="P13" i="13"/>
  <c r="U9" i="25"/>
  <c r="S18" i="27"/>
  <c r="X22" i="27"/>
  <c r="V15" i="15"/>
  <c r="S6" i="23"/>
  <c r="P13" i="16"/>
  <c r="S18" i="32"/>
  <c r="S6" i="33"/>
  <c r="P17" i="33"/>
  <c r="S6" i="17"/>
  <c r="U30" i="38"/>
  <c r="H92" i="38" s="1"/>
  <c r="U30" i="39"/>
  <c r="H92" i="39" s="1"/>
  <c r="U30" i="36"/>
  <c r="H92" i="36" s="1"/>
  <c r="U30" i="37"/>
  <c r="H92" i="37" s="1"/>
  <c r="U30" i="40"/>
  <c r="H92" i="40" s="1"/>
  <c r="I92" i="40" s="1"/>
  <c r="X31" i="40"/>
  <c r="X31" i="38"/>
  <c r="X31" i="39"/>
  <c r="X31" i="37"/>
  <c r="X31" i="36"/>
  <c r="R11" i="16"/>
  <c r="R11" i="39"/>
  <c r="R11" i="40"/>
  <c r="R11" i="37"/>
  <c r="R11" i="38"/>
  <c r="R11" i="36"/>
  <c r="R19" i="32"/>
  <c r="R19" i="39"/>
  <c r="R19" i="40"/>
  <c r="R19" i="38"/>
  <c r="R19" i="37"/>
  <c r="R19" i="36"/>
  <c r="U6" i="17"/>
  <c r="U6" i="39"/>
  <c r="U6" i="38"/>
  <c r="U6" i="37"/>
  <c r="U6" i="36"/>
  <c r="U6" i="40"/>
  <c r="U11" i="15"/>
  <c r="U11" i="40"/>
  <c r="U11" i="39"/>
  <c r="U11" i="37"/>
  <c r="U11" i="36"/>
  <c r="U11" i="38"/>
  <c r="U18" i="34"/>
  <c r="U18" i="39"/>
  <c r="U18" i="40"/>
  <c r="U18" i="38"/>
  <c r="U18" i="37"/>
  <c r="U18" i="36"/>
  <c r="U23" i="30"/>
  <c r="U23" i="40"/>
  <c r="U23" i="38"/>
  <c r="U23" i="37"/>
  <c r="U23" i="36"/>
  <c r="U23" i="39"/>
  <c r="X10" i="25"/>
  <c r="X10" i="40"/>
  <c r="X10" i="39"/>
  <c r="X10" i="37"/>
  <c r="X10" i="36"/>
  <c r="X10" i="38"/>
  <c r="X18" i="33"/>
  <c r="X18" i="40"/>
  <c r="X18" i="38"/>
  <c r="X18" i="37"/>
  <c r="X18" i="39"/>
  <c r="X18" i="36"/>
  <c r="R28" i="17"/>
  <c r="R28" i="40"/>
  <c r="R28" i="38"/>
  <c r="R28" i="39"/>
  <c r="R28" i="37"/>
  <c r="R28" i="36"/>
  <c r="P7" i="23"/>
  <c r="P7" i="39"/>
  <c r="P7" i="38"/>
  <c r="P7" i="40"/>
  <c r="P7" i="37"/>
  <c r="P7" i="36"/>
  <c r="P11" i="25"/>
  <c r="P11" i="39"/>
  <c r="P11" i="40"/>
  <c r="P11" i="38"/>
  <c r="P11" i="37"/>
  <c r="P11" i="36"/>
  <c r="P15" i="39"/>
  <c r="P15" i="40"/>
  <c r="P15" i="38"/>
  <c r="P15" i="37"/>
  <c r="P15" i="36"/>
  <c r="P19" i="28"/>
  <c r="P19" i="39"/>
  <c r="P19" i="37"/>
  <c r="P19" i="40"/>
  <c r="P19" i="38"/>
  <c r="P19" i="36"/>
  <c r="P23" i="9"/>
  <c r="P23" i="39"/>
  <c r="P23" i="40"/>
  <c r="P23" i="38"/>
  <c r="P23" i="37"/>
  <c r="P23" i="36"/>
  <c r="S8" i="34"/>
  <c r="S8" i="40"/>
  <c r="S8" i="38"/>
  <c r="S8" i="37"/>
  <c r="S8" i="36"/>
  <c r="S8" i="39"/>
  <c r="S12" i="34"/>
  <c r="S12" i="39"/>
  <c r="S12" i="40"/>
  <c r="S12" i="37"/>
  <c r="S12" i="38"/>
  <c r="S12" i="36"/>
  <c r="S16" i="16"/>
  <c r="S16" i="39"/>
  <c r="S16" i="37"/>
  <c r="S16" i="40"/>
  <c r="S16" i="38"/>
  <c r="S16" i="36"/>
  <c r="S20" i="10"/>
  <c r="S20" i="39"/>
  <c r="S20" i="40"/>
  <c r="S20" i="38"/>
  <c r="S20" i="37"/>
  <c r="S20" i="36"/>
  <c r="V5" i="29"/>
  <c r="V5" i="39"/>
  <c r="V5" i="40"/>
  <c r="V5" i="37"/>
  <c r="V5" i="38"/>
  <c r="V5" i="36"/>
  <c r="V9" i="34"/>
  <c r="V9" i="39"/>
  <c r="V9" i="40"/>
  <c r="V9" i="38"/>
  <c r="V9" i="37"/>
  <c r="V9" i="36"/>
  <c r="V13" i="33"/>
  <c r="V13" i="39"/>
  <c r="V13" i="40"/>
  <c r="V13" i="38"/>
  <c r="V13" i="37"/>
  <c r="V13" i="36"/>
  <c r="V17" i="33"/>
  <c r="V17" i="39"/>
  <c r="V17" i="40"/>
  <c r="V17" i="38"/>
  <c r="V17" i="37"/>
  <c r="V17" i="36"/>
  <c r="V21" i="33"/>
  <c r="V21" i="39"/>
  <c r="V21" i="38"/>
  <c r="V21" i="40"/>
  <c r="V21" i="37"/>
  <c r="V21" i="36"/>
  <c r="U14" i="39"/>
  <c r="U14" i="38"/>
  <c r="U14" i="37"/>
  <c r="U14" i="40"/>
  <c r="U14" i="36"/>
  <c r="R6" i="34"/>
  <c r="R6" i="39"/>
  <c r="R6" i="40"/>
  <c r="R6" i="37"/>
  <c r="R6" i="36"/>
  <c r="R6" i="38"/>
  <c r="R14" i="24"/>
  <c r="R14" i="39"/>
  <c r="R14" i="40"/>
  <c r="R14" i="38"/>
  <c r="R14" i="37"/>
  <c r="R14" i="36"/>
  <c r="R22" i="28"/>
  <c r="R22" i="39"/>
  <c r="R22" i="40"/>
  <c r="R22" i="38"/>
  <c r="R22" i="37"/>
  <c r="R22" i="36"/>
  <c r="U20" i="39"/>
  <c r="U20" i="40"/>
  <c r="U20" i="38"/>
  <c r="U20" i="37"/>
  <c r="U20" i="36"/>
  <c r="X13" i="29"/>
  <c r="X13" i="39"/>
  <c r="X13" i="40"/>
  <c r="X13" i="37"/>
  <c r="X13" i="38"/>
  <c r="X13" i="36"/>
  <c r="X21" i="28"/>
  <c r="X21" i="39"/>
  <c r="X21" i="40"/>
  <c r="X21" i="38"/>
  <c r="X21" i="37"/>
  <c r="X21" i="36"/>
  <c r="R31" i="38"/>
  <c r="R31" i="39"/>
  <c r="R31" i="40"/>
  <c r="R31" i="36"/>
  <c r="R31" i="37"/>
  <c r="R23" i="12"/>
  <c r="R23" i="39"/>
  <c r="R23" i="38"/>
  <c r="R23" i="37"/>
  <c r="R23" i="40"/>
  <c r="R23" i="36"/>
  <c r="U21" i="17"/>
  <c r="U21" i="40"/>
  <c r="U21" i="38"/>
  <c r="U21" i="37"/>
  <c r="U21" i="39"/>
  <c r="U21" i="36"/>
  <c r="X14" i="33"/>
  <c r="X14" i="40"/>
  <c r="X14" i="37"/>
  <c r="X14" i="36"/>
  <c r="X14" i="39"/>
  <c r="X14" i="38"/>
  <c r="P9" i="12"/>
  <c r="P9" i="40"/>
  <c r="P9" i="39"/>
  <c r="P9" i="37"/>
  <c r="P9" i="38"/>
  <c r="P9" i="36"/>
  <c r="P21" i="15"/>
  <c r="P21" i="39"/>
  <c r="P21" i="40"/>
  <c r="P21" i="38"/>
  <c r="P21" i="37"/>
  <c r="P21" i="36"/>
  <c r="S14" i="31"/>
  <c r="S14" i="39"/>
  <c r="S14" i="40"/>
  <c r="S14" i="37"/>
  <c r="S14" i="38"/>
  <c r="S14" i="36"/>
  <c r="V7" i="32"/>
  <c r="V7" i="39"/>
  <c r="V7" i="40"/>
  <c r="V7" i="38"/>
  <c r="V7" i="37"/>
  <c r="V7" i="36"/>
  <c r="V23" i="29"/>
  <c r="V23" i="39"/>
  <c r="V23" i="40"/>
  <c r="V23" i="38"/>
  <c r="V23" i="37"/>
  <c r="V23" i="36"/>
  <c r="R18" i="31"/>
  <c r="R18" i="39"/>
  <c r="R18" i="40"/>
  <c r="R18" i="38"/>
  <c r="R18" i="37"/>
  <c r="R18" i="36"/>
  <c r="X9" i="7"/>
  <c r="X9" i="40"/>
  <c r="X9" i="39"/>
  <c r="X9" i="37"/>
  <c r="X9" i="38"/>
  <c r="X9" i="36"/>
  <c r="X6" i="6"/>
  <c r="V11" i="8"/>
  <c r="P13" i="9"/>
  <c r="V23" i="9"/>
  <c r="S6" i="10"/>
  <c r="V7" i="11"/>
  <c r="S22" i="11"/>
  <c r="R10" i="12"/>
  <c r="V15" i="22"/>
  <c r="S22" i="24"/>
  <c r="S6" i="25"/>
  <c r="P17" i="25"/>
  <c r="S6" i="15"/>
  <c r="S18" i="15"/>
  <c r="V11" i="23"/>
  <c r="S14" i="29"/>
  <c r="U29" i="40"/>
  <c r="U29" i="38"/>
  <c r="U29" i="39"/>
  <c r="U29" i="36"/>
  <c r="U29" i="37"/>
  <c r="X30" i="40"/>
  <c r="X30" i="38"/>
  <c r="X30" i="39"/>
  <c r="X30" i="36"/>
  <c r="X30" i="37"/>
  <c r="R5" i="34"/>
  <c r="R5" i="39"/>
  <c r="R5" i="40"/>
  <c r="R5" i="37"/>
  <c r="R5" i="38"/>
  <c r="R5" i="36"/>
  <c r="R13" i="23"/>
  <c r="R13" i="39"/>
  <c r="R13" i="40"/>
  <c r="R13" i="38"/>
  <c r="R13" i="37"/>
  <c r="R13" i="36"/>
  <c r="R21" i="31"/>
  <c r="R21" i="39"/>
  <c r="R21" i="40"/>
  <c r="R21" i="38"/>
  <c r="R21" i="37"/>
  <c r="R21" i="36"/>
  <c r="U7" i="31"/>
  <c r="U7" i="39"/>
  <c r="U7" i="40"/>
  <c r="U7" i="37"/>
  <c r="U7" i="36"/>
  <c r="U7" i="38"/>
  <c r="U13" i="32"/>
  <c r="U13" i="39"/>
  <c r="U13" i="40"/>
  <c r="U13" i="38"/>
  <c r="U13" i="37"/>
  <c r="U13" i="36"/>
  <c r="U19" i="31"/>
  <c r="U19" i="39"/>
  <c r="U19" i="40"/>
  <c r="U19" i="37"/>
  <c r="U19" i="36"/>
  <c r="U19" i="38"/>
  <c r="X5" i="17"/>
  <c r="X5" i="39"/>
  <c r="X5" i="40"/>
  <c r="X5" i="38"/>
  <c r="X5" i="37"/>
  <c r="X5" i="36"/>
  <c r="X11" i="32"/>
  <c r="X11" i="39"/>
  <c r="X11" i="40"/>
  <c r="X11" i="38"/>
  <c r="X11" i="37"/>
  <c r="X11" i="36"/>
  <c r="X19" i="33"/>
  <c r="X19" i="39"/>
  <c r="X19" i="38"/>
  <c r="X19" i="37"/>
  <c r="X19" i="40"/>
  <c r="X19" i="36"/>
  <c r="R29" i="38"/>
  <c r="R29" i="39"/>
  <c r="R29" i="40"/>
  <c r="R29" i="36"/>
  <c r="R29" i="37"/>
  <c r="P8" i="17"/>
  <c r="P8" i="39"/>
  <c r="P8" i="37"/>
  <c r="P8" i="40"/>
  <c r="P8" i="36"/>
  <c r="P8" i="38"/>
  <c r="P12" i="17"/>
  <c r="P12" i="39"/>
  <c r="P12" i="40"/>
  <c r="P12" i="38"/>
  <c r="P12" i="36"/>
  <c r="P12" i="37"/>
  <c r="P16" i="30"/>
  <c r="P16" i="39"/>
  <c r="P16" i="40"/>
  <c r="P16" i="38"/>
  <c r="P16" i="36"/>
  <c r="P16" i="37"/>
  <c r="P20" i="34"/>
  <c r="P20" i="39"/>
  <c r="P20" i="40"/>
  <c r="P20" i="38"/>
  <c r="P20" i="36"/>
  <c r="P20" i="37"/>
  <c r="S5" i="21"/>
  <c r="S5" i="40"/>
  <c r="S5" i="39"/>
  <c r="S5" i="38"/>
  <c r="S5" i="36"/>
  <c r="S5" i="37"/>
  <c r="S9" i="30"/>
  <c r="S9" i="39"/>
  <c r="S9" i="40"/>
  <c r="S9" i="38"/>
  <c r="S9" i="36"/>
  <c r="S9" i="37"/>
  <c r="S13" i="17"/>
  <c r="S13" i="40"/>
  <c r="S13" i="39"/>
  <c r="S13" i="37"/>
  <c r="S13" i="36"/>
  <c r="S13" i="38"/>
  <c r="S17" i="29"/>
  <c r="S17" i="40"/>
  <c r="S17" i="38"/>
  <c r="S17" i="37"/>
  <c r="S17" i="36"/>
  <c r="S17" i="39"/>
  <c r="S21" i="33"/>
  <c r="S21" i="39"/>
  <c r="S21" i="40"/>
  <c r="S21" i="38"/>
  <c r="S21" i="36"/>
  <c r="S21" i="37"/>
  <c r="V6" i="16"/>
  <c r="V6" i="39"/>
  <c r="V6" i="40"/>
  <c r="V6" i="37"/>
  <c r="V6" i="36"/>
  <c r="V6" i="38"/>
  <c r="V10" i="15"/>
  <c r="V10" i="39"/>
  <c r="V10" i="40"/>
  <c r="V10" i="38"/>
  <c r="V10" i="37"/>
  <c r="V10" i="36"/>
  <c r="V14" i="11"/>
  <c r="V14" i="39"/>
  <c r="V14" i="40"/>
  <c r="V14" i="38"/>
  <c r="V14" i="36"/>
  <c r="V14" i="37"/>
  <c r="V18" i="21"/>
  <c r="V18" i="39"/>
  <c r="V18" i="40"/>
  <c r="V18" i="38"/>
  <c r="V18" i="36"/>
  <c r="V18" i="37"/>
  <c r="V22" i="27"/>
  <c r="V22" i="39"/>
  <c r="V22" i="40"/>
  <c r="V22" i="38"/>
  <c r="V22" i="36"/>
  <c r="V22" i="37"/>
  <c r="R8" i="39"/>
  <c r="R8" i="40"/>
  <c r="R8" i="38"/>
  <c r="R8" i="37"/>
  <c r="R8" i="36"/>
  <c r="R16" i="40"/>
  <c r="R16" i="38"/>
  <c r="R16" i="37"/>
  <c r="R16" i="39"/>
  <c r="R16" i="36"/>
  <c r="U8" i="39"/>
  <c r="U8" i="40"/>
  <c r="U8" i="37"/>
  <c r="U8" i="38"/>
  <c r="U8" i="36"/>
  <c r="X8" i="39"/>
  <c r="X8" i="37"/>
  <c r="X8" i="40"/>
  <c r="X8" i="36"/>
  <c r="X8" i="38"/>
  <c r="X16" i="39"/>
  <c r="X16" i="40"/>
  <c r="X16" i="37"/>
  <c r="X16" i="36"/>
  <c r="X16" i="38"/>
  <c r="I52" i="40"/>
  <c r="M70" i="40"/>
  <c r="M72" i="40"/>
  <c r="M52" i="40"/>
  <c r="E52" i="40"/>
  <c r="M69" i="40"/>
  <c r="M73" i="40"/>
  <c r="M52" i="39"/>
  <c r="E52" i="39"/>
  <c r="M69" i="39"/>
  <c r="I52" i="39"/>
  <c r="M70" i="39"/>
  <c r="M72" i="38"/>
  <c r="M52" i="38"/>
  <c r="I52" i="38"/>
  <c r="M70" i="38"/>
  <c r="E52" i="38"/>
  <c r="M69" i="38"/>
  <c r="I52" i="37"/>
  <c r="E52" i="37"/>
  <c r="M69" i="37"/>
  <c r="M70" i="36"/>
  <c r="M69" i="36"/>
  <c r="M52" i="36"/>
  <c r="M72" i="36"/>
  <c r="V10" i="5"/>
  <c r="V22" i="4"/>
  <c r="S15" i="15"/>
  <c r="P22" i="15"/>
  <c r="P10" i="22"/>
  <c r="S15" i="8"/>
  <c r="P10" i="17"/>
  <c r="S15" i="5"/>
  <c r="U17" i="19"/>
  <c r="S15" i="27"/>
  <c r="S15" i="34"/>
  <c r="V20" i="1"/>
  <c r="P10" i="10"/>
  <c r="U17" i="12"/>
  <c r="U17" i="20"/>
  <c r="S15" i="21"/>
  <c r="P22" i="21"/>
  <c r="P10" i="25"/>
  <c r="V8" i="15"/>
  <c r="S15" i="23"/>
  <c r="P10" i="31"/>
  <c r="U17" i="33"/>
  <c r="V8" i="19"/>
  <c r="V20" i="31"/>
  <c r="V21" i="20"/>
  <c r="P22" i="27"/>
  <c r="U17" i="29"/>
  <c r="P22" i="30"/>
  <c r="S15" i="4"/>
  <c r="P10" i="6"/>
  <c r="P11" i="9"/>
  <c r="U17" i="9"/>
  <c r="V7" i="10"/>
  <c r="S15" i="12"/>
  <c r="P9" i="19"/>
  <c r="V8" i="20"/>
  <c r="U17" i="13"/>
  <c r="P21" i="24"/>
  <c r="V7" i="25"/>
  <c r="S14" i="25"/>
  <c r="U17" i="26"/>
  <c r="P10" i="23"/>
  <c r="S14" i="28"/>
  <c r="P23" i="16"/>
  <c r="U17" i="31"/>
  <c r="P21" i="31"/>
  <c r="S15" i="33"/>
  <c r="P22" i="33"/>
  <c r="V19" i="34"/>
  <c r="P23" i="34"/>
  <c r="V20" i="11"/>
  <c r="V21" i="4"/>
  <c r="U17" i="24"/>
  <c r="S15" i="30"/>
  <c r="P10" i="16"/>
  <c r="U17" i="32"/>
  <c r="P22" i="4"/>
  <c r="P10" i="5"/>
  <c r="P22" i="7"/>
  <c r="P11" i="10"/>
  <c r="S14" i="10"/>
  <c r="P22" i="12"/>
  <c r="S15" i="20"/>
  <c r="P22" i="20"/>
  <c r="P10" i="21"/>
  <c r="S14" i="22"/>
  <c r="V8" i="24"/>
  <c r="U17" i="28"/>
  <c r="P21" i="28"/>
  <c r="V7" i="31"/>
  <c r="S15" i="1"/>
  <c r="P22" i="1"/>
  <c r="V9" i="4"/>
  <c r="S15" i="7"/>
  <c r="U17" i="10"/>
  <c r="V8" i="11"/>
  <c r="S15" i="19"/>
  <c r="P22" i="19"/>
  <c r="V7" i="22"/>
  <c r="S15" i="24"/>
  <c r="V21" i="25"/>
  <c r="V19" i="27"/>
  <c r="P23" i="15"/>
  <c r="S14" i="16"/>
  <c r="V20" i="16"/>
  <c r="S15" i="32"/>
  <c r="P22" i="32"/>
  <c r="P10" i="34"/>
  <c r="P11" i="17"/>
  <c r="U17" i="17"/>
  <c r="U17" i="6"/>
  <c r="P9" i="7"/>
  <c r="P10" i="8"/>
  <c r="P22" i="9"/>
  <c r="S15" i="11"/>
  <c r="P22" i="11"/>
  <c r="V9" i="19"/>
  <c r="U17" i="22"/>
  <c r="S15" i="13"/>
  <c r="P9" i="24"/>
  <c r="V21" i="24"/>
  <c r="S15" i="26"/>
  <c r="P22" i="26"/>
  <c r="P10" i="27"/>
  <c r="P10" i="15"/>
  <c r="P21" i="23"/>
  <c r="S15" i="29"/>
  <c r="P22" i="29"/>
  <c r="S15" i="31"/>
  <c r="P10" i="4"/>
  <c r="V19" i="4"/>
  <c r="S15" i="9"/>
  <c r="V8" i="10"/>
  <c r="S14" i="21"/>
  <c r="P22" i="13"/>
  <c r="P22" i="25"/>
  <c r="P23" i="27"/>
  <c r="P10" i="30"/>
  <c r="P21" i="16"/>
  <c r="P22" i="31"/>
  <c r="P10" i="32"/>
  <c r="V19" i="33"/>
  <c r="V19" i="1"/>
  <c r="P23" i="7"/>
  <c r="P22" i="10"/>
  <c r="V19" i="11"/>
  <c r="P10" i="12"/>
  <c r="P10" i="19"/>
  <c r="P10" i="20"/>
  <c r="V7" i="21"/>
  <c r="P11" i="21"/>
  <c r="P22" i="22"/>
  <c r="P22" i="24"/>
  <c r="S15" i="25"/>
  <c r="V9" i="26"/>
  <c r="S15" i="28"/>
  <c r="P22" i="28"/>
  <c r="V20" i="30"/>
  <c r="P10" i="33"/>
  <c r="P10" i="1"/>
  <c r="V7" i="4"/>
  <c r="P11" i="5"/>
  <c r="U17" i="5"/>
  <c r="P22" i="6"/>
  <c r="U17" i="8"/>
  <c r="V9" i="9"/>
  <c r="S15" i="10"/>
  <c r="V9" i="11"/>
  <c r="S15" i="22"/>
  <c r="P10" i="13"/>
  <c r="U17" i="27"/>
  <c r="X14" i="23"/>
  <c r="V9" i="28"/>
  <c r="P10" i="29"/>
  <c r="S14" i="30"/>
  <c r="S16" i="32"/>
  <c r="P23" i="32"/>
  <c r="S15" i="17"/>
  <c r="P22" i="17"/>
  <c r="S15" i="6"/>
  <c r="P10" i="7"/>
  <c r="V21" i="21"/>
  <c r="P10" i="24"/>
  <c r="P10" i="26"/>
  <c r="V19" i="26"/>
  <c r="P11" i="15"/>
  <c r="U17" i="15"/>
  <c r="P22" i="23"/>
  <c r="U17" i="30"/>
  <c r="P21" i="30"/>
  <c r="U17" i="4"/>
  <c r="P22" i="5"/>
  <c r="P9" i="6"/>
  <c r="V20" i="7"/>
  <c r="P22" i="8"/>
  <c r="P10" i="9"/>
  <c r="P10" i="11"/>
  <c r="P23" i="11"/>
  <c r="V7" i="20"/>
  <c r="S14" i="20"/>
  <c r="P23" i="13"/>
  <c r="P9" i="23"/>
  <c r="V7" i="30"/>
  <c r="P22" i="16"/>
  <c r="S14" i="1"/>
  <c r="V19" i="5"/>
  <c r="V19" i="7"/>
  <c r="P21" i="10"/>
  <c r="V19" i="12"/>
  <c r="P21" i="21"/>
  <c r="P21" i="22"/>
  <c r="V7" i="13"/>
  <c r="V19" i="13"/>
  <c r="P21" i="25"/>
  <c r="U10" i="26"/>
  <c r="P9" i="28"/>
  <c r="P9" i="16"/>
  <c r="P9" i="32"/>
  <c r="P21" i="32"/>
  <c r="V7" i="33"/>
  <c r="S14" i="33"/>
  <c r="S11" i="16"/>
  <c r="V19" i="6"/>
  <c r="V19" i="8"/>
  <c r="P6" i="10"/>
  <c r="S14" i="11"/>
  <c r="P21" i="20"/>
  <c r="V7" i="27"/>
  <c r="S14" i="27"/>
  <c r="P6" i="28"/>
  <c r="P9" i="29"/>
  <c r="P9" i="31"/>
  <c r="V7" i="34"/>
  <c r="V7" i="17"/>
  <c r="P18" i="19"/>
  <c r="P21" i="1"/>
  <c r="S14" i="4"/>
  <c r="V7" i="5"/>
  <c r="V7" i="9"/>
  <c r="V19" i="9"/>
  <c r="V7" i="12"/>
  <c r="S14" i="12"/>
  <c r="S14" i="13"/>
  <c r="S14" i="26"/>
  <c r="V19" i="15"/>
  <c r="P9" i="30"/>
  <c r="P21" i="33"/>
  <c r="S14" i="34"/>
  <c r="P21" i="34"/>
  <c r="S14" i="17"/>
  <c r="P9" i="10"/>
  <c r="S11" i="11"/>
  <c r="P21" i="11"/>
  <c r="P9" i="20"/>
  <c r="P9" i="21"/>
  <c r="P9" i="22"/>
  <c r="P9" i="25"/>
  <c r="V7" i="15"/>
  <c r="V19" i="23"/>
  <c r="P6" i="30"/>
  <c r="P9" i="1"/>
  <c r="P21" i="4"/>
  <c r="S14" i="5"/>
  <c r="V7" i="7"/>
  <c r="S14" i="7"/>
  <c r="V7" i="8"/>
  <c r="U10" i="8"/>
  <c r="S14" i="9"/>
  <c r="P9" i="11"/>
  <c r="V7" i="24"/>
  <c r="V19" i="24"/>
  <c r="P9" i="26"/>
  <c r="P21" i="26"/>
  <c r="P21" i="27"/>
  <c r="S14" i="15"/>
  <c r="V19" i="30"/>
  <c r="V19" i="31"/>
  <c r="P21" i="17"/>
  <c r="U10" i="20"/>
  <c r="P6" i="4"/>
  <c r="P9" i="4"/>
  <c r="P21" i="5"/>
  <c r="V7" i="6"/>
  <c r="S14" i="6"/>
  <c r="S14" i="8"/>
  <c r="V7" i="19"/>
  <c r="V19" i="19"/>
  <c r="P9" i="13"/>
  <c r="V7" i="23"/>
  <c r="U10" i="23"/>
  <c r="S23" i="23"/>
  <c r="V19" i="28"/>
  <c r="V19" i="29"/>
  <c r="V19" i="16"/>
  <c r="P9" i="33"/>
  <c r="S23" i="22"/>
  <c r="P21" i="7"/>
  <c r="P21" i="8"/>
  <c r="P18" i="12"/>
  <c r="P21" i="12"/>
  <c r="V19" i="21"/>
  <c r="P6" i="13"/>
  <c r="P21" i="13"/>
  <c r="S14" i="24"/>
  <c r="P9" i="27"/>
  <c r="P9" i="34"/>
  <c r="P9" i="17"/>
  <c r="P9" i="5"/>
  <c r="P21" i="6"/>
  <c r="P9" i="9"/>
  <c r="X14" i="9"/>
  <c r="P21" i="9"/>
  <c r="V19" i="10"/>
  <c r="V19" i="20"/>
  <c r="V19" i="22"/>
  <c r="S11" i="24"/>
  <c r="V19" i="25"/>
  <c r="S14" i="23"/>
  <c r="V7" i="28"/>
  <c r="V7" i="16"/>
  <c r="S13" i="1"/>
  <c r="S13" i="15"/>
  <c r="V6" i="21"/>
  <c r="V18" i="8"/>
  <c r="V18" i="13"/>
  <c r="V17" i="30"/>
  <c r="P20" i="7"/>
  <c r="V6" i="8"/>
  <c r="S13" i="26"/>
  <c r="V5" i="12"/>
  <c r="V5" i="10"/>
  <c r="V5" i="13"/>
  <c r="P19" i="12"/>
  <c r="P19" i="29"/>
  <c r="V5" i="30"/>
  <c r="V5" i="6"/>
  <c r="V17" i="8"/>
  <c r="P19" i="10"/>
  <c r="V5" i="11"/>
  <c r="V5" i="9"/>
  <c r="V17" i="22"/>
  <c r="S12" i="1"/>
  <c r="P7" i="6"/>
  <c r="S13" i="5"/>
  <c r="P8" i="6"/>
  <c r="V6" i="19"/>
  <c r="V18" i="26"/>
  <c r="V18" i="15"/>
  <c r="S13" i="28"/>
  <c r="V18" i="16"/>
  <c r="V6" i="10"/>
  <c r="S13" i="11"/>
  <c r="S13" i="21"/>
  <c r="S13" i="13"/>
  <c r="P20" i="24"/>
  <c r="X11" i="23"/>
  <c r="V6" i="29"/>
  <c r="V18" i="29"/>
  <c r="S13" i="16"/>
  <c r="V18" i="31"/>
  <c r="P20" i="32"/>
  <c r="V6" i="33"/>
  <c r="V18" i="33"/>
  <c r="V6" i="4"/>
  <c r="S13" i="8"/>
  <c r="V18" i="10"/>
  <c r="P8" i="11"/>
  <c r="V18" i="19"/>
  <c r="X11" i="25"/>
  <c r="V18" i="27"/>
  <c r="P8" i="1"/>
  <c r="V6" i="6"/>
  <c r="V6" i="9"/>
  <c r="V6" i="22"/>
  <c r="V18" i="22"/>
  <c r="V6" i="25"/>
  <c r="V6" i="27"/>
  <c r="V6" i="23"/>
  <c r="S13" i="29"/>
  <c r="V6" i="31"/>
  <c r="S13" i="31"/>
  <c r="S13" i="33"/>
  <c r="V18" i="4"/>
  <c r="V18" i="6"/>
  <c r="S13" i="19"/>
  <c r="S13" i="22"/>
  <c r="V18" i="25"/>
  <c r="S13" i="27"/>
  <c r="V18" i="23"/>
  <c r="P8" i="16"/>
  <c r="V6" i="34"/>
  <c r="V18" i="34"/>
  <c r="V18" i="9"/>
  <c r="S13" i="10"/>
  <c r="V6" i="12"/>
  <c r="V18" i="12"/>
  <c r="V6" i="24"/>
  <c r="P20" i="26"/>
  <c r="V6" i="32"/>
  <c r="S13" i="4"/>
  <c r="V18" i="7"/>
  <c r="S13" i="9"/>
  <c r="S13" i="12"/>
  <c r="V18" i="24"/>
  <c r="S13" i="23"/>
  <c r="V18" i="30"/>
  <c r="S13" i="6"/>
  <c r="S13" i="24"/>
  <c r="S13" i="25"/>
  <c r="X11" i="15"/>
  <c r="P8" i="29"/>
  <c r="S13" i="32"/>
  <c r="V18" i="32"/>
  <c r="S13" i="34"/>
  <c r="P8" i="4"/>
  <c r="V6" i="7"/>
  <c r="V6" i="11"/>
  <c r="P20" i="19"/>
  <c r="V6" i="20"/>
  <c r="V18" i="20"/>
  <c r="P20" i="27"/>
  <c r="V6" i="30"/>
  <c r="S13" i="30"/>
  <c r="V18" i="17"/>
  <c r="V6" i="1"/>
  <c r="V6" i="5"/>
  <c r="V18" i="5"/>
  <c r="S13" i="7"/>
  <c r="V18" i="11"/>
  <c r="P8" i="25"/>
  <c r="V6" i="26"/>
  <c r="V6" i="15"/>
  <c r="V6" i="28"/>
  <c r="V18" i="28"/>
  <c r="V6" i="17"/>
  <c r="V18" i="1"/>
  <c r="S13" i="20"/>
  <c r="V6" i="13"/>
  <c r="P7" i="4"/>
  <c r="P19" i="5"/>
  <c r="P7" i="8"/>
  <c r="P19" i="9"/>
  <c r="P7" i="21"/>
  <c r="V5" i="22"/>
  <c r="S17" i="26"/>
  <c r="P7" i="15"/>
  <c r="P19" i="16"/>
  <c r="V5" i="31"/>
  <c r="V17" i="31"/>
  <c r="P7" i="32"/>
  <c r="V17" i="17"/>
  <c r="P19" i="8"/>
  <c r="S12" i="13"/>
  <c r="P19" i="23"/>
  <c r="V5" i="28"/>
  <c r="P19" i="30"/>
  <c r="P7" i="33"/>
  <c r="V5" i="34"/>
  <c r="P7" i="1"/>
  <c r="S5" i="4"/>
  <c r="P19" i="4"/>
  <c r="P7" i="19"/>
  <c r="P7" i="20"/>
  <c r="P7" i="13"/>
  <c r="V17" i="25"/>
  <c r="V17" i="26"/>
  <c r="P7" i="27"/>
  <c r="P19" i="27"/>
  <c r="P7" i="30"/>
  <c r="V5" i="16"/>
  <c r="P19" i="33"/>
  <c r="V17" i="34"/>
  <c r="S12" i="17"/>
  <c r="V5" i="5"/>
  <c r="V17" i="6"/>
  <c r="P7" i="7"/>
  <c r="P19" i="7"/>
  <c r="V17" i="11"/>
  <c r="R18" i="13"/>
  <c r="P7" i="24"/>
  <c r="P7" i="26"/>
  <c r="V5" i="23"/>
  <c r="R18" i="29"/>
  <c r="V10" i="32"/>
  <c r="P7" i="17"/>
  <c r="P19" i="1"/>
  <c r="V5" i="4"/>
  <c r="V5" i="8"/>
  <c r="S17" i="8"/>
  <c r="R11" i="10"/>
  <c r="P19" i="20"/>
  <c r="P7" i="25"/>
  <c r="S12" i="25"/>
  <c r="V5" i="15"/>
  <c r="P19" i="15"/>
  <c r="P7" i="29"/>
  <c r="V17" i="16"/>
  <c r="P19" i="32"/>
  <c r="V17" i="5"/>
  <c r="S12" i="6"/>
  <c r="S12" i="9"/>
  <c r="V5" i="21"/>
  <c r="P7" i="22"/>
  <c r="P19" i="24"/>
  <c r="V22" i="30"/>
  <c r="P7" i="31"/>
  <c r="P19" i="31"/>
  <c r="V5" i="32"/>
  <c r="V5" i="33"/>
  <c r="P19" i="17"/>
  <c r="P7" i="9"/>
  <c r="P7" i="11"/>
  <c r="P7" i="12"/>
  <c r="P19" i="19"/>
  <c r="P19" i="22"/>
  <c r="S12" i="28"/>
  <c r="V5" i="1"/>
  <c r="V17" i="7"/>
  <c r="S12" i="10"/>
  <c r="V5" i="19"/>
  <c r="V5" i="20"/>
  <c r="P19" i="13"/>
  <c r="V5" i="24"/>
  <c r="P19" i="25"/>
  <c r="P19" i="26"/>
  <c r="V5" i="27"/>
  <c r="P7" i="28"/>
  <c r="P7" i="16"/>
  <c r="P19" i="34"/>
  <c r="V5" i="17"/>
  <c r="P7" i="5"/>
  <c r="P19" i="6"/>
  <c r="V5" i="7"/>
  <c r="P7" i="10"/>
  <c r="P19" i="11"/>
  <c r="V22" i="20"/>
  <c r="R11" i="13"/>
  <c r="V5" i="25"/>
  <c r="V5" i="26"/>
  <c r="V17" i="15"/>
  <c r="S12" i="23"/>
  <c r="V17" i="32"/>
  <c r="S5" i="9"/>
  <c r="V10" i="9"/>
  <c r="V17" i="20"/>
  <c r="P19" i="21"/>
  <c r="S12" i="15"/>
  <c r="R11" i="29"/>
  <c r="S12" i="33"/>
  <c r="V10" i="21"/>
  <c r="V10" i="13"/>
  <c r="S5" i="16"/>
  <c r="S6" i="31"/>
  <c r="V11" i="31"/>
  <c r="S17" i="31"/>
  <c r="S5" i="32"/>
  <c r="X22" i="32"/>
  <c r="X22" i="34"/>
  <c r="V23" i="17"/>
  <c r="U21" i="15"/>
  <c r="V23" i="15"/>
  <c r="V10" i="29"/>
  <c r="P13" i="29"/>
  <c r="S5" i="30"/>
  <c r="P13" i="30"/>
  <c r="X22" i="30"/>
  <c r="V23" i="16"/>
  <c r="V22" i="31"/>
  <c r="V11" i="33"/>
  <c r="S5" i="34"/>
  <c r="S18" i="34"/>
  <c r="V11" i="17"/>
  <c r="S17" i="1"/>
  <c r="S5" i="19"/>
  <c r="S5" i="27"/>
  <c r="S17" i="28"/>
  <c r="S5" i="29"/>
  <c r="X22" i="4"/>
  <c r="X22" i="20"/>
  <c r="V11" i="24"/>
  <c r="V23" i="24"/>
  <c r="V22" i="26"/>
  <c r="V10" i="27"/>
  <c r="S5" i="1"/>
  <c r="P13" i="4"/>
  <c r="S18" i="4"/>
  <c r="P23" i="4"/>
  <c r="S6" i="5"/>
  <c r="V9" i="6"/>
  <c r="V22" i="6"/>
  <c r="X22" i="8"/>
  <c r="S5" i="12"/>
  <c r="V22" i="12"/>
  <c r="P13" i="19"/>
  <c r="S18" i="19"/>
  <c r="S18" i="20"/>
  <c r="P23" i="20"/>
  <c r="S6" i="21"/>
  <c r="S5" i="22"/>
  <c r="V10" i="22"/>
  <c r="V9" i="24"/>
  <c r="S17" i="24"/>
  <c r="S17" i="25"/>
  <c r="V11" i="15"/>
  <c r="V21" i="15"/>
  <c r="S17" i="23"/>
  <c r="V22" i="23"/>
  <c r="S5" i="28"/>
  <c r="S7" i="28"/>
  <c r="V22" i="28"/>
  <c r="V22" i="29"/>
  <c r="S18" i="30"/>
  <c r="P23" i="30"/>
  <c r="P11" i="16"/>
  <c r="V23" i="32"/>
  <c r="S17" i="33"/>
  <c r="U22" i="33"/>
  <c r="V10" i="34"/>
  <c r="V23" i="34"/>
  <c r="S17" i="17"/>
  <c r="V10" i="7"/>
  <c r="P13" i="20"/>
  <c r="P13" i="1"/>
  <c r="X22" i="1"/>
  <c r="V10" i="4"/>
  <c r="V11" i="5"/>
  <c r="S17" i="5"/>
  <c r="P11" i="7"/>
  <c r="P23" i="8"/>
  <c r="S6" i="9"/>
  <c r="V11" i="10"/>
  <c r="S5" i="11"/>
  <c r="V22" i="11"/>
  <c r="V10" i="12"/>
  <c r="S18" i="12"/>
  <c r="X22" i="19"/>
  <c r="V10" i="20"/>
  <c r="V11" i="21"/>
  <c r="S17" i="21"/>
  <c r="V23" i="22"/>
  <c r="S5" i="26"/>
  <c r="P13" i="26"/>
  <c r="X22" i="26"/>
  <c r="P11" i="27"/>
  <c r="V23" i="27"/>
  <c r="P11" i="29"/>
  <c r="S18" i="29"/>
  <c r="V10" i="30"/>
  <c r="S6" i="16"/>
  <c r="P13" i="31"/>
  <c r="P23" i="31"/>
  <c r="S6" i="32"/>
  <c r="V21" i="32"/>
  <c r="V22" i="33"/>
  <c r="V9" i="17"/>
  <c r="V22" i="8"/>
  <c r="S5" i="7"/>
  <c r="V23" i="7"/>
  <c r="V11" i="11"/>
  <c r="V23" i="13"/>
  <c r="U5" i="1"/>
  <c r="V10" i="1"/>
  <c r="S18" i="1"/>
  <c r="P23" i="1"/>
  <c r="S5" i="6"/>
  <c r="X22" i="6"/>
  <c r="V11" i="9"/>
  <c r="V9" i="10"/>
  <c r="S17" i="10"/>
  <c r="S16" i="12"/>
  <c r="X22" i="12"/>
  <c r="V10" i="19"/>
  <c r="P23" i="19"/>
  <c r="V22" i="21"/>
  <c r="P11" i="22"/>
  <c r="V9" i="13"/>
  <c r="V11" i="13"/>
  <c r="X19" i="25"/>
  <c r="V22" i="25"/>
  <c r="P23" i="26"/>
  <c r="U21" i="27"/>
  <c r="V9" i="15"/>
  <c r="S17" i="15"/>
  <c r="X22" i="23"/>
  <c r="P13" i="28"/>
  <c r="X22" i="28"/>
  <c r="X22" i="29"/>
  <c r="S16" i="30"/>
  <c r="S18" i="31"/>
  <c r="V11" i="32"/>
  <c r="P11" i="34"/>
  <c r="S16" i="34"/>
  <c r="V22" i="17"/>
  <c r="S17" i="6"/>
  <c r="S5" i="20"/>
  <c r="V22" i="1"/>
  <c r="P12" i="8"/>
  <c r="P13" i="12"/>
  <c r="V22" i="19"/>
  <c r="S18" i="22"/>
  <c r="S6" i="13"/>
  <c r="S6" i="4"/>
  <c r="P11" i="4"/>
  <c r="V23" i="4"/>
  <c r="V9" i="5"/>
  <c r="V22" i="5"/>
  <c r="P23" i="6"/>
  <c r="S17" i="7"/>
  <c r="S5" i="8"/>
  <c r="P13" i="8"/>
  <c r="S18" i="8"/>
  <c r="S17" i="9"/>
  <c r="S5" i="10"/>
  <c r="P12" i="10"/>
  <c r="V22" i="10"/>
  <c r="S18" i="11"/>
  <c r="X22" i="11"/>
  <c r="P11" i="12"/>
  <c r="P23" i="12"/>
  <c r="S6" i="19"/>
  <c r="S6" i="20"/>
  <c r="P11" i="20"/>
  <c r="V23" i="20"/>
  <c r="V9" i="21"/>
  <c r="S17" i="13"/>
  <c r="S5" i="24"/>
  <c r="S5" i="25"/>
  <c r="V10" i="26"/>
  <c r="S18" i="26"/>
  <c r="S6" i="27"/>
  <c r="S5" i="23"/>
  <c r="P23" i="23"/>
  <c r="V10" i="28"/>
  <c r="S18" i="28"/>
  <c r="P23" i="28"/>
  <c r="S6" i="29"/>
  <c r="S16" i="29"/>
  <c r="P23" i="29"/>
  <c r="P11" i="30"/>
  <c r="V23" i="30"/>
  <c r="S5" i="31"/>
  <c r="V10" i="31"/>
  <c r="S17" i="32"/>
  <c r="P23" i="33"/>
  <c r="V21" i="30"/>
  <c r="V11" i="16"/>
  <c r="S17" i="16"/>
  <c r="V23" i="31"/>
  <c r="S6" i="34"/>
  <c r="X22" i="17"/>
  <c r="S17" i="11"/>
  <c r="X19" i="29"/>
  <c r="V10" i="16"/>
  <c r="P13" i="6"/>
  <c r="V10" i="8"/>
  <c r="V23" i="8"/>
  <c r="V22" i="9"/>
  <c r="P13" i="11"/>
  <c r="P13" i="24"/>
  <c r="V11" i="27"/>
  <c r="S17" i="27"/>
  <c r="V10" i="23"/>
  <c r="S18" i="23"/>
  <c r="S16" i="1"/>
  <c r="V23" i="1"/>
  <c r="X22" i="5"/>
  <c r="V10" i="6"/>
  <c r="V22" i="7"/>
  <c r="X22" i="10"/>
  <c r="V10" i="11"/>
  <c r="S6" i="12"/>
  <c r="U21" i="19"/>
  <c r="V23" i="19"/>
  <c r="S18" i="21"/>
  <c r="P23" i="21"/>
  <c r="S6" i="22"/>
  <c r="V11" i="22"/>
  <c r="S17" i="22"/>
  <c r="S5" i="13"/>
  <c r="V22" i="13"/>
  <c r="V10" i="24"/>
  <c r="S18" i="24"/>
  <c r="V22" i="24"/>
  <c r="V10" i="25"/>
  <c r="P13" i="25"/>
  <c r="S18" i="25"/>
  <c r="P23" i="25"/>
  <c r="P11" i="26"/>
  <c r="V23" i="26"/>
  <c r="S5" i="15"/>
  <c r="V22" i="15"/>
  <c r="P11" i="28"/>
  <c r="V11" i="29"/>
  <c r="R6" i="30"/>
  <c r="V9" i="16"/>
  <c r="V22" i="16"/>
  <c r="P11" i="31"/>
  <c r="S5" i="33"/>
  <c r="P13" i="33"/>
  <c r="S18" i="33"/>
  <c r="V11" i="34"/>
  <c r="S5" i="17"/>
  <c r="P13" i="17"/>
  <c r="P23" i="17"/>
  <c r="S18" i="6"/>
  <c r="S6" i="7"/>
  <c r="V11" i="7"/>
  <c r="X22" i="21"/>
  <c r="X22" i="25"/>
  <c r="S6" i="1"/>
  <c r="V21" i="1"/>
  <c r="V11" i="4"/>
  <c r="P13" i="5"/>
  <c r="P23" i="5"/>
  <c r="V23" i="6"/>
  <c r="P11" i="8"/>
  <c r="X22" i="9"/>
  <c r="P23" i="10"/>
  <c r="S6" i="11"/>
  <c r="V11" i="12"/>
  <c r="V21" i="12"/>
  <c r="V23" i="12"/>
  <c r="S17" i="19"/>
  <c r="V11" i="20"/>
  <c r="S17" i="20"/>
  <c r="P13" i="21"/>
  <c r="V22" i="22"/>
  <c r="S6" i="26"/>
  <c r="V9" i="27"/>
  <c r="P12" i="27"/>
  <c r="P11" i="23"/>
  <c r="S6" i="28"/>
  <c r="S16" i="28"/>
  <c r="V23" i="28"/>
  <c r="U21" i="29"/>
  <c r="S6" i="30"/>
  <c r="V11" i="30"/>
  <c r="S17" i="30"/>
  <c r="V22" i="32"/>
  <c r="V10" i="33"/>
  <c r="V23" i="33"/>
  <c r="S17" i="34"/>
  <c r="V22" i="34"/>
  <c r="V10" i="17"/>
  <c r="S18" i="17"/>
  <c r="P13" i="23"/>
  <c r="V11" i="1"/>
  <c r="S17" i="4"/>
  <c r="S5" i="5"/>
  <c r="S18" i="5"/>
  <c r="P11" i="6"/>
  <c r="X22" i="7"/>
  <c r="V10" i="10"/>
  <c r="P11" i="11"/>
  <c r="V23" i="11"/>
  <c r="S17" i="12"/>
  <c r="V9" i="20"/>
  <c r="X22" i="13"/>
  <c r="P11" i="24"/>
  <c r="X22" i="24"/>
  <c r="P13" i="15"/>
  <c r="X22" i="15"/>
  <c r="V21" i="23"/>
  <c r="V23" i="23"/>
  <c r="V21" i="29"/>
  <c r="X22" i="16"/>
  <c r="S9" i="6"/>
  <c r="S9" i="10"/>
  <c r="S21" i="13"/>
  <c r="S9" i="33"/>
  <c r="P16" i="34"/>
  <c r="S22" i="4"/>
  <c r="V14" i="5"/>
  <c r="V15" i="7"/>
  <c r="S10" i="8"/>
  <c r="S22" i="8"/>
  <c r="V14" i="9"/>
  <c r="P17" i="9"/>
  <c r="V15" i="10"/>
  <c r="X6" i="12"/>
  <c r="X6" i="20"/>
  <c r="S9" i="20"/>
  <c r="S10" i="22"/>
  <c r="P5" i="25"/>
  <c r="S21" i="25"/>
  <c r="S22" i="26"/>
  <c r="P5" i="27"/>
  <c r="P17" i="27"/>
  <c r="S22" i="15"/>
  <c r="S10" i="28"/>
  <c r="P5" i="29"/>
  <c r="X6" i="30"/>
  <c r="V14" i="30"/>
  <c r="P17" i="30"/>
  <c r="S22" i="17"/>
  <c r="V15" i="4"/>
  <c r="S10" i="5"/>
  <c r="P17" i="6"/>
  <c r="S10" i="9"/>
  <c r="V15" i="19"/>
  <c r="P17" i="20"/>
  <c r="P16" i="21"/>
  <c r="V14" i="25"/>
  <c r="X6" i="15"/>
  <c r="S9" i="15"/>
  <c r="P16" i="15"/>
  <c r="S10" i="23"/>
  <c r="V14" i="23"/>
  <c r="P17" i="23"/>
  <c r="V14" i="29"/>
  <c r="P16" i="31"/>
  <c r="S22" i="32"/>
  <c r="P5" i="33"/>
  <c r="V14" i="33"/>
  <c r="X6" i="34"/>
  <c r="S9" i="34"/>
  <c r="S21" i="34"/>
  <c r="V15" i="17"/>
  <c r="V14" i="12"/>
  <c r="S21" i="6"/>
  <c r="X5" i="8"/>
  <c r="S10" i="1"/>
  <c r="P5" i="4"/>
  <c r="X6" i="4"/>
  <c r="V14" i="6"/>
  <c r="S21" i="7"/>
  <c r="V15" i="8"/>
  <c r="V14" i="20"/>
  <c r="S21" i="21"/>
  <c r="S10" i="13"/>
  <c r="X6" i="24"/>
  <c r="S9" i="24"/>
  <c r="S9" i="26"/>
  <c r="P16" i="26"/>
  <c r="S10" i="27"/>
  <c r="P5" i="15"/>
  <c r="V15" i="28"/>
  <c r="S10" i="29"/>
  <c r="P17" i="29"/>
  <c r="S21" i="29"/>
  <c r="S10" i="30"/>
  <c r="X6" i="16"/>
  <c r="S9" i="16"/>
  <c r="S21" i="16"/>
  <c r="V15" i="32"/>
  <c r="S22" i="33"/>
  <c r="P5" i="34"/>
  <c r="V14" i="27"/>
  <c r="V14" i="13"/>
  <c r="S22" i="1"/>
  <c r="S9" i="4"/>
  <c r="S9" i="7"/>
  <c r="P17" i="7"/>
  <c r="P17" i="10"/>
  <c r="V15" i="11"/>
  <c r="S10" i="12"/>
  <c r="S9" i="21"/>
  <c r="S21" i="22"/>
  <c r="P5" i="24"/>
  <c r="S10" i="25"/>
  <c r="X6" i="26"/>
  <c r="S22" i="27"/>
  <c r="S21" i="15"/>
  <c r="X5" i="23"/>
  <c r="S22" i="23"/>
  <c r="S22" i="30"/>
  <c r="P5" i="16"/>
  <c r="V14" i="34"/>
  <c r="S9" i="17"/>
  <c r="S21" i="4"/>
  <c r="V15" i="5"/>
  <c r="X6" i="7"/>
  <c r="V14" i="7"/>
  <c r="V14" i="10"/>
  <c r="X6" i="11"/>
  <c r="X6" i="19"/>
  <c r="S10" i="20"/>
  <c r="X6" i="21"/>
  <c r="S22" i="13"/>
  <c r="S22" i="25"/>
  <c r="P5" i="26"/>
  <c r="P5" i="28"/>
  <c r="X6" i="28"/>
  <c r="S9" i="28"/>
  <c r="V15" i="30"/>
  <c r="P17" i="16"/>
  <c r="S9" i="31"/>
  <c r="S21" i="31"/>
  <c r="S10" i="33"/>
  <c r="P17" i="34"/>
  <c r="X5" i="6"/>
  <c r="S10" i="6"/>
  <c r="S22" i="6"/>
  <c r="P5" i="7"/>
  <c r="S9" i="8"/>
  <c r="S21" i="8"/>
  <c r="V15" i="9"/>
  <c r="S10" i="10"/>
  <c r="P5" i="11"/>
  <c r="S9" i="11"/>
  <c r="X13" i="11"/>
  <c r="V15" i="12"/>
  <c r="S22" i="12"/>
  <c r="P5" i="19"/>
  <c r="S9" i="19"/>
  <c r="P5" i="21"/>
  <c r="V14" i="21"/>
  <c r="P17" i="21"/>
  <c r="S9" i="22"/>
  <c r="P17" i="22"/>
  <c r="P17" i="24"/>
  <c r="S21" i="24"/>
  <c r="S21" i="26"/>
  <c r="V15" i="27"/>
  <c r="V14" i="15"/>
  <c r="P17" i="15"/>
  <c r="V14" i="16"/>
  <c r="X6" i="31"/>
  <c r="V14" i="31"/>
  <c r="P17" i="31"/>
  <c r="S21" i="17"/>
  <c r="S21" i="10"/>
  <c r="V15" i="1"/>
  <c r="P17" i="4"/>
  <c r="P5" i="8"/>
  <c r="X6" i="8"/>
  <c r="S22" i="10"/>
  <c r="P17" i="19"/>
  <c r="S21" i="19"/>
  <c r="S22" i="20"/>
  <c r="X6" i="22"/>
  <c r="V14" i="22"/>
  <c r="V15" i="13"/>
  <c r="V14" i="24"/>
  <c r="V14" i="26"/>
  <c r="P17" i="26"/>
  <c r="S21" i="28"/>
  <c r="P5" i="31"/>
  <c r="S9" i="32"/>
  <c r="S10" i="34"/>
  <c r="S22" i="34"/>
  <c r="P5" i="17"/>
  <c r="P17" i="17"/>
  <c r="V14" i="4"/>
  <c r="S9" i="5"/>
  <c r="S21" i="5"/>
  <c r="S22" i="7"/>
  <c r="P17" i="8"/>
  <c r="S9" i="9"/>
  <c r="S21" i="9"/>
  <c r="S21" i="11"/>
  <c r="P16" i="12"/>
  <c r="V14" i="19"/>
  <c r="P5" i="22"/>
  <c r="S9" i="13"/>
  <c r="V15" i="25"/>
  <c r="S10" i="15"/>
  <c r="V15" i="29"/>
  <c r="S22" i="16"/>
  <c r="X6" i="32"/>
  <c r="S21" i="32"/>
  <c r="V15" i="33"/>
  <c r="V14" i="17"/>
  <c r="V14" i="1"/>
  <c r="S21" i="20"/>
  <c r="X6" i="5"/>
  <c r="V15" i="6"/>
  <c r="S10" i="7"/>
  <c r="V14" i="8"/>
  <c r="X6" i="9"/>
  <c r="P17" i="11"/>
  <c r="V15" i="20"/>
  <c r="S22" i="21"/>
  <c r="S22" i="22"/>
  <c r="P5" i="13"/>
  <c r="X6" i="13"/>
  <c r="P16" i="13"/>
  <c r="S10" i="24"/>
  <c r="S10" i="26"/>
  <c r="S9" i="27"/>
  <c r="S9" i="23"/>
  <c r="V15" i="23"/>
  <c r="V14" i="28"/>
  <c r="P17" i="28"/>
  <c r="S10" i="16"/>
  <c r="P5" i="32"/>
  <c r="V14" i="32"/>
  <c r="P17" i="32"/>
  <c r="P5" i="1"/>
  <c r="X6" i="1"/>
  <c r="S9" i="1"/>
  <c r="S21" i="1"/>
  <c r="S10" i="4"/>
  <c r="P5" i="5"/>
  <c r="P5" i="9"/>
  <c r="S9" i="12"/>
  <c r="S10" i="21"/>
  <c r="X6" i="25"/>
  <c r="S9" i="25"/>
  <c r="X6" i="27"/>
  <c r="S21" i="27"/>
  <c r="P5" i="23"/>
  <c r="X6" i="23"/>
  <c r="S21" i="23"/>
  <c r="X6" i="29"/>
  <c r="S9" i="29"/>
  <c r="P16" i="29"/>
  <c r="S22" i="29"/>
  <c r="S21" i="30"/>
  <c r="S10" i="31"/>
  <c r="S19" i="1"/>
  <c r="U5" i="6"/>
  <c r="S7" i="6"/>
  <c r="U22" i="27"/>
  <c r="P14" i="15"/>
  <c r="U22" i="15"/>
  <c r="S19" i="16"/>
  <c r="P14" i="31"/>
  <c r="S19" i="32"/>
  <c r="P14" i="5"/>
  <c r="P14" i="8"/>
  <c r="V12" i="9"/>
  <c r="S19" i="9"/>
  <c r="U22" i="11"/>
  <c r="S19" i="19"/>
  <c r="V12" i="20"/>
  <c r="U22" i="26"/>
  <c r="P14" i="27"/>
  <c r="S7" i="15"/>
  <c r="S7" i="23"/>
  <c r="U5" i="30"/>
  <c r="S19" i="34"/>
  <c r="U22" i="17"/>
  <c r="U22" i="7"/>
  <c r="S7" i="12"/>
  <c r="S19" i="20"/>
  <c r="U22" i="21"/>
  <c r="S7" i="22"/>
  <c r="S19" i="22"/>
  <c r="V12" i="13"/>
  <c r="P14" i="26"/>
  <c r="U5" i="15"/>
  <c r="V12" i="28"/>
  <c r="S19" i="29"/>
  <c r="S7" i="30"/>
  <c r="S19" i="6"/>
  <c r="U22" i="10"/>
  <c r="S7" i="11"/>
  <c r="P14" i="11"/>
  <c r="U5" i="12"/>
  <c r="S19" i="13"/>
  <c r="U22" i="25"/>
  <c r="S7" i="27"/>
  <c r="S19" i="23"/>
  <c r="S19" i="28"/>
  <c r="S19" i="30"/>
  <c r="P14" i="33"/>
  <c r="P14" i="17"/>
  <c r="U22" i="4"/>
  <c r="S7" i="5"/>
  <c r="P14" i="7"/>
  <c r="U5" i="8"/>
  <c r="S7" i="8"/>
  <c r="P14" i="21"/>
  <c r="X23" i="22"/>
  <c r="S7" i="26"/>
  <c r="U5" i="27"/>
  <c r="U22" i="9"/>
  <c r="S19" i="12"/>
  <c r="P14" i="25"/>
  <c r="S19" i="27"/>
  <c r="U22" i="16"/>
  <c r="S7" i="31"/>
  <c r="U22" i="34"/>
  <c r="S7" i="17"/>
  <c r="U22" i="1"/>
  <c r="S19" i="5"/>
  <c r="S19" i="8"/>
  <c r="S7" i="10"/>
  <c r="P14" i="10"/>
  <c r="U22" i="22"/>
  <c r="U22" i="24"/>
  <c r="S7" i="25"/>
  <c r="V12" i="27"/>
  <c r="S19" i="15"/>
  <c r="S19" i="31"/>
  <c r="P14" i="32"/>
  <c r="U22" i="32"/>
  <c r="S7" i="4"/>
  <c r="P14" i="4"/>
  <c r="S19" i="11"/>
  <c r="P14" i="24"/>
  <c r="P14" i="29"/>
  <c r="S7" i="33"/>
  <c r="S19" i="33"/>
  <c r="P14" i="34"/>
  <c r="P14" i="1"/>
  <c r="U22" i="6"/>
  <c r="S19" i="7"/>
  <c r="P14" i="9"/>
  <c r="P14" i="19"/>
  <c r="U22" i="19"/>
  <c r="U22" i="20"/>
  <c r="S7" i="21"/>
  <c r="S19" i="21"/>
  <c r="U22" i="13"/>
  <c r="S7" i="24"/>
  <c r="S19" i="26"/>
  <c r="U22" i="23"/>
  <c r="U22" i="28"/>
  <c r="S7" i="29"/>
  <c r="P14" i="16"/>
  <c r="S19" i="17"/>
  <c r="S7" i="7"/>
  <c r="S7" i="20"/>
  <c r="P14" i="20"/>
  <c r="P14" i="22"/>
  <c r="S7" i="13"/>
  <c r="P14" i="13"/>
  <c r="S19" i="25"/>
  <c r="P14" i="30"/>
  <c r="U22" i="30"/>
  <c r="S7" i="1"/>
  <c r="U22" i="5"/>
  <c r="P14" i="6"/>
  <c r="U22" i="8"/>
  <c r="S7" i="9"/>
  <c r="P14" i="12"/>
  <c r="U5" i="20"/>
  <c r="S7" i="16"/>
  <c r="P6" i="5"/>
  <c r="S11" i="6"/>
  <c r="P18" i="6"/>
  <c r="S23" i="20"/>
  <c r="S23" i="21"/>
  <c r="U10" i="22"/>
  <c r="P18" i="25"/>
  <c r="P6" i="27"/>
  <c r="U10" i="30"/>
  <c r="S23" i="31"/>
  <c r="U10" i="32"/>
  <c r="U10" i="34"/>
  <c r="U10" i="17"/>
  <c r="S23" i="4"/>
  <c r="S11" i="7"/>
  <c r="P6" i="11"/>
  <c r="S11" i="19"/>
  <c r="U10" i="21"/>
  <c r="U10" i="13"/>
  <c r="S11" i="25"/>
  <c r="P18" i="15"/>
  <c r="U10" i="28"/>
  <c r="P6" i="29"/>
  <c r="S23" i="30"/>
  <c r="P6" i="16"/>
  <c r="P6" i="31"/>
  <c r="S23" i="32"/>
  <c r="P6" i="33"/>
  <c r="S23" i="17"/>
  <c r="U10" i="4"/>
  <c r="S23" i="5"/>
  <c r="R9" i="8"/>
  <c r="R9" i="9"/>
  <c r="U10" i="10"/>
  <c r="S23" i="10"/>
  <c r="P6" i="24"/>
  <c r="U10" i="27"/>
  <c r="S23" i="28"/>
  <c r="S23" i="16"/>
  <c r="U10" i="31"/>
  <c r="P18" i="1"/>
  <c r="U10" i="5"/>
  <c r="P6" i="6"/>
  <c r="V16" i="6"/>
  <c r="V16" i="7"/>
  <c r="S11" i="8"/>
  <c r="P18" i="8"/>
  <c r="S11" i="20"/>
  <c r="S23" i="13"/>
  <c r="S11" i="26"/>
  <c r="S23" i="27"/>
  <c r="P6" i="15"/>
  <c r="S11" i="23"/>
  <c r="P18" i="23"/>
  <c r="U10" i="29"/>
  <c r="U10" i="33"/>
  <c r="S11" i="1"/>
  <c r="X7" i="6"/>
  <c r="S11" i="9"/>
  <c r="S23" i="11"/>
  <c r="P6" i="12"/>
  <c r="P18" i="20"/>
  <c r="P18" i="21"/>
  <c r="P18" i="22"/>
  <c r="P6" i="25"/>
  <c r="P18" i="26"/>
  <c r="V16" i="15"/>
  <c r="R9" i="28"/>
  <c r="P18" i="9"/>
  <c r="R9" i="10"/>
  <c r="U10" i="11"/>
  <c r="P6" i="19"/>
  <c r="S11" i="22"/>
  <c r="X13" i="22"/>
  <c r="U10" i="24"/>
  <c r="S23" i="24"/>
  <c r="S11" i="30"/>
  <c r="P18" i="30"/>
  <c r="U10" i="16"/>
  <c r="S11" i="32"/>
  <c r="P18" i="32"/>
  <c r="S11" i="34"/>
  <c r="P18" i="34"/>
  <c r="S11" i="17"/>
  <c r="P18" i="4"/>
  <c r="R9" i="5"/>
  <c r="V16" i="8"/>
  <c r="X13" i="9"/>
  <c r="U10" i="12"/>
  <c r="S23" i="12"/>
  <c r="S11" i="21"/>
  <c r="X13" i="21"/>
  <c r="P18" i="27"/>
  <c r="U10" i="15"/>
  <c r="S11" i="28"/>
  <c r="P18" i="31"/>
  <c r="P18" i="33"/>
  <c r="P18" i="17"/>
  <c r="S11" i="4"/>
  <c r="U10" i="6"/>
  <c r="S23" i="6"/>
  <c r="P6" i="7"/>
  <c r="S23" i="7"/>
  <c r="P18" i="10"/>
  <c r="S23" i="19"/>
  <c r="P6" i="20"/>
  <c r="V16" i="20"/>
  <c r="S11" i="13"/>
  <c r="P18" i="13"/>
  <c r="V16" i="26"/>
  <c r="S11" i="27"/>
  <c r="P18" i="28"/>
  <c r="P18" i="16"/>
  <c r="S11" i="31"/>
  <c r="R9" i="33"/>
  <c r="S11" i="5"/>
  <c r="P18" i="5"/>
  <c r="U10" i="7"/>
  <c r="P6" i="8"/>
  <c r="P6" i="9"/>
  <c r="S11" i="10"/>
  <c r="P18" i="11"/>
  <c r="U10" i="19"/>
  <c r="P18" i="24"/>
  <c r="U10" i="25"/>
  <c r="S23" i="25"/>
  <c r="P6" i="26"/>
  <c r="V16" i="23"/>
  <c r="V16" i="30"/>
  <c r="R9" i="16"/>
  <c r="S11" i="33"/>
  <c r="P6" i="1"/>
  <c r="S23" i="8"/>
  <c r="S23" i="15"/>
  <c r="P6" i="23"/>
  <c r="S11" i="29"/>
  <c r="V16" i="17"/>
  <c r="U10" i="1"/>
  <c r="S23" i="1"/>
  <c r="V16" i="5"/>
  <c r="P18" i="7"/>
  <c r="S23" i="9"/>
  <c r="S11" i="12"/>
  <c r="P6" i="21"/>
  <c r="P6" i="22"/>
  <c r="R9" i="25"/>
  <c r="S23" i="26"/>
  <c r="P6" i="32"/>
  <c r="S23" i="33"/>
  <c r="P6" i="34"/>
  <c r="X14" i="17"/>
  <c r="X14" i="27"/>
  <c r="X14" i="6"/>
  <c r="X14" i="10"/>
  <c r="X14" i="20"/>
  <c r="X14" i="7"/>
  <c r="X14" i="28"/>
  <c r="X21" i="29"/>
  <c r="X14" i="30"/>
  <c r="X14" i="1"/>
  <c r="X14" i="11"/>
  <c r="X14" i="21"/>
  <c r="X14" i="22"/>
  <c r="X14" i="25"/>
  <c r="X14" i="12"/>
  <c r="X14" i="15"/>
  <c r="X14" i="8"/>
  <c r="X14" i="26"/>
  <c r="X14" i="31"/>
  <c r="X14" i="32"/>
  <c r="X14" i="4"/>
  <c r="X14" i="29"/>
  <c r="X14" i="34"/>
  <c r="X14" i="24"/>
  <c r="X14" i="5"/>
  <c r="X15" i="10"/>
  <c r="X14" i="19"/>
  <c r="X14" i="13"/>
  <c r="X14" i="16"/>
  <c r="U15" i="34"/>
  <c r="U15" i="33"/>
  <c r="U15" i="10"/>
  <c r="U15" i="12"/>
  <c r="R22" i="32"/>
  <c r="R22" i="29"/>
  <c r="R15" i="32"/>
  <c r="U19" i="34"/>
  <c r="U9" i="10"/>
  <c r="U15" i="15"/>
  <c r="U9" i="16"/>
  <c r="U9" i="34"/>
  <c r="U21" i="20"/>
  <c r="U9" i="21"/>
  <c r="U9" i="24"/>
  <c r="U15" i="24"/>
  <c r="U21" i="30"/>
  <c r="U9" i="33"/>
  <c r="R18" i="7"/>
  <c r="R18" i="11"/>
  <c r="R21" i="21"/>
  <c r="R28" i="5"/>
  <c r="R28" i="10"/>
  <c r="R28" i="27"/>
  <c r="R28" i="1"/>
  <c r="R28" i="4"/>
  <c r="R28" i="7"/>
  <c r="R28" i="8"/>
  <c r="R28" i="11"/>
  <c r="R28" i="19"/>
  <c r="R28" i="20"/>
  <c r="R28" i="21"/>
  <c r="R28" i="15"/>
  <c r="R28" i="28"/>
  <c r="R28" i="29"/>
  <c r="R28" i="9"/>
  <c r="R28" i="13"/>
  <c r="R28" i="12"/>
  <c r="R28" i="22"/>
  <c r="R28" i="24"/>
  <c r="R28" i="16"/>
  <c r="R28" i="31"/>
  <c r="R7" i="19"/>
  <c r="R14" i="7"/>
  <c r="R15" i="7"/>
  <c r="R23" i="8"/>
  <c r="R15" i="21"/>
  <c r="R14" i="23"/>
  <c r="R15" i="23"/>
  <c r="R6" i="16"/>
  <c r="R6" i="22"/>
  <c r="R6" i="24"/>
  <c r="R22" i="30"/>
  <c r="R14" i="34"/>
  <c r="R15" i="34"/>
  <c r="R22" i="34"/>
  <c r="R13" i="12"/>
  <c r="R22" i="10"/>
  <c r="R14" i="26"/>
  <c r="R15" i="26"/>
  <c r="R15" i="28"/>
  <c r="R13" i="16"/>
  <c r="R21" i="16"/>
  <c r="R6" i="32"/>
  <c r="R21" i="20"/>
  <c r="R21" i="26"/>
  <c r="R21" i="1"/>
  <c r="R14" i="4"/>
  <c r="R15" i="4"/>
  <c r="R22" i="5"/>
  <c r="R22" i="6"/>
  <c r="R7" i="8"/>
  <c r="R7" i="9"/>
  <c r="R14" i="12"/>
  <c r="R15" i="12"/>
  <c r="R6" i="21"/>
  <c r="R22" i="25"/>
  <c r="R22" i="26"/>
  <c r="R14" i="30"/>
  <c r="R15" i="30"/>
  <c r="X5" i="21"/>
  <c r="X19" i="27"/>
  <c r="X5" i="16"/>
  <c r="X19" i="6"/>
  <c r="X11" i="9"/>
  <c r="X19" i="30"/>
  <c r="X22" i="31"/>
  <c r="R21" i="23"/>
  <c r="R13" i="29"/>
  <c r="R13" i="30"/>
  <c r="R21" i="34"/>
  <c r="R21" i="10"/>
  <c r="R21" i="24"/>
  <c r="R21" i="32"/>
  <c r="R21" i="4"/>
  <c r="R13" i="5"/>
  <c r="R21" i="7"/>
  <c r="R21" i="22"/>
  <c r="R21" i="13"/>
  <c r="R21" i="27"/>
  <c r="R21" i="6"/>
  <c r="R21" i="11"/>
  <c r="R21" i="12"/>
  <c r="R13" i="20"/>
  <c r="R13" i="24"/>
  <c r="R21" i="15"/>
  <c r="R13" i="31"/>
  <c r="R13" i="4"/>
  <c r="R21" i="5"/>
  <c r="R13" i="6"/>
  <c r="R13" i="8"/>
  <c r="R13" i="11"/>
  <c r="R13" i="19"/>
  <c r="R13" i="27"/>
  <c r="R21" i="30"/>
  <c r="R13" i="34"/>
  <c r="R21" i="17"/>
  <c r="R13" i="1"/>
  <c r="R13" i="7"/>
  <c r="R21" i="8"/>
  <c r="R13" i="9"/>
  <c r="R21" i="9"/>
  <c r="R13" i="10"/>
  <c r="R21" i="19"/>
  <c r="R5" i="22"/>
  <c r="R13" i="25"/>
  <c r="R21" i="25"/>
  <c r="X5" i="34"/>
  <c r="X10" i="12"/>
  <c r="X5" i="19"/>
  <c r="X5" i="28"/>
  <c r="R18" i="4"/>
  <c r="R18" i="22"/>
  <c r="R10" i="26"/>
  <c r="R11" i="26"/>
  <c r="R11" i="23"/>
  <c r="R11" i="34"/>
  <c r="R10" i="19"/>
  <c r="R11" i="19"/>
  <c r="R18" i="20"/>
  <c r="R10" i="21"/>
  <c r="R10" i="25"/>
  <c r="R18" i="15"/>
  <c r="R19" i="6"/>
  <c r="R19" i="7"/>
  <c r="R10" i="9"/>
  <c r="R11" i="9"/>
  <c r="R18" i="12"/>
  <c r="R19" i="29"/>
  <c r="U23" i="33"/>
  <c r="U6" i="34"/>
  <c r="X18" i="6"/>
  <c r="X18" i="20"/>
  <c r="X9" i="15"/>
  <c r="X10" i="15"/>
  <c r="X10" i="28"/>
  <c r="X18" i="28"/>
  <c r="X18" i="16"/>
  <c r="X9" i="17"/>
  <c r="X10" i="7"/>
  <c r="X17" i="16"/>
  <c r="X10" i="10"/>
  <c r="X10" i="21"/>
  <c r="X10" i="24"/>
  <c r="X18" i="27"/>
  <c r="X18" i="23"/>
  <c r="U18" i="10"/>
  <c r="U6" i="15"/>
  <c r="U18" i="23"/>
  <c r="U19" i="21"/>
  <c r="U13" i="28"/>
  <c r="U11" i="31"/>
  <c r="U6" i="4"/>
  <c r="U18" i="7"/>
  <c r="U6" i="21"/>
  <c r="U18" i="28"/>
  <c r="U18" i="30"/>
  <c r="U11" i="32"/>
  <c r="U18" i="6"/>
  <c r="U6" i="20"/>
  <c r="U23" i="24"/>
  <c r="U23" i="26"/>
  <c r="U6" i="27"/>
  <c r="U18" i="29"/>
  <c r="U11" i="30"/>
  <c r="U18" i="16"/>
  <c r="U18" i="33"/>
  <c r="U6" i="1"/>
  <c r="U18" i="20"/>
  <c r="U6" i="28"/>
  <c r="U6" i="29"/>
  <c r="U11" i="33"/>
  <c r="R19" i="1"/>
  <c r="R10" i="5"/>
  <c r="R11" i="5"/>
  <c r="R19" i="5"/>
  <c r="R10" i="8"/>
  <c r="R11" i="8"/>
  <c r="R19" i="8"/>
  <c r="R19" i="9"/>
  <c r="R10" i="11"/>
  <c r="R11" i="11"/>
  <c r="R11" i="12"/>
  <c r="R19" i="20"/>
  <c r="R19" i="21"/>
  <c r="R10" i="22"/>
  <c r="R11" i="22"/>
  <c r="R19" i="25"/>
  <c r="R19" i="26"/>
  <c r="R19" i="27"/>
  <c r="R11" i="15"/>
  <c r="R18" i="30"/>
  <c r="R19" i="30"/>
  <c r="R10" i="17"/>
  <c r="R11" i="17"/>
  <c r="R10" i="1"/>
  <c r="R11" i="1"/>
  <c r="R18" i="1"/>
  <c r="R10" i="4"/>
  <c r="R11" i="4"/>
  <c r="R18" i="5"/>
  <c r="R10" i="6"/>
  <c r="R11" i="6"/>
  <c r="R10" i="7"/>
  <c r="R18" i="8"/>
  <c r="R18" i="9"/>
  <c r="R18" i="10"/>
  <c r="R18" i="19"/>
  <c r="R10" i="20"/>
  <c r="R11" i="20"/>
  <c r="R19" i="24"/>
  <c r="R10" i="27"/>
  <c r="R11" i="27"/>
  <c r="R18" i="23"/>
  <c r="R18" i="28"/>
  <c r="R10" i="30"/>
  <c r="R19" i="16"/>
  <c r="R10" i="31"/>
  <c r="R11" i="31"/>
  <c r="R19" i="31"/>
  <c r="R11" i="33"/>
  <c r="R18" i="33"/>
  <c r="R19" i="33"/>
  <c r="R19" i="34"/>
  <c r="R18" i="17"/>
  <c r="R19" i="4"/>
  <c r="R18" i="6"/>
  <c r="R11" i="7"/>
  <c r="R19" i="12"/>
  <c r="R19" i="22"/>
  <c r="R19" i="13"/>
  <c r="R10" i="24"/>
  <c r="R18" i="24"/>
  <c r="R19" i="15"/>
  <c r="R19" i="23"/>
  <c r="R11" i="28"/>
  <c r="R19" i="28"/>
  <c r="R10" i="16"/>
  <c r="X10" i="4"/>
  <c r="X10" i="6"/>
  <c r="X10" i="8"/>
  <c r="X18" i="9"/>
  <c r="X10" i="19"/>
  <c r="X10" i="20"/>
  <c r="X18" i="21"/>
  <c r="X18" i="22"/>
  <c r="X18" i="25"/>
  <c r="X10" i="26"/>
  <c r="X10" i="27"/>
  <c r="X10" i="23"/>
  <c r="X10" i="16"/>
  <c r="X9" i="31"/>
  <c r="X10" i="32"/>
  <c r="X18" i="34"/>
  <c r="X10" i="17"/>
  <c r="X9" i="1"/>
  <c r="X10" i="5"/>
  <c r="X17" i="7"/>
  <c r="X18" i="11"/>
  <c r="X10" i="22"/>
  <c r="X9" i="25"/>
  <c r="X10" i="29"/>
  <c r="X10" i="30"/>
  <c r="X18" i="30"/>
  <c r="X10" i="31"/>
  <c r="X18" i="32"/>
  <c r="X10" i="33"/>
  <c r="X10" i="34"/>
  <c r="X18" i="17"/>
  <c r="X10" i="1"/>
  <c r="X18" i="1"/>
  <c r="X18" i="4"/>
  <c r="X18" i="5"/>
  <c r="X17" i="6"/>
  <c r="X18" i="7"/>
  <c r="X18" i="8"/>
  <c r="X10" i="9"/>
  <c r="X18" i="10"/>
  <c r="X10" i="11"/>
  <c r="X18" i="12"/>
  <c r="X18" i="19"/>
  <c r="X10" i="13"/>
  <c r="X18" i="13"/>
  <c r="X18" i="24"/>
  <c r="X18" i="26"/>
  <c r="X18" i="15"/>
  <c r="X18" i="29"/>
  <c r="X18" i="31"/>
  <c r="U23" i="1"/>
  <c r="U6" i="7"/>
  <c r="U11" i="10"/>
  <c r="U18" i="11"/>
  <c r="U18" i="12"/>
  <c r="U11" i="27"/>
  <c r="U18" i="15"/>
  <c r="U23" i="28"/>
  <c r="U6" i="16"/>
  <c r="U18" i="31"/>
  <c r="U11" i="1"/>
  <c r="U18" i="4"/>
  <c r="U6" i="5"/>
  <c r="U23" i="5"/>
  <c r="U6" i="8"/>
  <c r="U6" i="9"/>
  <c r="U6" i="10"/>
  <c r="U23" i="11"/>
  <c r="U6" i="12"/>
  <c r="U6" i="19"/>
  <c r="U23" i="21"/>
  <c r="U18" i="22"/>
  <c r="U23" i="22"/>
  <c r="U6" i="13"/>
  <c r="U13" i="25"/>
  <c r="U18" i="25"/>
  <c r="U18" i="26"/>
  <c r="U6" i="23"/>
  <c r="U18" i="32"/>
  <c r="U18" i="17"/>
  <c r="U23" i="17"/>
  <c r="U18" i="5"/>
  <c r="U18" i="24"/>
  <c r="U18" i="27"/>
  <c r="U11" i="23"/>
  <c r="U6" i="30"/>
  <c r="U6" i="32"/>
  <c r="U18" i="1"/>
  <c r="U11" i="4"/>
  <c r="U23" i="4"/>
  <c r="U6" i="6"/>
  <c r="U13" i="8"/>
  <c r="U18" i="8"/>
  <c r="U18" i="9"/>
  <c r="U23" i="9"/>
  <c r="U6" i="11"/>
  <c r="U18" i="19"/>
  <c r="U23" i="20"/>
  <c r="U18" i="21"/>
  <c r="U6" i="22"/>
  <c r="U18" i="13"/>
  <c r="U6" i="24"/>
  <c r="U6" i="25"/>
  <c r="U6" i="26"/>
  <c r="U13" i="16"/>
  <c r="U6" i="31"/>
  <c r="U6" i="33"/>
  <c r="R14" i="5"/>
  <c r="R15" i="5"/>
  <c r="R22" i="7"/>
  <c r="R14" i="10"/>
  <c r="R15" i="10"/>
  <c r="R22" i="19"/>
  <c r="R6" i="20"/>
  <c r="R14" i="20"/>
  <c r="R15" i="20"/>
  <c r="R22" i="13"/>
  <c r="R23" i="26"/>
  <c r="R22" i="27"/>
  <c r="R6" i="15"/>
  <c r="R14" i="16"/>
  <c r="R14" i="31"/>
  <c r="R15" i="31"/>
  <c r="R22" i="31"/>
  <c r="R14" i="33"/>
  <c r="R22" i="17"/>
  <c r="R6" i="1"/>
  <c r="R22" i="1"/>
  <c r="R6" i="4"/>
  <c r="R22" i="4"/>
  <c r="R6" i="5"/>
  <c r="R6" i="6"/>
  <c r="R14" i="6"/>
  <c r="R15" i="6"/>
  <c r="R23" i="7"/>
  <c r="R14" i="9"/>
  <c r="R15" i="9"/>
  <c r="R22" i="12"/>
  <c r="R14" i="19"/>
  <c r="R15" i="19"/>
  <c r="R14" i="13"/>
  <c r="R15" i="13"/>
  <c r="R15" i="25"/>
  <c r="R6" i="27"/>
  <c r="R14" i="27"/>
  <c r="R22" i="15"/>
  <c r="R6" i="23"/>
  <c r="R22" i="23"/>
  <c r="R14" i="29"/>
  <c r="R22" i="33"/>
  <c r="R14" i="17"/>
  <c r="R15" i="17"/>
  <c r="R14" i="1"/>
  <c r="R15" i="1"/>
  <c r="R6" i="7"/>
  <c r="R6" i="8"/>
  <c r="R14" i="8"/>
  <c r="R15" i="8"/>
  <c r="R22" i="8"/>
  <c r="R6" i="9"/>
  <c r="R22" i="9"/>
  <c r="R6" i="10"/>
  <c r="R6" i="11"/>
  <c r="R14" i="11"/>
  <c r="R15" i="11"/>
  <c r="R6" i="19"/>
  <c r="R22" i="20"/>
  <c r="R22" i="21"/>
  <c r="R15" i="22"/>
  <c r="R6" i="26"/>
  <c r="R6" i="33"/>
  <c r="R5" i="32"/>
  <c r="R5" i="17"/>
  <c r="R5" i="27"/>
  <c r="R5" i="29"/>
  <c r="R5" i="28"/>
  <c r="R5" i="16"/>
  <c r="R9" i="4"/>
  <c r="R9" i="11"/>
  <c r="R9" i="12"/>
  <c r="R17" i="19"/>
  <c r="R9" i="21"/>
  <c r="R9" i="26"/>
  <c r="R9" i="34"/>
  <c r="R9" i="6"/>
  <c r="R9" i="7"/>
  <c r="R9" i="20"/>
  <c r="R9" i="22"/>
  <c r="R9" i="24"/>
  <c r="R9" i="27"/>
  <c r="R9" i="31"/>
  <c r="R17" i="33"/>
  <c r="R9" i="1"/>
  <c r="R9" i="19"/>
  <c r="R9" i="13"/>
  <c r="R17" i="13"/>
  <c r="R9" i="15"/>
  <c r="R9" i="29"/>
  <c r="R17" i="30"/>
  <c r="U13" i="10"/>
  <c r="U13" i="12"/>
  <c r="U13" i="21"/>
  <c r="U7" i="27"/>
  <c r="U7" i="23"/>
  <c r="U13" i="30"/>
  <c r="U13" i="34"/>
  <c r="U9" i="1"/>
  <c r="U13" i="4"/>
  <c r="U15" i="4"/>
  <c r="U21" i="5"/>
  <c r="U21" i="6"/>
  <c r="U9" i="7"/>
  <c r="U21" i="9"/>
  <c r="U9" i="11"/>
  <c r="U9" i="20"/>
  <c r="U13" i="20"/>
  <c r="U15" i="20"/>
  <c r="U13" i="22"/>
  <c r="U13" i="24"/>
  <c r="U13" i="26"/>
  <c r="U15" i="27"/>
  <c r="U19" i="15"/>
  <c r="U7" i="33"/>
  <c r="U21" i="33"/>
  <c r="U13" i="17"/>
  <c r="U13" i="7"/>
  <c r="U13" i="11"/>
  <c r="U13" i="1"/>
  <c r="U19" i="5"/>
  <c r="U9" i="6"/>
  <c r="U13" i="6"/>
  <c r="U15" i="8"/>
  <c r="U21" i="13"/>
  <c r="U21" i="24"/>
  <c r="U7" i="15"/>
  <c r="U9" i="15"/>
  <c r="U13" i="15"/>
  <c r="U9" i="23"/>
  <c r="U13" i="23"/>
  <c r="U15" i="28"/>
  <c r="U9" i="30"/>
  <c r="U19" i="16"/>
  <c r="U13" i="31"/>
  <c r="U21" i="32"/>
  <c r="U13" i="33"/>
  <c r="X7" i="1"/>
  <c r="X15" i="4"/>
  <c r="X23" i="4"/>
  <c r="X7" i="5"/>
  <c r="X23" i="8"/>
  <c r="X15" i="22"/>
  <c r="X15" i="29"/>
  <c r="X23" i="29"/>
  <c r="X23" i="30"/>
  <c r="X23" i="17"/>
  <c r="X15" i="1"/>
  <c r="X15" i="7"/>
  <c r="X15" i="15"/>
  <c r="X23" i="1"/>
  <c r="X7" i="4"/>
  <c r="X15" i="6"/>
  <c r="X15" i="8"/>
  <c r="X23" i="9"/>
  <c r="X7" i="10"/>
  <c r="X15" i="21"/>
  <c r="X15" i="24"/>
  <c r="X23" i="26"/>
  <c r="X23" i="31"/>
  <c r="U14" i="31"/>
  <c r="U14" i="16"/>
  <c r="U14" i="29"/>
  <c r="U14" i="15"/>
  <c r="U14" i="13"/>
  <c r="U14" i="20"/>
  <c r="U14" i="19"/>
  <c r="U14" i="12"/>
  <c r="U14" i="11"/>
  <c r="U14" i="34"/>
  <c r="U14" i="33"/>
  <c r="U14" i="30"/>
  <c r="U14" i="23"/>
  <c r="U14" i="21"/>
  <c r="U14" i="8"/>
  <c r="U14" i="5"/>
  <c r="U14" i="17"/>
  <c r="U14" i="32"/>
  <c r="U14" i="28"/>
  <c r="U14" i="26"/>
  <c r="U14" i="24"/>
  <c r="U14" i="22"/>
  <c r="U14" i="10"/>
  <c r="U14" i="9"/>
  <c r="U14" i="7"/>
  <c r="U14" i="6"/>
  <c r="U14" i="1"/>
  <c r="U14" i="27"/>
  <c r="U14" i="25"/>
  <c r="U14" i="4"/>
  <c r="X7" i="34"/>
  <c r="X7" i="33"/>
  <c r="X7" i="28"/>
  <c r="X7" i="15"/>
  <c r="X7" i="27"/>
  <c r="X7" i="26"/>
  <c r="X7" i="13"/>
  <c r="X7" i="22"/>
  <c r="X7" i="21"/>
  <c r="X7" i="11"/>
  <c r="X7" i="17"/>
  <c r="X7" i="32"/>
  <c r="X7" i="31"/>
  <c r="H91" i="31" s="1"/>
  <c r="I91" i="31" s="1"/>
  <c r="R84" i="31" s="1"/>
  <c r="AC41" i="18" s="1"/>
  <c r="X7" i="9"/>
  <c r="X7" i="7"/>
  <c r="X7" i="16"/>
  <c r="X7" i="24"/>
  <c r="X7" i="20"/>
  <c r="X7" i="12"/>
  <c r="X7" i="30"/>
  <c r="X7" i="29"/>
  <c r="X7" i="23"/>
  <c r="X7" i="19"/>
  <c r="X7" i="8"/>
  <c r="X15" i="34"/>
  <c r="X15" i="27"/>
  <c r="X15" i="26"/>
  <c r="X15" i="25"/>
  <c r="X15" i="33"/>
  <c r="X15" i="20"/>
  <c r="X15" i="11"/>
  <c r="X15" i="9"/>
  <c r="X15" i="17"/>
  <c r="X15" i="32"/>
  <c r="X15" i="16"/>
  <c r="X15" i="30"/>
  <c r="X15" i="28"/>
  <c r="X15" i="13"/>
  <c r="X15" i="19"/>
  <c r="X15" i="12"/>
  <c r="X15" i="5"/>
  <c r="X15" i="31"/>
  <c r="X23" i="15"/>
  <c r="X23" i="25"/>
  <c r="X23" i="12"/>
  <c r="X23" i="10"/>
  <c r="X23" i="5"/>
  <c r="X23" i="28"/>
  <c r="X23" i="27"/>
  <c r="X23" i="6"/>
  <c r="X23" i="33"/>
  <c r="X23" i="32"/>
  <c r="X23" i="16"/>
  <c r="X23" i="23"/>
  <c r="X23" i="13"/>
  <c r="X23" i="21"/>
  <c r="X23" i="20"/>
  <c r="X23" i="11"/>
  <c r="X23" i="7"/>
  <c r="X23" i="24"/>
  <c r="X23" i="19"/>
  <c r="X8" i="19"/>
  <c r="X8" i="12"/>
  <c r="X8" i="32"/>
  <c r="X8" i="31"/>
  <c r="X12" i="10"/>
  <c r="X12" i="1"/>
  <c r="X12" i="26"/>
  <c r="X16" i="31"/>
  <c r="X16" i="7"/>
  <c r="X20" i="9"/>
  <c r="X20" i="4"/>
  <c r="X20" i="1"/>
  <c r="X9" i="34"/>
  <c r="X9" i="32"/>
  <c r="X9" i="23"/>
  <c r="X9" i="24"/>
  <c r="X9" i="12"/>
  <c r="X9" i="13"/>
  <c r="X9" i="19"/>
  <c r="X9" i="6"/>
  <c r="X9" i="22"/>
  <c r="X13" i="33"/>
  <c r="X13" i="15"/>
  <c r="X13" i="24"/>
  <c r="X13" i="6"/>
  <c r="X13" i="4"/>
  <c r="X13" i="34"/>
  <c r="X13" i="32"/>
  <c r="X13" i="16"/>
  <c r="X13" i="26"/>
  <c r="X13" i="17"/>
  <c r="X13" i="19"/>
  <c r="X17" i="33"/>
  <c r="X17" i="11"/>
  <c r="X17" i="28"/>
  <c r="X17" i="32"/>
  <c r="X17" i="23"/>
  <c r="X17" i="24"/>
  <c r="X17" i="13"/>
  <c r="X17" i="12"/>
  <c r="X17" i="31"/>
  <c r="X17" i="15"/>
  <c r="X17" i="19"/>
  <c r="X21" i="17"/>
  <c r="X21" i="15"/>
  <c r="X21" i="25"/>
  <c r="X21" i="9"/>
  <c r="X21" i="8"/>
  <c r="X21" i="4"/>
  <c r="X21" i="1"/>
  <c r="X21" i="7"/>
  <c r="X21" i="23"/>
  <c r="X21" i="26"/>
  <c r="X21" i="5"/>
  <c r="X21" i="27"/>
  <c r="X21" i="24"/>
  <c r="X21" i="6"/>
  <c r="X11" i="16"/>
  <c r="X11" i="30"/>
  <c r="X11" i="29"/>
  <c r="X11" i="27"/>
  <c r="X11" i="24"/>
  <c r="X11" i="13"/>
  <c r="X11" i="20"/>
  <c r="X11" i="19"/>
  <c r="X11" i="8"/>
  <c r="X11" i="6"/>
  <c r="X11" i="5"/>
  <c r="X11" i="17"/>
  <c r="X11" i="11"/>
  <c r="X11" i="10"/>
  <c r="X11" i="7"/>
  <c r="X11" i="33"/>
  <c r="X11" i="31"/>
  <c r="X11" i="26"/>
  <c r="X11" i="22"/>
  <c r="X11" i="21"/>
  <c r="X11" i="12"/>
  <c r="X11" i="4"/>
  <c r="X11" i="1"/>
  <c r="X11" i="34"/>
  <c r="X11" i="28"/>
  <c r="X19" i="34"/>
  <c r="X19" i="23"/>
  <c r="X19" i="15"/>
  <c r="X19" i="26"/>
  <c r="X19" i="24"/>
  <c r="X19" i="13"/>
  <c r="X19" i="22"/>
  <c r="X19" i="12"/>
  <c r="X19" i="11"/>
  <c r="X19" i="9"/>
  <c r="X19" i="5"/>
  <c r="X19" i="4"/>
  <c r="X19" i="17"/>
  <c r="X19" i="19"/>
  <c r="X19" i="32"/>
  <c r="X19" i="31"/>
  <c r="X19" i="28"/>
  <c r="X19" i="21"/>
  <c r="X19" i="1"/>
  <c r="X19" i="16"/>
  <c r="X19" i="20"/>
  <c r="X19" i="10"/>
  <c r="X19" i="8"/>
  <c r="X19" i="7"/>
  <c r="X5" i="1"/>
  <c r="X5" i="7"/>
  <c r="X5" i="9"/>
  <c r="X5" i="22"/>
  <c r="X5" i="26"/>
  <c r="X5" i="27"/>
  <c r="X5" i="31"/>
  <c r="X5" i="32"/>
  <c r="X5" i="4"/>
  <c r="X5" i="10"/>
  <c r="X5" i="11"/>
  <c r="X5" i="24"/>
  <c r="X5" i="25"/>
  <c r="X5" i="15"/>
  <c r="X5" i="5"/>
  <c r="X5" i="12"/>
  <c r="X5" i="20"/>
  <c r="X5" i="13"/>
  <c r="X5" i="29"/>
  <c r="X5" i="30"/>
  <c r="X5" i="33"/>
  <c r="U8" i="31"/>
  <c r="U8" i="30"/>
  <c r="U8" i="7"/>
  <c r="U8" i="34"/>
  <c r="U8" i="21"/>
  <c r="U8" i="1"/>
  <c r="U8" i="33"/>
  <c r="U8" i="23"/>
  <c r="U8" i="15"/>
  <c r="U8" i="6"/>
  <c r="U8" i="11"/>
  <c r="U8" i="16"/>
  <c r="U8" i="24"/>
  <c r="U8" i="25"/>
  <c r="U8" i="20"/>
  <c r="U8" i="10"/>
  <c r="U12" i="34"/>
  <c r="U12" i="33"/>
  <c r="U12" i="20"/>
  <c r="U12" i="10"/>
  <c r="U12" i="31"/>
  <c r="U12" i="30"/>
  <c r="U12" i="15"/>
  <c r="U12" i="6"/>
  <c r="U12" i="4"/>
  <c r="U12" i="17"/>
  <c r="U12" i="28"/>
  <c r="U12" i="26"/>
  <c r="U12" i="22"/>
  <c r="U12" i="12"/>
  <c r="U12" i="8"/>
  <c r="U12" i="24"/>
  <c r="U16" i="17"/>
  <c r="U16" i="29"/>
  <c r="U16" i="15"/>
  <c r="U16" i="19"/>
  <c r="U16" i="5"/>
  <c r="U16" i="33"/>
  <c r="U16" i="32"/>
  <c r="U16" i="27"/>
  <c r="U16" i="24"/>
  <c r="U16" i="20"/>
  <c r="U16" i="10"/>
  <c r="U16" i="30"/>
  <c r="U16" i="6"/>
  <c r="U16" i="13"/>
  <c r="U16" i="9"/>
  <c r="U20" i="32"/>
  <c r="U20" i="33"/>
  <c r="U20" i="30"/>
  <c r="U20" i="6"/>
  <c r="U20" i="15"/>
  <c r="U20" i="24"/>
  <c r="U20" i="20"/>
  <c r="U20" i="10"/>
  <c r="U7" i="1"/>
  <c r="U19" i="6"/>
  <c r="U7" i="7"/>
  <c r="U19" i="7"/>
  <c r="U7" i="9"/>
  <c r="U11" i="9"/>
  <c r="U7" i="11"/>
  <c r="U11" i="11"/>
  <c r="U19" i="11"/>
  <c r="U11" i="19"/>
  <c r="U15" i="19"/>
  <c r="U11" i="20"/>
  <c r="U7" i="13"/>
  <c r="U19" i="13"/>
  <c r="U23" i="13"/>
  <c r="U19" i="24"/>
  <c r="U7" i="25"/>
  <c r="U19" i="25"/>
  <c r="U23" i="25"/>
  <c r="U23" i="27"/>
  <c r="U15" i="23"/>
  <c r="U19" i="23"/>
  <c r="U23" i="23"/>
  <c r="U19" i="28"/>
  <c r="U11" i="29"/>
  <c r="U19" i="29"/>
  <c r="U7" i="30"/>
  <c r="U15" i="30"/>
  <c r="U19" i="30"/>
  <c r="U11" i="16"/>
  <c r="U15" i="16"/>
  <c r="U15" i="31"/>
  <c r="U7" i="32"/>
  <c r="U19" i="32"/>
  <c r="U19" i="33"/>
  <c r="U7" i="17"/>
  <c r="U15" i="17"/>
  <c r="U19" i="17"/>
  <c r="U19" i="1"/>
  <c r="U7" i="4"/>
  <c r="U7" i="5"/>
  <c r="U11" i="5"/>
  <c r="U15" i="5"/>
  <c r="U15" i="6"/>
  <c r="U11" i="8"/>
  <c r="U19" i="8"/>
  <c r="U23" i="8"/>
  <c r="U7" i="10"/>
  <c r="U15" i="11"/>
  <c r="U7" i="12"/>
  <c r="U19" i="12"/>
  <c r="U7" i="19"/>
  <c r="U19" i="19"/>
  <c r="U7" i="20"/>
  <c r="U19" i="20"/>
  <c r="U7" i="21"/>
  <c r="U15" i="21"/>
  <c r="U11" i="13"/>
  <c r="U15" i="13"/>
  <c r="U11" i="24"/>
  <c r="U15" i="26"/>
  <c r="U23" i="15"/>
  <c r="U11" i="28"/>
  <c r="U7" i="29"/>
  <c r="U23" i="29"/>
  <c r="U7" i="16"/>
  <c r="U23" i="16"/>
  <c r="U23" i="31"/>
  <c r="U23" i="32"/>
  <c r="U7" i="34"/>
  <c r="U11" i="34"/>
  <c r="U23" i="34"/>
  <c r="U11" i="17"/>
  <c r="U15" i="1"/>
  <c r="U19" i="4"/>
  <c r="U7" i="6"/>
  <c r="U11" i="6"/>
  <c r="U23" i="6"/>
  <c r="U11" i="7"/>
  <c r="U15" i="7"/>
  <c r="U23" i="7"/>
  <c r="U7" i="8"/>
  <c r="U15" i="9"/>
  <c r="U19" i="9"/>
  <c r="U19" i="10"/>
  <c r="U23" i="10"/>
  <c r="U11" i="12"/>
  <c r="U23" i="12"/>
  <c r="U23" i="19"/>
  <c r="U11" i="21"/>
  <c r="U7" i="22"/>
  <c r="U11" i="22"/>
  <c r="U15" i="22"/>
  <c r="U19" i="22"/>
  <c r="U7" i="24"/>
  <c r="U11" i="25"/>
  <c r="U15" i="25"/>
  <c r="U7" i="26"/>
  <c r="U11" i="26"/>
  <c r="U19" i="26"/>
  <c r="U19" i="27"/>
  <c r="U7" i="28"/>
  <c r="U15" i="29"/>
  <c r="U5" i="21"/>
  <c r="U5" i="24"/>
  <c r="U5" i="25"/>
  <c r="U5" i="23"/>
  <c r="U5" i="31"/>
  <c r="U5" i="4"/>
  <c r="U5" i="10"/>
  <c r="U5" i="11"/>
  <c r="U5" i="28"/>
  <c r="U5" i="29"/>
  <c r="U5" i="16"/>
  <c r="U5" i="34"/>
  <c r="U5" i="17"/>
  <c r="U5" i="5"/>
  <c r="U5" i="7"/>
  <c r="U5" i="9"/>
  <c r="U5" i="19"/>
  <c r="U5" i="22"/>
  <c r="U5" i="13"/>
  <c r="U5" i="26"/>
  <c r="U5" i="32"/>
  <c r="R8" i="32"/>
  <c r="R8" i="15"/>
  <c r="R8" i="30"/>
  <c r="R8" i="24"/>
  <c r="R8" i="20"/>
  <c r="R8" i="33"/>
  <c r="R8" i="10"/>
  <c r="R8" i="6"/>
  <c r="R12" i="32"/>
  <c r="R12" i="30"/>
  <c r="R12" i="24"/>
  <c r="R12" i="33"/>
  <c r="R12" i="20"/>
  <c r="R12" i="6"/>
  <c r="R12" i="15"/>
  <c r="R12" i="10"/>
  <c r="R16" i="32"/>
  <c r="R16" i="33"/>
  <c r="R16" i="24"/>
  <c r="R16" i="6"/>
  <c r="R16" i="20"/>
  <c r="R16" i="15"/>
  <c r="R16" i="10"/>
  <c r="R16" i="30"/>
  <c r="R20" i="32"/>
  <c r="R20" i="24"/>
  <c r="R20" i="10"/>
  <c r="R20" i="20"/>
  <c r="R20" i="30"/>
  <c r="R20" i="15"/>
  <c r="R20" i="6"/>
  <c r="R20" i="33"/>
  <c r="R7" i="34"/>
  <c r="R7" i="16"/>
  <c r="R7" i="15"/>
  <c r="R23" i="17"/>
  <c r="R23" i="34"/>
  <c r="R23" i="33"/>
  <c r="R23" i="28"/>
  <c r="R23" i="23"/>
  <c r="R23" i="27"/>
  <c r="R17" i="1"/>
  <c r="R17" i="4"/>
  <c r="R17" i="5"/>
  <c r="R23" i="6"/>
  <c r="R7" i="7"/>
  <c r="R17" i="7"/>
  <c r="R23" i="9"/>
  <c r="R7" i="10"/>
  <c r="R17" i="20"/>
  <c r="R7" i="13"/>
  <c r="R17" i="24"/>
  <c r="R7" i="25"/>
  <c r="R7" i="27"/>
  <c r="R23" i="15"/>
  <c r="R7" i="23"/>
  <c r="R17" i="28"/>
  <c r="R7" i="29"/>
  <c r="R17" i="29"/>
  <c r="R23" i="30"/>
  <c r="R7" i="31"/>
  <c r="R23" i="31"/>
  <c r="R23" i="32"/>
  <c r="R7" i="33"/>
  <c r="R13" i="17"/>
  <c r="R13" i="33"/>
  <c r="R13" i="32"/>
  <c r="R13" i="28"/>
  <c r="R13" i="15"/>
  <c r="R13" i="26"/>
  <c r="R13" i="13"/>
  <c r="R13" i="22"/>
  <c r="R13" i="21"/>
  <c r="R19" i="17"/>
  <c r="R19" i="19"/>
  <c r="R19" i="11"/>
  <c r="R19" i="10"/>
  <c r="R17" i="31"/>
  <c r="R17" i="16"/>
  <c r="R17" i="26"/>
  <c r="R17" i="10"/>
  <c r="R7" i="1"/>
  <c r="R17" i="8"/>
  <c r="R23" i="10"/>
  <c r="R7" i="11"/>
  <c r="R7" i="12"/>
  <c r="R17" i="12"/>
  <c r="R23" i="19"/>
  <c r="R7" i="20"/>
  <c r="R23" i="20"/>
  <c r="R7" i="21"/>
  <c r="R23" i="21"/>
  <c r="R23" i="22"/>
  <c r="R23" i="13"/>
  <c r="R7" i="24"/>
  <c r="R23" i="24"/>
  <c r="R17" i="27"/>
  <c r="R23" i="16"/>
  <c r="R7" i="32"/>
  <c r="R17" i="32"/>
  <c r="R9" i="32"/>
  <c r="R9" i="30"/>
  <c r="R9" i="23"/>
  <c r="R15" i="33"/>
  <c r="R15" i="16"/>
  <c r="R15" i="29"/>
  <c r="R15" i="27"/>
  <c r="R15" i="24"/>
  <c r="R6" i="17"/>
  <c r="R6" i="31"/>
  <c r="R6" i="29"/>
  <c r="R6" i="28"/>
  <c r="R6" i="25"/>
  <c r="R6" i="13"/>
  <c r="R6" i="12"/>
  <c r="R10" i="34"/>
  <c r="R10" i="33"/>
  <c r="R10" i="29"/>
  <c r="R10" i="28"/>
  <c r="R10" i="23"/>
  <c r="R10" i="15"/>
  <c r="R10" i="10"/>
  <c r="R14" i="32"/>
  <c r="R14" i="28"/>
  <c r="R14" i="15"/>
  <c r="R14" i="25"/>
  <c r="R14" i="22"/>
  <c r="R14" i="21"/>
  <c r="R18" i="34"/>
  <c r="R18" i="32"/>
  <c r="R18" i="16"/>
  <c r="R18" i="27"/>
  <c r="R18" i="26"/>
  <c r="R18" i="25"/>
  <c r="R18" i="21"/>
  <c r="R22" i="16"/>
  <c r="R22" i="24"/>
  <c r="R22" i="22"/>
  <c r="R22" i="11"/>
  <c r="R23" i="1"/>
  <c r="R7" i="4"/>
  <c r="R23" i="4"/>
  <c r="R7" i="5"/>
  <c r="R23" i="5"/>
  <c r="R7" i="6"/>
  <c r="R17" i="6"/>
  <c r="R17" i="9"/>
  <c r="R17" i="11"/>
  <c r="R23" i="11"/>
  <c r="R17" i="21"/>
  <c r="R7" i="22"/>
  <c r="R17" i="22"/>
  <c r="R17" i="25"/>
  <c r="R23" i="25"/>
  <c r="R7" i="26"/>
  <c r="R17" i="15"/>
  <c r="R17" i="23"/>
  <c r="R7" i="28"/>
  <c r="R23" i="29"/>
  <c r="R7" i="30"/>
  <c r="R17" i="34"/>
  <c r="R11" i="32"/>
  <c r="R11" i="30"/>
  <c r="R11" i="25"/>
  <c r="R11" i="24"/>
  <c r="R11" i="21"/>
  <c r="R21" i="33"/>
  <c r="R21" i="29"/>
  <c r="R21" i="28"/>
  <c r="R5" i="4"/>
  <c r="R5" i="10"/>
  <c r="R5" i="25"/>
  <c r="R5" i="33"/>
  <c r="R5" i="5"/>
  <c r="R5" i="7"/>
  <c r="R5" i="8"/>
  <c r="R5" i="19"/>
  <c r="R5" i="20"/>
  <c r="R5" i="24"/>
  <c r="R5" i="15"/>
  <c r="R5" i="23"/>
  <c r="R5" i="30"/>
  <c r="R5" i="31"/>
  <c r="R5" i="1"/>
  <c r="R5" i="6"/>
  <c r="R5" i="9"/>
  <c r="R5" i="11"/>
  <c r="R5" i="12"/>
  <c r="R5" i="21"/>
  <c r="R5" i="13"/>
  <c r="R5" i="26"/>
  <c r="V20" i="4"/>
  <c r="V16" i="11"/>
  <c r="V16" i="22"/>
  <c r="V12" i="24"/>
  <c r="V20" i="24"/>
  <c r="V8" i="26"/>
  <c r="V8" i="16"/>
  <c r="V12" i="32"/>
  <c r="V16" i="32"/>
  <c r="V20" i="32"/>
  <c r="V8" i="17"/>
  <c r="V12" i="17"/>
  <c r="V17" i="1"/>
  <c r="V8" i="4"/>
  <c r="V12" i="5"/>
  <c r="V20" i="5"/>
  <c r="V21" i="5"/>
  <c r="V20" i="6"/>
  <c r="V21" i="6"/>
  <c r="V12" i="7"/>
  <c r="V13" i="7"/>
  <c r="V9" i="8"/>
  <c r="V12" i="8"/>
  <c r="V13" i="8"/>
  <c r="V21" i="8"/>
  <c r="V8" i="9"/>
  <c r="V21" i="9"/>
  <c r="V12" i="10"/>
  <c r="V12" i="11"/>
  <c r="V13" i="11"/>
  <c r="V8" i="12"/>
  <c r="V9" i="12"/>
  <c r="V12" i="12"/>
  <c r="V13" i="12"/>
  <c r="V16" i="12"/>
  <c r="V17" i="12"/>
  <c r="V20" i="12"/>
  <c r="V13" i="19"/>
  <c r="V16" i="19"/>
  <c r="V17" i="19"/>
  <c r="V17" i="21"/>
  <c r="V9" i="22"/>
  <c r="V12" i="22"/>
  <c r="V13" i="22"/>
  <c r="V21" i="22"/>
  <c r="V16" i="24"/>
  <c r="V17" i="24"/>
  <c r="V20" i="25"/>
  <c r="V21" i="26"/>
  <c r="V8" i="27"/>
  <c r="V16" i="27"/>
  <c r="V17" i="27"/>
  <c r="V20" i="27"/>
  <c r="V21" i="27"/>
  <c r="V12" i="15"/>
  <c r="V13" i="15"/>
  <c r="V8" i="23"/>
  <c r="V9" i="23"/>
  <c r="V12" i="23"/>
  <c r="V13" i="23"/>
  <c r="V20" i="23"/>
  <c r="V21" i="28"/>
  <c r="V9" i="29"/>
  <c r="V16" i="29"/>
  <c r="V17" i="29"/>
  <c r="V16" i="16"/>
  <c r="V8" i="31"/>
  <c r="V9" i="31"/>
  <c r="V12" i="31"/>
  <c r="V13" i="31"/>
  <c r="V8" i="32"/>
  <c r="V9" i="32"/>
  <c r="V8" i="33"/>
  <c r="V9" i="33"/>
  <c r="V16" i="34"/>
  <c r="V21" i="34"/>
  <c r="V21" i="17"/>
  <c r="V8" i="5"/>
  <c r="V8" i="6"/>
  <c r="V20" i="9"/>
  <c r="V20" i="20"/>
  <c r="V8" i="21"/>
  <c r="V20" i="21"/>
  <c r="V8" i="13"/>
  <c r="V16" i="25"/>
  <c r="V20" i="15"/>
  <c r="V8" i="28"/>
  <c r="V20" i="29"/>
  <c r="V16" i="31"/>
  <c r="V12" i="34"/>
  <c r="V8" i="1"/>
  <c r="V9" i="1"/>
  <c r="V12" i="1"/>
  <c r="V16" i="1"/>
  <c r="V16" i="4"/>
  <c r="V17" i="4"/>
  <c r="V12" i="6"/>
  <c r="V13" i="6"/>
  <c r="V8" i="7"/>
  <c r="V9" i="7"/>
  <c r="V21" i="7"/>
  <c r="V8" i="8"/>
  <c r="V20" i="8"/>
  <c r="V13" i="9"/>
  <c r="V16" i="9"/>
  <c r="V17" i="9"/>
  <c r="V13" i="10"/>
  <c r="V16" i="10"/>
  <c r="V17" i="10"/>
  <c r="V20" i="10"/>
  <c r="V21" i="10"/>
  <c r="V21" i="11"/>
  <c r="V12" i="19"/>
  <c r="V20" i="19"/>
  <c r="V21" i="19"/>
  <c r="V12" i="21"/>
  <c r="V13" i="21"/>
  <c r="V16" i="21"/>
  <c r="V8" i="22"/>
  <c r="V20" i="22"/>
  <c r="V13" i="13"/>
  <c r="V16" i="13"/>
  <c r="V17" i="13"/>
  <c r="V20" i="13"/>
  <c r="V21" i="13"/>
  <c r="V8" i="25"/>
  <c r="V9" i="25"/>
  <c r="V12" i="25"/>
  <c r="V13" i="25"/>
  <c r="V12" i="26"/>
  <c r="V20" i="26"/>
  <c r="V13" i="27"/>
  <c r="V17" i="23"/>
  <c r="V16" i="28"/>
  <c r="V17" i="28"/>
  <c r="V20" i="28"/>
  <c r="V8" i="29"/>
  <c r="V8" i="30"/>
  <c r="V9" i="30"/>
  <c r="V12" i="30"/>
  <c r="V13" i="30"/>
  <c r="V12" i="16"/>
  <c r="V13" i="16"/>
  <c r="V21" i="16"/>
  <c r="V21" i="31"/>
  <c r="V20" i="33"/>
  <c r="V20" i="34"/>
  <c r="S12" i="5"/>
  <c r="S8" i="11"/>
  <c r="S12" i="11"/>
  <c r="S16" i="11"/>
  <c r="S8" i="20"/>
  <c r="S8" i="21"/>
  <c r="S12" i="21"/>
  <c r="S8" i="13"/>
  <c r="S8" i="24"/>
  <c r="S16" i="24"/>
  <c r="S20" i="25"/>
  <c r="S8" i="26"/>
  <c r="S12" i="27"/>
  <c r="S20" i="15"/>
  <c r="S8" i="29"/>
  <c r="S20" i="30"/>
  <c r="S8" i="31"/>
  <c r="S12" i="31"/>
  <c r="S8" i="32"/>
  <c r="S12" i="32"/>
  <c r="S16" i="33"/>
  <c r="S8" i="17"/>
  <c r="S16" i="17"/>
  <c r="S20" i="1"/>
  <c r="S12" i="4"/>
  <c r="S20" i="4"/>
  <c r="S8" i="6"/>
  <c r="S16" i="6"/>
  <c r="S8" i="7"/>
  <c r="S16" i="7"/>
  <c r="S12" i="8"/>
  <c r="S16" i="8"/>
  <c r="S20" i="8"/>
  <c r="S8" i="9"/>
  <c r="S8" i="10"/>
  <c r="S16" i="10"/>
  <c r="S16" i="19"/>
  <c r="S12" i="20"/>
  <c r="S16" i="21"/>
  <c r="S12" i="22"/>
  <c r="S20" i="22"/>
  <c r="S16" i="26"/>
  <c r="S20" i="26"/>
  <c r="S8" i="27"/>
  <c r="S8" i="15"/>
  <c r="S20" i="23"/>
  <c r="S8" i="28"/>
  <c r="S8" i="30"/>
  <c r="S20" i="16"/>
  <c r="S16" i="31"/>
  <c r="S20" i="31"/>
  <c r="S20" i="32"/>
  <c r="S20" i="33"/>
  <c r="S20" i="34"/>
  <c r="S8" i="1"/>
  <c r="S16" i="4"/>
  <c r="S8" i="5"/>
  <c r="S16" i="5"/>
  <c r="S20" i="5"/>
  <c r="S12" i="7"/>
  <c r="S20" i="7"/>
  <c r="S8" i="8"/>
  <c r="S16" i="9"/>
  <c r="S20" i="9"/>
  <c r="S8" i="12"/>
  <c r="S12" i="12"/>
  <c r="S8" i="19"/>
  <c r="S12" i="19"/>
  <c r="S16" i="20"/>
  <c r="S8" i="22"/>
  <c r="S16" i="22"/>
  <c r="S16" i="13"/>
  <c r="S12" i="24"/>
  <c r="S8" i="25"/>
  <c r="S16" i="25"/>
  <c r="S12" i="26"/>
  <c r="S16" i="27"/>
  <c r="S16" i="15"/>
  <c r="S8" i="23"/>
  <c r="S16" i="23"/>
  <c r="S12" i="29"/>
  <c r="S12" i="30"/>
  <c r="S8" i="16"/>
  <c r="S12" i="16"/>
  <c r="S8" i="33"/>
  <c r="P16" i="4"/>
  <c r="P20" i="4"/>
  <c r="P16" i="5"/>
  <c r="P20" i="6"/>
  <c r="P8" i="7"/>
  <c r="P8" i="8"/>
  <c r="P16" i="8"/>
  <c r="P20" i="10"/>
  <c r="P12" i="11"/>
  <c r="P20" i="12"/>
  <c r="P8" i="19"/>
  <c r="P8" i="20"/>
  <c r="P16" i="20"/>
  <c r="P16" i="22"/>
  <c r="P20" i="22"/>
  <c r="P8" i="13"/>
  <c r="P12" i="13"/>
  <c r="P16" i="24"/>
  <c r="P20" i="25"/>
  <c r="P12" i="26"/>
  <c r="P8" i="27"/>
  <c r="P12" i="15"/>
  <c r="P12" i="23"/>
  <c r="P16" i="23"/>
  <c r="P20" i="23"/>
  <c r="P12" i="28"/>
  <c r="P20" i="29"/>
  <c r="P12" i="30"/>
  <c r="P20" i="30"/>
  <c r="P12" i="16"/>
  <c r="P20" i="31"/>
  <c r="P8" i="32"/>
  <c r="P8" i="33"/>
  <c r="P16" i="33"/>
  <c r="P16" i="17"/>
  <c r="P20" i="17"/>
  <c r="P12" i="1"/>
  <c r="P20" i="1"/>
  <c r="P12" i="5"/>
  <c r="P20" i="5"/>
  <c r="P16" i="6"/>
  <c r="P20" i="8"/>
  <c r="P12" i="9"/>
  <c r="P16" i="9"/>
  <c r="P8" i="10"/>
  <c r="P16" i="11"/>
  <c r="P20" i="11"/>
  <c r="P8" i="12"/>
  <c r="P12" i="19"/>
  <c r="P16" i="19"/>
  <c r="P8" i="21"/>
  <c r="P20" i="13"/>
  <c r="P12" i="24"/>
  <c r="P12" i="25"/>
  <c r="P16" i="25"/>
  <c r="P8" i="26"/>
  <c r="P8" i="15"/>
  <c r="P8" i="28"/>
  <c r="P16" i="28"/>
  <c r="P16" i="16"/>
  <c r="P20" i="16"/>
  <c r="P8" i="31"/>
  <c r="P12" i="32"/>
  <c r="P16" i="32"/>
  <c r="P8" i="34"/>
  <c r="P16" i="1"/>
  <c r="P12" i="4"/>
  <c r="P8" i="5"/>
  <c r="P12" i="6"/>
  <c r="P12" i="7"/>
  <c r="P16" i="7"/>
  <c r="P8" i="9"/>
  <c r="P20" i="9"/>
  <c r="P16" i="10"/>
  <c r="P12" i="12"/>
  <c r="P12" i="20"/>
  <c r="P20" i="20"/>
  <c r="P12" i="21"/>
  <c r="P20" i="21"/>
  <c r="P8" i="22"/>
  <c r="P12" i="22"/>
  <c r="P8" i="24"/>
  <c r="P16" i="27"/>
  <c r="P20" i="15"/>
  <c r="P8" i="23"/>
  <c r="P20" i="28"/>
  <c r="P12" i="29"/>
  <c r="P8" i="30"/>
  <c r="P12" i="31"/>
  <c r="P12" i="33"/>
  <c r="P20" i="33"/>
  <c r="P12" i="34"/>
  <c r="X8" i="29"/>
  <c r="X8" i="28"/>
  <c r="X8" i="25"/>
  <c r="X8" i="24"/>
  <c r="X8" i="9"/>
  <c r="X8" i="8"/>
  <c r="X8" i="1"/>
  <c r="X8" i="34"/>
  <c r="X8" i="33"/>
  <c r="X8" i="27"/>
  <c r="X8" i="26"/>
  <c r="X8" i="21"/>
  <c r="X8" i="20"/>
  <c r="X8" i="5"/>
  <c r="X8" i="4"/>
  <c r="X8" i="17"/>
  <c r="X8" i="16"/>
  <c r="X8" i="30"/>
  <c r="X8" i="13"/>
  <c r="X8" i="22"/>
  <c r="X8" i="11"/>
  <c r="X12" i="17"/>
  <c r="X12" i="16"/>
  <c r="X12" i="27"/>
  <c r="X12" i="24"/>
  <c r="X12" i="22"/>
  <c r="X12" i="11"/>
  <c r="X12" i="5"/>
  <c r="X12" i="33"/>
  <c r="X12" i="31"/>
  <c r="X12" i="23"/>
  <c r="X12" i="13"/>
  <c r="X12" i="20"/>
  <c r="X12" i="12"/>
  <c r="X12" i="7"/>
  <c r="X12" i="32"/>
  <c r="X12" i="30"/>
  <c r="X12" i="28"/>
  <c r="X12" i="25"/>
  <c r="X12" i="19"/>
  <c r="X20" i="17"/>
  <c r="X20" i="34"/>
  <c r="X20" i="27"/>
  <c r="X20" i="24"/>
  <c r="X20" i="22"/>
  <c r="X20" i="21"/>
  <c r="X20" i="5"/>
  <c r="X20" i="33"/>
  <c r="X20" i="31"/>
  <c r="X20" i="16"/>
  <c r="X20" i="13"/>
  <c r="X20" i="20"/>
  <c r="X20" i="12"/>
  <c r="X20" i="11"/>
  <c r="X20" i="32"/>
  <c r="X20" i="30"/>
  <c r="X20" i="28"/>
  <c r="X20" i="23"/>
  <c r="X20" i="19"/>
  <c r="X20" i="10"/>
  <c r="X16" i="5"/>
  <c r="X20" i="7"/>
  <c r="X20" i="8"/>
  <c r="X16" i="13"/>
  <c r="X16" i="23"/>
  <c r="X12" i="4"/>
  <c r="X8" i="6"/>
  <c r="X12" i="6"/>
  <c r="X16" i="6"/>
  <c r="X20" i="6"/>
  <c r="X8" i="7"/>
  <c r="X12" i="9"/>
  <c r="X16" i="12"/>
  <c r="X12" i="21"/>
  <c r="X20" i="25"/>
  <c r="X20" i="26"/>
  <c r="X20" i="29"/>
  <c r="X12" i="34"/>
  <c r="X16" i="32"/>
  <c r="X16" i="28"/>
  <c r="X16" i="25"/>
  <c r="X16" i="24"/>
  <c r="X16" i="19"/>
  <c r="X16" i="8"/>
  <c r="X16" i="1"/>
  <c r="X16" i="34"/>
  <c r="X16" i="33"/>
  <c r="X16" i="29"/>
  <c r="X16" i="26"/>
  <c r="X16" i="21"/>
  <c r="X16" i="20"/>
  <c r="X16" i="9"/>
  <c r="X16" i="4"/>
  <c r="X16" i="17"/>
  <c r="X16" i="16"/>
  <c r="X16" i="30"/>
  <c r="X16" i="27"/>
  <c r="X16" i="22"/>
  <c r="X16" i="11"/>
  <c r="X16" i="10"/>
  <c r="X8" i="10"/>
  <c r="X12" i="8"/>
  <c r="X8" i="15"/>
  <c r="X12" i="15"/>
  <c r="X16" i="15"/>
  <c r="X20" i="15"/>
  <c r="X8" i="23"/>
  <c r="X13" i="1"/>
  <c r="X9" i="4"/>
  <c r="X9" i="5"/>
  <c r="X17" i="5"/>
  <c r="X13" i="8"/>
  <c r="X9" i="10"/>
  <c r="X13" i="10"/>
  <c r="X17" i="10"/>
  <c r="X21" i="10"/>
  <c r="X9" i="11"/>
  <c r="X21" i="11"/>
  <c r="X21" i="12"/>
  <c r="X21" i="19"/>
  <c r="X17" i="21"/>
  <c r="X17" i="22"/>
  <c r="X13" i="13"/>
  <c r="X13" i="25"/>
  <c r="X9" i="26"/>
  <c r="X9" i="27"/>
  <c r="X17" i="27"/>
  <c r="X13" i="28"/>
  <c r="X9" i="30"/>
  <c r="X13" i="30"/>
  <c r="X17" i="30"/>
  <c r="X21" i="30"/>
  <c r="X9" i="16"/>
  <c r="X21" i="16"/>
  <c r="X21" i="31"/>
  <c r="X21" i="32"/>
  <c r="X17" i="34"/>
  <c r="X17" i="17"/>
  <c r="X17" i="1"/>
  <c r="X17" i="4"/>
  <c r="X13" i="5"/>
  <c r="X13" i="7"/>
  <c r="X9" i="8"/>
  <c r="X9" i="9"/>
  <c r="X17" i="9"/>
  <c r="X13" i="12"/>
  <c r="X9" i="20"/>
  <c r="X13" i="20"/>
  <c r="X17" i="20"/>
  <c r="X21" i="20"/>
  <c r="X9" i="21"/>
  <c r="X21" i="21"/>
  <c r="X21" i="22"/>
  <c r="X21" i="13"/>
  <c r="X17" i="25"/>
  <c r="X17" i="26"/>
  <c r="X13" i="27"/>
  <c r="X13" i="23"/>
  <c r="X9" i="28"/>
  <c r="X9" i="29"/>
  <c r="X17" i="29"/>
  <c r="X13" i="31"/>
  <c r="X9" i="33"/>
  <c r="X21" i="33"/>
  <c r="X21" i="34"/>
  <c r="U20" i="1"/>
  <c r="U8" i="4"/>
  <c r="U12" i="5"/>
  <c r="U20" i="7"/>
  <c r="U8" i="17"/>
  <c r="U16" i="1"/>
  <c r="U21" i="1"/>
  <c r="U9" i="4"/>
  <c r="U20" i="4"/>
  <c r="U8" i="5"/>
  <c r="U13" i="5"/>
  <c r="U16" i="7"/>
  <c r="U21" i="7"/>
  <c r="U9" i="8"/>
  <c r="U20" i="8"/>
  <c r="U8" i="9"/>
  <c r="U13" i="9"/>
  <c r="U16" i="11"/>
  <c r="U21" i="11"/>
  <c r="U9" i="12"/>
  <c r="U20" i="12"/>
  <c r="U8" i="19"/>
  <c r="U13" i="19"/>
  <c r="U16" i="21"/>
  <c r="U21" i="21"/>
  <c r="U9" i="22"/>
  <c r="U20" i="22"/>
  <c r="U8" i="13"/>
  <c r="U13" i="13"/>
  <c r="U16" i="25"/>
  <c r="U21" i="25"/>
  <c r="U9" i="26"/>
  <c r="U20" i="26"/>
  <c r="U8" i="27"/>
  <c r="U13" i="27"/>
  <c r="U16" i="23"/>
  <c r="U21" i="23"/>
  <c r="U9" i="28"/>
  <c r="U20" i="28"/>
  <c r="U8" i="29"/>
  <c r="U13" i="29"/>
  <c r="U16" i="16"/>
  <c r="U21" i="16"/>
  <c r="U9" i="31"/>
  <c r="U20" i="31"/>
  <c r="U8" i="32"/>
  <c r="U16" i="34"/>
  <c r="U21" i="34"/>
  <c r="U9" i="17"/>
  <c r="U20" i="17"/>
  <c r="U8" i="8"/>
  <c r="U12" i="9"/>
  <c r="U20" i="11"/>
  <c r="U8" i="12"/>
  <c r="U12" i="19"/>
  <c r="U20" i="21"/>
  <c r="U8" i="22"/>
  <c r="U12" i="13"/>
  <c r="U20" i="25"/>
  <c r="U8" i="26"/>
  <c r="U12" i="27"/>
  <c r="U20" i="23"/>
  <c r="U8" i="28"/>
  <c r="U12" i="29"/>
  <c r="U20" i="16"/>
  <c r="U12" i="32"/>
  <c r="U20" i="34"/>
  <c r="U12" i="1"/>
  <c r="U17" i="1"/>
  <c r="U16" i="4"/>
  <c r="U21" i="4"/>
  <c r="U9" i="5"/>
  <c r="U20" i="5"/>
  <c r="U12" i="7"/>
  <c r="U17" i="7"/>
  <c r="U16" i="8"/>
  <c r="U21" i="8"/>
  <c r="U9" i="9"/>
  <c r="U20" i="9"/>
  <c r="U12" i="11"/>
  <c r="U17" i="11"/>
  <c r="U16" i="12"/>
  <c r="U21" i="12"/>
  <c r="U9" i="19"/>
  <c r="U20" i="19"/>
  <c r="U12" i="21"/>
  <c r="U17" i="21"/>
  <c r="U16" i="22"/>
  <c r="U21" i="22"/>
  <c r="U9" i="13"/>
  <c r="U20" i="13"/>
  <c r="U12" i="25"/>
  <c r="U17" i="25"/>
  <c r="U16" i="26"/>
  <c r="U21" i="26"/>
  <c r="U9" i="27"/>
  <c r="U20" i="27"/>
  <c r="U12" i="23"/>
  <c r="U17" i="23"/>
  <c r="U16" i="28"/>
  <c r="U21" i="28"/>
  <c r="U9" i="29"/>
  <c r="U20" i="29"/>
  <c r="U12" i="16"/>
  <c r="U17" i="16"/>
  <c r="U16" i="31"/>
  <c r="U21" i="31"/>
  <c r="R8" i="1"/>
  <c r="R12" i="1"/>
  <c r="R16" i="1"/>
  <c r="R20" i="1"/>
  <c r="R8" i="7"/>
  <c r="R12" i="7"/>
  <c r="R16" i="7"/>
  <c r="R20" i="7"/>
  <c r="R8" i="11"/>
  <c r="R12" i="11"/>
  <c r="R16" i="11"/>
  <c r="R20" i="11"/>
  <c r="R8" i="21"/>
  <c r="R12" i="21"/>
  <c r="R16" i="21"/>
  <c r="R20" i="21"/>
  <c r="R8" i="25"/>
  <c r="R12" i="25"/>
  <c r="R16" i="25"/>
  <c r="R20" i="25"/>
  <c r="R8" i="23"/>
  <c r="R12" i="23"/>
  <c r="R16" i="23"/>
  <c r="R20" i="23"/>
  <c r="R8" i="16"/>
  <c r="R12" i="16"/>
  <c r="R16" i="16"/>
  <c r="R20" i="16"/>
  <c r="R8" i="34"/>
  <c r="R12" i="34"/>
  <c r="R16" i="34"/>
  <c r="R20" i="34"/>
  <c r="R8" i="4"/>
  <c r="R12" i="4"/>
  <c r="R16" i="4"/>
  <c r="R20" i="4"/>
  <c r="R8" i="8"/>
  <c r="R12" i="8"/>
  <c r="R16" i="8"/>
  <c r="R20" i="8"/>
  <c r="R8" i="12"/>
  <c r="R12" i="12"/>
  <c r="R16" i="12"/>
  <c r="R20" i="12"/>
  <c r="R8" i="22"/>
  <c r="R12" i="22"/>
  <c r="R16" i="22"/>
  <c r="R20" i="22"/>
  <c r="R8" i="26"/>
  <c r="R12" i="26"/>
  <c r="R16" i="26"/>
  <c r="R20" i="26"/>
  <c r="R8" i="28"/>
  <c r="R12" i="28"/>
  <c r="R16" i="28"/>
  <c r="R20" i="28"/>
  <c r="R8" i="31"/>
  <c r="R12" i="31"/>
  <c r="R16" i="31"/>
  <c r="R20" i="31"/>
  <c r="R8" i="17"/>
  <c r="R12" i="17"/>
  <c r="R16" i="17"/>
  <c r="R20" i="17"/>
  <c r="R8" i="5"/>
  <c r="R12" i="5"/>
  <c r="R16" i="5"/>
  <c r="R20" i="5"/>
  <c r="R8" i="9"/>
  <c r="R12" i="9"/>
  <c r="R16" i="9"/>
  <c r="R20" i="9"/>
  <c r="R8" i="19"/>
  <c r="R12" i="19"/>
  <c r="R16" i="19"/>
  <c r="R20" i="19"/>
  <c r="R8" i="13"/>
  <c r="R12" i="13"/>
  <c r="R16" i="13"/>
  <c r="R20" i="13"/>
  <c r="R8" i="27"/>
  <c r="R12" i="27"/>
  <c r="R16" i="27"/>
  <c r="R20" i="27"/>
  <c r="R8" i="29"/>
  <c r="R12" i="29"/>
  <c r="R16" i="29"/>
  <c r="R20" i="29"/>
  <c r="R50" i="34"/>
  <c r="E17" i="34"/>
  <c r="U44" i="34"/>
  <c r="E38" i="34"/>
  <c r="E50" i="34"/>
  <c r="X47" i="34"/>
  <c r="X46" i="34"/>
  <c r="E72" i="34"/>
  <c r="M74" i="34" s="1"/>
  <c r="AF23" i="18" s="1"/>
  <c r="I77" i="34"/>
  <c r="S47" i="34"/>
  <c r="S48" i="34" s="1"/>
  <c r="S49" i="34" s="1"/>
  <c r="S50" i="34" s="1"/>
  <c r="S51" i="34" s="1"/>
  <c r="S52" i="34" s="1"/>
  <c r="S53" i="34" s="1"/>
  <c r="S54" i="34" s="1"/>
  <c r="V36" i="34" s="1"/>
  <c r="V37" i="34" s="1"/>
  <c r="V38" i="34" s="1"/>
  <c r="V39" i="34" s="1"/>
  <c r="V40" i="34" s="1"/>
  <c r="V41" i="34" s="1"/>
  <c r="V42" i="34" s="1"/>
  <c r="V43" i="34" s="1"/>
  <c r="V44" i="34" s="1"/>
  <c r="V45" i="34" s="1"/>
  <c r="V46" i="34" s="1"/>
  <c r="V47" i="34" s="1"/>
  <c r="V48" i="34" s="1"/>
  <c r="V49" i="34" s="1"/>
  <c r="V50" i="34" s="1"/>
  <c r="V51" i="34" s="1"/>
  <c r="V52" i="34" s="1"/>
  <c r="V53" i="34" s="1"/>
  <c r="V54" i="34" s="1"/>
  <c r="S46" i="34"/>
  <c r="C44" i="34"/>
  <c r="C45" i="34" s="1"/>
  <c r="C46" i="34" s="1"/>
  <c r="C47" i="34" s="1"/>
  <c r="C48" i="34" s="1"/>
  <c r="C49" i="34" s="1"/>
  <c r="C35" i="34"/>
  <c r="C36" i="34" s="1"/>
  <c r="C37" i="34" s="1"/>
  <c r="K13" i="34"/>
  <c r="K14" i="34" s="1"/>
  <c r="K9" i="34"/>
  <c r="I50" i="34"/>
  <c r="M71" i="34" s="1"/>
  <c r="AF20" i="18" s="1"/>
  <c r="M50" i="34"/>
  <c r="E26" i="34"/>
  <c r="M37" i="34"/>
  <c r="I19" i="34"/>
  <c r="M17" i="34"/>
  <c r="I37" i="34"/>
  <c r="I69" i="34"/>
  <c r="M75" i="34" s="1"/>
  <c r="AF24" i="18" s="1"/>
  <c r="X37" i="34"/>
  <c r="X41" i="34"/>
  <c r="U44" i="33"/>
  <c r="U47" i="33"/>
  <c r="U37" i="33"/>
  <c r="R51" i="33"/>
  <c r="X47" i="33"/>
  <c r="U42" i="33"/>
  <c r="M50" i="33"/>
  <c r="E72" i="33"/>
  <c r="M74" i="33" s="1"/>
  <c r="AE23" i="18" s="1"/>
  <c r="I77" i="33"/>
  <c r="X46" i="33"/>
  <c r="E60" i="33"/>
  <c r="X41" i="33"/>
  <c r="E17" i="33"/>
  <c r="E50" i="33"/>
  <c r="R50" i="33"/>
  <c r="S47" i="33"/>
  <c r="S48" i="33" s="1"/>
  <c r="S49" i="33" s="1"/>
  <c r="S50" i="33" s="1"/>
  <c r="S51" i="33" s="1"/>
  <c r="S52" i="33" s="1"/>
  <c r="S53" i="33" s="1"/>
  <c r="S54" i="33" s="1"/>
  <c r="V36" i="33" s="1"/>
  <c r="V37" i="33" s="1"/>
  <c r="V38" i="33" s="1"/>
  <c r="V39" i="33" s="1"/>
  <c r="V40" i="33" s="1"/>
  <c r="V41" i="33" s="1"/>
  <c r="V42" i="33" s="1"/>
  <c r="V43" i="33" s="1"/>
  <c r="V44" i="33" s="1"/>
  <c r="V45" i="33" s="1"/>
  <c r="V46" i="33" s="1"/>
  <c r="V47" i="33" s="1"/>
  <c r="V48" i="33" s="1"/>
  <c r="V49" i="33" s="1"/>
  <c r="V50" i="33" s="1"/>
  <c r="V51" i="33" s="1"/>
  <c r="V52" i="33" s="1"/>
  <c r="V53" i="33" s="1"/>
  <c r="V54" i="33" s="1"/>
  <c r="S46" i="33"/>
  <c r="C44" i="33"/>
  <c r="C45" i="33" s="1"/>
  <c r="C46" i="33" s="1"/>
  <c r="C47" i="33" s="1"/>
  <c r="C48" i="33" s="1"/>
  <c r="C49" i="33" s="1"/>
  <c r="C35" i="33"/>
  <c r="C36" i="33" s="1"/>
  <c r="C37" i="33" s="1"/>
  <c r="K13" i="33"/>
  <c r="K14" i="33" s="1"/>
  <c r="K9" i="33"/>
  <c r="I37" i="33"/>
  <c r="E26" i="33"/>
  <c r="M37" i="33"/>
  <c r="I50" i="33"/>
  <c r="M71" i="33" s="1"/>
  <c r="AE20" i="18" s="1"/>
  <c r="I19" i="33"/>
  <c r="M17" i="33"/>
  <c r="R41" i="33"/>
  <c r="I69" i="33"/>
  <c r="M75" i="33" s="1"/>
  <c r="AE24" i="18" s="1"/>
  <c r="X37" i="33"/>
  <c r="R50" i="32"/>
  <c r="E38" i="32"/>
  <c r="R51" i="32"/>
  <c r="R42" i="32"/>
  <c r="R49" i="32"/>
  <c r="U44" i="32"/>
  <c r="U47" i="32"/>
  <c r="E50" i="32"/>
  <c r="I69" i="32"/>
  <c r="M75" i="32" s="1"/>
  <c r="AD24" i="18" s="1"/>
  <c r="X46" i="32"/>
  <c r="E72" i="32"/>
  <c r="M74" i="32" s="1"/>
  <c r="AD23" i="18" s="1"/>
  <c r="S47" i="32"/>
  <c r="S48" i="32" s="1"/>
  <c r="S49" i="32" s="1"/>
  <c r="S50" i="32" s="1"/>
  <c r="S51" i="32" s="1"/>
  <c r="S52" i="32" s="1"/>
  <c r="S53" i="32" s="1"/>
  <c r="S54" i="32" s="1"/>
  <c r="V36" i="32" s="1"/>
  <c r="V37" i="32" s="1"/>
  <c r="V38" i="32" s="1"/>
  <c r="V39" i="32" s="1"/>
  <c r="V40" i="32" s="1"/>
  <c r="V41" i="32" s="1"/>
  <c r="V42" i="32" s="1"/>
  <c r="V43" i="32" s="1"/>
  <c r="V44" i="32" s="1"/>
  <c r="V45" i="32" s="1"/>
  <c r="V46" i="32" s="1"/>
  <c r="V47" i="32" s="1"/>
  <c r="V48" i="32" s="1"/>
  <c r="V49" i="32" s="1"/>
  <c r="V50" i="32" s="1"/>
  <c r="V51" i="32" s="1"/>
  <c r="V52" i="32" s="1"/>
  <c r="V53" i="32" s="1"/>
  <c r="V54" i="32" s="1"/>
  <c r="S46" i="32"/>
  <c r="C44" i="32"/>
  <c r="C45" i="32" s="1"/>
  <c r="C46" i="32" s="1"/>
  <c r="C47" i="32" s="1"/>
  <c r="C48" i="32" s="1"/>
  <c r="C49" i="32" s="1"/>
  <c r="C35" i="32"/>
  <c r="C36" i="32" s="1"/>
  <c r="C37" i="32" s="1"/>
  <c r="I77" i="32"/>
  <c r="K13" i="32"/>
  <c r="K14" i="32" s="1"/>
  <c r="K9" i="32"/>
  <c r="M50" i="32"/>
  <c r="E17" i="32"/>
  <c r="I37" i="32"/>
  <c r="E26" i="32"/>
  <c r="M37" i="32"/>
  <c r="I19" i="32"/>
  <c r="M17" i="32"/>
  <c r="X37" i="32"/>
  <c r="X41" i="32"/>
  <c r="R50" i="31"/>
  <c r="R50" i="30"/>
  <c r="X41" i="30"/>
  <c r="X55" i="30" s="1"/>
  <c r="U37" i="31"/>
  <c r="I50" i="31"/>
  <c r="M71" i="31" s="1"/>
  <c r="AC20" i="18" s="1"/>
  <c r="U44" i="31"/>
  <c r="U47" i="31"/>
  <c r="E50" i="31"/>
  <c r="E38" i="31"/>
  <c r="R51" i="31"/>
  <c r="I69" i="31"/>
  <c r="M75" i="31" s="1"/>
  <c r="AC24" i="18" s="1"/>
  <c r="E72" i="31"/>
  <c r="K13" i="31"/>
  <c r="K14" i="31" s="1"/>
  <c r="K9" i="31"/>
  <c r="I77" i="31"/>
  <c r="S47" i="31"/>
  <c r="S48" i="31" s="1"/>
  <c r="S49" i="31" s="1"/>
  <c r="S50" i="31" s="1"/>
  <c r="S51" i="31" s="1"/>
  <c r="S52" i="31" s="1"/>
  <c r="S53" i="31" s="1"/>
  <c r="S54" i="31" s="1"/>
  <c r="V36" i="31" s="1"/>
  <c r="V37" i="31" s="1"/>
  <c r="V38" i="31" s="1"/>
  <c r="V39" i="31" s="1"/>
  <c r="V40" i="31" s="1"/>
  <c r="V41" i="31" s="1"/>
  <c r="V42" i="31" s="1"/>
  <c r="V43" i="31" s="1"/>
  <c r="V44" i="31" s="1"/>
  <c r="V45" i="31" s="1"/>
  <c r="V46" i="31" s="1"/>
  <c r="V47" i="31" s="1"/>
  <c r="V48" i="31" s="1"/>
  <c r="V49" i="31" s="1"/>
  <c r="V50" i="31" s="1"/>
  <c r="V51" i="31" s="1"/>
  <c r="V52" i="31" s="1"/>
  <c r="V53" i="31" s="1"/>
  <c r="V54" i="31" s="1"/>
  <c r="S46" i="31"/>
  <c r="C44" i="31"/>
  <c r="C45" i="31" s="1"/>
  <c r="C46" i="31" s="1"/>
  <c r="C47" i="31" s="1"/>
  <c r="C48" i="31" s="1"/>
  <c r="C49" i="31" s="1"/>
  <c r="C35" i="31"/>
  <c r="C36" i="31" s="1"/>
  <c r="C37" i="31" s="1"/>
  <c r="M50" i="31"/>
  <c r="E17" i="31"/>
  <c r="I37" i="31"/>
  <c r="E26" i="31"/>
  <c r="M37" i="31"/>
  <c r="I19" i="31"/>
  <c r="M17" i="31"/>
  <c r="X37" i="31"/>
  <c r="X41" i="31"/>
  <c r="R46" i="30"/>
  <c r="E50" i="30"/>
  <c r="R42" i="30"/>
  <c r="U37" i="30"/>
  <c r="U47" i="30"/>
  <c r="E38" i="30"/>
  <c r="E72" i="30"/>
  <c r="M74" i="30" s="1"/>
  <c r="AA23" i="18" s="1"/>
  <c r="I77" i="30"/>
  <c r="K13" i="30"/>
  <c r="K14" i="30" s="1"/>
  <c r="K9" i="30"/>
  <c r="S47" i="30"/>
  <c r="S48" i="30" s="1"/>
  <c r="S49" i="30" s="1"/>
  <c r="S50" i="30" s="1"/>
  <c r="S51" i="30" s="1"/>
  <c r="S52" i="30" s="1"/>
  <c r="S53" i="30" s="1"/>
  <c r="S54" i="30" s="1"/>
  <c r="V36" i="30" s="1"/>
  <c r="V37" i="30" s="1"/>
  <c r="V38" i="30" s="1"/>
  <c r="V39" i="30" s="1"/>
  <c r="V40" i="30" s="1"/>
  <c r="V41" i="30" s="1"/>
  <c r="V42" i="30" s="1"/>
  <c r="V43" i="30" s="1"/>
  <c r="V44" i="30" s="1"/>
  <c r="V45" i="30" s="1"/>
  <c r="V46" i="30" s="1"/>
  <c r="V47" i="30" s="1"/>
  <c r="V48" i="30" s="1"/>
  <c r="V49" i="30" s="1"/>
  <c r="V50" i="30" s="1"/>
  <c r="V51" i="30" s="1"/>
  <c r="V52" i="30" s="1"/>
  <c r="V53" i="30" s="1"/>
  <c r="V54" i="30" s="1"/>
  <c r="S46" i="30"/>
  <c r="C44" i="30"/>
  <c r="C45" i="30" s="1"/>
  <c r="C46" i="30" s="1"/>
  <c r="C47" i="30" s="1"/>
  <c r="C48" i="30" s="1"/>
  <c r="C49" i="30" s="1"/>
  <c r="C35" i="30"/>
  <c r="C36" i="30" s="1"/>
  <c r="C37" i="30" s="1"/>
  <c r="I50" i="30"/>
  <c r="M71" i="30" s="1"/>
  <c r="AA20" i="18" s="1"/>
  <c r="M50" i="30"/>
  <c r="E17" i="30"/>
  <c r="I37" i="30"/>
  <c r="E26" i="30"/>
  <c r="M37" i="30"/>
  <c r="I19" i="30"/>
  <c r="M17" i="30"/>
  <c r="I69" i="30"/>
  <c r="M75" i="30" s="1"/>
  <c r="AA24" i="18" s="1"/>
  <c r="E17" i="29"/>
  <c r="R50" i="29"/>
  <c r="E50" i="29"/>
  <c r="R49" i="29"/>
  <c r="R37" i="29"/>
  <c r="R51" i="29"/>
  <c r="E26" i="29"/>
  <c r="U47" i="29"/>
  <c r="E38" i="29"/>
  <c r="U45" i="29"/>
  <c r="I77" i="29"/>
  <c r="X46" i="29"/>
  <c r="E72" i="29"/>
  <c r="C44" i="29"/>
  <c r="C45" i="29" s="1"/>
  <c r="C46" i="29" s="1"/>
  <c r="C47" i="29" s="1"/>
  <c r="C48" i="29" s="1"/>
  <c r="C49" i="29" s="1"/>
  <c r="C35" i="29"/>
  <c r="C36" i="29" s="1"/>
  <c r="C37" i="29" s="1"/>
  <c r="S47" i="29"/>
  <c r="S48" i="29" s="1"/>
  <c r="S49" i="29" s="1"/>
  <c r="S50" i="29" s="1"/>
  <c r="S51" i="29" s="1"/>
  <c r="S52" i="29" s="1"/>
  <c r="S53" i="29" s="1"/>
  <c r="S54" i="29" s="1"/>
  <c r="V36" i="29" s="1"/>
  <c r="V37" i="29" s="1"/>
  <c r="V38" i="29" s="1"/>
  <c r="V39" i="29" s="1"/>
  <c r="V40" i="29" s="1"/>
  <c r="V41" i="29" s="1"/>
  <c r="V42" i="29" s="1"/>
  <c r="V43" i="29" s="1"/>
  <c r="V44" i="29" s="1"/>
  <c r="V45" i="29" s="1"/>
  <c r="V46" i="29" s="1"/>
  <c r="V47" i="29" s="1"/>
  <c r="V48" i="29" s="1"/>
  <c r="V49" i="29" s="1"/>
  <c r="V50" i="29" s="1"/>
  <c r="V51" i="29" s="1"/>
  <c r="V52" i="29" s="1"/>
  <c r="V53" i="29" s="1"/>
  <c r="V54" i="29" s="1"/>
  <c r="S46" i="29"/>
  <c r="I50" i="29"/>
  <c r="M71" i="29" s="1"/>
  <c r="Z20" i="18" s="1"/>
  <c r="M50" i="29"/>
  <c r="I37" i="29"/>
  <c r="M37" i="29"/>
  <c r="I19" i="29"/>
  <c r="M17" i="29"/>
  <c r="R39" i="29"/>
  <c r="U37" i="29"/>
  <c r="I69" i="29"/>
  <c r="M75" i="29" s="1"/>
  <c r="Z24" i="18" s="1"/>
  <c r="X37" i="29"/>
  <c r="R51" i="28"/>
  <c r="X47" i="28"/>
  <c r="I19" i="28"/>
  <c r="R42" i="28"/>
  <c r="U45" i="28"/>
  <c r="I50" i="28"/>
  <c r="M71" i="28" s="1"/>
  <c r="Y20" i="18" s="1"/>
  <c r="R37" i="28"/>
  <c r="U44" i="28"/>
  <c r="E72" i="28"/>
  <c r="M74" i="28" s="1"/>
  <c r="Y23" i="18" s="1"/>
  <c r="X46" i="28"/>
  <c r="I77" i="28"/>
  <c r="M50" i="28"/>
  <c r="E60" i="28"/>
  <c r="R50" i="28"/>
  <c r="E50" i="28"/>
  <c r="S47" i="28"/>
  <c r="S48" i="28" s="1"/>
  <c r="S49" i="28" s="1"/>
  <c r="S50" i="28" s="1"/>
  <c r="S51" i="28" s="1"/>
  <c r="S52" i="28" s="1"/>
  <c r="S53" i="28" s="1"/>
  <c r="S54" i="28" s="1"/>
  <c r="V36" i="28" s="1"/>
  <c r="V37" i="28" s="1"/>
  <c r="V38" i="28" s="1"/>
  <c r="V39" i="28" s="1"/>
  <c r="V40" i="28" s="1"/>
  <c r="V41" i="28" s="1"/>
  <c r="V42" i="28" s="1"/>
  <c r="V43" i="28" s="1"/>
  <c r="V44" i="28" s="1"/>
  <c r="V45" i="28" s="1"/>
  <c r="V46" i="28" s="1"/>
  <c r="V47" i="28" s="1"/>
  <c r="V48" i="28" s="1"/>
  <c r="V49" i="28" s="1"/>
  <c r="V50" i="28" s="1"/>
  <c r="V51" i="28" s="1"/>
  <c r="V52" i="28" s="1"/>
  <c r="V53" i="28" s="1"/>
  <c r="V54" i="28" s="1"/>
  <c r="S46" i="28"/>
  <c r="C44" i="28"/>
  <c r="C45" i="28" s="1"/>
  <c r="C46" i="28" s="1"/>
  <c r="C47" i="28" s="1"/>
  <c r="C48" i="28" s="1"/>
  <c r="C49" i="28" s="1"/>
  <c r="C35" i="28"/>
  <c r="C36" i="28" s="1"/>
  <c r="C37" i="28" s="1"/>
  <c r="K13" i="28"/>
  <c r="K14" i="28" s="1"/>
  <c r="K9" i="28"/>
  <c r="E17" i="28"/>
  <c r="I37" i="28"/>
  <c r="E26" i="28"/>
  <c r="M37" i="28"/>
  <c r="M73" i="28" s="1"/>
  <c r="Y22" i="18" s="1"/>
  <c r="M17" i="28"/>
  <c r="I69" i="28"/>
  <c r="M75" i="28" s="1"/>
  <c r="Y24" i="18" s="1"/>
  <c r="X37" i="28"/>
  <c r="X41" i="28"/>
  <c r="R50" i="23"/>
  <c r="R51" i="23"/>
  <c r="U41" i="23"/>
  <c r="U37" i="23"/>
  <c r="U44" i="23"/>
  <c r="U47" i="23"/>
  <c r="E50" i="23"/>
  <c r="E38" i="23"/>
  <c r="I69" i="23"/>
  <c r="M75" i="23" s="1"/>
  <c r="X24" i="18" s="1"/>
  <c r="E72" i="23"/>
  <c r="M74" i="23" s="1"/>
  <c r="X23" i="18" s="1"/>
  <c r="C44" i="23"/>
  <c r="C45" i="23" s="1"/>
  <c r="C46" i="23" s="1"/>
  <c r="C47" i="23" s="1"/>
  <c r="C48" i="23" s="1"/>
  <c r="C49" i="23" s="1"/>
  <c r="C35" i="23"/>
  <c r="C36" i="23" s="1"/>
  <c r="C37" i="23" s="1"/>
  <c r="M72" i="23"/>
  <c r="X21" i="18" s="1"/>
  <c r="I77" i="23"/>
  <c r="K13" i="23"/>
  <c r="K14" i="23" s="1"/>
  <c r="K9" i="23"/>
  <c r="S47" i="23"/>
  <c r="S48" i="23" s="1"/>
  <c r="S49" i="23" s="1"/>
  <c r="S50" i="23" s="1"/>
  <c r="S51" i="23" s="1"/>
  <c r="S52" i="23" s="1"/>
  <c r="S53" i="23" s="1"/>
  <c r="S54" i="23" s="1"/>
  <c r="V36" i="23" s="1"/>
  <c r="V37" i="23" s="1"/>
  <c r="V38" i="23" s="1"/>
  <c r="V39" i="23" s="1"/>
  <c r="V40" i="23" s="1"/>
  <c r="V41" i="23" s="1"/>
  <c r="V42" i="23" s="1"/>
  <c r="V43" i="23" s="1"/>
  <c r="V44" i="23" s="1"/>
  <c r="V45" i="23" s="1"/>
  <c r="V46" i="23" s="1"/>
  <c r="V47" i="23" s="1"/>
  <c r="V48" i="23" s="1"/>
  <c r="V49" i="23" s="1"/>
  <c r="V50" i="23" s="1"/>
  <c r="V51" i="23" s="1"/>
  <c r="V52" i="23" s="1"/>
  <c r="V53" i="23" s="1"/>
  <c r="V54" i="23" s="1"/>
  <c r="S46" i="23"/>
  <c r="I50" i="23"/>
  <c r="M71" i="23" s="1"/>
  <c r="X20" i="18" s="1"/>
  <c r="M50" i="23"/>
  <c r="E17" i="23"/>
  <c r="I37" i="23"/>
  <c r="E26" i="23"/>
  <c r="M37" i="23"/>
  <c r="I19" i="23"/>
  <c r="X37" i="23"/>
  <c r="X41" i="23"/>
  <c r="U47" i="27"/>
  <c r="E38" i="27"/>
  <c r="R51" i="27"/>
  <c r="U42" i="27"/>
  <c r="U37" i="27"/>
  <c r="I50" i="27"/>
  <c r="M71" i="27" s="1"/>
  <c r="V20" i="18" s="1"/>
  <c r="R37" i="27"/>
  <c r="U41" i="27"/>
  <c r="X37" i="27"/>
  <c r="E72" i="27"/>
  <c r="M74" i="27" s="1"/>
  <c r="V23" i="18" s="1"/>
  <c r="X46" i="27"/>
  <c r="I77" i="27"/>
  <c r="I69" i="27"/>
  <c r="M75" i="27" s="1"/>
  <c r="V24" i="18" s="1"/>
  <c r="M50" i="27"/>
  <c r="M37" i="27"/>
  <c r="E50" i="27"/>
  <c r="C44" i="27"/>
  <c r="C45" i="27" s="1"/>
  <c r="C46" i="27" s="1"/>
  <c r="C47" i="27" s="1"/>
  <c r="C48" i="27" s="1"/>
  <c r="C49" i="27" s="1"/>
  <c r="C35" i="27"/>
  <c r="C36" i="27" s="1"/>
  <c r="C37" i="27" s="1"/>
  <c r="K13" i="27"/>
  <c r="K14" i="27" s="1"/>
  <c r="K9" i="27"/>
  <c r="S47" i="27"/>
  <c r="S48" i="27" s="1"/>
  <c r="S49" i="27" s="1"/>
  <c r="S50" i="27" s="1"/>
  <c r="S51" i="27" s="1"/>
  <c r="S52" i="27" s="1"/>
  <c r="S53" i="27" s="1"/>
  <c r="S54" i="27" s="1"/>
  <c r="V36" i="27" s="1"/>
  <c r="V37" i="27" s="1"/>
  <c r="V38" i="27" s="1"/>
  <c r="V39" i="27" s="1"/>
  <c r="V40" i="27" s="1"/>
  <c r="V41" i="27" s="1"/>
  <c r="V42" i="27" s="1"/>
  <c r="V43" i="27" s="1"/>
  <c r="V44" i="27" s="1"/>
  <c r="V45" i="27" s="1"/>
  <c r="V46" i="27" s="1"/>
  <c r="V47" i="27" s="1"/>
  <c r="V48" i="27" s="1"/>
  <c r="V49" i="27" s="1"/>
  <c r="V50" i="27" s="1"/>
  <c r="V51" i="27" s="1"/>
  <c r="V52" i="27" s="1"/>
  <c r="V53" i="27" s="1"/>
  <c r="V54" i="27" s="1"/>
  <c r="S46" i="27"/>
  <c r="E17" i="27"/>
  <c r="I37" i="27"/>
  <c r="M70" i="27" s="1"/>
  <c r="V19" i="18" s="1"/>
  <c r="E26" i="27"/>
  <c r="M17" i="27"/>
  <c r="U39" i="27"/>
  <c r="X41" i="27"/>
  <c r="U36" i="26"/>
  <c r="R51" i="26"/>
  <c r="E38" i="26"/>
  <c r="X47" i="26"/>
  <c r="E50" i="26"/>
  <c r="U42" i="26"/>
  <c r="X46" i="26"/>
  <c r="R42" i="26"/>
  <c r="I69" i="26"/>
  <c r="M75" i="26" s="1"/>
  <c r="U24" i="18" s="1"/>
  <c r="I77" i="26"/>
  <c r="E72" i="26"/>
  <c r="M74" i="26" s="1"/>
  <c r="U23" i="18" s="1"/>
  <c r="K13" i="26"/>
  <c r="K14" i="26" s="1"/>
  <c r="K9" i="26"/>
  <c r="S47" i="26"/>
  <c r="S48" i="26" s="1"/>
  <c r="S49" i="26" s="1"/>
  <c r="S50" i="26" s="1"/>
  <c r="S51" i="26" s="1"/>
  <c r="S52" i="26" s="1"/>
  <c r="S53" i="26" s="1"/>
  <c r="S54" i="26" s="1"/>
  <c r="V36" i="26" s="1"/>
  <c r="V37" i="26" s="1"/>
  <c r="V38" i="26" s="1"/>
  <c r="V39" i="26" s="1"/>
  <c r="V40" i="26" s="1"/>
  <c r="V41" i="26" s="1"/>
  <c r="V42" i="26" s="1"/>
  <c r="V43" i="26" s="1"/>
  <c r="V44" i="26" s="1"/>
  <c r="V45" i="26" s="1"/>
  <c r="V46" i="26" s="1"/>
  <c r="V47" i="26" s="1"/>
  <c r="V48" i="26" s="1"/>
  <c r="V49" i="26" s="1"/>
  <c r="V50" i="26" s="1"/>
  <c r="V51" i="26" s="1"/>
  <c r="V52" i="26" s="1"/>
  <c r="V53" i="26" s="1"/>
  <c r="V54" i="26" s="1"/>
  <c r="S46" i="26"/>
  <c r="C44" i="26"/>
  <c r="C45" i="26" s="1"/>
  <c r="C46" i="26" s="1"/>
  <c r="C47" i="26" s="1"/>
  <c r="C48" i="26" s="1"/>
  <c r="C49" i="26" s="1"/>
  <c r="C35" i="26"/>
  <c r="C36" i="26" s="1"/>
  <c r="C37" i="26" s="1"/>
  <c r="I50" i="26"/>
  <c r="M71" i="26" s="1"/>
  <c r="U20" i="18" s="1"/>
  <c r="M50" i="26"/>
  <c r="E17" i="26"/>
  <c r="I37" i="26"/>
  <c r="M37" i="26"/>
  <c r="I19" i="26"/>
  <c r="E26" i="26"/>
  <c r="M17" i="26"/>
  <c r="R45" i="26"/>
  <c r="X37" i="26"/>
  <c r="X41" i="26"/>
  <c r="R50" i="25"/>
  <c r="U42" i="25"/>
  <c r="R42" i="25"/>
  <c r="U37" i="25"/>
  <c r="U47" i="25"/>
  <c r="E50" i="25"/>
  <c r="E38" i="25"/>
  <c r="U36" i="25"/>
  <c r="I77" i="25"/>
  <c r="E60" i="25"/>
  <c r="E72" i="25"/>
  <c r="I69" i="25"/>
  <c r="M75" i="25" s="1"/>
  <c r="T24" i="18" s="1"/>
  <c r="K13" i="25"/>
  <c r="K14" i="25" s="1"/>
  <c r="K9" i="25"/>
  <c r="S47" i="25"/>
  <c r="S48" i="25" s="1"/>
  <c r="S49" i="25" s="1"/>
  <c r="S50" i="25" s="1"/>
  <c r="S51" i="25" s="1"/>
  <c r="S52" i="25" s="1"/>
  <c r="S53" i="25" s="1"/>
  <c r="S54" i="25" s="1"/>
  <c r="V36" i="25" s="1"/>
  <c r="V37" i="25" s="1"/>
  <c r="V38" i="25" s="1"/>
  <c r="V39" i="25" s="1"/>
  <c r="V40" i="25" s="1"/>
  <c r="V41" i="25" s="1"/>
  <c r="V42" i="25" s="1"/>
  <c r="V43" i="25" s="1"/>
  <c r="V44" i="25" s="1"/>
  <c r="V45" i="25" s="1"/>
  <c r="V46" i="25" s="1"/>
  <c r="V47" i="25" s="1"/>
  <c r="V48" i="25" s="1"/>
  <c r="V49" i="25" s="1"/>
  <c r="V50" i="25" s="1"/>
  <c r="V51" i="25" s="1"/>
  <c r="V52" i="25" s="1"/>
  <c r="V53" i="25" s="1"/>
  <c r="V54" i="25" s="1"/>
  <c r="S46" i="25"/>
  <c r="C44" i="25"/>
  <c r="C45" i="25" s="1"/>
  <c r="C46" i="25" s="1"/>
  <c r="C47" i="25" s="1"/>
  <c r="C48" i="25" s="1"/>
  <c r="C49" i="25" s="1"/>
  <c r="I50" i="25"/>
  <c r="M71" i="25" s="1"/>
  <c r="T20" i="18" s="1"/>
  <c r="M50" i="25"/>
  <c r="E17" i="25"/>
  <c r="I37" i="25"/>
  <c r="E26" i="25"/>
  <c r="M37" i="25"/>
  <c r="I19" i="25"/>
  <c r="M17" i="25"/>
  <c r="X37" i="25"/>
  <c r="X41" i="25"/>
  <c r="H100" i="40" l="1"/>
  <c r="X55" i="27"/>
  <c r="AH19" i="18"/>
  <c r="AJ18" i="18"/>
  <c r="AK18" i="18"/>
  <c r="AL18" i="18"/>
  <c r="AL19" i="18"/>
  <c r="AH45" i="18"/>
  <c r="AK45" i="18"/>
  <c r="AI19" i="18"/>
  <c r="E52" i="29"/>
  <c r="X55" i="32"/>
  <c r="AH21" i="18"/>
  <c r="AI18" i="18"/>
  <c r="AJ21" i="18"/>
  <c r="AJ45" i="18"/>
  <c r="AH22" i="18"/>
  <c r="AJ19" i="18"/>
  <c r="AK19" i="18"/>
  <c r="AI45" i="18"/>
  <c r="M73" i="27"/>
  <c r="V22" i="18" s="1"/>
  <c r="X55" i="29"/>
  <c r="AH18" i="18"/>
  <c r="AL22" i="18"/>
  <c r="AL21" i="18"/>
  <c r="AL45" i="18"/>
  <c r="M73" i="34"/>
  <c r="AF22" i="18" s="1"/>
  <c r="E52" i="34"/>
  <c r="U55" i="34"/>
  <c r="E52" i="33"/>
  <c r="U55" i="32"/>
  <c r="U55" i="31"/>
  <c r="M73" i="29"/>
  <c r="Z22" i="18" s="1"/>
  <c r="M69" i="29"/>
  <c r="Z18" i="18" s="1"/>
  <c r="M70" i="28"/>
  <c r="Y19" i="18" s="1"/>
  <c r="U55" i="27"/>
  <c r="M73" i="26"/>
  <c r="U22" i="18" s="1"/>
  <c r="U55" i="25"/>
  <c r="H99" i="40"/>
  <c r="H91" i="26"/>
  <c r="I91" i="26" s="1"/>
  <c r="R84" i="26" s="1"/>
  <c r="U41" i="18" s="1"/>
  <c r="H91" i="33"/>
  <c r="I91" i="33" s="1"/>
  <c r="R84" i="33" s="1"/>
  <c r="AE41" i="18" s="1"/>
  <c r="H88" i="38"/>
  <c r="I88" i="38" s="1"/>
  <c r="R81" i="38" s="1"/>
  <c r="H96" i="40"/>
  <c r="I96" i="40" s="1"/>
  <c r="R89" i="40" s="1"/>
  <c r="H91" i="25"/>
  <c r="I91" i="25" s="1"/>
  <c r="R84" i="25" s="1"/>
  <c r="T41" i="18" s="1"/>
  <c r="H94" i="38"/>
  <c r="H85" i="39"/>
  <c r="I85" i="39" s="1"/>
  <c r="R78" i="39" s="1"/>
  <c r="H87" i="39"/>
  <c r="I87" i="39" s="1"/>
  <c r="R80" i="39" s="1"/>
  <c r="H83" i="39"/>
  <c r="I83" i="39" s="1"/>
  <c r="R76" i="39" s="1"/>
  <c r="H99" i="38"/>
  <c r="I92" i="38"/>
  <c r="R63" i="38"/>
  <c r="H82" i="36"/>
  <c r="H86" i="36"/>
  <c r="I86" i="36" s="1"/>
  <c r="R79" i="36" s="1"/>
  <c r="H84" i="36"/>
  <c r="I84" i="36" s="1"/>
  <c r="R77" i="36" s="1"/>
  <c r="H90" i="38"/>
  <c r="I90" i="38" s="1"/>
  <c r="R83" i="38" s="1"/>
  <c r="H89" i="38"/>
  <c r="I89" i="38" s="1"/>
  <c r="R82" i="38" s="1"/>
  <c r="I93" i="37"/>
  <c r="H100" i="37"/>
  <c r="H91" i="38"/>
  <c r="I91" i="38" s="1"/>
  <c r="R84" i="38" s="1"/>
  <c r="H94" i="36"/>
  <c r="H94" i="40"/>
  <c r="H87" i="38"/>
  <c r="I87" i="38" s="1"/>
  <c r="R80" i="38" s="1"/>
  <c r="H83" i="38"/>
  <c r="I83" i="38" s="1"/>
  <c r="R76" i="38" s="1"/>
  <c r="H85" i="38"/>
  <c r="I85" i="38" s="1"/>
  <c r="R78" i="38" s="1"/>
  <c r="H85" i="40"/>
  <c r="I85" i="40" s="1"/>
  <c r="R78" i="40" s="1"/>
  <c r="H87" i="40"/>
  <c r="I87" i="40" s="1"/>
  <c r="R80" i="40" s="1"/>
  <c r="H83" i="40"/>
  <c r="I83" i="40" s="1"/>
  <c r="R76" i="40" s="1"/>
  <c r="H88" i="40"/>
  <c r="R63" i="37"/>
  <c r="I92" i="37"/>
  <c r="H99" i="37"/>
  <c r="H86" i="37"/>
  <c r="I86" i="37" s="1"/>
  <c r="R79" i="37" s="1"/>
  <c r="H84" i="37"/>
  <c r="I84" i="37" s="1"/>
  <c r="R77" i="37" s="1"/>
  <c r="H82" i="37"/>
  <c r="H89" i="37"/>
  <c r="I89" i="37" s="1"/>
  <c r="R82" i="37" s="1"/>
  <c r="H90" i="37"/>
  <c r="I90" i="37" s="1"/>
  <c r="R83" i="37" s="1"/>
  <c r="H100" i="39"/>
  <c r="I93" i="39"/>
  <c r="H96" i="36"/>
  <c r="I96" i="36" s="1"/>
  <c r="R89" i="36" s="1"/>
  <c r="H96" i="39"/>
  <c r="I96" i="39" s="1"/>
  <c r="R89" i="39" s="1"/>
  <c r="H91" i="36"/>
  <c r="I91" i="36" s="1"/>
  <c r="R84" i="36" s="1"/>
  <c r="H91" i="40"/>
  <c r="I91" i="40" s="1"/>
  <c r="R84" i="40" s="1"/>
  <c r="H91" i="34"/>
  <c r="I91" i="34" s="1"/>
  <c r="R84" i="34" s="1"/>
  <c r="AF41" i="18" s="1"/>
  <c r="R63" i="40"/>
  <c r="H94" i="37"/>
  <c r="H88" i="36"/>
  <c r="H87" i="36"/>
  <c r="I87" i="36" s="1"/>
  <c r="R80" i="36" s="1"/>
  <c r="H83" i="36"/>
  <c r="I83" i="36" s="1"/>
  <c r="R76" i="36" s="1"/>
  <c r="H85" i="36"/>
  <c r="I85" i="36" s="1"/>
  <c r="R78" i="36" s="1"/>
  <c r="H99" i="36"/>
  <c r="R63" i="36"/>
  <c r="I92" i="36"/>
  <c r="H82" i="38"/>
  <c r="H86" i="38"/>
  <c r="I86" i="38" s="1"/>
  <c r="R79" i="38" s="1"/>
  <c r="H84" i="38"/>
  <c r="I84" i="38" s="1"/>
  <c r="R77" i="38" s="1"/>
  <c r="H89" i="40"/>
  <c r="I89" i="40" s="1"/>
  <c r="R82" i="40" s="1"/>
  <c r="H90" i="40"/>
  <c r="I90" i="40" s="1"/>
  <c r="R83" i="40" s="1"/>
  <c r="H100" i="38"/>
  <c r="I93" i="38"/>
  <c r="H96" i="38"/>
  <c r="I96" i="38" s="1"/>
  <c r="R89" i="38" s="1"/>
  <c r="H91" i="39"/>
  <c r="I91" i="39" s="1"/>
  <c r="R84" i="39" s="1"/>
  <c r="H94" i="39"/>
  <c r="H83" i="37"/>
  <c r="I83" i="37" s="1"/>
  <c r="R76" i="37" s="1"/>
  <c r="H87" i="37"/>
  <c r="I87" i="37" s="1"/>
  <c r="R80" i="37" s="1"/>
  <c r="H85" i="37"/>
  <c r="I85" i="37" s="1"/>
  <c r="R78" i="37" s="1"/>
  <c r="H88" i="37"/>
  <c r="H88" i="39"/>
  <c r="H99" i="39"/>
  <c r="I92" i="39"/>
  <c r="R63" i="39"/>
  <c r="H86" i="39"/>
  <c r="I86" i="39" s="1"/>
  <c r="R79" i="39" s="1"/>
  <c r="H82" i="39"/>
  <c r="H84" i="39"/>
  <c r="I84" i="39" s="1"/>
  <c r="R77" i="39" s="1"/>
  <c r="H86" i="40"/>
  <c r="I86" i="40" s="1"/>
  <c r="R79" i="40" s="1"/>
  <c r="H84" i="40"/>
  <c r="I84" i="40" s="1"/>
  <c r="R77" i="40" s="1"/>
  <c r="H82" i="40"/>
  <c r="H89" i="36"/>
  <c r="I89" i="36" s="1"/>
  <c r="R82" i="36" s="1"/>
  <c r="H90" i="36"/>
  <c r="I90" i="36" s="1"/>
  <c r="R83" i="36" s="1"/>
  <c r="H89" i="39"/>
  <c r="I89" i="39" s="1"/>
  <c r="R82" i="39" s="1"/>
  <c r="H90" i="39"/>
  <c r="I90" i="39" s="1"/>
  <c r="R83" i="39" s="1"/>
  <c r="I93" i="36"/>
  <c r="H100" i="36"/>
  <c r="H96" i="37"/>
  <c r="I96" i="37" s="1"/>
  <c r="R89" i="37" s="1"/>
  <c r="H91" i="37"/>
  <c r="I91" i="37" s="1"/>
  <c r="R84" i="37" s="1"/>
  <c r="M76" i="40"/>
  <c r="I100" i="40"/>
  <c r="R86" i="40"/>
  <c r="I99" i="40"/>
  <c r="R85" i="40"/>
  <c r="M76" i="39"/>
  <c r="M76" i="38"/>
  <c r="M76" i="37"/>
  <c r="N69" i="37" s="1"/>
  <c r="M76" i="36"/>
  <c r="H91" i="23"/>
  <c r="I91" i="23" s="1"/>
  <c r="R84" i="23" s="1"/>
  <c r="X41" i="18" s="1"/>
  <c r="H91" i="30"/>
  <c r="I91" i="30" s="1"/>
  <c r="R84" i="30" s="1"/>
  <c r="AA41" i="18" s="1"/>
  <c r="H91" i="32"/>
  <c r="I91" i="32" s="1"/>
  <c r="R84" i="32" s="1"/>
  <c r="AD41" i="18" s="1"/>
  <c r="H91" i="27"/>
  <c r="I91" i="27" s="1"/>
  <c r="R84" i="27" s="1"/>
  <c r="V41" i="18" s="1"/>
  <c r="H91" i="29"/>
  <c r="I91" i="29" s="1"/>
  <c r="R84" i="29" s="1"/>
  <c r="Z41" i="18" s="1"/>
  <c r="H91" i="28"/>
  <c r="I91" i="28" s="1"/>
  <c r="R84" i="28" s="1"/>
  <c r="Y41" i="18" s="1"/>
  <c r="H84" i="30"/>
  <c r="I84" i="30" s="1"/>
  <c r="R77" i="30" s="1"/>
  <c r="AA34" i="18" s="1"/>
  <c r="H84" i="32"/>
  <c r="I84" i="32" s="1"/>
  <c r="R77" i="32" s="1"/>
  <c r="AD34" i="18" s="1"/>
  <c r="H90" i="25"/>
  <c r="I90" i="25" s="1"/>
  <c r="R83" i="25" s="1"/>
  <c r="T40" i="18" s="1"/>
  <c r="H90" i="26"/>
  <c r="I90" i="26" s="1"/>
  <c r="R83" i="26" s="1"/>
  <c r="U40" i="18" s="1"/>
  <c r="H90" i="30"/>
  <c r="I90" i="30" s="1"/>
  <c r="R83" i="30" s="1"/>
  <c r="AA40" i="18" s="1"/>
  <c r="H82" i="32"/>
  <c r="I82" i="32" s="1"/>
  <c r="R75" i="32" s="1"/>
  <c r="AD32" i="18" s="1"/>
  <c r="H83" i="34"/>
  <c r="I83" i="34" s="1"/>
  <c r="R76" i="34" s="1"/>
  <c r="AF33" i="18" s="1"/>
  <c r="H90" i="33"/>
  <c r="I90" i="33" s="1"/>
  <c r="R83" i="33" s="1"/>
  <c r="AE40" i="18" s="1"/>
  <c r="H90" i="27"/>
  <c r="I90" i="27" s="1"/>
  <c r="R83" i="27" s="1"/>
  <c r="V40" i="18" s="1"/>
  <c r="H83" i="27"/>
  <c r="I83" i="27" s="1"/>
  <c r="R76" i="27" s="1"/>
  <c r="V33" i="18" s="1"/>
  <c r="H82" i="30"/>
  <c r="I82" i="30" s="1"/>
  <c r="R75" i="30" s="1"/>
  <c r="AA32" i="18" s="1"/>
  <c r="H85" i="33"/>
  <c r="I85" i="33" s="1"/>
  <c r="R78" i="33" s="1"/>
  <c r="AE35" i="18" s="1"/>
  <c r="H83" i="32"/>
  <c r="I83" i="32" s="1"/>
  <c r="R76" i="32" s="1"/>
  <c r="AD33" i="18" s="1"/>
  <c r="H88" i="29"/>
  <c r="I88" i="29" s="1"/>
  <c r="R81" i="29" s="1"/>
  <c r="Z38" i="18" s="1"/>
  <c r="H85" i="30"/>
  <c r="I85" i="30" s="1"/>
  <c r="R78" i="30" s="1"/>
  <c r="AA35" i="18" s="1"/>
  <c r="H83" i="29"/>
  <c r="I83" i="29" s="1"/>
  <c r="R76" i="29" s="1"/>
  <c r="Z33" i="18" s="1"/>
  <c r="H88" i="25"/>
  <c r="I88" i="25" s="1"/>
  <c r="R81" i="25" s="1"/>
  <c r="T38" i="18" s="1"/>
  <c r="H88" i="32"/>
  <c r="I88" i="32" s="1"/>
  <c r="R81" i="32" s="1"/>
  <c r="H88" i="27"/>
  <c r="I88" i="27" s="1"/>
  <c r="R81" i="27" s="1"/>
  <c r="H85" i="34"/>
  <c r="I85" i="34" s="1"/>
  <c r="R78" i="34" s="1"/>
  <c r="AF35" i="18" s="1"/>
  <c r="H83" i="31"/>
  <c r="I83" i="31" s="1"/>
  <c r="R76" i="31" s="1"/>
  <c r="AC33" i="18" s="1"/>
  <c r="H83" i="33"/>
  <c r="I83" i="33" s="1"/>
  <c r="R76" i="33" s="1"/>
  <c r="AE33" i="18" s="1"/>
  <c r="H88" i="33"/>
  <c r="I88" i="33" s="1"/>
  <c r="R81" i="33" s="1"/>
  <c r="AE38" i="18" s="1"/>
  <c r="H88" i="28"/>
  <c r="I88" i="28" s="1"/>
  <c r="R81" i="28" s="1"/>
  <c r="H83" i="30"/>
  <c r="I83" i="30" s="1"/>
  <c r="R76" i="30" s="1"/>
  <c r="AA33" i="18" s="1"/>
  <c r="H87" i="34"/>
  <c r="I87" i="34" s="1"/>
  <c r="R80" i="34" s="1"/>
  <c r="AF37" i="18" s="1"/>
  <c r="H82" i="27"/>
  <c r="I82" i="27" s="1"/>
  <c r="R75" i="27" s="1"/>
  <c r="V32" i="18" s="1"/>
  <c r="H86" i="32"/>
  <c r="I86" i="32" s="1"/>
  <c r="R79" i="32" s="1"/>
  <c r="AD36" i="18" s="1"/>
  <c r="H87" i="33"/>
  <c r="I87" i="33" s="1"/>
  <c r="R80" i="33" s="1"/>
  <c r="AE37" i="18" s="1"/>
  <c r="H90" i="28"/>
  <c r="I90" i="28" s="1"/>
  <c r="R83" i="28" s="1"/>
  <c r="Y40" i="18" s="1"/>
  <c r="H90" i="32"/>
  <c r="I90" i="32" s="1"/>
  <c r="R83" i="32" s="1"/>
  <c r="AD40" i="18" s="1"/>
  <c r="H90" i="29"/>
  <c r="I90" i="29" s="1"/>
  <c r="R83" i="29" s="1"/>
  <c r="Z40" i="18" s="1"/>
  <c r="H83" i="23"/>
  <c r="I83" i="23" s="1"/>
  <c r="R76" i="23" s="1"/>
  <c r="X33" i="18" s="1"/>
  <c r="H90" i="34"/>
  <c r="I90" i="34" s="1"/>
  <c r="R83" i="34" s="1"/>
  <c r="AF40" i="18" s="1"/>
  <c r="H89" i="29"/>
  <c r="I89" i="29" s="1"/>
  <c r="R82" i="29" s="1"/>
  <c r="Z39" i="18" s="1"/>
  <c r="H90" i="23"/>
  <c r="I90" i="23" s="1"/>
  <c r="R83" i="23" s="1"/>
  <c r="X40" i="18" s="1"/>
  <c r="H90" i="31"/>
  <c r="I90" i="31" s="1"/>
  <c r="R83" i="31" s="1"/>
  <c r="AC40" i="18" s="1"/>
  <c r="H88" i="30"/>
  <c r="I88" i="30" s="1"/>
  <c r="R81" i="30" s="1"/>
  <c r="AA38" i="18" s="1"/>
  <c r="H89" i="23"/>
  <c r="I89" i="23" s="1"/>
  <c r="R82" i="23" s="1"/>
  <c r="X39" i="18" s="1"/>
  <c r="H88" i="31"/>
  <c r="I88" i="31" s="1"/>
  <c r="R81" i="31" s="1"/>
  <c r="H85" i="32"/>
  <c r="I85" i="32" s="1"/>
  <c r="R78" i="32" s="1"/>
  <c r="AD35" i="18" s="1"/>
  <c r="H85" i="28"/>
  <c r="I85" i="28" s="1"/>
  <c r="R78" i="28" s="1"/>
  <c r="Y35" i="18" s="1"/>
  <c r="H85" i="23"/>
  <c r="I85" i="23" s="1"/>
  <c r="R78" i="23" s="1"/>
  <c r="X35" i="18" s="1"/>
  <c r="H85" i="25"/>
  <c r="I85" i="25" s="1"/>
  <c r="R78" i="25" s="1"/>
  <c r="T35" i="18" s="1"/>
  <c r="H85" i="31"/>
  <c r="I85" i="31" s="1"/>
  <c r="R78" i="31" s="1"/>
  <c r="AC35" i="18" s="1"/>
  <c r="H87" i="32"/>
  <c r="I87" i="32" s="1"/>
  <c r="R80" i="32" s="1"/>
  <c r="AD37" i="18" s="1"/>
  <c r="H84" i="33"/>
  <c r="I84" i="33" s="1"/>
  <c r="R77" i="33" s="1"/>
  <c r="AE34" i="18" s="1"/>
  <c r="H86" i="27"/>
  <c r="I86" i="27" s="1"/>
  <c r="R79" i="27" s="1"/>
  <c r="V36" i="18" s="1"/>
  <c r="H86" i="26"/>
  <c r="I86" i="26" s="1"/>
  <c r="R79" i="26" s="1"/>
  <c r="U36" i="18" s="1"/>
  <c r="H87" i="25"/>
  <c r="I87" i="25" s="1"/>
  <c r="R80" i="25" s="1"/>
  <c r="T37" i="18" s="1"/>
  <c r="H86" i="33"/>
  <c r="I86" i="33" s="1"/>
  <c r="R79" i="33" s="1"/>
  <c r="AE36" i="18" s="1"/>
  <c r="H87" i="29"/>
  <c r="I87" i="29" s="1"/>
  <c r="R80" i="29" s="1"/>
  <c r="Z37" i="18" s="1"/>
  <c r="H87" i="31"/>
  <c r="I87" i="31" s="1"/>
  <c r="R80" i="31" s="1"/>
  <c r="AC37" i="18" s="1"/>
  <c r="H82" i="33"/>
  <c r="I82" i="33" s="1"/>
  <c r="R75" i="33" s="1"/>
  <c r="AE32" i="18" s="1"/>
  <c r="H83" i="26"/>
  <c r="I83" i="26" s="1"/>
  <c r="R76" i="26" s="1"/>
  <c r="U33" i="18" s="1"/>
  <c r="H89" i="31"/>
  <c r="I89" i="31" s="1"/>
  <c r="R82" i="31" s="1"/>
  <c r="AC39" i="18" s="1"/>
  <c r="H83" i="25"/>
  <c r="I83" i="25" s="1"/>
  <c r="R76" i="25" s="1"/>
  <c r="T33" i="18" s="1"/>
  <c r="H87" i="28"/>
  <c r="I87" i="28" s="1"/>
  <c r="R80" i="28" s="1"/>
  <c r="Y37" i="18" s="1"/>
  <c r="H85" i="27"/>
  <c r="I85" i="27" s="1"/>
  <c r="R78" i="27" s="1"/>
  <c r="V35" i="18" s="1"/>
  <c r="H85" i="26"/>
  <c r="I85" i="26" s="1"/>
  <c r="R78" i="26" s="1"/>
  <c r="U35" i="18" s="1"/>
  <c r="H89" i="34"/>
  <c r="I89" i="34" s="1"/>
  <c r="R82" i="34" s="1"/>
  <c r="AF39" i="18" s="1"/>
  <c r="H89" i="25"/>
  <c r="I89" i="25" s="1"/>
  <c r="R82" i="25" s="1"/>
  <c r="T39" i="18" s="1"/>
  <c r="H89" i="26"/>
  <c r="I89" i="26" s="1"/>
  <c r="R82" i="26" s="1"/>
  <c r="U39" i="18" s="1"/>
  <c r="H87" i="27"/>
  <c r="I87" i="27" s="1"/>
  <c r="R80" i="27" s="1"/>
  <c r="V37" i="18" s="1"/>
  <c r="H87" i="26"/>
  <c r="I87" i="26" s="1"/>
  <c r="R80" i="26" s="1"/>
  <c r="U37" i="18" s="1"/>
  <c r="H86" i="30"/>
  <c r="I86" i="30" s="1"/>
  <c r="R79" i="30" s="1"/>
  <c r="AA36" i="18" s="1"/>
  <c r="H89" i="33"/>
  <c r="I89" i="33" s="1"/>
  <c r="R82" i="33" s="1"/>
  <c r="AE39" i="18" s="1"/>
  <c r="H89" i="27"/>
  <c r="I89" i="27" s="1"/>
  <c r="R82" i="27" s="1"/>
  <c r="V39" i="18" s="1"/>
  <c r="H89" i="28"/>
  <c r="I89" i="28" s="1"/>
  <c r="R82" i="28" s="1"/>
  <c r="Y39" i="18" s="1"/>
  <c r="H89" i="32"/>
  <c r="I89" i="32" s="1"/>
  <c r="R82" i="32" s="1"/>
  <c r="AD39" i="18" s="1"/>
  <c r="H87" i="30"/>
  <c r="I87" i="30" s="1"/>
  <c r="R80" i="30" s="1"/>
  <c r="AA37" i="18" s="1"/>
  <c r="H89" i="30"/>
  <c r="I89" i="30" s="1"/>
  <c r="R82" i="30" s="1"/>
  <c r="AA39" i="18" s="1"/>
  <c r="H85" i="29"/>
  <c r="I85" i="29" s="1"/>
  <c r="R78" i="29" s="1"/>
  <c r="Z35" i="18" s="1"/>
  <c r="H88" i="26"/>
  <c r="I88" i="26" s="1"/>
  <c r="R81" i="26" s="1"/>
  <c r="U38" i="18" s="1"/>
  <c r="H88" i="34"/>
  <c r="I88" i="34" s="1"/>
  <c r="R81" i="34" s="1"/>
  <c r="AF38" i="18" s="1"/>
  <c r="H84" i="31"/>
  <c r="I84" i="31" s="1"/>
  <c r="R77" i="31" s="1"/>
  <c r="AC34" i="18" s="1"/>
  <c r="H84" i="26"/>
  <c r="I84" i="26" s="1"/>
  <c r="R77" i="26" s="1"/>
  <c r="U34" i="18" s="1"/>
  <c r="H82" i="29"/>
  <c r="I82" i="29" s="1"/>
  <c r="R75" i="29" s="1"/>
  <c r="Z32" i="18" s="1"/>
  <c r="H86" i="28"/>
  <c r="I86" i="28" s="1"/>
  <c r="R79" i="28" s="1"/>
  <c r="Y36" i="18" s="1"/>
  <c r="H86" i="34"/>
  <c r="I86" i="34" s="1"/>
  <c r="R79" i="34" s="1"/>
  <c r="AF36" i="18" s="1"/>
  <c r="H86" i="23"/>
  <c r="I86" i="23" s="1"/>
  <c r="R79" i="23" s="1"/>
  <c r="X36" i="18" s="1"/>
  <c r="H82" i="25"/>
  <c r="I82" i="25" s="1"/>
  <c r="R75" i="25" s="1"/>
  <c r="T32" i="18" s="1"/>
  <c r="H88" i="23"/>
  <c r="I88" i="23" s="1"/>
  <c r="R81" i="23" s="1"/>
  <c r="X38" i="18" s="1"/>
  <c r="H87" i="23"/>
  <c r="I87" i="23" s="1"/>
  <c r="R80" i="23" s="1"/>
  <c r="X37" i="18" s="1"/>
  <c r="H83" i="28"/>
  <c r="I83" i="28" s="1"/>
  <c r="R76" i="28" s="1"/>
  <c r="Y33" i="18" s="1"/>
  <c r="H82" i="26"/>
  <c r="H84" i="23"/>
  <c r="I84" i="23" s="1"/>
  <c r="R77" i="23" s="1"/>
  <c r="X34" i="18" s="1"/>
  <c r="H82" i="28"/>
  <c r="I82" i="28" s="1"/>
  <c r="R75" i="28" s="1"/>
  <c r="Y32" i="18" s="1"/>
  <c r="H84" i="28"/>
  <c r="I84" i="28" s="1"/>
  <c r="R77" i="28" s="1"/>
  <c r="Y34" i="18" s="1"/>
  <c r="H86" i="31"/>
  <c r="I86" i="31" s="1"/>
  <c r="R79" i="31" s="1"/>
  <c r="AC36" i="18" s="1"/>
  <c r="H86" i="25"/>
  <c r="I86" i="25" s="1"/>
  <c r="R79" i="25" s="1"/>
  <c r="T36" i="18" s="1"/>
  <c r="H84" i="27"/>
  <c r="I84" i="27" s="1"/>
  <c r="R77" i="27" s="1"/>
  <c r="V34" i="18" s="1"/>
  <c r="H86" i="29"/>
  <c r="I86" i="29" s="1"/>
  <c r="R79" i="29" s="1"/>
  <c r="Z36" i="18" s="1"/>
  <c r="H82" i="31"/>
  <c r="I82" i="31" s="1"/>
  <c r="R75" i="31" s="1"/>
  <c r="AC32" i="18" s="1"/>
  <c r="H82" i="34"/>
  <c r="I82" i="34" s="1"/>
  <c r="R75" i="34" s="1"/>
  <c r="AF32" i="18" s="1"/>
  <c r="H84" i="29"/>
  <c r="I84" i="29" s="1"/>
  <c r="R77" i="29" s="1"/>
  <c r="Z34" i="18" s="1"/>
  <c r="H84" i="25"/>
  <c r="I84" i="25" s="1"/>
  <c r="R77" i="25" s="1"/>
  <c r="T34" i="18" s="1"/>
  <c r="H82" i="23"/>
  <c r="I82" i="23" s="1"/>
  <c r="R75" i="23" s="1"/>
  <c r="X32" i="18" s="1"/>
  <c r="H84" i="34"/>
  <c r="I84" i="34" s="1"/>
  <c r="R77" i="34" s="1"/>
  <c r="AF34" i="18" s="1"/>
  <c r="X55" i="34"/>
  <c r="M69" i="34"/>
  <c r="AF18" i="18" s="1"/>
  <c r="M72" i="34"/>
  <c r="AF21" i="18" s="1"/>
  <c r="M52" i="34"/>
  <c r="I52" i="34"/>
  <c r="M70" i="34"/>
  <c r="AF19" i="18" s="1"/>
  <c r="M69" i="33"/>
  <c r="AE18" i="18" s="1"/>
  <c r="U55" i="33"/>
  <c r="X55" i="33"/>
  <c r="M73" i="33"/>
  <c r="AE22" i="18" s="1"/>
  <c r="M72" i="33"/>
  <c r="AE21" i="18" s="1"/>
  <c r="M52" i="33"/>
  <c r="M70" i="33"/>
  <c r="AE19" i="18" s="1"/>
  <c r="I52" i="33"/>
  <c r="M72" i="32"/>
  <c r="AD21" i="18" s="1"/>
  <c r="M52" i="32"/>
  <c r="M69" i="32"/>
  <c r="AD18" i="18" s="1"/>
  <c r="E52" i="32"/>
  <c r="M70" i="32"/>
  <c r="AD19" i="18" s="1"/>
  <c r="I52" i="32"/>
  <c r="M73" i="32"/>
  <c r="AD22" i="18" s="1"/>
  <c r="U55" i="30"/>
  <c r="X55" i="31"/>
  <c r="M74" i="31"/>
  <c r="AC23" i="18" s="1"/>
  <c r="M69" i="31"/>
  <c r="AC18" i="18" s="1"/>
  <c r="E52" i="31"/>
  <c r="M72" i="31"/>
  <c r="AC21" i="18" s="1"/>
  <c r="M52" i="31"/>
  <c r="M70" i="31"/>
  <c r="AC19" i="18" s="1"/>
  <c r="I52" i="31"/>
  <c r="M73" i="31"/>
  <c r="AC22" i="18" s="1"/>
  <c r="M69" i="30"/>
  <c r="AA18" i="18" s="1"/>
  <c r="E52" i="30"/>
  <c r="M72" i="30"/>
  <c r="AA21" i="18" s="1"/>
  <c r="M52" i="30"/>
  <c r="M70" i="30"/>
  <c r="AA19" i="18" s="1"/>
  <c r="I52" i="30"/>
  <c r="M73" i="30"/>
  <c r="AA22" i="18" s="1"/>
  <c r="U55" i="29"/>
  <c r="M74" i="29"/>
  <c r="Z23" i="18" s="1"/>
  <c r="I52" i="29"/>
  <c r="M70" i="29"/>
  <c r="Z19" i="18" s="1"/>
  <c r="M72" i="29"/>
  <c r="Z21" i="18" s="1"/>
  <c r="M52" i="29"/>
  <c r="U55" i="28"/>
  <c r="X55" i="28"/>
  <c r="M69" i="28"/>
  <c r="Y18" i="18" s="1"/>
  <c r="E52" i="28"/>
  <c r="I52" i="28"/>
  <c r="M72" i="28"/>
  <c r="Y21" i="18" s="1"/>
  <c r="M52" i="28"/>
  <c r="U55" i="23"/>
  <c r="X55" i="23"/>
  <c r="M73" i="23"/>
  <c r="X22" i="18" s="1"/>
  <c r="M70" i="23"/>
  <c r="X19" i="18" s="1"/>
  <c r="I52" i="23"/>
  <c r="M52" i="23"/>
  <c r="M69" i="23"/>
  <c r="X18" i="18" s="1"/>
  <c r="E52" i="23"/>
  <c r="M69" i="27"/>
  <c r="V18" i="18" s="1"/>
  <c r="E52" i="27"/>
  <c r="M72" i="27"/>
  <c r="V21" i="18" s="1"/>
  <c r="M52" i="27"/>
  <c r="I52" i="27"/>
  <c r="U55" i="26"/>
  <c r="X55" i="26"/>
  <c r="M72" i="26"/>
  <c r="U21" i="18" s="1"/>
  <c r="M52" i="26"/>
  <c r="I52" i="26"/>
  <c r="M70" i="26"/>
  <c r="U19" i="18" s="1"/>
  <c r="M69" i="26"/>
  <c r="U18" i="18" s="1"/>
  <c r="E52" i="26"/>
  <c r="X55" i="25"/>
  <c r="M74" i="25"/>
  <c r="T23" i="18" s="1"/>
  <c r="M69" i="25"/>
  <c r="T18" i="18" s="1"/>
  <c r="E52" i="25"/>
  <c r="M72" i="25"/>
  <c r="T21" i="18" s="1"/>
  <c r="M52" i="25"/>
  <c r="M73" i="25"/>
  <c r="T22" i="18" s="1"/>
  <c r="M70" i="25"/>
  <c r="T19" i="18" s="1"/>
  <c r="I52" i="25"/>
  <c r="AH25" i="18" l="1"/>
  <c r="AL36" i="18"/>
  <c r="AJ36" i="18"/>
  <c r="AL41" i="18"/>
  <c r="AJ37" i="18"/>
  <c r="AK35" i="18"/>
  <c r="AL42" i="18"/>
  <c r="AH39" i="18"/>
  <c r="AK34" i="18"/>
  <c r="AI35" i="18"/>
  <c r="AK41" i="18"/>
  <c r="AL40" i="18"/>
  <c r="AH35" i="18"/>
  <c r="AH41" i="18"/>
  <c r="AI34" i="18"/>
  <c r="AL35" i="18"/>
  <c r="AH36" i="18"/>
  <c r="AK25" i="18"/>
  <c r="AL37" i="18"/>
  <c r="AI25" i="18"/>
  <c r="AI41" i="18"/>
  <c r="AK40" i="18"/>
  <c r="AI37" i="18"/>
  <c r="AJ46" i="18"/>
  <c r="AL39" i="18"/>
  <c r="AH33" i="18"/>
  <c r="AK46" i="18"/>
  <c r="AI40" i="18"/>
  <c r="AI36" i="18"/>
  <c r="AJ35" i="18"/>
  <c r="AJ39" i="18"/>
  <c r="AK33" i="18"/>
  <c r="AH40" i="18"/>
  <c r="AH34" i="18"/>
  <c r="AJ38" i="18"/>
  <c r="AJ25" i="18"/>
  <c r="AL43" i="18"/>
  <c r="AI46" i="18"/>
  <c r="AK39" i="18"/>
  <c r="AL34" i="18"/>
  <c r="AK36" i="18"/>
  <c r="AI33" i="18"/>
  <c r="AJ34" i="18"/>
  <c r="AH37" i="18"/>
  <c r="AH46" i="18"/>
  <c r="AI39" i="18"/>
  <c r="AL33" i="18"/>
  <c r="AJ33" i="18"/>
  <c r="AJ41" i="18"/>
  <c r="AJ40" i="18"/>
  <c r="AK37" i="18"/>
  <c r="AL46" i="18"/>
  <c r="N69" i="40"/>
  <c r="AL25" i="18"/>
  <c r="N72" i="40"/>
  <c r="N70" i="39"/>
  <c r="N69" i="39"/>
  <c r="E76" i="36"/>
  <c r="N69" i="36"/>
  <c r="R61" i="37"/>
  <c r="I88" i="37"/>
  <c r="R81" i="37" s="1"/>
  <c r="I88" i="36"/>
  <c r="R81" i="36" s="1"/>
  <c r="R61" i="36"/>
  <c r="I100" i="36"/>
  <c r="R86" i="36"/>
  <c r="I99" i="39"/>
  <c r="R85" i="39"/>
  <c r="I82" i="38"/>
  <c r="H97" i="38"/>
  <c r="H98" i="38" s="1"/>
  <c r="R60" i="38"/>
  <c r="I94" i="37"/>
  <c r="R87" i="37" s="1"/>
  <c r="R62" i="37"/>
  <c r="I94" i="40"/>
  <c r="R87" i="40" s="1"/>
  <c r="R62" i="40"/>
  <c r="I100" i="37"/>
  <c r="R86" i="37"/>
  <c r="I82" i="37"/>
  <c r="H97" i="37"/>
  <c r="S63" i="37" s="1"/>
  <c r="R60" i="37"/>
  <c r="R60" i="40"/>
  <c r="I82" i="40"/>
  <c r="H97" i="40"/>
  <c r="I82" i="39"/>
  <c r="H97" i="39"/>
  <c r="R60" i="39"/>
  <c r="I99" i="36"/>
  <c r="R85" i="36"/>
  <c r="I88" i="40"/>
  <c r="R81" i="40" s="1"/>
  <c r="R61" i="40"/>
  <c r="I94" i="36"/>
  <c r="R87" i="36" s="1"/>
  <c r="R62" i="36"/>
  <c r="H97" i="36"/>
  <c r="R58" i="36" s="1"/>
  <c r="R60" i="36"/>
  <c r="I82" i="36"/>
  <c r="R61" i="38"/>
  <c r="I94" i="39"/>
  <c r="R87" i="39" s="1"/>
  <c r="R62" i="39"/>
  <c r="I100" i="39"/>
  <c r="R86" i="39"/>
  <c r="R85" i="37"/>
  <c r="I99" i="37"/>
  <c r="I99" i="38"/>
  <c r="R85" i="38"/>
  <c r="I88" i="39"/>
  <c r="R81" i="39" s="1"/>
  <c r="R61" i="39"/>
  <c r="I100" i="38"/>
  <c r="R86" i="38"/>
  <c r="I94" i="38"/>
  <c r="R87" i="38" s="1"/>
  <c r="R62" i="38"/>
  <c r="M77" i="40"/>
  <c r="N75" i="40"/>
  <c r="E77" i="40"/>
  <c r="N71" i="40"/>
  <c r="N74" i="40"/>
  <c r="N73" i="40"/>
  <c r="N70" i="40"/>
  <c r="E76" i="40"/>
  <c r="E75" i="40"/>
  <c r="M77" i="39"/>
  <c r="N71" i="39"/>
  <c r="N73" i="39"/>
  <c r="N72" i="39"/>
  <c r="E77" i="39"/>
  <c r="N75" i="39"/>
  <c r="E76" i="39"/>
  <c r="N74" i="39"/>
  <c r="E75" i="39"/>
  <c r="E76" i="38"/>
  <c r="N70" i="38"/>
  <c r="E75" i="38"/>
  <c r="M77" i="38"/>
  <c r="N73" i="38"/>
  <c r="N75" i="38"/>
  <c r="E77" i="38"/>
  <c r="N71" i="38"/>
  <c r="N74" i="38"/>
  <c r="N69" i="38"/>
  <c r="N72" i="38"/>
  <c r="M77" i="37"/>
  <c r="N71" i="37"/>
  <c r="N70" i="37"/>
  <c r="N75" i="37"/>
  <c r="N73" i="37"/>
  <c r="N74" i="37"/>
  <c r="E76" i="37"/>
  <c r="N72" i="37"/>
  <c r="E77" i="37"/>
  <c r="E75" i="37"/>
  <c r="M77" i="36"/>
  <c r="N75" i="36"/>
  <c r="N71" i="36"/>
  <c r="E77" i="36"/>
  <c r="N73" i="36"/>
  <c r="N74" i="36"/>
  <c r="N70" i="36"/>
  <c r="E75" i="36"/>
  <c r="N72" i="36"/>
  <c r="R61" i="31"/>
  <c r="R61" i="30"/>
  <c r="R61" i="33"/>
  <c r="R61" i="29"/>
  <c r="R61" i="25"/>
  <c r="R61" i="27"/>
  <c r="R60" i="33"/>
  <c r="R61" i="28"/>
  <c r="R60" i="32"/>
  <c r="R60" i="26"/>
  <c r="R60" i="27"/>
  <c r="R61" i="34"/>
  <c r="R61" i="26"/>
  <c r="I82" i="26"/>
  <c r="R75" i="26" s="1"/>
  <c r="U32" i="18" s="1"/>
  <c r="R61" i="32"/>
  <c r="R60" i="31"/>
  <c r="R60" i="34"/>
  <c r="R60" i="30"/>
  <c r="R61" i="23"/>
  <c r="R60" i="23"/>
  <c r="R60" i="25"/>
  <c r="R60" i="28"/>
  <c r="R60" i="29"/>
  <c r="V38" i="18"/>
  <c r="Y38" i="18"/>
  <c r="AC38" i="18"/>
  <c r="AD38" i="18"/>
  <c r="M76" i="34"/>
  <c r="M76" i="33"/>
  <c r="AE25" i="18" s="1"/>
  <c r="M76" i="32"/>
  <c r="AD25" i="18" s="1"/>
  <c r="M76" i="31"/>
  <c r="AC25" i="18" s="1"/>
  <c r="M76" i="30"/>
  <c r="M76" i="29"/>
  <c r="Z25" i="18" s="1"/>
  <c r="M76" i="28"/>
  <c r="Y25" i="18" s="1"/>
  <c r="M76" i="23"/>
  <c r="X25" i="18" s="1"/>
  <c r="M76" i="27"/>
  <c r="N72" i="27" s="1"/>
  <c r="M76" i="26"/>
  <c r="U25" i="18" s="1"/>
  <c r="M76" i="25"/>
  <c r="T25" i="18" s="1"/>
  <c r="H101" i="38" l="1"/>
  <c r="S63" i="38"/>
  <c r="R58" i="38"/>
  <c r="S63" i="36"/>
  <c r="H98" i="36"/>
  <c r="S62" i="38"/>
  <c r="E76" i="27"/>
  <c r="AK38" i="18"/>
  <c r="AI43" i="18"/>
  <c r="AI26" i="18"/>
  <c r="AJ43" i="18"/>
  <c r="AJ42" i="18"/>
  <c r="AK43" i="18"/>
  <c r="AH42" i="18"/>
  <c r="AI44" i="18"/>
  <c r="AK42" i="18"/>
  <c r="AL38" i="18"/>
  <c r="AJ44" i="18"/>
  <c r="AH44" i="18"/>
  <c r="H98" i="40"/>
  <c r="H101" i="40"/>
  <c r="AH38" i="18"/>
  <c r="AL26" i="18"/>
  <c r="AI42" i="18"/>
  <c r="AK44" i="18"/>
  <c r="H101" i="36"/>
  <c r="AH26" i="18"/>
  <c r="N76" i="37"/>
  <c r="AJ26" i="18"/>
  <c r="AK26" i="18"/>
  <c r="S61" i="39"/>
  <c r="S62" i="39"/>
  <c r="S60" i="36"/>
  <c r="AL44" i="18"/>
  <c r="AH43" i="18"/>
  <c r="AI38" i="18"/>
  <c r="N76" i="40"/>
  <c r="N76" i="39"/>
  <c r="S61" i="38"/>
  <c r="S60" i="38"/>
  <c r="N76" i="36"/>
  <c r="S62" i="36"/>
  <c r="N69" i="34"/>
  <c r="AF25" i="18"/>
  <c r="N72" i="34"/>
  <c r="N70" i="34"/>
  <c r="N72" i="30"/>
  <c r="AA25" i="18"/>
  <c r="E75" i="27"/>
  <c r="V25" i="18"/>
  <c r="S60" i="39"/>
  <c r="S61" i="36"/>
  <c r="S62" i="40"/>
  <c r="S61" i="40"/>
  <c r="I97" i="40"/>
  <c r="R75" i="40"/>
  <c r="R75" i="37"/>
  <c r="I97" i="37"/>
  <c r="I97" i="36"/>
  <c r="R75" i="36"/>
  <c r="R58" i="40"/>
  <c r="S63" i="40"/>
  <c r="S63" i="39"/>
  <c r="R58" i="39"/>
  <c r="H101" i="39"/>
  <c r="H98" i="39"/>
  <c r="S60" i="40"/>
  <c r="H101" i="37"/>
  <c r="H98" i="37"/>
  <c r="R58" i="37"/>
  <c r="I97" i="39"/>
  <c r="R75" i="39"/>
  <c r="S60" i="37"/>
  <c r="S62" i="37"/>
  <c r="I97" i="38"/>
  <c r="R75" i="38"/>
  <c r="S61" i="37"/>
  <c r="K98" i="40"/>
  <c r="K99" i="40" s="1"/>
  <c r="K100" i="40" s="1"/>
  <c r="J98" i="40"/>
  <c r="J99" i="40" s="1"/>
  <c r="J100" i="40" s="1"/>
  <c r="J98" i="39"/>
  <c r="J99" i="39" s="1"/>
  <c r="J100" i="39" s="1"/>
  <c r="K98" i="39"/>
  <c r="K99" i="39" s="1"/>
  <c r="K100" i="39" s="1"/>
  <c r="N76" i="38"/>
  <c r="J98" i="38"/>
  <c r="J99" i="38" s="1"/>
  <c r="J100" i="38" s="1"/>
  <c r="K98" i="38"/>
  <c r="K99" i="38" s="1"/>
  <c r="K100" i="38" s="1"/>
  <c r="K98" i="37"/>
  <c r="K99" i="37" s="1"/>
  <c r="K100" i="37" s="1"/>
  <c r="J98" i="37"/>
  <c r="J99" i="37" s="1"/>
  <c r="J100" i="37" s="1"/>
  <c r="K98" i="36"/>
  <c r="K99" i="36" s="1"/>
  <c r="K100" i="36" s="1"/>
  <c r="J98" i="36"/>
  <c r="J99" i="36" s="1"/>
  <c r="J100" i="36" s="1"/>
  <c r="M77" i="34"/>
  <c r="AF26" i="18" s="1"/>
  <c r="N73" i="34"/>
  <c r="N74" i="34"/>
  <c r="E77" i="34"/>
  <c r="N71" i="34"/>
  <c r="N75" i="34"/>
  <c r="E76" i="34"/>
  <c r="E75" i="34"/>
  <c r="M77" i="33"/>
  <c r="AE26" i="18" s="1"/>
  <c r="N71" i="33"/>
  <c r="N73" i="33"/>
  <c r="N74" i="33"/>
  <c r="N69" i="33"/>
  <c r="N75" i="33"/>
  <c r="E77" i="33"/>
  <c r="E76" i="33"/>
  <c r="N72" i="33"/>
  <c r="N70" i="33"/>
  <c r="E75" i="33"/>
  <c r="E75" i="32"/>
  <c r="E76" i="32"/>
  <c r="N69" i="32"/>
  <c r="N72" i="32"/>
  <c r="N73" i="32"/>
  <c r="N70" i="32"/>
  <c r="M77" i="32"/>
  <c r="AD26" i="18" s="1"/>
  <c r="N71" i="32"/>
  <c r="N75" i="32"/>
  <c r="E77" i="32"/>
  <c r="N74" i="32"/>
  <c r="N72" i="31"/>
  <c r="N70" i="31"/>
  <c r="E76" i="31"/>
  <c r="E75" i="31"/>
  <c r="N69" i="31"/>
  <c r="M77" i="31"/>
  <c r="AC26" i="18" s="1"/>
  <c r="N71" i="31"/>
  <c r="N75" i="31"/>
  <c r="N74" i="31"/>
  <c r="E77" i="31"/>
  <c r="N73" i="31"/>
  <c r="N73" i="30"/>
  <c r="E75" i="30"/>
  <c r="M77" i="30"/>
  <c r="AA26" i="18" s="1"/>
  <c r="E77" i="30"/>
  <c r="N75" i="30"/>
  <c r="N74" i="30"/>
  <c r="N71" i="30"/>
  <c r="N69" i="30"/>
  <c r="E76" i="30"/>
  <c r="N70" i="30"/>
  <c r="E75" i="29"/>
  <c r="M77" i="29"/>
  <c r="Z26" i="18" s="1"/>
  <c r="N69" i="29"/>
  <c r="E77" i="29"/>
  <c r="N73" i="29"/>
  <c r="N75" i="29"/>
  <c r="N71" i="29"/>
  <c r="N74" i="29"/>
  <c r="N70" i="29"/>
  <c r="E76" i="29"/>
  <c r="N72" i="29"/>
  <c r="E76" i="28"/>
  <c r="N72" i="28"/>
  <c r="M77" i="28"/>
  <c r="Y26" i="18" s="1"/>
  <c r="N71" i="28"/>
  <c r="N70" i="28"/>
  <c r="N73" i="28"/>
  <c r="N74" i="28"/>
  <c r="E77" i="28"/>
  <c r="N75" i="28"/>
  <c r="E75" i="28"/>
  <c r="N69" i="28"/>
  <c r="N70" i="23"/>
  <c r="M77" i="23"/>
  <c r="X26" i="18" s="1"/>
  <c r="N75" i="23"/>
  <c r="N72" i="23"/>
  <c r="N73" i="23"/>
  <c r="N71" i="23"/>
  <c r="E76" i="23"/>
  <c r="N74" i="23"/>
  <c r="E77" i="23"/>
  <c r="E75" i="23"/>
  <c r="N69" i="23"/>
  <c r="M77" i="27"/>
  <c r="V26" i="18" s="1"/>
  <c r="N73" i="27"/>
  <c r="N71" i="27"/>
  <c r="N75" i="27"/>
  <c r="N70" i="27"/>
  <c r="E77" i="27"/>
  <c r="N74" i="27"/>
  <c r="N69" i="27"/>
  <c r="N72" i="26"/>
  <c r="N70" i="26"/>
  <c r="E76" i="26"/>
  <c r="M77" i="26"/>
  <c r="U26" i="18" s="1"/>
  <c r="N75" i="26"/>
  <c r="E77" i="26"/>
  <c r="N71" i="26"/>
  <c r="N73" i="26"/>
  <c r="N74" i="26"/>
  <c r="E75" i="26"/>
  <c r="N69" i="26"/>
  <c r="M77" i="25"/>
  <c r="T26" i="18" s="1"/>
  <c r="N75" i="25"/>
  <c r="N74" i="25"/>
  <c r="E77" i="25"/>
  <c r="N71" i="25"/>
  <c r="E75" i="25"/>
  <c r="E76" i="25"/>
  <c r="N72" i="25"/>
  <c r="N69" i="25"/>
  <c r="N73" i="25"/>
  <c r="N70" i="25"/>
  <c r="S64" i="38" l="1"/>
  <c r="R64" i="38"/>
  <c r="R66" i="38" s="1"/>
  <c r="R70" i="38" s="1"/>
  <c r="AJ27" i="18" s="1"/>
  <c r="R64" i="36"/>
  <c r="R66" i="36" s="1"/>
  <c r="R70" i="36" s="1"/>
  <c r="AH27" i="18" s="1"/>
  <c r="AJ32" i="18"/>
  <c r="AK32" i="18"/>
  <c r="AI32" i="18"/>
  <c r="AH32" i="18"/>
  <c r="AL32" i="18"/>
  <c r="S64" i="36"/>
  <c r="R64" i="39"/>
  <c r="R66" i="39" s="1"/>
  <c r="R70" i="39" s="1"/>
  <c r="N76" i="25"/>
  <c r="R64" i="37"/>
  <c r="R66" i="37" s="1"/>
  <c r="R70" i="37" s="1"/>
  <c r="S64" i="39"/>
  <c r="J101" i="39"/>
  <c r="I102" i="39" s="1"/>
  <c r="I98" i="39"/>
  <c r="R65" i="39"/>
  <c r="R90" i="39"/>
  <c r="R59" i="39"/>
  <c r="S64" i="40"/>
  <c r="R64" i="40"/>
  <c r="R66" i="40" s="1"/>
  <c r="R70" i="40" s="1"/>
  <c r="R59" i="37"/>
  <c r="R90" i="37"/>
  <c r="J101" i="37"/>
  <c r="I102" i="37" s="1"/>
  <c r="I98" i="37"/>
  <c r="R65" i="37"/>
  <c r="J101" i="38"/>
  <c r="I102" i="38" s="1"/>
  <c r="I98" i="38"/>
  <c r="R65" i="38"/>
  <c r="R90" i="38"/>
  <c r="R59" i="38"/>
  <c r="S64" i="37"/>
  <c r="J101" i="36"/>
  <c r="I102" i="36" s="1"/>
  <c r="I98" i="36"/>
  <c r="R65" i="36"/>
  <c r="R90" i="36"/>
  <c r="R59" i="36"/>
  <c r="R90" i="40"/>
  <c r="R65" i="40"/>
  <c r="R59" i="40"/>
  <c r="I98" i="40"/>
  <c r="J101" i="40"/>
  <c r="I102" i="40" s="1"/>
  <c r="N76" i="34"/>
  <c r="K98" i="34"/>
  <c r="K99" i="34" s="1"/>
  <c r="K100" i="34" s="1"/>
  <c r="J98" i="34"/>
  <c r="J99" i="34" s="1"/>
  <c r="J100" i="34" s="1"/>
  <c r="N76" i="33"/>
  <c r="K98" i="33"/>
  <c r="K99" i="33" s="1"/>
  <c r="K100" i="33" s="1"/>
  <c r="J98" i="33"/>
  <c r="J99" i="33" s="1"/>
  <c r="J100" i="33" s="1"/>
  <c r="N76" i="32"/>
  <c r="K98" i="32"/>
  <c r="K99" i="32" s="1"/>
  <c r="K100" i="32" s="1"/>
  <c r="J98" i="32"/>
  <c r="J99" i="32" s="1"/>
  <c r="J100" i="32" s="1"/>
  <c r="K98" i="31"/>
  <c r="K99" i="31" s="1"/>
  <c r="K100" i="31" s="1"/>
  <c r="J98" i="31"/>
  <c r="J99" i="31" s="1"/>
  <c r="J100" i="31" s="1"/>
  <c r="N76" i="31"/>
  <c r="N76" i="30"/>
  <c r="K98" i="30"/>
  <c r="K99" i="30" s="1"/>
  <c r="K100" i="30" s="1"/>
  <c r="J98" i="30"/>
  <c r="J99" i="30" s="1"/>
  <c r="J100" i="30" s="1"/>
  <c r="N76" i="29"/>
  <c r="K98" i="29"/>
  <c r="K99" i="29" s="1"/>
  <c r="K100" i="29" s="1"/>
  <c r="J98" i="29"/>
  <c r="J99" i="29" s="1"/>
  <c r="J100" i="29" s="1"/>
  <c r="K98" i="28"/>
  <c r="K99" i="28" s="1"/>
  <c r="K100" i="28" s="1"/>
  <c r="J98" i="28"/>
  <c r="J99" i="28" s="1"/>
  <c r="J100" i="28" s="1"/>
  <c r="N76" i="28"/>
  <c r="N76" i="23"/>
  <c r="K98" i="23"/>
  <c r="K99" i="23" s="1"/>
  <c r="K100" i="23" s="1"/>
  <c r="J98" i="23"/>
  <c r="J99" i="23" s="1"/>
  <c r="J100" i="23" s="1"/>
  <c r="K98" i="27"/>
  <c r="K99" i="27" s="1"/>
  <c r="K100" i="27" s="1"/>
  <c r="J98" i="27"/>
  <c r="J99" i="27" s="1"/>
  <c r="J100" i="27" s="1"/>
  <c r="N76" i="27"/>
  <c r="K98" i="26"/>
  <c r="K99" i="26" s="1"/>
  <c r="K100" i="26" s="1"/>
  <c r="J98" i="26"/>
  <c r="J99" i="26" s="1"/>
  <c r="J100" i="26" s="1"/>
  <c r="N76" i="26"/>
  <c r="K98" i="25"/>
  <c r="K99" i="25" s="1"/>
  <c r="K100" i="25" s="1"/>
  <c r="J98" i="25"/>
  <c r="J99" i="25" s="1"/>
  <c r="J100" i="25" s="1"/>
  <c r="AI47" i="18" l="1"/>
  <c r="AI31" i="18" s="1"/>
  <c r="AK27" i="18"/>
  <c r="AL47" i="18"/>
  <c r="AL31" i="18" s="1"/>
  <c r="AJ47" i="18"/>
  <c r="AJ31" i="18" s="1"/>
  <c r="AK47" i="18"/>
  <c r="AK31" i="18" s="1"/>
  <c r="AI27" i="18"/>
  <c r="AL27" i="18"/>
  <c r="S65" i="37"/>
  <c r="R67" i="37"/>
  <c r="S78" i="37"/>
  <c r="S82" i="37"/>
  <c r="S77" i="37"/>
  <c r="S83" i="37"/>
  <c r="S79" i="37"/>
  <c r="S88" i="37"/>
  <c r="S85" i="37"/>
  <c r="S80" i="37"/>
  <c r="S81" i="37"/>
  <c r="S84" i="37"/>
  <c r="S89" i="37"/>
  <c r="S87" i="37"/>
  <c r="S86" i="37"/>
  <c r="S76" i="37"/>
  <c r="R67" i="38"/>
  <c r="S65" i="38"/>
  <c r="S86" i="40"/>
  <c r="S85" i="40"/>
  <c r="S76" i="40"/>
  <c r="S87" i="40"/>
  <c r="S81" i="40"/>
  <c r="S79" i="40"/>
  <c r="S82" i="40"/>
  <c r="S89" i="40"/>
  <c r="S75" i="40"/>
  <c r="S78" i="40"/>
  <c r="S80" i="40"/>
  <c r="S77" i="40"/>
  <c r="S88" i="40"/>
  <c r="S83" i="40"/>
  <c r="S84" i="40"/>
  <c r="S78" i="36"/>
  <c r="S76" i="36"/>
  <c r="S87" i="36"/>
  <c r="S80" i="36"/>
  <c r="S81" i="36"/>
  <c r="S79" i="36"/>
  <c r="S82" i="36"/>
  <c r="S86" i="36"/>
  <c r="S88" i="36"/>
  <c r="S85" i="36"/>
  <c r="S77" i="36"/>
  <c r="S83" i="36"/>
  <c r="S89" i="36"/>
  <c r="S84" i="36"/>
  <c r="S75" i="36"/>
  <c r="R67" i="39"/>
  <c r="S65" i="39"/>
  <c r="S65" i="40"/>
  <c r="R67" i="40"/>
  <c r="R67" i="36"/>
  <c r="S65" i="36"/>
  <c r="S75" i="38"/>
  <c r="S83" i="38"/>
  <c r="S80" i="38"/>
  <c r="S79" i="38"/>
  <c r="S86" i="38"/>
  <c r="S82" i="38"/>
  <c r="S76" i="38"/>
  <c r="S77" i="38"/>
  <c r="S88" i="38"/>
  <c r="S85" i="38"/>
  <c r="S89" i="38"/>
  <c r="S81" i="38"/>
  <c r="S78" i="38"/>
  <c r="S87" i="38"/>
  <c r="S84" i="38"/>
  <c r="S75" i="37"/>
  <c r="S88" i="39"/>
  <c r="S78" i="39"/>
  <c r="S81" i="39"/>
  <c r="S89" i="39"/>
  <c r="S79" i="39"/>
  <c r="S76" i="39"/>
  <c r="S83" i="39"/>
  <c r="S86" i="39"/>
  <c r="S82" i="39"/>
  <c r="S75" i="39"/>
  <c r="S84" i="39"/>
  <c r="S80" i="39"/>
  <c r="S77" i="39"/>
  <c r="S85" i="39"/>
  <c r="S87" i="39"/>
  <c r="AO29" i="18"/>
  <c r="C83" i="24"/>
  <c r="C84" i="24" s="1"/>
  <c r="C85" i="24" s="1"/>
  <c r="C86" i="24" s="1"/>
  <c r="C87" i="24" s="1"/>
  <c r="C88" i="24" s="1"/>
  <c r="C89" i="24" s="1"/>
  <c r="C90" i="24" s="1"/>
  <c r="C91" i="24" s="1"/>
  <c r="C92" i="24" s="1"/>
  <c r="C93" i="24" s="1"/>
  <c r="C94" i="24" s="1"/>
  <c r="C95" i="24" s="1"/>
  <c r="C96" i="24" s="1"/>
  <c r="I75" i="24"/>
  <c r="I74" i="24"/>
  <c r="I76" i="24" s="1"/>
  <c r="G74" i="24"/>
  <c r="G75" i="24" s="1"/>
  <c r="G76" i="24" s="1"/>
  <c r="I73" i="24"/>
  <c r="E71" i="24"/>
  <c r="E70" i="24"/>
  <c r="E69" i="24"/>
  <c r="I68" i="24"/>
  <c r="E68" i="24"/>
  <c r="I67" i="24"/>
  <c r="E67" i="24"/>
  <c r="I66" i="24"/>
  <c r="E66" i="24"/>
  <c r="I65" i="24"/>
  <c r="E65" i="24"/>
  <c r="I64" i="24"/>
  <c r="E64" i="24"/>
  <c r="I63" i="24"/>
  <c r="I62" i="24"/>
  <c r="I61" i="24"/>
  <c r="I60" i="24"/>
  <c r="I59" i="24"/>
  <c r="E59" i="24"/>
  <c r="I58" i="24"/>
  <c r="E58" i="24"/>
  <c r="I57" i="24"/>
  <c r="G57" i="24"/>
  <c r="G58" i="24" s="1"/>
  <c r="G59" i="24" s="1"/>
  <c r="G60" i="24" s="1"/>
  <c r="G61" i="24" s="1"/>
  <c r="G62" i="24" s="1"/>
  <c r="G63" i="24" s="1"/>
  <c r="G64" i="24" s="1"/>
  <c r="G65" i="24" s="1"/>
  <c r="G66" i="24" s="1"/>
  <c r="G67" i="24" s="1"/>
  <c r="G68" i="24" s="1"/>
  <c r="C64" i="24" s="1"/>
  <c r="C65" i="24" s="1"/>
  <c r="C66" i="24" s="1"/>
  <c r="C67" i="24" s="1"/>
  <c r="C68" i="24" s="1"/>
  <c r="C69" i="24" s="1"/>
  <c r="C70" i="24" s="1"/>
  <c r="C71" i="24" s="1"/>
  <c r="E57" i="24"/>
  <c r="C57" i="24"/>
  <c r="C58" i="24" s="1"/>
  <c r="C59" i="24" s="1"/>
  <c r="I56" i="24"/>
  <c r="E56" i="24"/>
  <c r="I49" i="24"/>
  <c r="U53" i="24" s="1"/>
  <c r="H49" i="24"/>
  <c r="E49" i="24"/>
  <c r="U51" i="24" s="1"/>
  <c r="D49" i="24"/>
  <c r="I48" i="24"/>
  <c r="H48" i="24"/>
  <c r="E48" i="24"/>
  <c r="U50" i="24" s="1"/>
  <c r="D48" i="24"/>
  <c r="I47" i="24"/>
  <c r="U48" i="24" s="1"/>
  <c r="H47" i="24"/>
  <c r="E47" i="24"/>
  <c r="U49" i="24" s="1"/>
  <c r="D47" i="24"/>
  <c r="I46" i="24"/>
  <c r="U54" i="24" s="1"/>
  <c r="H46" i="24"/>
  <c r="E46" i="24"/>
  <c r="U40" i="24" s="1"/>
  <c r="D46" i="24"/>
  <c r="I45" i="24"/>
  <c r="H45" i="24"/>
  <c r="E45" i="24"/>
  <c r="U38" i="24" s="1"/>
  <c r="D45" i="24"/>
  <c r="I44" i="24"/>
  <c r="H44" i="24"/>
  <c r="E44" i="24"/>
  <c r="U39" i="24" s="1"/>
  <c r="D44" i="24"/>
  <c r="M43" i="24"/>
  <c r="X38" i="24" s="1"/>
  <c r="L43" i="24"/>
  <c r="K43" i="24"/>
  <c r="I43" i="24"/>
  <c r="H43" i="24"/>
  <c r="G43" i="24"/>
  <c r="G44" i="24" s="1"/>
  <c r="G45" i="24" s="1"/>
  <c r="G46" i="24" s="1"/>
  <c r="G47" i="24" s="1"/>
  <c r="G48" i="24" s="1"/>
  <c r="E43" i="24"/>
  <c r="D43" i="24"/>
  <c r="M42" i="24"/>
  <c r="L42" i="24"/>
  <c r="I42" i="24"/>
  <c r="H42" i="24"/>
  <c r="P37" i="24"/>
  <c r="P38" i="24" s="1"/>
  <c r="P39" i="24" s="1"/>
  <c r="P40" i="24" s="1"/>
  <c r="P41" i="24" s="1"/>
  <c r="P42" i="24" s="1"/>
  <c r="P43" i="24" s="1"/>
  <c r="P44" i="24" s="1"/>
  <c r="P45" i="24" s="1"/>
  <c r="P46" i="24" s="1"/>
  <c r="P47" i="24" s="1"/>
  <c r="P48" i="24" s="1"/>
  <c r="P49" i="24" s="1"/>
  <c r="P50" i="24" s="1"/>
  <c r="P51" i="24" s="1"/>
  <c r="P52" i="24" s="1"/>
  <c r="P53" i="24" s="1"/>
  <c r="P54" i="24" s="1"/>
  <c r="S36" i="24" s="1"/>
  <c r="S37" i="24" s="1"/>
  <c r="S38" i="24" s="1"/>
  <c r="S39" i="24" s="1"/>
  <c r="S40" i="24" s="1"/>
  <c r="S41" i="24" s="1"/>
  <c r="S42" i="24" s="1"/>
  <c r="S43" i="24" s="1"/>
  <c r="S44" i="24" s="1"/>
  <c r="S45" i="24" s="1"/>
  <c r="I36" i="24"/>
  <c r="H36" i="24"/>
  <c r="I35" i="24"/>
  <c r="U46" i="24" s="1"/>
  <c r="H35" i="24"/>
  <c r="R53" i="24"/>
  <c r="M34" i="24"/>
  <c r="X45" i="24" s="1"/>
  <c r="L34" i="24"/>
  <c r="I34" i="24"/>
  <c r="H34" i="24"/>
  <c r="R52" i="24"/>
  <c r="M33" i="24"/>
  <c r="X44" i="24" s="1"/>
  <c r="L33" i="24"/>
  <c r="I33" i="24"/>
  <c r="H33" i="24"/>
  <c r="R41" i="24"/>
  <c r="M32" i="24"/>
  <c r="X43" i="24" s="1"/>
  <c r="L32" i="24"/>
  <c r="I32" i="24"/>
  <c r="H32" i="24"/>
  <c r="R39" i="24"/>
  <c r="M31" i="24"/>
  <c r="X54" i="24" s="1"/>
  <c r="L31" i="24"/>
  <c r="I31" i="24"/>
  <c r="H31" i="24"/>
  <c r="M30" i="24"/>
  <c r="X53" i="24" s="1"/>
  <c r="L30" i="24"/>
  <c r="I30" i="24"/>
  <c r="H30" i="24"/>
  <c r="M29" i="24"/>
  <c r="X40" i="24" s="1"/>
  <c r="L29" i="24"/>
  <c r="I29" i="24"/>
  <c r="H29" i="24"/>
  <c r="M28" i="24"/>
  <c r="X52" i="24" s="1"/>
  <c r="L28" i="24"/>
  <c r="I28" i="24"/>
  <c r="H28" i="24"/>
  <c r="M27" i="24"/>
  <c r="X51" i="24" s="1"/>
  <c r="L27" i="24"/>
  <c r="I27" i="24"/>
  <c r="H27" i="24"/>
  <c r="M26" i="24"/>
  <c r="X50" i="24" s="1"/>
  <c r="L26" i="24"/>
  <c r="I26" i="24"/>
  <c r="R48" i="24" s="1"/>
  <c r="H26" i="24"/>
  <c r="G26" i="24"/>
  <c r="G27" i="24" s="1"/>
  <c r="G28" i="24" s="1"/>
  <c r="G29" i="24" s="1"/>
  <c r="G30" i="24" s="1"/>
  <c r="G31" i="24" s="1"/>
  <c r="G32" i="24" s="1"/>
  <c r="G33" i="24" s="1"/>
  <c r="G34" i="24" s="1"/>
  <c r="G35" i="24" s="1"/>
  <c r="G36" i="24" s="1"/>
  <c r="M25" i="24"/>
  <c r="X49" i="24" s="1"/>
  <c r="L25" i="24"/>
  <c r="I25" i="24"/>
  <c r="H25" i="24"/>
  <c r="G25" i="24"/>
  <c r="E25" i="24"/>
  <c r="D25" i="24"/>
  <c r="M24" i="24"/>
  <c r="L24" i="24"/>
  <c r="K24" i="24"/>
  <c r="K23" i="24" s="1"/>
  <c r="K25" i="24" s="1"/>
  <c r="K26" i="24" s="1"/>
  <c r="K27" i="24" s="1"/>
  <c r="K28" i="24" s="1"/>
  <c r="K29" i="24" s="1"/>
  <c r="K30" i="24" s="1"/>
  <c r="K31" i="24" s="1"/>
  <c r="K32" i="24" s="1"/>
  <c r="K33" i="24" s="1"/>
  <c r="K34" i="24" s="1"/>
  <c r="I24" i="24"/>
  <c r="H24" i="24"/>
  <c r="E24" i="24"/>
  <c r="D24" i="24"/>
  <c r="M23" i="24"/>
  <c r="L23" i="24"/>
  <c r="E23" i="24"/>
  <c r="D23" i="24"/>
  <c r="C23" i="24"/>
  <c r="C24" i="24" s="1"/>
  <c r="M22" i="24"/>
  <c r="L22" i="24"/>
  <c r="E22" i="24"/>
  <c r="D22" i="24"/>
  <c r="I18" i="24"/>
  <c r="H18" i="24"/>
  <c r="I17" i="24"/>
  <c r="U52" i="24" s="1"/>
  <c r="H17" i="24"/>
  <c r="I16" i="24"/>
  <c r="H16" i="24"/>
  <c r="E16" i="24"/>
  <c r="R44" i="24" s="1"/>
  <c r="D16" i="24"/>
  <c r="I15" i="24"/>
  <c r="H15" i="24"/>
  <c r="E15" i="24"/>
  <c r="R37" i="24" s="1"/>
  <c r="D15" i="24"/>
  <c r="M14" i="24"/>
  <c r="L14" i="24"/>
  <c r="I14" i="24"/>
  <c r="H14" i="24"/>
  <c r="E14" i="24"/>
  <c r="D14" i="24"/>
  <c r="M13" i="24"/>
  <c r="L13" i="24"/>
  <c r="I13" i="24"/>
  <c r="H13" i="24"/>
  <c r="E13" i="24"/>
  <c r="U43" i="24" s="1"/>
  <c r="D13" i="24"/>
  <c r="M12" i="24"/>
  <c r="X39" i="24" s="1"/>
  <c r="L12" i="24"/>
  <c r="I12" i="24"/>
  <c r="H12" i="24"/>
  <c r="E12" i="24"/>
  <c r="R45" i="24" s="1"/>
  <c r="D12" i="24"/>
  <c r="M11" i="24"/>
  <c r="X42" i="24" s="1"/>
  <c r="L11" i="24"/>
  <c r="I11" i="24"/>
  <c r="H11" i="24"/>
  <c r="E11" i="24"/>
  <c r="D11" i="24"/>
  <c r="M10" i="24"/>
  <c r="X48" i="24" s="1"/>
  <c r="L10" i="24"/>
  <c r="K10" i="24"/>
  <c r="K11" i="24" s="1"/>
  <c r="K12" i="24" s="1"/>
  <c r="I10" i="24"/>
  <c r="H10" i="24"/>
  <c r="E10" i="24"/>
  <c r="R43" i="24" s="1"/>
  <c r="D10" i="24"/>
  <c r="M9" i="24"/>
  <c r="X36" i="24" s="1"/>
  <c r="L9" i="24"/>
  <c r="I9" i="24"/>
  <c r="H9" i="24"/>
  <c r="E9" i="24"/>
  <c r="D9" i="24"/>
  <c r="M8" i="24"/>
  <c r="L8" i="24"/>
  <c r="K8" i="24"/>
  <c r="I8" i="24"/>
  <c r="R47" i="24" s="1"/>
  <c r="H8" i="24"/>
  <c r="E8" i="24"/>
  <c r="R38" i="24" s="1"/>
  <c r="D8" i="24"/>
  <c r="M7" i="24"/>
  <c r="L7" i="24"/>
  <c r="I7" i="24"/>
  <c r="H7" i="24"/>
  <c r="G7" i="24"/>
  <c r="G8" i="24" s="1"/>
  <c r="G9" i="24" s="1"/>
  <c r="G10" i="24" s="1"/>
  <c r="G11" i="24" s="1"/>
  <c r="G12" i="24" s="1"/>
  <c r="G13" i="24" s="1"/>
  <c r="G14" i="24" s="1"/>
  <c r="G15" i="24" s="1"/>
  <c r="G16" i="24" s="1"/>
  <c r="G17" i="24" s="1"/>
  <c r="G49" i="24" s="1"/>
  <c r="G18" i="24" s="1"/>
  <c r="E7" i="24"/>
  <c r="R36" i="24" s="1"/>
  <c r="D7" i="24"/>
  <c r="C7" i="24"/>
  <c r="C8" i="24" s="1"/>
  <c r="C9" i="24" s="1"/>
  <c r="C10" i="24" s="1"/>
  <c r="C11" i="24" s="1"/>
  <c r="C12" i="24" s="1"/>
  <c r="C13" i="24" s="1"/>
  <c r="C14" i="24" s="1"/>
  <c r="C15" i="24" s="1"/>
  <c r="C16" i="24" s="1"/>
  <c r="C25" i="24" s="1"/>
  <c r="M6" i="24"/>
  <c r="L6" i="24"/>
  <c r="I6" i="24"/>
  <c r="H6" i="24"/>
  <c r="E6" i="24"/>
  <c r="D6" i="24"/>
  <c r="C83" i="22"/>
  <c r="C84" i="22" s="1"/>
  <c r="C85" i="22" s="1"/>
  <c r="C86" i="22" s="1"/>
  <c r="C87" i="22" s="1"/>
  <c r="C88" i="22" s="1"/>
  <c r="C89" i="22" s="1"/>
  <c r="C90" i="22" s="1"/>
  <c r="C91" i="22" s="1"/>
  <c r="C92" i="22" s="1"/>
  <c r="C93" i="22" s="1"/>
  <c r="C94" i="22" s="1"/>
  <c r="C95" i="22" s="1"/>
  <c r="C96" i="22" s="1"/>
  <c r="I75" i="22"/>
  <c r="I74" i="22"/>
  <c r="I76" i="22" s="1"/>
  <c r="G74" i="22"/>
  <c r="G75" i="22" s="1"/>
  <c r="G76" i="22" s="1"/>
  <c r="I73" i="22"/>
  <c r="E71" i="22"/>
  <c r="E70" i="22"/>
  <c r="E69" i="22"/>
  <c r="I68" i="22"/>
  <c r="E68" i="22"/>
  <c r="I67" i="22"/>
  <c r="E67" i="22"/>
  <c r="I66" i="22"/>
  <c r="E66" i="22"/>
  <c r="I65" i="22"/>
  <c r="E65" i="22"/>
  <c r="I64" i="22"/>
  <c r="E64" i="22"/>
  <c r="I63" i="22"/>
  <c r="I62" i="22"/>
  <c r="I61" i="22"/>
  <c r="I60" i="22"/>
  <c r="I59" i="22"/>
  <c r="E59" i="22"/>
  <c r="I58" i="22"/>
  <c r="E58" i="22"/>
  <c r="I57" i="22"/>
  <c r="G57" i="22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C64" i="22" s="1"/>
  <c r="C65" i="22" s="1"/>
  <c r="C66" i="22" s="1"/>
  <c r="C67" i="22" s="1"/>
  <c r="C68" i="22" s="1"/>
  <c r="C69" i="22" s="1"/>
  <c r="C70" i="22" s="1"/>
  <c r="C71" i="22" s="1"/>
  <c r="E57" i="22"/>
  <c r="C57" i="22"/>
  <c r="C58" i="22" s="1"/>
  <c r="C59" i="22" s="1"/>
  <c r="I56" i="22"/>
  <c r="E56" i="22"/>
  <c r="I49" i="22"/>
  <c r="U53" i="22" s="1"/>
  <c r="H49" i="22"/>
  <c r="E49" i="22"/>
  <c r="U51" i="22" s="1"/>
  <c r="D49" i="22"/>
  <c r="I48" i="22"/>
  <c r="H48" i="22"/>
  <c r="E48" i="22"/>
  <c r="U50" i="22" s="1"/>
  <c r="D48" i="22"/>
  <c r="I47" i="22"/>
  <c r="U48" i="22" s="1"/>
  <c r="H47" i="22"/>
  <c r="E47" i="22"/>
  <c r="U49" i="22" s="1"/>
  <c r="D47" i="22"/>
  <c r="I46" i="22"/>
  <c r="U54" i="22" s="1"/>
  <c r="H46" i="22"/>
  <c r="E46" i="22"/>
  <c r="U40" i="22" s="1"/>
  <c r="D46" i="22"/>
  <c r="I45" i="22"/>
  <c r="H45" i="22"/>
  <c r="E45" i="22"/>
  <c r="U38" i="22" s="1"/>
  <c r="D45" i="22"/>
  <c r="I44" i="22"/>
  <c r="H44" i="22"/>
  <c r="E44" i="22"/>
  <c r="U39" i="22" s="1"/>
  <c r="D44" i="22"/>
  <c r="M43" i="22"/>
  <c r="L43" i="22"/>
  <c r="K43" i="22"/>
  <c r="I43" i="22"/>
  <c r="H43" i="22"/>
  <c r="G43" i="22"/>
  <c r="G44" i="22" s="1"/>
  <c r="G45" i="22" s="1"/>
  <c r="G46" i="22" s="1"/>
  <c r="G47" i="22" s="1"/>
  <c r="G48" i="22" s="1"/>
  <c r="E43" i="22"/>
  <c r="D43" i="22"/>
  <c r="M42" i="22"/>
  <c r="L42" i="22"/>
  <c r="I42" i="22"/>
  <c r="H42" i="22"/>
  <c r="P37" i="22"/>
  <c r="P38" i="22" s="1"/>
  <c r="P39" i="22" s="1"/>
  <c r="P40" i="22" s="1"/>
  <c r="P41" i="22" s="1"/>
  <c r="P42" i="22" s="1"/>
  <c r="P43" i="22" s="1"/>
  <c r="P44" i="22" s="1"/>
  <c r="P45" i="22" s="1"/>
  <c r="P46" i="22" s="1"/>
  <c r="P47" i="22" s="1"/>
  <c r="P48" i="22" s="1"/>
  <c r="P49" i="22" s="1"/>
  <c r="P50" i="22" s="1"/>
  <c r="P51" i="22" s="1"/>
  <c r="P52" i="22" s="1"/>
  <c r="P53" i="22" s="1"/>
  <c r="P54" i="22" s="1"/>
  <c r="S36" i="22" s="1"/>
  <c r="S37" i="22" s="1"/>
  <c r="S38" i="22" s="1"/>
  <c r="S39" i="22" s="1"/>
  <c r="S40" i="22" s="1"/>
  <c r="S41" i="22" s="1"/>
  <c r="S42" i="22" s="1"/>
  <c r="S43" i="22" s="1"/>
  <c r="S44" i="22" s="1"/>
  <c r="S45" i="22" s="1"/>
  <c r="I36" i="22"/>
  <c r="H36" i="22"/>
  <c r="I35" i="22"/>
  <c r="U46" i="22" s="1"/>
  <c r="H35" i="22"/>
  <c r="R53" i="22"/>
  <c r="M34" i="22"/>
  <c r="X45" i="22" s="1"/>
  <c r="L34" i="22"/>
  <c r="I34" i="22"/>
  <c r="H34" i="22"/>
  <c r="R52" i="22"/>
  <c r="M33" i="22"/>
  <c r="X44" i="22" s="1"/>
  <c r="L33" i="22"/>
  <c r="I33" i="22"/>
  <c r="H33" i="22"/>
  <c r="R41" i="22"/>
  <c r="M32" i="22"/>
  <c r="X43" i="22" s="1"/>
  <c r="L32" i="22"/>
  <c r="I32" i="22"/>
  <c r="H32" i="22"/>
  <c r="R39" i="22"/>
  <c r="M31" i="22"/>
  <c r="X54" i="22" s="1"/>
  <c r="L31" i="22"/>
  <c r="I31" i="22"/>
  <c r="H31" i="22"/>
  <c r="M30" i="22"/>
  <c r="X53" i="22" s="1"/>
  <c r="L30" i="22"/>
  <c r="I30" i="22"/>
  <c r="H30" i="22"/>
  <c r="M29" i="22"/>
  <c r="X40" i="22" s="1"/>
  <c r="L29" i="22"/>
  <c r="I29" i="22"/>
  <c r="H29" i="22"/>
  <c r="M28" i="22"/>
  <c r="X52" i="22" s="1"/>
  <c r="L28" i="22"/>
  <c r="I28" i="22"/>
  <c r="H28" i="22"/>
  <c r="M27" i="22"/>
  <c r="X51" i="22" s="1"/>
  <c r="L27" i="22"/>
  <c r="I27" i="22"/>
  <c r="H27" i="22"/>
  <c r="M26" i="22"/>
  <c r="X50" i="22" s="1"/>
  <c r="L26" i="22"/>
  <c r="I26" i="22"/>
  <c r="R48" i="22" s="1"/>
  <c r="H26" i="22"/>
  <c r="G26" i="22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M25" i="22"/>
  <c r="X49" i="22" s="1"/>
  <c r="L25" i="22"/>
  <c r="I25" i="22"/>
  <c r="H25" i="22"/>
  <c r="G25" i="22"/>
  <c r="E25" i="22"/>
  <c r="D25" i="22"/>
  <c r="M24" i="22"/>
  <c r="L24" i="22"/>
  <c r="K24" i="22"/>
  <c r="K23" i="22" s="1"/>
  <c r="K25" i="22" s="1"/>
  <c r="K26" i="22" s="1"/>
  <c r="K27" i="22" s="1"/>
  <c r="K28" i="22" s="1"/>
  <c r="K29" i="22" s="1"/>
  <c r="K30" i="22" s="1"/>
  <c r="K31" i="22" s="1"/>
  <c r="K32" i="22" s="1"/>
  <c r="K33" i="22" s="1"/>
  <c r="K34" i="22" s="1"/>
  <c r="I24" i="22"/>
  <c r="H24" i="22"/>
  <c r="E24" i="22"/>
  <c r="D24" i="22"/>
  <c r="M23" i="22"/>
  <c r="L23" i="22"/>
  <c r="E23" i="22"/>
  <c r="D23" i="22"/>
  <c r="C23" i="22"/>
  <c r="C24" i="22" s="1"/>
  <c r="M22" i="22"/>
  <c r="L22" i="22"/>
  <c r="E22" i="22"/>
  <c r="D22" i="22"/>
  <c r="I18" i="22"/>
  <c r="H18" i="22"/>
  <c r="I17" i="22"/>
  <c r="U52" i="22" s="1"/>
  <c r="H17" i="22"/>
  <c r="I16" i="22"/>
  <c r="H16" i="22"/>
  <c r="E16" i="22"/>
  <c r="R44" i="22" s="1"/>
  <c r="D16" i="22"/>
  <c r="I15" i="22"/>
  <c r="H15" i="22"/>
  <c r="E15" i="22"/>
  <c r="R37" i="22" s="1"/>
  <c r="D15" i="22"/>
  <c r="M14" i="22"/>
  <c r="L14" i="22"/>
  <c r="I14" i="22"/>
  <c r="H14" i="22"/>
  <c r="E14" i="22"/>
  <c r="D14" i="22"/>
  <c r="M13" i="22"/>
  <c r="L13" i="22"/>
  <c r="I13" i="22"/>
  <c r="H13" i="22"/>
  <c r="E13" i="22"/>
  <c r="U43" i="22" s="1"/>
  <c r="D13" i="22"/>
  <c r="M12" i="22"/>
  <c r="X39" i="22" s="1"/>
  <c r="L12" i="22"/>
  <c r="I12" i="22"/>
  <c r="H12" i="22"/>
  <c r="E12" i="22"/>
  <c r="R45" i="22" s="1"/>
  <c r="D12" i="22"/>
  <c r="M11" i="22"/>
  <c r="X42" i="22" s="1"/>
  <c r="L11" i="22"/>
  <c r="K11" i="22"/>
  <c r="K12" i="22" s="1"/>
  <c r="I11" i="22"/>
  <c r="H11" i="22"/>
  <c r="E11" i="22"/>
  <c r="D11" i="22"/>
  <c r="M10" i="22"/>
  <c r="X48" i="22" s="1"/>
  <c r="L10" i="22"/>
  <c r="K10" i="22"/>
  <c r="I10" i="22"/>
  <c r="H10" i="22"/>
  <c r="E10" i="22"/>
  <c r="R43" i="22" s="1"/>
  <c r="D10" i="22"/>
  <c r="M9" i="22"/>
  <c r="X36" i="22" s="1"/>
  <c r="L9" i="22"/>
  <c r="I9" i="22"/>
  <c r="H9" i="22"/>
  <c r="E9" i="22"/>
  <c r="D9" i="22"/>
  <c r="M8" i="22"/>
  <c r="L8" i="22"/>
  <c r="K8" i="22"/>
  <c r="I8" i="22"/>
  <c r="R47" i="22" s="1"/>
  <c r="H8" i="22"/>
  <c r="E8" i="22"/>
  <c r="R38" i="22" s="1"/>
  <c r="D8" i="22"/>
  <c r="M7" i="22"/>
  <c r="L7" i="22"/>
  <c r="I7" i="22"/>
  <c r="H7" i="22"/>
  <c r="G7" i="22"/>
  <c r="G8" i="22" s="1"/>
  <c r="G9" i="22" s="1"/>
  <c r="G10" i="22" s="1"/>
  <c r="G11" i="22" s="1"/>
  <c r="G12" i="22" s="1"/>
  <c r="G13" i="22" s="1"/>
  <c r="G14" i="22" s="1"/>
  <c r="G15" i="22" s="1"/>
  <c r="G16" i="22" s="1"/>
  <c r="G17" i="22" s="1"/>
  <c r="G49" i="22" s="1"/>
  <c r="G18" i="22" s="1"/>
  <c r="E7" i="22"/>
  <c r="R36" i="22" s="1"/>
  <c r="D7" i="22"/>
  <c r="C7" i="22"/>
  <c r="C8" i="22" s="1"/>
  <c r="C9" i="22" s="1"/>
  <c r="C10" i="22" s="1"/>
  <c r="C11" i="22" s="1"/>
  <c r="C12" i="22" s="1"/>
  <c r="C13" i="22" s="1"/>
  <c r="C14" i="22" s="1"/>
  <c r="C15" i="22" s="1"/>
  <c r="C16" i="22" s="1"/>
  <c r="C25" i="22" s="1"/>
  <c r="M6" i="22"/>
  <c r="L6" i="22"/>
  <c r="I6" i="22"/>
  <c r="H6" i="22"/>
  <c r="E6" i="22"/>
  <c r="D6" i="22"/>
  <c r="C84" i="21"/>
  <c r="C85" i="21" s="1"/>
  <c r="C86" i="21" s="1"/>
  <c r="C87" i="21" s="1"/>
  <c r="C88" i="21" s="1"/>
  <c r="C89" i="21" s="1"/>
  <c r="C90" i="21" s="1"/>
  <c r="C91" i="21" s="1"/>
  <c r="C92" i="21" s="1"/>
  <c r="C93" i="21" s="1"/>
  <c r="C94" i="21" s="1"/>
  <c r="C95" i="21" s="1"/>
  <c r="C96" i="21" s="1"/>
  <c r="C83" i="21"/>
  <c r="I75" i="21"/>
  <c r="I74" i="21"/>
  <c r="I76" i="21" s="1"/>
  <c r="G74" i="21"/>
  <c r="G75" i="21" s="1"/>
  <c r="G76" i="21" s="1"/>
  <c r="I73" i="21"/>
  <c r="E71" i="21"/>
  <c r="E70" i="21"/>
  <c r="E69" i="21"/>
  <c r="I68" i="21"/>
  <c r="E68" i="21"/>
  <c r="I67" i="21"/>
  <c r="E67" i="21"/>
  <c r="I66" i="21"/>
  <c r="E66" i="21"/>
  <c r="I65" i="21"/>
  <c r="E65" i="21"/>
  <c r="I64" i="21"/>
  <c r="E64" i="21"/>
  <c r="I63" i="21"/>
  <c r="I62" i="21"/>
  <c r="I61" i="21"/>
  <c r="I60" i="21"/>
  <c r="I59" i="21"/>
  <c r="E59" i="21"/>
  <c r="I58" i="21"/>
  <c r="E58" i="21"/>
  <c r="I57" i="21"/>
  <c r="G57" i="21"/>
  <c r="G58" i="21" s="1"/>
  <c r="G59" i="21" s="1"/>
  <c r="G60" i="21" s="1"/>
  <c r="G61" i="21" s="1"/>
  <c r="G62" i="21" s="1"/>
  <c r="G63" i="21" s="1"/>
  <c r="G64" i="21" s="1"/>
  <c r="G65" i="21" s="1"/>
  <c r="G66" i="21" s="1"/>
  <c r="G67" i="21" s="1"/>
  <c r="G68" i="21" s="1"/>
  <c r="C64" i="21" s="1"/>
  <c r="C65" i="21" s="1"/>
  <c r="C66" i="21" s="1"/>
  <c r="C67" i="21" s="1"/>
  <c r="C68" i="21" s="1"/>
  <c r="C69" i="21" s="1"/>
  <c r="C70" i="21" s="1"/>
  <c r="C71" i="21" s="1"/>
  <c r="E57" i="21"/>
  <c r="C57" i="21"/>
  <c r="C58" i="21" s="1"/>
  <c r="C59" i="21" s="1"/>
  <c r="I56" i="21"/>
  <c r="E56" i="21"/>
  <c r="R52" i="21"/>
  <c r="I49" i="21"/>
  <c r="U53" i="21" s="1"/>
  <c r="H49" i="21"/>
  <c r="E49" i="21"/>
  <c r="U51" i="21" s="1"/>
  <c r="D49" i="21"/>
  <c r="I48" i="21"/>
  <c r="H48" i="21"/>
  <c r="E48" i="21"/>
  <c r="U50" i="21" s="1"/>
  <c r="D48" i="21"/>
  <c r="I47" i="21"/>
  <c r="U48" i="21" s="1"/>
  <c r="H47" i="21"/>
  <c r="E47" i="21"/>
  <c r="U49" i="21" s="1"/>
  <c r="D47" i="21"/>
  <c r="I46" i="21"/>
  <c r="U54" i="21" s="1"/>
  <c r="H46" i="21"/>
  <c r="E46" i="21"/>
  <c r="U40" i="21" s="1"/>
  <c r="D46" i="21"/>
  <c r="I45" i="21"/>
  <c r="H45" i="21"/>
  <c r="E45" i="21"/>
  <c r="U38" i="21" s="1"/>
  <c r="D45" i="21"/>
  <c r="I44" i="21"/>
  <c r="H44" i="21"/>
  <c r="G44" i="21"/>
  <c r="G45" i="21" s="1"/>
  <c r="G46" i="21" s="1"/>
  <c r="G47" i="21" s="1"/>
  <c r="G48" i="21" s="1"/>
  <c r="E44" i="21"/>
  <c r="U39" i="21" s="1"/>
  <c r="D44" i="21"/>
  <c r="M43" i="21"/>
  <c r="X38" i="21" s="1"/>
  <c r="L43" i="21"/>
  <c r="K43" i="21"/>
  <c r="I43" i="21"/>
  <c r="H43" i="21"/>
  <c r="G43" i="21"/>
  <c r="E43" i="21"/>
  <c r="D43" i="21"/>
  <c r="M42" i="21"/>
  <c r="L42" i="21"/>
  <c r="I42" i="21"/>
  <c r="H42" i="21"/>
  <c r="R39" i="21"/>
  <c r="P37" i="21"/>
  <c r="P38" i="21" s="1"/>
  <c r="P39" i="21" s="1"/>
  <c r="P40" i="21" s="1"/>
  <c r="P41" i="21" s="1"/>
  <c r="P42" i="21" s="1"/>
  <c r="P43" i="21" s="1"/>
  <c r="P44" i="21" s="1"/>
  <c r="P45" i="21" s="1"/>
  <c r="P46" i="21" s="1"/>
  <c r="P47" i="21" s="1"/>
  <c r="P48" i="21" s="1"/>
  <c r="P49" i="21" s="1"/>
  <c r="P50" i="21" s="1"/>
  <c r="P51" i="21" s="1"/>
  <c r="P52" i="21" s="1"/>
  <c r="P53" i="21" s="1"/>
  <c r="P54" i="21" s="1"/>
  <c r="S36" i="21" s="1"/>
  <c r="S37" i="21" s="1"/>
  <c r="S38" i="21" s="1"/>
  <c r="S39" i="21" s="1"/>
  <c r="S40" i="21" s="1"/>
  <c r="S41" i="21" s="1"/>
  <c r="S42" i="21" s="1"/>
  <c r="S43" i="21" s="1"/>
  <c r="S44" i="21" s="1"/>
  <c r="S45" i="21" s="1"/>
  <c r="I36" i="21"/>
  <c r="H36" i="21"/>
  <c r="I35" i="21"/>
  <c r="U46" i="21" s="1"/>
  <c r="H35" i="21"/>
  <c r="R53" i="21"/>
  <c r="M34" i="21"/>
  <c r="X45" i="21" s="1"/>
  <c r="L34" i="21"/>
  <c r="I34" i="21"/>
  <c r="H34" i="21"/>
  <c r="C44" i="21"/>
  <c r="C45" i="21" s="1"/>
  <c r="C46" i="21" s="1"/>
  <c r="C47" i="21" s="1"/>
  <c r="C48" i="21" s="1"/>
  <c r="C49" i="21" s="1"/>
  <c r="M33" i="21"/>
  <c r="X44" i="21" s="1"/>
  <c r="L33" i="21"/>
  <c r="I33" i="21"/>
  <c r="H33" i="21"/>
  <c r="M32" i="21"/>
  <c r="X43" i="21" s="1"/>
  <c r="L32" i="21"/>
  <c r="I32" i="21"/>
  <c r="H32" i="21"/>
  <c r="M31" i="21"/>
  <c r="X54" i="21" s="1"/>
  <c r="L31" i="21"/>
  <c r="I31" i="21"/>
  <c r="H31" i="21"/>
  <c r="M30" i="21"/>
  <c r="X53" i="21" s="1"/>
  <c r="L30" i="21"/>
  <c r="I30" i="21"/>
  <c r="H30" i="21"/>
  <c r="M29" i="21"/>
  <c r="X40" i="21" s="1"/>
  <c r="L29" i="21"/>
  <c r="I29" i="21"/>
  <c r="H29" i="21"/>
  <c r="M28" i="21"/>
  <c r="X52" i="21" s="1"/>
  <c r="L28" i="21"/>
  <c r="I28" i="21"/>
  <c r="H28" i="21"/>
  <c r="M27" i="21"/>
  <c r="X51" i="21" s="1"/>
  <c r="L27" i="21"/>
  <c r="I27" i="21"/>
  <c r="H27" i="21"/>
  <c r="M26" i="21"/>
  <c r="X50" i="21" s="1"/>
  <c r="L26" i="21"/>
  <c r="I26" i="21"/>
  <c r="R48" i="21" s="1"/>
  <c r="H26" i="21"/>
  <c r="M25" i="21"/>
  <c r="X49" i="21" s="1"/>
  <c r="L25" i="21"/>
  <c r="I25" i="21"/>
  <c r="H25" i="21"/>
  <c r="G25" i="21"/>
  <c r="G26" i="21" s="1"/>
  <c r="G27" i="21" s="1"/>
  <c r="G28" i="21" s="1"/>
  <c r="G29" i="21" s="1"/>
  <c r="G30" i="21" s="1"/>
  <c r="G31" i="21" s="1"/>
  <c r="G32" i="21" s="1"/>
  <c r="G33" i="21" s="1"/>
  <c r="G34" i="21" s="1"/>
  <c r="G35" i="21" s="1"/>
  <c r="G36" i="21" s="1"/>
  <c r="E25" i="21"/>
  <c r="D25" i="21"/>
  <c r="M24" i="21"/>
  <c r="L24" i="21"/>
  <c r="K24" i="21"/>
  <c r="I24" i="21"/>
  <c r="H24" i="21"/>
  <c r="E24" i="21"/>
  <c r="D24" i="21"/>
  <c r="M23" i="21"/>
  <c r="L23" i="21"/>
  <c r="K23" i="21"/>
  <c r="K25" i="21" s="1"/>
  <c r="K26" i="21" s="1"/>
  <c r="K27" i="21" s="1"/>
  <c r="K28" i="21" s="1"/>
  <c r="K29" i="21" s="1"/>
  <c r="K30" i="21" s="1"/>
  <c r="K31" i="21" s="1"/>
  <c r="K32" i="21" s="1"/>
  <c r="K33" i="21" s="1"/>
  <c r="K34" i="21" s="1"/>
  <c r="E23" i="21"/>
  <c r="D23" i="21"/>
  <c r="C23" i="21"/>
  <c r="C24" i="21" s="1"/>
  <c r="M22" i="21"/>
  <c r="L22" i="21"/>
  <c r="E22" i="21"/>
  <c r="D22" i="21"/>
  <c r="I18" i="21"/>
  <c r="H18" i="21"/>
  <c r="I17" i="21"/>
  <c r="U52" i="21" s="1"/>
  <c r="H17" i="21"/>
  <c r="I16" i="21"/>
  <c r="H16" i="21"/>
  <c r="E16" i="21"/>
  <c r="R44" i="21" s="1"/>
  <c r="D16" i="21"/>
  <c r="I15" i="21"/>
  <c r="H15" i="21"/>
  <c r="E15" i="21"/>
  <c r="D15" i="21"/>
  <c r="M14" i="21"/>
  <c r="L14" i="21"/>
  <c r="I14" i="21"/>
  <c r="H14" i="21"/>
  <c r="E14" i="21"/>
  <c r="D14" i="21"/>
  <c r="M13" i="21"/>
  <c r="L13" i="21"/>
  <c r="I13" i="21"/>
  <c r="H13" i="21"/>
  <c r="E13" i="21"/>
  <c r="U43" i="21" s="1"/>
  <c r="D13" i="21"/>
  <c r="M12" i="21"/>
  <c r="X39" i="21" s="1"/>
  <c r="L12" i="21"/>
  <c r="I12" i="21"/>
  <c r="H12" i="21"/>
  <c r="E12" i="21"/>
  <c r="R45" i="21" s="1"/>
  <c r="D12" i="21"/>
  <c r="M11" i="21"/>
  <c r="X42" i="21" s="1"/>
  <c r="L11" i="21"/>
  <c r="I11" i="21"/>
  <c r="H11" i="21"/>
  <c r="E11" i="21"/>
  <c r="D11" i="21"/>
  <c r="M10" i="21"/>
  <c r="X48" i="21" s="1"/>
  <c r="L10" i="21"/>
  <c r="K10" i="21"/>
  <c r="K11" i="21" s="1"/>
  <c r="K12" i="21" s="1"/>
  <c r="I10" i="21"/>
  <c r="H10" i="21"/>
  <c r="E10" i="21"/>
  <c r="R43" i="21" s="1"/>
  <c r="D10" i="21"/>
  <c r="M9" i="21"/>
  <c r="X36" i="21" s="1"/>
  <c r="L9" i="21"/>
  <c r="I9" i="21"/>
  <c r="H9" i="21"/>
  <c r="E9" i="21"/>
  <c r="D9" i="21"/>
  <c r="M8" i="21"/>
  <c r="L8" i="21"/>
  <c r="K8" i="21"/>
  <c r="I8" i="21"/>
  <c r="R47" i="21" s="1"/>
  <c r="H8" i="21"/>
  <c r="E8" i="21"/>
  <c r="R38" i="21" s="1"/>
  <c r="D8" i="21"/>
  <c r="M7" i="21"/>
  <c r="L7" i="21"/>
  <c r="I7" i="21"/>
  <c r="H7" i="21"/>
  <c r="G7" i="21"/>
  <c r="G8" i="21" s="1"/>
  <c r="G9" i="21" s="1"/>
  <c r="G10" i="21" s="1"/>
  <c r="G11" i="21" s="1"/>
  <c r="G12" i="21" s="1"/>
  <c r="G13" i="21" s="1"/>
  <c r="G14" i="21" s="1"/>
  <c r="G15" i="21" s="1"/>
  <c r="G16" i="21" s="1"/>
  <c r="G17" i="21" s="1"/>
  <c r="G49" i="21" s="1"/>
  <c r="G18" i="21" s="1"/>
  <c r="E7" i="21"/>
  <c r="R36" i="21" s="1"/>
  <c r="D7" i="21"/>
  <c r="C7" i="21"/>
  <c r="C8" i="21" s="1"/>
  <c r="C9" i="21" s="1"/>
  <c r="C10" i="21" s="1"/>
  <c r="C11" i="21" s="1"/>
  <c r="C12" i="21" s="1"/>
  <c r="C13" i="21" s="1"/>
  <c r="C14" i="21" s="1"/>
  <c r="C15" i="21" s="1"/>
  <c r="C16" i="21" s="1"/>
  <c r="C25" i="21" s="1"/>
  <c r="M6" i="21"/>
  <c r="L6" i="21"/>
  <c r="I6" i="21"/>
  <c r="H6" i="21"/>
  <c r="E6" i="21"/>
  <c r="D6" i="21"/>
  <c r="C84" i="20"/>
  <c r="C85" i="20" s="1"/>
  <c r="C86" i="20" s="1"/>
  <c r="C87" i="20" s="1"/>
  <c r="C88" i="20" s="1"/>
  <c r="C89" i="20" s="1"/>
  <c r="C90" i="20" s="1"/>
  <c r="C91" i="20" s="1"/>
  <c r="C92" i="20" s="1"/>
  <c r="C93" i="20" s="1"/>
  <c r="C94" i="20" s="1"/>
  <c r="C95" i="20" s="1"/>
  <c r="C96" i="20" s="1"/>
  <c r="C83" i="20"/>
  <c r="I75" i="20"/>
  <c r="I74" i="20"/>
  <c r="I76" i="20" s="1"/>
  <c r="G74" i="20"/>
  <c r="G75" i="20" s="1"/>
  <c r="G76" i="20" s="1"/>
  <c r="I73" i="20"/>
  <c r="E71" i="20"/>
  <c r="E70" i="20"/>
  <c r="E69" i="20"/>
  <c r="I68" i="20"/>
  <c r="E68" i="20"/>
  <c r="I67" i="20"/>
  <c r="E67" i="20"/>
  <c r="I66" i="20"/>
  <c r="E66" i="20"/>
  <c r="I65" i="20"/>
  <c r="E65" i="20"/>
  <c r="I64" i="20"/>
  <c r="E64" i="20"/>
  <c r="I63" i="20"/>
  <c r="I62" i="20"/>
  <c r="I61" i="20"/>
  <c r="I60" i="20"/>
  <c r="I59" i="20"/>
  <c r="E59" i="20"/>
  <c r="I58" i="20"/>
  <c r="G58" i="20"/>
  <c r="G59" i="20" s="1"/>
  <c r="G60" i="20" s="1"/>
  <c r="G61" i="20" s="1"/>
  <c r="G62" i="20" s="1"/>
  <c r="G63" i="20" s="1"/>
  <c r="G64" i="20" s="1"/>
  <c r="G65" i="20" s="1"/>
  <c r="G66" i="20" s="1"/>
  <c r="G67" i="20" s="1"/>
  <c r="G68" i="20" s="1"/>
  <c r="C64" i="20" s="1"/>
  <c r="C65" i="20" s="1"/>
  <c r="C66" i="20" s="1"/>
  <c r="C67" i="20" s="1"/>
  <c r="C68" i="20" s="1"/>
  <c r="C69" i="20" s="1"/>
  <c r="C70" i="20" s="1"/>
  <c r="C71" i="20" s="1"/>
  <c r="E58" i="20"/>
  <c r="I57" i="20"/>
  <c r="G57" i="20"/>
  <c r="E57" i="20"/>
  <c r="C57" i="20"/>
  <c r="C58" i="20" s="1"/>
  <c r="C59" i="20" s="1"/>
  <c r="I56" i="20"/>
  <c r="E56" i="20"/>
  <c r="I49" i="20"/>
  <c r="U53" i="20" s="1"/>
  <c r="H49" i="20"/>
  <c r="E49" i="20"/>
  <c r="U51" i="20" s="1"/>
  <c r="D49" i="20"/>
  <c r="I48" i="20"/>
  <c r="H48" i="20"/>
  <c r="E48" i="20"/>
  <c r="U50" i="20" s="1"/>
  <c r="D48" i="20"/>
  <c r="I47" i="20"/>
  <c r="U48" i="20" s="1"/>
  <c r="H47" i="20"/>
  <c r="E47" i="20"/>
  <c r="U49" i="20" s="1"/>
  <c r="D47" i="20"/>
  <c r="I46" i="20"/>
  <c r="U54" i="20" s="1"/>
  <c r="H46" i="20"/>
  <c r="E46" i="20"/>
  <c r="U40" i="20" s="1"/>
  <c r="D46" i="20"/>
  <c r="I45" i="20"/>
  <c r="H45" i="20"/>
  <c r="E45" i="20"/>
  <c r="U38" i="20" s="1"/>
  <c r="D45" i="20"/>
  <c r="I44" i="20"/>
  <c r="H44" i="20"/>
  <c r="E44" i="20"/>
  <c r="U39" i="20" s="1"/>
  <c r="D44" i="20"/>
  <c r="M43" i="20"/>
  <c r="X38" i="20" s="1"/>
  <c r="L43" i="20"/>
  <c r="K43" i="20"/>
  <c r="I43" i="20"/>
  <c r="H43" i="20"/>
  <c r="G43" i="20"/>
  <c r="G44" i="20" s="1"/>
  <c r="G45" i="20" s="1"/>
  <c r="G46" i="20" s="1"/>
  <c r="G47" i="20" s="1"/>
  <c r="G48" i="20" s="1"/>
  <c r="E43" i="20"/>
  <c r="D43" i="20"/>
  <c r="M42" i="20"/>
  <c r="L42" i="20"/>
  <c r="I42" i="20"/>
  <c r="H42" i="20"/>
  <c r="P37" i="20"/>
  <c r="P38" i="20" s="1"/>
  <c r="P39" i="20" s="1"/>
  <c r="P40" i="20" s="1"/>
  <c r="P41" i="20" s="1"/>
  <c r="P42" i="20" s="1"/>
  <c r="P43" i="20" s="1"/>
  <c r="P44" i="20" s="1"/>
  <c r="P45" i="20" s="1"/>
  <c r="P46" i="20" s="1"/>
  <c r="P47" i="20" s="1"/>
  <c r="P48" i="20" s="1"/>
  <c r="P49" i="20" s="1"/>
  <c r="P50" i="20" s="1"/>
  <c r="P51" i="20" s="1"/>
  <c r="P52" i="20" s="1"/>
  <c r="P53" i="20" s="1"/>
  <c r="P54" i="20" s="1"/>
  <c r="S36" i="20" s="1"/>
  <c r="S37" i="20" s="1"/>
  <c r="S38" i="20" s="1"/>
  <c r="S39" i="20" s="1"/>
  <c r="S40" i="20" s="1"/>
  <c r="S41" i="20" s="1"/>
  <c r="S42" i="20" s="1"/>
  <c r="S43" i="20" s="1"/>
  <c r="S44" i="20" s="1"/>
  <c r="S45" i="20" s="1"/>
  <c r="I36" i="20"/>
  <c r="H36" i="20"/>
  <c r="I35" i="20"/>
  <c r="U46" i="20" s="1"/>
  <c r="H35" i="20"/>
  <c r="R53" i="20"/>
  <c r="M34" i="20"/>
  <c r="X45" i="20" s="1"/>
  <c r="L34" i="20"/>
  <c r="I34" i="20"/>
  <c r="H34" i="20"/>
  <c r="R52" i="20"/>
  <c r="M33" i="20"/>
  <c r="X44" i="20" s="1"/>
  <c r="L33" i="20"/>
  <c r="I33" i="20"/>
  <c r="H33" i="20"/>
  <c r="M32" i="20"/>
  <c r="X43" i="20" s="1"/>
  <c r="L32" i="20"/>
  <c r="I32" i="20"/>
  <c r="H32" i="20"/>
  <c r="R39" i="20"/>
  <c r="M31" i="20"/>
  <c r="X54" i="20" s="1"/>
  <c r="L31" i="20"/>
  <c r="I31" i="20"/>
  <c r="H31" i="20"/>
  <c r="M30" i="20"/>
  <c r="X53" i="20" s="1"/>
  <c r="L30" i="20"/>
  <c r="I30" i="20"/>
  <c r="H30" i="20"/>
  <c r="M29" i="20"/>
  <c r="X40" i="20" s="1"/>
  <c r="L29" i="20"/>
  <c r="I29" i="20"/>
  <c r="H29" i="20"/>
  <c r="M28" i="20"/>
  <c r="X52" i="20" s="1"/>
  <c r="L28" i="20"/>
  <c r="I28" i="20"/>
  <c r="H28" i="20"/>
  <c r="M27" i="20"/>
  <c r="X51" i="20" s="1"/>
  <c r="L27" i="20"/>
  <c r="I27" i="20"/>
  <c r="H27" i="20"/>
  <c r="M26" i="20"/>
  <c r="X50" i="20" s="1"/>
  <c r="L26" i="20"/>
  <c r="I26" i="20"/>
  <c r="R48" i="20" s="1"/>
  <c r="H26" i="20"/>
  <c r="G26" i="20"/>
  <c r="G27" i="20" s="1"/>
  <c r="G28" i="20" s="1"/>
  <c r="G29" i="20" s="1"/>
  <c r="G30" i="20" s="1"/>
  <c r="G31" i="20" s="1"/>
  <c r="G32" i="20" s="1"/>
  <c r="G33" i="20" s="1"/>
  <c r="G34" i="20" s="1"/>
  <c r="G35" i="20" s="1"/>
  <c r="G36" i="20" s="1"/>
  <c r="M25" i="20"/>
  <c r="X49" i="20" s="1"/>
  <c r="L25" i="20"/>
  <c r="I25" i="20"/>
  <c r="H25" i="20"/>
  <c r="G25" i="20"/>
  <c r="E25" i="20"/>
  <c r="D25" i="20"/>
  <c r="M24" i="20"/>
  <c r="L24" i="20"/>
  <c r="K24" i="20"/>
  <c r="K23" i="20" s="1"/>
  <c r="K25" i="20" s="1"/>
  <c r="K26" i="20" s="1"/>
  <c r="K27" i="20" s="1"/>
  <c r="K28" i="20" s="1"/>
  <c r="K29" i="20" s="1"/>
  <c r="K30" i="20" s="1"/>
  <c r="K31" i="20" s="1"/>
  <c r="K32" i="20" s="1"/>
  <c r="K33" i="20" s="1"/>
  <c r="K34" i="20" s="1"/>
  <c r="I24" i="20"/>
  <c r="H24" i="20"/>
  <c r="E24" i="20"/>
  <c r="D24" i="20"/>
  <c r="M23" i="20"/>
  <c r="L23" i="20"/>
  <c r="E23" i="20"/>
  <c r="D23" i="20"/>
  <c r="C23" i="20"/>
  <c r="C24" i="20" s="1"/>
  <c r="M22" i="20"/>
  <c r="L22" i="20"/>
  <c r="E22" i="20"/>
  <c r="D22" i="20"/>
  <c r="I18" i="20"/>
  <c r="H18" i="20"/>
  <c r="I17" i="20"/>
  <c r="U52" i="20" s="1"/>
  <c r="H17" i="20"/>
  <c r="I16" i="20"/>
  <c r="H16" i="20"/>
  <c r="E16" i="20"/>
  <c r="R44" i="20" s="1"/>
  <c r="D16" i="20"/>
  <c r="I15" i="20"/>
  <c r="H15" i="20"/>
  <c r="E15" i="20"/>
  <c r="R37" i="20" s="1"/>
  <c r="D15" i="20"/>
  <c r="M14" i="20"/>
  <c r="L14" i="20"/>
  <c r="I14" i="20"/>
  <c r="H14" i="20"/>
  <c r="E14" i="20"/>
  <c r="D14" i="20"/>
  <c r="M13" i="20"/>
  <c r="L13" i="20"/>
  <c r="I13" i="20"/>
  <c r="H13" i="20"/>
  <c r="E13" i="20"/>
  <c r="U43" i="20" s="1"/>
  <c r="D13" i="20"/>
  <c r="M12" i="20"/>
  <c r="X39" i="20" s="1"/>
  <c r="L12" i="20"/>
  <c r="I12" i="20"/>
  <c r="H12" i="20"/>
  <c r="E12" i="20"/>
  <c r="R45" i="20" s="1"/>
  <c r="D12" i="20"/>
  <c r="M11" i="20"/>
  <c r="X42" i="20" s="1"/>
  <c r="L11" i="20"/>
  <c r="K11" i="20"/>
  <c r="K12" i="20" s="1"/>
  <c r="I11" i="20"/>
  <c r="H11" i="20"/>
  <c r="E11" i="20"/>
  <c r="D11" i="20"/>
  <c r="M10" i="20"/>
  <c r="X48" i="20" s="1"/>
  <c r="L10" i="20"/>
  <c r="K10" i="20"/>
  <c r="I10" i="20"/>
  <c r="H10" i="20"/>
  <c r="E10" i="20"/>
  <c r="R43" i="20" s="1"/>
  <c r="D10" i="20"/>
  <c r="M9" i="20"/>
  <c r="X36" i="20" s="1"/>
  <c r="L9" i="20"/>
  <c r="I9" i="20"/>
  <c r="H9" i="20"/>
  <c r="E9" i="20"/>
  <c r="D9" i="20"/>
  <c r="M8" i="20"/>
  <c r="L8" i="20"/>
  <c r="K8" i="20"/>
  <c r="I8" i="20"/>
  <c r="R47" i="20" s="1"/>
  <c r="H8" i="20"/>
  <c r="E8" i="20"/>
  <c r="R38" i="20" s="1"/>
  <c r="D8" i="20"/>
  <c r="M7" i="20"/>
  <c r="L7" i="20"/>
  <c r="I7" i="20"/>
  <c r="H7" i="20"/>
  <c r="G7" i="20"/>
  <c r="G8" i="20" s="1"/>
  <c r="G9" i="20" s="1"/>
  <c r="G10" i="20" s="1"/>
  <c r="G11" i="20" s="1"/>
  <c r="G12" i="20" s="1"/>
  <c r="G13" i="20" s="1"/>
  <c r="G14" i="20" s="1"/>
  <c r="G15" i="20" s="1"/>
  <c r="G16" i="20" s="1"/>
  <c r="G17" i="20" s="1"/>
  <c r="G49" i="20" s="1"/>
  <c r="G18" i="20" s="1"/>
  <c r="E7" i="20"/>
  <c r="R36" i="20" s="1"/>
  <c r="D7" i="20"/>
  <c r="C7" i="20"/>
  <c r="C8" i="20" s="1"/>
  <c r="C9" i="20" s="1"/>
  <c r="C10" i="20" s="1"/>
  <c r="C11" i="20" s="1"/>
  <c r="C12" i="20" s="1"/>
  <c r="C13" i="20" s="1"/>
  <c r="C14" i="20" s="1"/>
  <c r="C15" i="20" s="1"/>
  <c r="C16" i="20" s="1"/>
  <c r="C25" i="20" s="1"/>
  <c r="M6" i="20"/>
  <c r="L6" i="20"/>
  <c r="I6" i="20"/>
  <c r="H6" i="20"/>
  <c r="E6" i="20"/>
  <c r="D6" i="20"/>
  <c r="C84" i="19"/>
  <c r="C85" i="19" s="1"/>
  <c r="C86" i="19" s="1"/>
  <c r="C87" i="19" s="1"/>
  <c r="C88" i="19" s="1"/>
  <c r="C89" i="19" s="1"/>
  <c r="C90" i="19" s="1"/>
  <c r="C91" i="19" s="1"/>
  <c r="C92" i="19" s="1"/>
  <c r="C93" i="19" s="1"/>
  <c r="C94" i="19" s="1"/>
  <c r="C95" i="19" s="1"/>
  <c r="C96" i="19" s="1"/>
  <c r="C83" i="19"/>
  <c r="I75" i="19"/>
  <c r="I74" i="19"/>
  <c r="I76" i="19" s="1"/>
  <c r="G74" i="19"/>
  <c r="G75" i="19" s="1"/>
  <c r="G76" i="19" s="1"/>
  <c r="I73" i="19"/>
  <c r="E71" i="19"/>
  <c r="E70" i="19"/>
  <c r="E69" i="19"/>
  <c r="I68" i="19"/>
  <c r="E68" i="19"/>
  <c r="I67" i="19"/>
  <c r="E67" i="19"/>
  <c r="I66" i="19"/>
  <c r="E66" i="19"/>
  <c r="I65" i="19"/>
  <c r="E65" i="19"/>
  <c r="I64" i="19"/>
  <c r="E64" i="19"/>
  <c r="I63" i="19"/>
  <c r="I62" i="19"/>
  <c r="I61" i="19"/>
  <c r="I60" i="19"/>
  <c r="I59" i="19"/>
  <c r="E59" i="19"/>
  <c r="I58" i="19"/>
  <c r="E58" i="19"/>
  <c r="I57" i="19"/>
  <c r="G57" i="19"/>
  <c r="G58" i="19" s="1"/>
  <c r="G59" i="19" s="1"/>
  <c r="G60" i="19" s="1"/>
  <c r="G61" i="19" s="1"/>
  <c r="G62" i="19" s="1"/>
  <c r="G63" i="19" s="1"/>
  <c r="G64" i="19" s="1"/>
  <c r="G65" i="19" s="1"/>
  <c r="G66" i="19" s="1"/>
  <c r="G67" i="19" s="1"/>
  <c r="G68" i="19" s="1"/>
  <c r="C64" i="19" s="1"/>
  <c r="C65" i="19" s="1"/>
  <c r="C66" i="19" s="1"/>
  <c r="C67" i="19" s="1"/>
  <c r="C68" i="19" s="1"/>
  <c r="C69" i="19" s="1"/>
  <c r="C70" i="19" s="1"/>
  <c r="C71" i="19" s="1"/>
  <c r="E57" i="19"/>
  <c r="C57" i="19"/>
  <c r="C58" i="19" s="1"/>
  <c r="C59" i="19" s="1"/>
  <c r="I56" i="19"/>
  <c r="E56" i="19"/>
  <c r="R53" i="19"/>
  <c r="I49" i="19"/>
  <c r="U53" i="19" s="1"/>
  <c r="H49" i="19"/>
  <c r="E49" i="19"/>
  <c r="U51" i="19" s="1"/>
  <c r="D49" i="19"/>
  <c r="I48" i="19"/>
  <c r="H48" i="19"/>
  <c r="E48" i="19"/>
  <c r="U50" i="19" s="1"/>
  <c r="D48" i="19"/>
  <c r="I47" i="19"/>
  <c r="U48" i="19" s="1"/>
  <c r="H47" i="19"/>
  <c r="E47" i="19"/>
  <c r="U49" i="19" s="1"/>
  <c r="D47" i="19"/>
  <c r="I46" i="19"/>
  <c r="U54" i="19" s="1"/>
  <c r="H46" i="19"/>
  <c r="E46" i="19"/>
  <c r="U40" i="19" s="1"/>
  <c r="D46" i="19"/>
  <c r="I45" i="19"/>
  <c r="H45" i="19"/>
  <c r="E45" i="19"/>
  <c r="U38" i="19" s="1"/>
  <c r="D45" i="19"/>
  <c r="I44" i="19"/>
  <c r="H44" i="19"/>
  <c r="G44" i="19"/>
  <c r="G45" i="19" s="1"/>
  <c r="G46" i="19" s="1"/>
  <c r="G47" i="19" s="1"/>
  <c r="G48" i="19" s="1"/>
  <c r="E44" i="19"/>
  <c r="U39" i="19" s="1"/>
  <c r="D44" i="19"/>
  <c r="M43" i="19"/>
  <c r="X38" i="19" s="1"/>
  <c r="L43" i="19"/>
  <c r="K43" i="19"/>
  <c r="I43" i="19"/>
  <c r="H43" i="19"/>
  <c r="G43" i="19"/>
  <c r="E43" i="19"/>
  <c r="D43" i="19"/>
  <c r="M42" i="19"/>
  <c r="L42" i="19"/>
  <c r="I42" i="19"/>
  <c r="H42" i="19"/>
  <c r="P37" i="19"/>
  <c r="P38" i="19" s="1"/>
  <c r="P39" i="19" s="1"/>
  <c r="P40" i="19" s="1"/>
  <c r="P41" i="19" s="1"/>
  <c r="P42" i="19" s="1"/>
  <c r="P43" i="19" s="1"/>
  <c r="P44" i="19" s="1"/>
  <c r="P45" i="19" s="1"/>
  <c r="P46" i="19" s="1"/>
  <c r="P47" i="19" s="1"/>
  <c r="P48" i="19" s="1"/>
  <c r="P49" i="19" s="1"/>
  <c r="P50" i="19" s="1"/>
  <c r="P51" i="19" s="1"/>
  <c r="P52" i="19" s="1"/>
  <c r="P53" i="19" s="1"/>
  <c r="P54" i="19" s="1"/>
  <c r="S36" i="19" s="1"/>
  <c r="S37" i="19" s="1"/>
  <c r="S38" i="19" s="1"/>
  <c r="S39" i="19" s="1"/>
  <c r="S40" i="19" s="1"/>
  <c r="S41" i="19" s="1"/>
  <c r="S42" i="19" s="1"/>
  <c r="S43" i="19" s="1"/>
  <c r="S44" i="19" s="1"/>
  <c r="S45" i="19" s="1"/>
  <c r="I36" i="19"/>
  <c r="H36" i="19"/>
  <c r="I35" i="19"/>
  <c r="U46" i="19" s="1"/>
  <c r="H35" i="19"/>
  <c r="M34" i="19"/>
  <c r="X45" i="19" s="1"/>
  <c r="L34" i="19"/>
  <c r="I34" i="19"/>
  <c r="H34" i="19"/>
  <c r="R52" i="19"/>
  <c r="M33" i="19"/>
  <c r="X44" i="19" s="1"/>
  <c r="L33" i="19"/>
  <c r="I33" i="19"/>
  <c r="H33" i="19"/>
  <c r="M32" i="19"/>
  <c r="X43" i="19" s="1"/>
  <c r="L32" i="19"/>
  <c r="I32" i="19"/>
  <c r="H32" i="19"/>
  <c r="R39" i="19"/>
  <c r="M31" i="19"/>
  <c r="X54" i="19" s="1"/>
  <c r="L31" i="19"/>
  <c r="I31" i="19"/>
  <c r="H31" i="19"/>
  <c r="E38" i="19"/>
  <c r="M30" i="19"/>
  <c r="X53" i="19" s="1"/>
  <c r="L30" i="19"/>
  <c r="I30" i="19"/>
  <c r="H30" i="19"/>
  <c r="M29" i="19"/>
  <c r="X40" i="19" s="1"/>
  <c r="L29" i="19"/>
  <c r="I29" i="19"/>
  <c r="H29" i="19"/>
  <c r="M28" i="19"/>
  <c r="X52" i="19" s="1"/>
  <c r="L28" i="19"/>
  <c r="I28" i="19"/>
  <c r="H28" i="19"/>
  <c r="M27" i="19"/>
  <c r="X51" i="19" s="1"/>
  <c r="L27" i="19"/>
  <c r="I27" i="19"/>
  <c r="H27" i="19"/>
  <c r="M26" i="19"/>
  <c r="X50" i="19" s="1"/>
  <c r="L26" i="19"/>
  <c r="I26" i="19"/>
  <c r="R48" i="19" s="1"/>
  <c r="H26" i="19"/>
  <c r="M25" i="19"/>
  <c r="X49" i="19" s="1"/>
  <c r="L25" i="19"/>
  <c r="I25" i="19"/>
  <c r="H25" i="19"/>
  <c r="G25" i="19"/>
  <c r="G26" i="19" s="1"/>
  <c r="G27" i="19" s="1"/>
  <c r="G28" i="19" s="1"/>
  <c r="G29" i="19" s="1"/>
  <c r="G30" i="19" s="1"/>
  <c r="G31" i="19" s="1"/>
  <c r="G32" i="19" s="1"/>
  <c r="G33" i="19" s="1"/>
  <c r="G34" i="19" s="1"/>
  <c r="G35" i="19" s="1"/>
  <c r="G36" i="19" s="1"/>
  <c r="E25" i="19"/>
  <c r="D25" i="19"/>
  <c r="M24" i="19"/>
  <c r="L24" i="19"/>
  <c r="K24" i="19"/>
  <c r="I24" i="19"/>
  <c r="H24" i="19"/>
  <c r="E24" i="19"/>
  <c r="D24" i="19"/>
  <c r="M23" i="19"/>
  <c r="L23" i="19"/>
  <c r="K23" i="19"/>
  <c r="K25" i="19" s="1"/>
  <c r="K26" i="19" s="1"/>
  <c r="K27" i="19" s="1"/>
  <c r="K28" i="19" s="1"/>
  <c r="K29" i="19" s="1"/>
  <c r="K30" i="19" s="1"/>
  <c r="K31" i="19" s="1"/>
  <c r="K32" i="19" s="1"/>
  <c r="K33" i="19" s="1"/>
  <c r="K34" i="19" s="1"/>
  <c r="E23" i="19"/>
  <c r="D23" i="19"/>
  <c r="C23" i="19"/>
  <c r="C24" i="19" s="1"/>
  <c r="M22" i="19"/>
  <c r="L22" i="19"/>
  <c r="E22" i="19"/>
  <c r="D22" i="19"/>
  <c r="I18" i="19"/>
  <c r="H18" i="19"/>
  <c r="I17" i="19"/>
  <c r="U52" i="19" s="1"/>
  <c r="H17" i="19"/>
  <c r="I16" i="19"/>
  <c r="H16" i="19"/>
  <c r="E16" i="19"/>
  <c r="R44" i="19" s="1"/>
  <c r="D16" i="19"/>
  <c r="I15" i="19"/>
  <c r="H15" i="19"/>
  <c r="E15" i="19"/>
  <c r="D15" i="19"/>
  <c r="M14" i="19"/>
  <c r="L14" i="19"/>
  <c r="I14" i="19"/>
  <c r="H14" i="19"/>
  <c r="E14" i="19"/>
  <c r="D14" i="19"/>
  <c r="M13" i="19"/>
  <c r="L13" i="19"/>
  <c r="I13" i="19"/>
  <c r="H13" i="19"/>
  <c r="E13" i="19"/>
  <c r="U43" i="19" s="1"/>
  <c r="D13" i="19"/>
  <c r="M12" i="19"/>
  <c r="X39" i="19" s="1"/>
  <c r="L12" i="19"/>
  <c r="I12" i="19"/>
  <c r="H12" i="19"/>
  <c r="E12" i="19"/>
  <c r="R45" i="19" s="1"/>
  <c r="D12" i="19"/>
  <c r="M11" i="19"/>
  <c r="X42" i="19" s="1"/>
  <c r="L11" i="19"/>
  <c r="I11" i="19"/>
  <c r="H11" i="19"/>
  <c r="E11" i="19"/>
  <c r="D11" i="19"/>
  <c r="M10" i="19"/>
  <c r="X48" i="19" s="1"/>
  <c r="L10" i="19"/>
  <c r="K10" i="19"/>
  <c r="K11" i="19" s="1"/>
  <c r="K12" i="19" s="1"/>
  <c r="I10" i="19"/>
  <c r="H10" i="19"/>
  <c r="E10" i="19"/>
  <c r="R43" i="19" s="1"/>
  <c r="D10" i="19"/>
  <c r="M9" i="19"/>
  <c r="X36" i="19" s="1"/>
  <c r="L9" i="19"/>
  <c r="I9" i="19"/>
  <c r="H9" i="19"/>
  <c r="E9" i="19"/>
  <c r="R50" i="19" s="1"/>
  <c r="D9" i="19"/>
  <c r="M8" i="19"/>
  <c r="L8" i="19"/>
  <c r="K8" i="19"/>
  <c r="I8" i="19"/>
  <c r="R47" i="19" s="1"/>
  <c r="H8" i="19"/>
  <c r="E8" i="19"/>
  <c r="R38" i="19" s="1"/>
  <c r="D8" i="19"/>
  <c r="M7" i="19"/>
  <c r="L7" i="19"/>
  <c r="I7" i="19"/>
  <c r="H7" i="19"/>
  <c r="G7" i="19"/>
  <c r="G8" i="19" s="1"/>
  <c r="G9" i="19" s="1"/>
  <c r="G10" i="19" s="1"/>
  <c r="G11" i="19" s="1"/>
  <c r="G12" i="19" s="1"/>
  <c r="G13" i="19" s="1"/>
  <c r="G14" i="19" s="1"/>
  <c r="G15" i="19" s="1"/>
  <c r="G16" i="19" s="1"/>
  <c r="G17" i="19" s="1"/>
  <c r="G49" i="19" s="1"/>
  <c r="G18" i="19" s="1"/>
  <c r="E7" i="19"/>
  <c r="R36" i="19" s="1"/>
  <c r="D7" i="19"/>
  <c r="C7" i="19"/>
  <c r="C8" i="19" s="1"/>
  <c r="C9" i="19" s="1"/>
  <c r="C10" i="19" s="1"/>
  <c r="C11" i="19" s="1"/>
  <c r="C12" i="19" s="1"/>
  <c r="C13" i="19" s="1"/>
  <c r="C14" i="19" s="1"/>
  <c r="C15" i="19" s="1"/>
  <c r="C16" i="19" s="1"/>
  <c r="C25" i="19" s="1"/>
  <c r="M6" i="19"/>
  <c r="L6" i="19"/>
  <c r="I6" i="19"/>
  <c r="H6" i="19"/>
  <c r="E6" i="19"/>
  <c r="D6" i="19"/>
  <c r="AG17" i="18"/>
  <c r="AG16" i="18"/>
  <c r="AB17" i="18"/>
  <c r="AB16" i="18"/>
  <c r="W17" i="18"/>
  <c r="W16" i="18"/>
  <c r="R17" i="18"/>
  <c r="R16" i="18"/>
  <c r="M17" i="18"/>
  <c r="M16" i="18"/>
  <c r="L17" i="18"/>
  <c r="L16" i="18"/>
  <c r="K17" i="18"/>
  <c r="K16" i="18"/>
  <c r="J17" i="18"/>
  <c r="J16" i="18"/>
  <c r="I17" i="18"/>
  <c r="I16" i="18"/>
  <c r="H17" i="18"/>
  <c r="H16" i="18"/>
  <c r="G17" i="18"/>
  <c r="G16" i="18"/>
  <c r="F17" i="18"/>
  <c r="F16" i="18"/>
  <c r="E17" i="18"/>
  <c r="E16" i="18"/>
  <c r="D17" i="18"/>
  <c r="D16" i="18"/>
  <c r="C83" i="17"/>
  <c r="C84" i="17" s="1"/>
  <c r="C85" i="17" s="1"/>
  <c r="C86" i="17" s="1"/>
  <c r="C87" i="17" s="1"/>
  <c r="C88" i="17" s="1"/>
  <c r="C89" i="17" s="1"/>
  <c r="C90" i="17" s="1"/>
  <c r="C91" i="17" s="1"/>
  <c r="C92" i="17" s="1"/>
  <c r="C93" i="17" s="1"/>
  <c r="C94" i="17" s="1"/>
  <c r="C95" i="17" s="1"/>
  <c r="C96" i="17" s="1"/>
  <c r="I75" i="17"/>
  <c r="I74" i="17"/>
  <c r="I76" i="17" s="1"/>
  <c r="G74" i="17"/>
  <c r="G75" i="17" s="1"/>
  <c r="G76" i="17" s="1"/>
  <c r="I73" i="17"/>
  <c r="E71" i="17"/>
  <c r="E70" i="17"/>
  <c r="E69" i="17"/>
  <c r="I68" i="17"/>
  <c r="E68" i="17"/>
  <c r="I67" i="17"/>
  <c r="E67" i="17"/>
  <c r="I66" i="17"/>
  <c r="E66" i="17"/>
  <c r="I65" i="17"/>
  <c r="E65" i="17"/>
  <c r="I64" i="17"/>
  <c r="E64" i="17"/>
  <c r="I63" i="17"/>
  <c r="I62" i="17"/>
  <c r="I61" i="17"/>
  <c r="AG9" i="18"/>
  <c r="I60" i="17"/>
  <c r="I59" i="17"/>
  <c r="E59" i="17"/>
  <c r="I58" i="17"/>
  <c r="G58" i="17"/>
  <c r="G59" i="17" s="1"/>
  <c r="G60" i="17" s="1"/>
  <c r="G61" i="17" s="1"/>
  <c r="G62" i="17" s="1"/>
  <c r="G63" i="17" s="1"/>
  <c r="G64" i="17" s="1"/>
  <c r="G65" i="17" s="1"/>
  <c r="G66" i="17" s="1"/>
  <c r="G67" i="17" s="1"/>
  <c r="G68" i="17" s="1"/>
  <c r="C64" i="17" s="1"/>
  <c r="C65" i="17" s="1"/>
  <c r="C66" i="17" s="1"/>
  <c r="C67" i="17" s="1"/>
  <c r="C68" i="17" s="1"/>
  <c r="C69" i="17" s="1"/>
  <c r="C70" i="17" s="1"/>
  <c r="C71" i="17" s="1"/>
  <c r="E58" i="17"/>
  <c r="AG6" i="18"/>
  <c r="I57" i="17"/>
  <c r="G57" i="17"/>
  <c r="E57" i="17"/>
  <c r="C57" i="17"/>
  <c r="C58" i="17" s="1"/>
  <c r="C59" i="17" s="1"/>
  <c r="I56" i="17"/>
  <c r="E56" i="17"/>
  <c r="I49" i="17"/>
  <c r="U53" i="17" s="1"/>
  <c r="H49" i="17"/>
  <c r="E49" i="17"/>
  <c r="U51" i="17" s="1"/>
  <c r="D49" i="17"/>
  <c r="I48" i="17"/>
  <c r="H48" i="17"/>
  <c r="E48" i="17"/>
  <c r="U50" i="17" s="1"/>
  <c r="D48" i="17"/>
  <c r="I47" i="17"/>
  <c r="U48" i="17" s="1"/>
  <c r="H47" i="17"/>
  <c r="E47" i="17"/>
  <c r="U49" i="17" s="1"/>
  <c r="D47" i="17"/>
  <c r="I46" i="17"/>
  <c r="U54" i="17" s="1"/>
  <c r="H46" i="17"/>
  <c r="E46" i="17"/>
  <c r="U40" i="17" s="1"/>
  <c r="D46" i="17"/>
  <c r="I45" i="17"/>
  <c r="H45" i="17"/>
  <c r="E45" i="17"/>
  <c r="U38" i="17" s="1"/>
  <c r="D45" i="17"/>
  <c r="I44" i="17"/>
  <c r="H44" i="17"/>
  <c r="G44" i="17"/>
  <c r="G45" i="17" s="1"/>
  <c r="G46" i="17" s="1"/>
  <c r="G47" i="17" s="1"/>
  <c r="G48" i="17" s="1"/>
  <c r="E44" i="17"/>
  <c r="U39" i="17" s="1"/>
  <c r="D44" i="17"/>
  <c r="M43" i="17"/>
  <c r="X38" i="17" s="1"/>
  <c r="L43" i="17"/>
  <c r="K43" i="17"/>
  <c r="I43" i="17"/>
  <c r="H43" i="17"/>
  <c r="G43" i="17"/>
  <c r="E43" i="17"/>
  <c r="D43" i="17"/>
  <c r="M42" i="17"/>
  <c r="L42" i="17"/>
  <c r="I42" i="17"/>
  <c r="H42" i="17"/>
  <c r="P37" i="17"/>
  <c r="P38" i="17" s="1"/>
  <c r="P39" i="17" s="1"/>
  <c r="P40" i="17" s="1"/>
  <c r="P41" i="17" s="1"/>
  <c r="P42" i="17" s="1"/>
  <c r="P43" i="17" s="1"/>
  <c r="P44" i="17" s="1"/>
  <c r="P45" i="17" s="1"/>
  <c r="P46" i="17" s="1"/>
  <c r="P47" i="17" s="1"/>
  <c r="P48" i="17" s="1"/>
  <c r="P49" i="17" s="1"/>
  <c r="P50" i="17" s="1"/>
  <c r="P51" i="17" s="1"/>
  <c r="P52" i="17" s="1"/>
  <c r="P53" i="17" s="1"/>
  <c r="P54" i="17" s="1"/>
  <c r="S36" i="17" s="1"/>
  <c r="S37" i="17" s="1"/>
  <c r="S38" i="17" s="1"/>
  <c r="S39" i="17" s="1"/>
  <c r="S40" i="17" s="1"/>
  <c r="S41" i="17" s="1"/>
  <c r="S42" i="17" s="1"/>
  <c r="S43" i="17" s="1"/>
  <c r="S44" i="17" s="1"/>
  <c r="S45" i="17" s="1"/>
  <c r="I36" i="17"/>
  <c r="H36" i="17"/>
  <c r="I35" i="17"/>
  <c r="U46" i="17" s="1"/>
  <c r="H35" i="17"/>
  <c r="R53" i="17"/>
  <c r="M34" i="17"/>
  <c r="X45" i="17" s="1"/>
  <c r="L34" i="17"/>
  <c r="I34" i="17"/>
  <c r="H34" i="17"/>
  <c r="R52" i="17"/>
  <c r="C44" i="17"/>
  <c r="C45" i="17" s="1"/>
  <c r="C46" i="17" s="1"/>
  <c r="C47" i="17" s="1"/>
  <c r="C48" i="17" s="1"/>
  <c r="C49" i="17" s="1"/>
  <c r="M33" i="17"/>
  <c r="X44" i="17" s="1"/>
  <c r="L33" i="17"/>
  <c r="I33" i="17"/>
  <c r="H33" i="17"/>
  <c r="R41" i="17"/>
  <c r="M32" i="17"/>
  <c r="X43" i="17" s="1"/>
  <c r="L32" i="17"/>
  <c r="I32" i="17"/>
  <c r="H32" i="17"/>
  <c r="R39" i="17"/>
  <c r="M31" i="17"/>
  <c r="X54" i="17" s="1"/>
  <c r="L31" i="17"/>
  <c r="I31" i="17"/>
  <c r="H31" i="17"/>
  <c r="M30" i="17"/>
  <c r="X53" i="17" s="1"/>
  <c r="L30" i="17"/>
  <c r="I30" i="17"/>
  <c r="H30" i="17"/>
  <c r="M29" i="17"/>
  <c r="X40" i="17" s="1"/>
  <c r="L29" i="17"/>
  <c r="I29" i="17"/>
  <c r="H29" i="17"/>
  <c r="M28" i="17"/>
  <c r="X52" i="17" s="1"/>
  <c r="L28" i="17"/>
  <c r="I28" i="17"/>
  <c r="H28" i="17"/>
  <c r="M27" i="17"/>
  <c r="X51" i="17" s="1"/>
  <c r="L27" i="17"/>
  <c r="I27" i="17"/>
  <c r="H27" i="17"/>
  <c r="M26" i="17"/>
  <c r="X50" i="17" s="1"/>
  <c r="L26" i="17"/>
  <c r="I26" i="17"/>
  <c r="R48" i="17" s="1"/>
  <c r="H26" i="17"/>
  <c r="M25" i="17"/>
  <c r="X49" i="17" s="1"/>
  <c r="L25" i="17"/>
  <c r="I25" i="17"/>
  <c r="H25" i="17"/>
  <c r="G25" i="17"/>
  <c r="G26" i="17" s="1"/>
  <c r="G27" i="17" s="1"/>
  <c r="G28" i="17" s="1"/>
  <c r="G29" i="17" s="1"/>
  <c r="G30" i="17" s="1"/>
  <c r="G31" i="17" s="1"/>
  <c r="G32" i="17" s="1"/>
  <c r="G33" i="17" s="1"/>
  <c r="G34" i="17" s="1"/>
  <c r="G35" i="17" s="1"/>
  <c r="G36" i="17" s="1"/>
  <c r="E25" i="17"/>
  <c r="D25" i="17"/>
  <c r="M24" i="17"/>
  <c r="L24" i="17"/>
  <c r="K24" i="17"/>
  <c r="I24" i="17"/>
  <c r="H24" i="17"/>
  <c r="E24" i="17"/>
  <c r="D24" i="17"/>
  <c r="C24" i="17"/>
  <c r="M23" i="17"/>
  <c r="L23" i="17"/>
  <c r="K23" i="17"/>
  <c r="K25" i="17" s="1"/>
  <c r="K26" i="17" s="1"/>
  <c r="K27" i="17" s="1"/>
  <c r="K28" i="17" s="1"/>
  <c r="K29" i="17" s="1"/>
  <c r="K30" i="17" s="1"/>
  <c r="K31" i="17" s="1"/>
  <c r="K32" i="17" s="1"/>
  <c r="K33" i="17" s="1"/>
  <c r="K34" i="17" s="1"/>
  <c r="E23" i="17"/>
  <c r="D23" i="17"/>
  <c r="C23" i="17"/>
  <c r="M22" i="17"/>
  <c r="L22" i="17"/>
  <c r="E22" i="17"/>
  <c r="D22" i="17"/>
  <c r="I18" i="17"/>
  <c r="H18" i="17"/>
  <c r="I17" i="17"/>
  <c r="U52" i="17" s="1"/>
  <c r="H17" i="17"/>
  <c r="I16" i="17"/>
  <c r="H16" i="17"/>
  <c r="E16" i="17"/>
  <c r="R44" i="17" s="1"/>
  <c r="D16" i="17"/>
  <c r="I15" i="17"/>
  <c r="H15" i="17"/>
  <c r="E15" i="17"/>
  <c r="R37" i="17" s="1"/>
  <c r="D15" i="17"/>
  <c r="M14" i="17"/>
  <c r="L14" i="17"/>
  <c r="I14" i="17"/>
  <c r="H14" i="17"/>
  <c r="E14" i="17"/>
  <c r="U36" i="17" s="1"/>
  <c r="D14" i="17"/>
  <c r="M13" i="17"/>
  <c r="L13" i="17"/>
  <c r="I13" i="17"/>
  <c r="H13" i="17"/>
  <c r="E13" i="17"/>
  <c r="U43" i="17" s="1"/>
  <c r="D13" i="17"/>
  <c r="M12" i="17"/>
  <c r="X39" i="17" s="1"/>
  <c r="L12" i="17"/>
  <c r="I12" i="17"/>
  <c r="H12" i="17"/>
  <c r="E12" i="17"/>
  <c r="R45" i="17" s="1"/>
  <c r="D12" i="17"/>
  <c r="M11" i="17"/>
  <c r="X42" i="17" s="1"/>
  <c r="L11" i="17"/>
  <c r="I11" i="17"/>
  <c r="H11" i="17"/>
  <c r="E11" i="17"/>
  <c r="D11" i="17"/>
  <c r="M10" i="17"/>
  <c r="X48" i="17" s="1"/>
  <c r="L10" i="17"/>
  <c r="K10" i="17"/>
  <c r="K11" i="17" s="1"/>
  <c r="K12" i="17" s="1"/>
  <c r="I10" i="17"/>
  <c r="H10" i="17"/>
  <c r="E10" i="17"/>
  <c r="R43" i="17" s="1"/>
  <c r="D10" i="17"/>
  <c r="M9" i="17"/>
  <c r="X36" i="17" s="1"/>
  <c r="L9" i="17"/>
  <c r="I9" i="17"/>
  <c r="H9" i="17"/>
  <c r="E9" i="17"/>
  <c r="R50" i="17" s="1"/>
  <c r="D9" i="17"/>
  <c r="M8" i="17"/>
  <c r="L8" i="17"/>
  <c r="K8" i="17"/>
  <c r="I8" i="17"/>
  <c r="R47" i="17" s="1"/>
  <c r="H8" i="17"/>
  <c r="E8" i="17"/>
  <c r="R38" i="17" s="1"/>
  <c r="D8" i="17"/>
  <c r="M7" i="17"/>
  <c r="L7" i="17"/>
  <c r="I7" i="17"/>
  <c r="H7" i="17"/>
  <c r="G7" i="17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49" i="17" s="1"/>
  <c r="G18" i="17" s="1"/>
  <c r="E7" i="17"/>
  <c r="R36" i="17" s="1"/>
  <c r="D7" i="17"/>
  <c r="C7" i="17"/>
  <c r="C8" i="17" s="1"/>
  <c r="C9" i="17" s="1"/>
  <c r="C10" i="17" s="1"/>
  <c r="C11" i="17" s="1"/>
  <c r="C12" i="17" s="1"/>
  <c r="C13" i="17" s="1"/>
  <c r="C14" i="17" s="1"/>
  <c r="C15" i="17" s="1"/>
  <c r="C16" i="17" s="1"/>
  <c r="C25" i="17" s="1"/>
  <c r="M6" i="17"/>
  <c r="L6" i="17"/>
  <c r="I6" i="17"/>
  <c r="H6" i="17"/>
  <c r="E6" i="17"/>
  <c r="D6" i="17"/>
  <c r="C83" i="16"/>
  <c r="C84" i="16" s="1"/>
  <c r="C85" i="16" s="1"/>
  <c r="C86" i="16" s="1"/>
  <c r="C87" i="16" s="1"/>
  <c r="C88" i="16" s="1"/>
  <c r="C89" i="16" s="1"/>
  <c r="C90" i="16" s="1"/>
  <c r="C91" i="16" s="1"/>
  <c r="C92" i="16" s="1"/>
  <c r="C93" i="16" s="1"/>
  <c r="C94" i="16" s="1"/>
  <c r="C95" i="16" s="1"/>
  <c r="C96" i="16" s="1"/>
  <c r="I75" i="16"/>
  <c r="I74" i="16"/>
  <c r="I76" i="16" s="1"/>
  <c r="G74" i="16"/>
  <c r="G75" i="16" s="1"/>
  <c r="G76" i="16" s="1"/>
  <c r="I73" i="16"/>
  <c r="E71" i="16"/>
  <c r="E70" i="16"/>
  <c r="E69" i="16"/>
  <c r="I68" i="16"/>
  <c r="E68" i="16"/>
  <c r="I67" i="16"/>
  <c r="E67" i="16"/>
  <c r="I66" i="16"/>
  <c r="E66" i="16"/>
  <c r="I65" i="16"/>
  <c r="E65" i="16"/>
  <c r="I64" i="16"/>
  <c r="E64" i="16"/>
  <c r="I63" i="16"/>
  <c r="I62" i="16"/>
  <c r="I61" i="16"/>
  <c r="AB9" i="18"/>
  <c r="I60" i="16"/>
  <c r="I59" i="16"/>
  <c r="E59" i="16"/>
  <c r="AB7" i="18"/>
  <c r="I58" i="16"/>
  <c r="E58" i="16"/>
  <c r="I57" i="16"/>
  <c r="G57" i="16"/>
  <c r="G58" i="16" s="1"/>
  <c r="G59" i="16" s="1"/>
  <c r="G60" i="16" s="1"/>
  <c r="G61" i="16" s="1"/>
  <c r="G62" i="16" s="1"/>
  <c r="G63" i="16" s="1"/>
  <c r="G64" i="16" s="1"/>
  <c r="G65" i="16" s="1"/>
  <c r="G66" i="16" s="1"/>
  <c r="G67" i="16" s="1"/>
  <c r="G68" i="16" s="1"/>
  <c r="C64" i="16" s="1"/>
  <c r="C65" i="16" s="1"/>
  <c r="C66" i="16" s="1"/>
  <c r="C67" i="16" s="1"/>
  <c r="C68" i="16" s="1"/>
  <c r="C69" i="16" s="1"/>
  <c r="C70" i="16" s="1"/>
  <c r="C71" i="16" s="1"/>
  <c r="E57" i="16"/>
  <c r="C57" i="16"/>
  <c r="C58" i="16" s="1"/>
  <c r="C59" i="16" s="1"/>
  <c r="I56" i="16"/>
  <c r="E56" i="16"/>
  <c r="I49" i="16"/>
  <c r="U53" i="16" s="1"/>
  <c r="H49" i="16"/>
  <c r="E49" i="16"/>
  <c r="U51" i="16" s="1"/>
  <c r="D49" i="16"/>
  <c r="I48" i="16"/>
  <c r="H48" i="16"/>
  <c r="E48" i="16"/>
  <c r="U50" i="16" s="1"/>
  <c r="D48" i="16"/>
  <c r="I47" i="16"/>
  <c r="U48" i="16" s="1"/>
  <c r="H47" i="16"/>
  <c r="E47" i="16"/>
  <c r="U49" i="16" s="1"/>
  <c r="D47" i="16"/>
  <c r="I46" i="16"/>
  <c r="U54" i="16" s="1"/>
  <c r="H46" i="16"/>
  <c r="E46" i="16"/>
  <c r="U40" i="16" s="1"/>
  <c r="D46" i="16"/>
  <c r="I45" i="16"/>
  <c r="H45" i="16"/>
  <c r="E45" i="16"/>
  <c r="U38" i="16" s="1"/>
  <c r="D45" i="16"/>
  <c r="I44" i="16"/>
  <c r="H44" i="16"/>
  <c r="E44" i="16"/>
  <c r="U39" i="16" s="1"/>
  <c r="D44" i="16"/>
  <c r="M43" i="16"/>
  <c r="X38" i="16" s="1"/>
  <c r="L43" i="16"/>
  <c r="K43" i="16"/>
  <c r="I43" i="16"/>
  <c r="H43" i="16"/>
  <c r="G43" i="16"/>
  <c r="G44" i="16" s="1"/>
  <c r="G45" i="16" s="1"/>
  <c r="G46" i="16" s="1"/>
  <c r="G47" i="16" s="1"/>
  <c r="G48" i="16" s="1"/>
  <c r="E43" i="16"/>
  <c r="D43" i="16"/>
  <c r="M42" i="16"/>
  <c r="L42" i="16"/>
  <c r="I42" i="16"/>
  <c r="H42" i="16"/>
  <c r="R39" i="16"/>
  <c r="P37" i="16"/>
  <c r="P38" i="16" s="1"/>
  <c r="P39" i="16" s="1"/>
  <c r="P40" i="16" s="1"/>
  <c r="P41" i="16" s="1"/>
  <c r="P42" i="16" s="1"/>
  <c r="P43" i="16" s="1"/>
  <c r="P44" i="16" s="1"/>
  <c r="P45" i="16" s="1"/>
  <c r="P46" i="16" s="1"/>
  <c r="P47" i="16" s="1"/>
  <c r="P48" i="16" s="1"/>
  <c r="P49" i="16" s="1"/>
  <c r="P50" i="16" s="1"/>
  <c r="P51" i="16" s="1"/>
  <c r="P52" i="16" s="1"/>
  <c r="P53" i="16" s="1"/>
  <c r="P54" i="16" s="1"/>
  <c r="S36" i="16" s="1"/>
  <c r="S37" i="16" s="1"/>
  <c r="S38" i="16" s="1"/>
  <c r="S39" i="16" s="1"/>
  <c r="S40" i="16" s="1"/>
  <c r="S41" i="16" s="1"/>
  <c r="S42" i="16" s="1"/>
  <c r="S43" i="16" s="1"/>
  <c r="S44" i="16" s="1"/>
  <c r="S45" i="16" s="1"/>
  <c r="I36" i="16"/>
  <c r="H36" i="16"/>
  <c r="I35" i="16"/>
  <c r="U46" i="16" s="1"/>
  <c r="H35" i="16"/>
  <c r="R53" i="16"/>
  <c r="M34" i="16"/>
  <c r="X45" i="16" s="1"/>
  <c r="L34" i="16"/>
  <c r="I34" i="16"/>
  <c r="H34" i="16"/>
  <c r="R52" i="16"/>
  <c r="M33" i="16"/>
  <c r="X44" i="16" s="1"/>
  <c r="L33" i="16"/>
  <c r="I33" i="16"/>
  <c r="H33" i="16"/>
  <c r="R41" i="16"/>
  <c r="M32" i="16"/>
  <c r="X43" i="16" s="1"/>
  <c r="L32" i="16"/>
  <c r="I32" i="16"/>
  <c r="H32" i="16"/>
  <c r="M31" i="16"/>
  <c r="X54" i="16" s="1"/>
  <c r="L31" i="16"/>
  <c r="I31" i="16"/>
  <c r="H31" i="16"/>
  <c r="M30" i="16"/>
  <c r="X53" i="16" s="1"/>
  <c r="L30" i="16"/>
  <c r="I30" i="16"/>
  <c r="H30" i="16"/>
  <c r="M29" i="16"/>
  <c r="X40" i="16" s="1"/>
  <c r="L29" i="16"/>
  <c r="I29" i="16"/>
  <c r="H29" i="16"/>
  <c r="M28" i="16"/>
  <c r="X52" i="16" s="1"/>
  <c r="L28" i="16"/>
  <c r="I28" i="16"/>
  <c r="H28" i="16"/>
  <c r="M27" i="16"/>
  <c r="X51" i="16" s="1"/>
  <c r="L27" i="16"/>
  <c r="I27" i="16"/>
  <c r="H27" i="16"/>
  <c r="M26" i="16"/>
  <c r="X50" i="16" s="1"/>
  <c r="L26" i="16"/>
  <c r="I26" i="16"/>
  <c r="R48" i="16" s="1"/>
  <c r="H26" i="16"/>
  <c r="M25" i="16"/>
  <c r="X49" i="16" s="1"/>
  <c r="L25" i="16"/>
  <c r="I25" i="16"/>
  <c r="H25" i="16"/>
  <c r="G25" i="16"/>
  <c r="G26" i="16" s="1"/>
  <c r="G27" i="16" s="1"/>
  <c r="G28" i="16" s="1"/>
  <c r="G29" i="16" s="1"/>
  <c r="G30" i="16" s="1"/>
  <c r="G31" i="16" s="1"/>
  <c r="G32" i="16" s="1"/>
  <c r="G33" i="16" s="1"/>
  <c r="G34" i="16" s="1"/>
  <c r="G35" i="16" s="1"/>
  <c r="G36" i="16" s="1"/>
  <c r="E25" i="16"/>
  <c r="D25" i="16"/>
  <c r="M24" i="16"/>
  <c r="L24" i="16"/>
  <c r="K24" i="16"/>
  <c r="K23" i="16" s="1"/>
  <c r="K25" i="16" s="1"/>
  <c r="K26" i="16" s="1"/>
  <c r="K27" i="16" s="1"/>
  <c r="K28" i="16" s="1"/>
  <c r="K29" i="16" s="1"/>
  <c r="K30" i="16" s="1"/>
  <c r="K31" i="16" s="1"/>
  <c r="K32" i="16" s="1"/>
  <c r="K33" i="16" s="1"/>
  <c r="K34" i="16" s="1"/>
  <c r="I24" i="16"/>
  <c r="H24" i="16"/>
  <c r="E24" i="16"/>
  <c r="D24" i="16"/>
  <c r="M23" i="16"/>
  <c r="L23" i="16"/>
  <c r="E23" i="16"/>
  <c r="D23" i="16"/>
  <c r="C23" i="16"/>
  <c r="C24" i="16" s="1"/>
  <c r="M22" i="16"/>
  <c r="L22" i="16"/>
  <c r="E22" i="16"/>
  <c r="D22" i="16"/>
  <c r="I18" i="16"/>
  <c r="H18" i="16"/>
  <c r="I17" i="16"/>
  <c r="U52" i="16" s="1"/>
  <c r="H17" i="16"/>
  <c r="I16" i="16"/>
  <c r="H16" i="16"/>
  <c r="E16" i="16"/>
  <c r="R44" i="16" s="1"/>
  <c r="D16" i="16"/>
  <c r="I15" i="16"/>
  <c r="H15" i="16"/>
  <c r="E15" i="16"/>
  <c r="R37" i="16" s="1"/>
  <c r="D15" i="16"/>
  <c r="M14" i="16"/>
  <c r="L14" i="16"/>
  <c r="I14" i="16"/>
  <c r="H14" i="16"/>
  <c r="E14" i="16"/>
  <c r="D14" i="16"/>
  <c r="M13" i="16"/>
  <c r="L13" i="16"/>
  <c r="I13" i="16"/>
  <c r="H13" i="16"/>
  <c r="E13" i="16"/>
  <c r="U43" i="16" s="1"/>
  <c r="D13" i="16"/>
  <c r="M12" i="16"/>
  <c r="X39" i="16" s="1"/>
  <c r="L12" i="16"/>
  <c r="I12" i="16"/>
  <c r="H12" i="16"/>
  <c r="E12" i="16"/>
  <c r="R45" i="16" s="1"/>
  <c r="D12" i="16"/>
  <c r="M11" i="16"/>
  <c r="X42" i="16" s="1"/>
  <c r="L11" i="16"/>
  <c r="I11" i="16"/>
  <c r="H11" i="16"/>
  <c r="E11" i="16"/>
  <c r="D11" i="16"/>
  <c r="M10" i="16"/>
  <c r="X48" i="16" s="1"/>
  <c r="L10" i="16"/>
  <c r="K10" i="16"/>
  <c r="K11" i="16" s="1"/>
  <c r="K12" i="16" s="1"/>
  <c r="I10" i="16"/>
  <c r="H10" i="16"/>
  <c r="E10" i="16"/>
  <c r="R43" i="16" s="1"/>
  <c r="D10" i="16"/>
  <c r="M9" i="16"/>
  <c r="X36" i="16" s="1"/>
  <c r="L9" i="16"/>
  <c r="I9" i="16"/>
  <c r="H9" i="16"/>
  <c r="E9" i="16"/>
  <c r="D9" i="16"/>
  <c r="M8" i="16"/>
  <c r="L8" i="16"/>
  <c r="K8" i="16"/>
  <c r="I8" i="16"/>
  <c r="R47" i="16" s="1"/>
  <c r="H8" i="16"/>
  <c r="E8" i="16"/>
  <c r="R38" i="16" s="1"/>
  <c r="D8" i="16"/>
  <c r="M7" i="16"/>
  <c r="L7" i="16"/>
  <c r="I7" i="16"/>
  <c r="H7" i="16"/>
  <c r="G7" i="16"/>
  <c r="G8" i="16" s="1"/>
  <c r="G9" i="16" s="1"/>
  <c r="G10" i="16" s="1"/>
  <c r="G11" i="16" s="1"/>
  <c r="G12" i="16" s="1"/>
  <c r="G13" i="16" s="1"/>
  <c r="G14" i="16" s="1"/>
  <c r="G15" i="16" s="1"/>
  <c r="G16" i="16" s="1"/>
  <c r="G17" i="16" s="1"/>
  <c r="G49" i="16" s="1"/>
  <c r="G18" i="16" s="1"/>
  <c r="E7" i="16"/>
  <c r="R36" i="16" s="1"/>
  <c r="D7" i="16"/>
  <c r="C7" i="16"/>
  <c r="C8" i="16" s="1"/>
  <c r="C9" i="16" s="1"/>
  <c r="C10" i="16" s="1"/>
  <c r="C11" i="16" s="1"/>
  <c r="C12" i="16" s="1"/>
  <c r="C13" i="16" s="1"/>
  <c r="C14" i="16" s="1"/>
  <c r="C15" i="16" s="1"/>
  <c r="C16" i="16" s="1"/>
  <c r="C25" i="16" s="1"/>
  <c r="M6" i="16"/>
  <c r="L6" i="16"/>
  <c r="I6" i="16"/>
  <c r="H6" i="16"/>
  <c r="E6" i="16"/>
  <c r="D6" i="16"/>
  <c r="C83" i="15"/>
  <c r="C84" i="15" s="1"/>
  <c r="C85" i="15" s="1"/>
  <c r="C86" i="15" s="1"/>
  <c r="C87" i="15" s="1"/>
  <c r="C88" i="15" s="1"/>
  <c r="C89" i="15" s="1"/>
  <c r="C90" i="15" s="1"/>
  <c r="C91" i="15" s="1"/>
  <c r="C92" i="15" s="1"/>
  <c r="C93" i="15" s="1"/>
  <c r="C94" i="15" s="1"/>
  <c r="C95" i="15" s="1"/>
  <c r="C96" i="15" s="1"/>
  <c r="I75" i="15"/>
  <c r="I74" i="15"/>
  <c r="I76" i="15" s="1"/>
  <c r="G74" i="15"/>
  <c r="G75" i="15" s="1"/>
  <c r="G76" i="15" s="1"/>
  <c r="I73" i="15"/>
  <c r="E71" i="15"/>
  <c r="E70" i="15"/>
  <c r="E69" i="15"/>
  <c r="I68" i="15"/>
  <c r="E68" i="15"/>
  <c r="I67" i="15"/>
  <c r="E67" i="15"/>
  <c r="I66" i="15"/>
  <c r="E66" i="15"/>
  <c r="I65" i="15"/>
  <c r="E65" i="15"/>
  <c r="I64" i="15"/>
  <c r="E64" i="15"/>
  <c r="I63" i="15"/>
  <c r="I62" i="15"/>
  <c r="I61" i="15"/>
  <c r="W9" i="18"/>
  <c r="I60" i="15"/>
  <c r="I59" i="15"/>
  <c r="E59" i="15"/>
  <c r="I58" i="15"/>
  <c r="E58" i="15"/>
  <c r="I57" i="15"/>
  <c r="G57" i="15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C64" i="15" s="1"/>
  <c r="C65" i="15" s="1"/>
  <c r="C66" i="15" s="1"/>
  <c r="C67" i="15" s="1"/>
  <c r="C68" i="15" s="1"/>
  <c r="C69" i="15" s="1"/>
  <c r="C70" i="15" s="1"/>
  <c r="C71" i="15" s="1"/>
  <c r="E57" i="15"/>
  <c r="C57" i="15"/>
  <c r="C58" i="15" s="1"/>
  <c r="C59" i="15" s="1"/>
  <c r="I56" i="15"/>
  <c r="E56" i="15"/>
  <c r="I49" i="15"/>
  <c r="U53" i="15" s="1"/>
  <c r="H49" i="15"/>
  <c r="E49" i="15"/>
  <c r="U51" i="15" s="1"/>
  <c r="D49" i="15"/>
  <c r="I48" i="15"/>
  <c r="H48" i="15"/>
  <c r="E48" i="15"/>
  <c r="U50" i="15" s="1"/>
  <c r="D48" i="15"/>
  <c r="I47" i="15"/>
  <c r="U48" i="15" s="1"/>
  <c r="H47" i="15"/>
  <c r="E47" i="15"/>
  <c r="U49" i="15" s="1"/>
  <c r="D47" i="15"/>
  <c r="I46" i="15"/>
  <c r="U54" i="15" s="1"/>
  <c r="H46" i="15"/>
  <c r="E46" i="15"/>
  <c r="U40" i="15" s="1"/>
  <c r="D46" i="15"/>
  <c r="I45" i="15"/>
  <c r="H45" i="15"/>
  <c r="E45" i="15"/>
  <c r="U38" i="15" s="1"/>
  <c r="D45" i="15"/>
  <c r="I44" i="15"/>
  <c r="H44" i="15"/>
  <c r="E44" i="15"/>
  <c r="U39" i="15" s="1"/>
  <c r="D44" i="15"/>
  <c r="M43" i="15"/>
  <c r="X38" i="15" s="1"/>
  <c r="L43" i="15"/>
  <c r="K43" i="15"/>
  <c r="I43" i="15"/>
  <c r="H43" i="15"/>
  <c r="G43" i="15"/>
  <c r="G44" i="15" s="1"/>
  <c r="G45" i="15" s="1"/>
  <c r="G46" i="15" s="1"/>
  <c r="G47" i="15" s="1"/>
  <c r="G48" i="15" s="1"/>
  <c r="E43" i="15"/>
  <c r="D43" i="15"/>
  <c r="M42" i="15"/>
  <c r="L42" i="15"/>
  <c r="I42" i="15"/>
  <c r="H42" i="15"/>
  <c r="P37" i="15"/>
  <c r="P38" i="15" s="1"/>
  <c r="P39" i="15" s="1"/>
  <c r="P40" i="15" s="1"/>
  <c r="P41" i="15" s="1"/>
  <c r="P42" i="15" s="1"/>
  <c r="P43" i="15" s="1"/>
  <c r="P44" i="15" s="1"/>
  <c r="P45" i="15" s="1"/>
  <c r="P46" i="15" s="1"/>
  <c r="P47" i="15" s="1"/>
  <c r="P48" i="15" s="1"/>
  <c r="P49" i="15" s="1"/>
  <c r="P50" i="15" s="1"/>
  <c r="P51" i="15" s="1"/>
  <c r="P52" i="15" s="1"/>
  <c r="P53" i="15" s="1"/>
  <c r="P54" i="15" s="1"/>
  <c r="S36" i="15" s="1"/>
  <c r="S37" i="15" s="1"/>
  <c r="S38" i="15" s="1"/>
  <c r="S39" i="15" s="1"/>
  <c r="S40" i="15" s="1"/>
  <c r="S41" i="15" s="1"/>
  <c r="S42" i="15" s="1"/>
  <c r="S43" i="15" s="1"/>
  <c r="S44" i="15" s="1"/>
  <c r="S45" i="15" s="1"/>
  <c r="I36" i="15"/>
  <c r="H36" i="15"/>
  <c r="I35" i="15"/>
  <c r="U46" i="15" s="1"/>
  <c r="H35" i="15"/>
  <c r="R53" i="15"/>
  <c r="M34" i="15"/>
  <c r="X45" i="15" s="1"/>
  <c r="L34" i="15"/>
  <c r="I34" i="15"/>
  <c r="H34" i="15"/>
  <c r="R52" i="15"/>
  <c r="M33" i="15"/>
  <c r="X44" i="15" s="1"/>
  <c r="L33" i="15"/>
  <c r="I33" i="15"/>
  <c r="H33" i="15"/>
  <c r="M32" i="15"/>
  <c r="X43" i="15" s="1"/>
  <c r="L32" i="15"/>
  <c r="I32" i="15"/>
  <c r="H32" i="15"/>
  <c r="R39" i="15"/>
  <c r="M31" i="15"/>
  <c r="X54" i="15" s="1"/>
  <c r="L31" i="15"/>
  <c r="I31" i="15"/>
  <c r="H31" i="15"/>
  <c r="M30" i="15"/>
  <c r="X53" i="15" s="1"/>
  <c r="L30" i="15"/>
  <c r="I30" i="15"/>
  <c r="H30" i="15"/>
  <c r="M29" i="15"/>
  <c r="X40" i="15" s="1"/>
  <c r="L29" i="15"/>
  <c r="I29" i="15"/>
  <c r="H29" i="15"/>
  <c r="M28" i="15"/>
  <c r="X52" i="15" s="1"/>
  <c r="L28" i="15"/>
  <c r="I28" i="15"/>
  <c r="H28" i="15"/>
  <c r="M27" i="15"/>
  <c r="X51" i="15" s="1"/>
  <c r="L27" i="15"/>
  <c r="I27" i="15"/>
  <c r="H27" i="15"/>
  <c r="M26" i="15"/>
  <c r="X50" i="15" s="1"/>
  <c r="L26" i="15"/>
  <c r="I26" i="15"/>
  <c r="R48" i="15" s="1"/>
  <c r="H26" i="15"/>
  <c r="G26" i="15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M25" i="15"/>
  <c r="X49" i="15" s="1"/>
  <c r="L25" i="15"/>
  <c r="I25" i="15"/>
  <c r="H25" i="15"/>
  <c r="G25" i="15"/>
  <c r="E25" i="15"/>
  <c r="D25" i="15"/>
  <c r="M24" i="15"/>
  <c r="L24" i="15"/>
  <c r="K24" i="15"/>
  <c r="K23" i="15" s="1"/>
  <c r="K25" i="15" s="1"/>
  <c r="K26" i="15" s="1"/>
  <c r="K27" i="15" s="1"/>
  <c r="K28" i="15" s="1"/>
  <c r="K29" i="15" s="1"/>
  <c r="K30" i="15" s="1"/>
  <c r="K31" i="15" s="1"/>
  <c r="K32" i="15" s="1"/>
  <c r="K33" i="15" s="1"/>
  <c r="K34" i="15" s="1"/>
  <c r="I24" i="15"/>
  <c r="H24" i="15"/>
  <c r="E24" i="15"/>
  <c r="D24" i="15"/>
  <c r="C24" i="15"/>
  <c r="M23" i="15"/>
  <c r="L23" i="15"/>
  <c r="E23" i="15"/>
  <c r="D23" i="15"/>
  <c r="C23" i="15"/>
  <c r="M22" i="15"/>
  <c r="L22" i="15"/>
  <c r="E22" i="15"/>
  <c r="D22" i="15"/>
  <c r="I18" i="15"/>
  <c r="H18" i="15"/>
  <c r="I17" i="15"/>
  <c r="U52" i="15" s="1"/>
  <c r="H17" i="15"/>
  <c r="I16" i="15"/>
  <c r="H16" i="15"/>
  <c r="E16" i="15"/>
  <c r="R44" i="15" s="1"/>
  <c r="D16" i="15"/>
  <c r="I15" i="15"/>
  <c r="H15" i="15"/>
  <c r="E15" i="15"/>
  <c r="R37" i="15" s="1"/>
  <c r="D15" i="15"/>
  <c r="M14" i="15"/>
  <c r="L14" i="15"/>
  <c r="I14" i="15"/>
  <c r="H14" i="15"/>
  <c r="E14" i="15"/>
  <c r="D14" i="15"/>
  <c r="M13" i="15"/>
  <c r="L13" i="15"/>
  <c r="I13" i="15"/>
  <c r="H13" i="15"/>
  <c r="E13" i="15"/>
  <c r="U43" i="15" s="1"/>
  <c r="D13" i="15"/>
  <c r="M12" i="15"/>
  <c r="X39" i="15" s="1"/>
  <c r="L12" i="15"/>
  <c r="I12" i="15"/>
  <c r="H12" i="15"/>
  <c r="E12" i="15"/>
  <c r="R45" i="15" s="1"/>
  <c r="D12" i="15"/>
  <c r="M11" i="15"/>
  <c r="X42" i="15" s="1"/>
  <c r="L11" i="15"/>
  <c r="K11" i="15"/>
  <c r="K12" i="15" s="1"/>
  <c r="I11" i="15"/>
  <c r="H11" i="15"/>
  <c r="E11" i="15"/>
  <c r="D11" i="15"/>
  <c r="M10" i="15"/>
  <c r="X48" i="15" s="1"/>
  <c r="L10" i="15"/>
  <c r="K10" i="15"/>
  <c r="I10" i="15"/>
  <c r="H10" i="15"/>
  <c r="E10" i="15"/>
  <c r="R43" i="15" s="1"/>
  <c r="D10" i="15"/>
  <c r="M9" i="15"/>
  <c r="X36" i="15" s="1"/>
  <c r="L9" i="15"/>
  <c r="I9" i="15"/>
  <c r="H9" i="15"/>
  <c r="E9" i="15"/>
  <c r="D9" i="15"/>
  <c r="M8" i="15"/>
  <c r="L8" i="15"/>
  <c r="K8" i="15"/>
  <c r="I8" i="15"/>
  <c r="R47" i="15" s="1"/>
  <c r="H8" i="15"/>
  <c r="E8" i="15"/>
  <c r="R38" i="15" s="1"/>
  <c r="D8" i="15"/>
  <c r="M7" i="15"/>
  <c r="L7" i="15"/>
  <c r="I7" i="15"/>
  <c r="H7" i="15"/>
  <c r="G7" i="15"/>
  <c r="G8" i="15" s="1"/>
  <c r="G9" i="15" s="1"/>
  <c r="G10" i="15" s="1"/>
  <c r="G11" i="15" s="1"/>
  <c r="G12" i="15" s="1"/>
  <c r="G13" i="15" s="1"/>
  <c r="G14" i="15" s="1"/>
  <c r="G15" i="15" s="1"/>
  <c r="G16" i="15" s="1"/>
  <c r="G17" i="15" s="1"/>
  <c r="G49" i="15" s="1"/>
  <c r="G18" i="15" s="1"/>
  <c r="E7" i="15"/>
  <c r="R36" i="15" s="1"/>
  <c r="D7" i="15"/>
  <c r="C7" i="15"/>
  <c r="C8" i="15" s="1"/>
  <c r="C9" i="15" s="1"/>
  <c r="C10" i="15" s="1"/>
  <c r="C11" i="15" s="1"/>
  <c r="C12" i="15" s="1"/>
  <c r="C13" i="15" s="1"/>
  <c r="C14" i="15" s="1"/>
  <c r="C15" i="15" s="1"/>
  <c r="C16" i="15" s="1"/>
  <c r="C25" i="15" s="1"/>
  <c r="M6" i="15"/>
  <c r="L6" i="15"/>
  <c r="I6" i="15"/>
  <c r="H6" i="15"/>
  <c r="E6" i="15"/>
  <c r="D6" i="15"/>
  <c r="AG5" i="18"/>
  <c r="AG7" i="18"/>
  <c r="AG8" i="18"/>
  <c r="AG10" i="18"/>
  <c r="AG11" i="18"/>
  <c r="AG12" i="18"/>
  <c r="AG13" i="18"/>
  <c r="AG14" i="18"/>
  <c r="AG15" i="18"/>
  <c r="AG4" i="18"/>
  <c r="AB5" i="18"/>
  <c r="AB6" i="18"/>
  <c r="AB8" i="18"/>
  <c r="AB10" i="18"/>
  <c r="AB11" i="18"/>
  <c r="AB12" i="18"/>
  <c r="AB13" i="18"/>
  <c r="AB14" i="18"/>
  <c r="AB15" i="18"/>
  <c r="AB4" i="18"/>
  <c r="W5" i="18"/>
  <c r="W6" i="18"/>
  <c r="W7" i="18"/>
  <c r="W8" i="18"/>
  <c r="W10" i="18"/>
  <c r="W11" i="18"/>
  <c r="W12" i="18"/>
  <c r="W13" i="18"/>
  <c r="W14" i="18"/>
  <c r="W15" i="18"/>
  <c r="W4" i="18"/>
  <c r="R5" i="18"/>
  <c r="R6" i="18"/>
  <c r="R7" i="18"/>
  <c r="R8" i="18"/>
  <c r="R9" i="18"/>
  <c r="R10" i="18"/>
  <c r="R11" i="18"/>
  <c r="R12" i="18"/>
  <c r="R13" i="18"/>
  <c r="R14" i="18"/>
  <c r="R15" i="18"/>
  <c r="R4" i="18"/>
  <c r="M15" i="18"/>
  <c r="M14" i="18"/>
  <c r="M13" i="18"/>
  <c r="M12" i="18"/>
  <c r="M11" i="18"/>
  <c r="M10" i="18"/>
  <c r="M9" i="18"/>
  <c r="M8" i="18"/>
  <c r="M7" i="18"/>
  <c r="M6" i="18"/>
  <c r="M5" i="18"/>
  <c r="M4" i="18"/>
  <c r="L15" i="18"/>
  <c r="L14" i="18"/>
  <c r="L13" i="18"/>
  <c r="L12" i="18"/>
  <c r="L11" i="18"/>
  <c r="L10" i="18"/>
  <c r="L9" i="18"/>
  <c r="L8" i="18"/>
  <c r="L7" i="18"/>
  <c r="L6" i="18"/>
  <c r="L5" i="18"/>
  <c r="L4" i="18"/>
  <c r="K15" i="18"/>
  <c r="K14" i="18"/>
  <c r="K13" i="18"/>
  <c r="K12" i="18"/>
  <c r="K11" i="18"/>
  <c r="K10" i="18"/>
  <c r="K9" i="18"/>
  <c r="K8" i="18"/>
  <c r="K7" i="18"/>
  <c r="K6" i="18"/>
  <c r="K5" i="18"/>
  <c r="K4" i="18"/>
  <c r="J15" i="18"/>
  <c r="J14" i="18"/>
  <c r="J13" i="18"/>
  <c r="J12" i="18"/>
  <c r="J11" i="18"/>
  <c r="J10" i="18"/>
  <c r="J9" i="18"/>
  <c r="J8" i="18"/>
  <c r="J7" i="18"/>
  <c r="J6" i="18"/>
  <c r="J5" i="18"/>
  <c r="J4" i="18"/>
  <c r="I15" i="18"/>
  <c r="I14" i="18"/>
  <c r="I13" i="18"/>
  <c r="I12" i="18"/>
  <c r="I11" i="18"/>
  <c r="I10" i="18"/>
  <c r="I9" i="18"/>
  <c r="I8" i="18"/>
  <c r="I7" i="18"/>
  <c r="I6" i="18"/>
  <c r="I5" i="18"/>
  <c r="I4" i="18"/>
  <c r="H4" i="18"/>
  <c r="H5" i="18"/>
  <c r="H6" i="18"/>
  <c r="H7" i="18"/>
  <c r="H8" i="18"/>
  <c r="H9" i="18"/>
  <c r="H10" i="18"/>
  <c r="H11" i="18"/>
  <c r="H12" i="18"/>
  <c r="H13" i="18"/>
  <c r="H14" i="18"/>
  <c r="H15" i="18"/>
  <c r="E4" i="18"/>
  <c r="F4" i="18"/>
  <c r="G4" i="18"/>
  <c r="E5" i="18"/>
  <c r="F5" i="18"/>
  <c r="G5" i="18"/>
  <c r="E6" i="18"/>
  <c r="F6" i="18"/>
  <c r="G6" i="18"/>
  <c r="E7" i="18"/>
  <c r="F7" i="18"/>
  <c r="G7" i="18"/>
  <c r="E8" i="18"/>
  <c r="F8" i="18"/>
  <c r="G8" i="18"/>
  <c r="E9" i="18"/>
  <c r="F9" i="18"/>
  <c r="G9" i="18"/>
  <c r="E10" i="18"/>
  <c r="F10" i="18"/>
  <c r="G10" i="18"/>
  <c r="E11" i="18"/>
  <c r="F11" i="18"/>
  <c r="G11" i="18"/>
  <c r="E12" i="18"/>
  <c r="F12" i="18"/>
  <c r="G12" i="18"/>
  <c r="E13" i="18"/>
  <c r="F13" i="18"/>
  <c r="G13" i="18"/>
  <c r="E14" i="18"/>
  <c r="F14" i="18"/>
  <c r="G14" i="18"/>
  <c r="E15" i="18"/>
  <c r="F15" i="18"/>
  <c r="G15" i="18"/>
  <c r="D4" i="18"/>
  <c r="D5" i="18"/>
  <c r="D6" i="18"/>
  <c r="D7" i="18"/>
  <c r="D8" i="18"/>
  <c r="D9" i="18"/>
  <c r="D10" i="18"/>
  <c r="D11" i="18"/>
  <c r="D12" i="18"/>
  <c r="D13" i="18"/>
  <c r="D14" i="18"/>
  <c r="D15" i="18"/>
  <c r="C84" i="13"/>
  <c r="C85" i="13" s="1"/>
  <c r="C86" i="13" s="1"/>
  <c r="C87" i="13" s="1"/>
  <c r="C88" i="13" s="1"/>
  <c r="C89" i="13" s="1"/>
  <c r="C90" i="13" s="1"/>
  <c r="C91" i="13" s="1"/>
  <c r="C92" i="13" s="1"/>
  <c r="C93" i="13" s="1"/>
  <c r="C94" i="13" s="1"/>
  <c r="C95" i="13" s="1"/>
  <c r="C96" i="13" s="1"/>
  <c r="C83" i="13"/>
  <c r="I75" i="13"/>
  <c r="I74" i="13"/>
  <c r="I76" i="13" s="1"/>
  <c r="G74" i="13"/>
  <c r="G75" i="13" s="1"/>
  <c r="G76" i="13" s="1"/>
  <c r="I73" i="13"/>
  <c r="E71" i="13"/>
  <c r="E70" i="13"/>
  <c r="E69" i="13"/>
  <c r="I68" i="13"/>
  <c r="E68" i="13"/>
  <c r="I67" i="13"/>
  <c r="E67" i="13"/>
  <c r="I66" i="13"/>
  <c r="E66" i="13"/>
  <c r="I65" i="13"/>
  <c r="E65" i="13"/>
  <c r="I64" i="13"/>
  <c r="E64" i="13"/>
  <c r="I63" i="13"/>
  <c r="I62" i="13"/>
  <c r="I61" i="13"/>
  <c r="I60" i="13"/>
  <c r="I59" i="13"/>
  <c r="E59" i="13"/>
  <c r="I58" i="13"/>
  <c r="G58" i="13"/>
  <c r="G59" i="13" s="1"/>
  <c r="G60" i="13" s="1"/>
  <c r="G61" i="13" s="1"/>
  <c r="G62" i="13" s="1"/>
  <c r="G63" i="13" s="1"/>
  <c r="G64" i="13" s="1"/>
  <c r="G65" i="13" s="1"/>
  <c r="G66" i="13" s="1"/>
  <c r="G67" i="13" s="1"/>
  <c r="G68" i="13" s="1"/>
  <c r="C64" i="13" s="1"/>
  <c r="C65" i="13" s="1"/>
  <c r="C66" i="13" s="1"/>
  <c r="C67" i="13" s="1"/>
  <c r="C68" i="13" s="1"/>
  <c r="C69" i="13" s="1"/>
  <c r="C70" i="13" s="1"/>
  <c r="C71" i="13" s="1"/>
  <c r="E58" i="13"/>
  <c r="I57" i="13"/>
  <c r="G57" i="13"/>
  <c r="E57" i="13"/>
  <c r="C57" i="13"/>
  <c r="C58" i="13" s="1"/>
  <c r="C59" i="13" s="1"/>
  <c r="I56" i="13"/>
  <c r="E56" i="13"/>
  <c r="I49" i="13"/>
  <c r="U53" i="13" s="1"/>
  <c r="H49" i="13"/>
  <c r="E49" i="13"/>
  <c r="U51" i="13" s="1"/>
  <c r="D49" i="13"/>
  <c r="I48" i="13"/>
  <c r="H48" i="13"/>
  <c r="E48" i="13"/>
  <c r="U50" i="13" s="1"/>
  <c r="D48" i="13"/>
  <c r="I47" i="13"/>
  <c r="U48" i="13" s="1"/>
  <c r="H47" i="13"/>
  <c r="E47" i="13"/>
  <c r="U49" i="13" s="1"/>
  <c r="D47" i="13"/>
  <c r="I46" i="13"/>
  <c r="U54" i="13" s="1"/>
  <c r="H46" i="13"/>
  <c r="E46" i="13"/>
  <c r="U40" i="13" s="1"/>
  <c r="D46" i="13"/>
  <c r="I45" i="13"/>
  <c r="H45" i="13"/>
  <c r="E45" i="13"/>
  <c r="U38" i="13" s="1"/>
  <c r="D45" i="13"/>
  <c r="I44" i="13"/>
  <c r="H44" i="13"/>
  <c r="E44" i="13"/>
  <c r="U39" i="13" s="1"/>
  <c r="D44" i="13"/>
  <c r="M43" i="13"/>
  <c r="X38" i="13" s="1"/>
  <c r="L43" i="13"/>
  <c r="K43" i="13"/>
  <c r="I43" i="13"/>
  <c r="H43" i="13"/>
  <c r="G43" i="13"/>
  <c r="G44" i="13" s="1"/>
  <c r="G45" i="13" s="1"/>
  <c r="G46" i="13" s="1"/>
  <c r="G47" i="13" s="1"/>
  <c r="G48" i="13" s="1"/>
  <c r="E43" i="13"/>
  <c r="D43" i="13"/>
  <c r="M42" i="13"/>
  <c r="L42" i="13"/>
  <c r="I42" i="13"/>
  <c r="H42" i="13"/>
  <c r="P37" i="13"/>
  <c r="P38" i="13" s="1"/>
  <c r="P39" i="13" s="1"/>
  <c r="P40" i="13" s="1"/>
  <c r="P41" i="13" s="1"/>
  <c r="P42" i="13" s="1"/>
  <c r="P43" i="13" s="1"/>
  <c r="P44" i="13" s="1"/>
  <c r="P45" i="13" s="1"/>
  <c r="P46" i="13" s="1"/>
  <c r="P47" i="13" s="1"/>
  <c r="P48" i="13" s="1"/>
  <c r="P49" i="13" s="1"/>
  <c r="P50" i="13" s="1"/>
  <c r="P51" i="13" s="1"/>
  <c r="P52" i="13" s="1"/>
  <c r="P53" i="13" s="1"/>
  <c r="P54" i="13" s="1"/>
  <c r="S36" i="13" s="1"/>
  <c r="S37" i="13" s="1"/>
  <c r="S38" i="13" s="1"/>
  <c r="S39" i="13" s="1"/>
  <c r="S40" i="13" s="1"/>
  <c r="S41" i="13" s="1"/>
  <c r="S42" i="13" s="1"/>
  <c r="S43" i="13" s="1"/>
  <c r="S44" i="13" s="1"/>
  <c r="S45" i="13" s="1"/>
  <c r="I36" i="13"/>
  <c r="H36" i="13"/>
  <c r="I35" i="13"/>
  <c r="U46" i="13" s="1"/>
  <c r="H35" i="13"/>
  <c r="R53" i="13"/>
  <c r="M34" i="13"/>
  <c r="X45" i="13" s="1"/>
  <c r="L34" i="13"/>
  <c r="I34" i="13"/>
  <c r="H34" i="13"/>
  <c r="R52" i="13"/>
  <c r="M33" i="13"/>
  <c r="X44" i="13" s="1"/>
  <c r="L33" i="13"/>
  <c r="I33" i="13"/>
  <c r="H33" i="13"/>
  <c r="R41" i="13"/>
  <c r="M32" i="13"/>
  <c r="X43" i="13" s="1"/>
  <c r="L32" i="13"/>
  <c r="I32" i="13"/>
  <c r="H32" i="13"/>
  <c r="R39" i="13"/>
  <c r="M31" i="13"/>
  <c r="X54" i="13" s="1"/>
  <c r="L31" i="13"/>
  <c r="I31" i="13"/>
  <c r="H31" i="13"/>
  <c r="M30" i="13"/>
  <c r="X53" i="13" s="1"/>
  <c r="L30" i="13"/>
  <c r="I30" i="13"/>
  <c r="H30" i="13"/>
  <c r="M29" i="13"/>
  <c r="X40" i="13" s="1"/>
  <c r="L29" i="13"/>
  <c r="I29" i="13"/>
  <c r="H29" i="13"/>
  <c r="M28" i="13"/>
  <c r="X52" i="13" s="1"/>
  <c r="L28" i="13"/>
  <c r="I28" i="13"/>
  <c r="H28" i="13"/>
  <c r="M27" i="13"/>
  <c r="X51" i="13" s="1"/>
  <c r="L27" i="13"/>
  <c r="I27" i="13"/>
  <c r="H27" i="13"/>
  <c r="M26" i="13"/>
  <c r="X50" i="13" s="1"/>
  <c r="L26" i="13"/>
  <c r="I26" i="13"/>
  <c r="R48" i="13" s="1"/>
  <c r="H26" i="13"/>
  <c r="G26" i="13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M25" i="13"/>
  <c r="X49" i="13" s="1"/>
  <c r="L25" i="13"/>
  <c r="I25" i="13"/>
  <c r="H25" i="13"/>
  <c r="G25" i="13"/>
  <c r="E25" i="13"/>
  <c r="D25" i="13"/>
  <c r="M24" i="13"/>
  <c r="L24" i="13"/>
  <c r="K24" i="13"/>
  <c r="K23" i="13" s="1"/>
  <c r="K25" i="13" s="1"/>
  <c r="K26" i="13" s="1"/>
  <c r="K27" i="13" s="1"/>
  <c r="K28" i="13" s="1"/>
  <c r="K29" i="13" s="1"/>
  <c r="K30" i="13" s="1"/>
  <c r="K31" i="13" s="1"/>
  <c r="K32" i="13" s="1"/>
  <c r="K33" i="13" s="1"/>
  <c r="K34" i="13" s="1"/>
  <c r="I24" i="13"/>
  <c r="H24" i="13"/>
  <c r="E24" i="13"/>
  <c r="D24" i="13"/>
  <c r="C24" i="13"/>
  <c r="M23" i="13"/>
  <c r="L23" i="13"/>
  <c r="E23" i="13"/>
  <c r="D23" i="13"/>
  <c r="C23" i="13"/>
  <c r="M22" i="13"/>
  <c r="L22" i="13"/>
  <c r="E22" i="13"/>
  <c r="D22" i="13"/>
  <c r="I18" i="13"/>
  <c r="H18" i="13"/>
  <c r="I17" i="13"/>
  <c r="U52" i="13" s="1"/>
  <c r="H17" i="13"/>
  <c r="I16" i="13"/>
  <c r="H16" i="13"/>
  <c r="E16" i="13"/>
  <c r="R44" i="13" s="1"/>
  <c r="D16" i="13"/>
  <c r="I15" i="13"/>
  <c r="H15" i="13"/>
  <c r="E15" i="13"/>
  <c r="D15" i="13"/>
  <c r="M14" i="13"/>
  <c r="L14" i="13"/>
  <c r="I14" i="13"/>
  <c r="H14" i="13"/>
  <c r="E14" i="13"/>
  <c r="D14" i="13"/>
  <c r="M13" i="13"/>
  <c r="L13" i="13"/>
  <c r="I13" i="13"/>
  <c r="H13" i="13"/>
  <c r="E13" i="13"/>
  <c r="U43" i="13" s="1"/>
  <c r="D13" i="13"/>
  <c r="M12" i="13"/>
  <c r="X39" i="13" s="1"/>
  <c r="L12" i="13"/>
  <c r="I12" i="13"/>
  <c r="H12" i="13"/>
  <c r="E12" i="13"/>
  <c r="R45" i="13" s="1"/>
  <c r="D12" i="13"/>
  <c r="M11" i="13"/>
  <c r="X42" i="13" s="1"/>
  <c r="L11" i="13"/>
  <c r="I11" i="13"/>
  <c r="H11" i="13"/>
  <c r="E11" i="13"/>
  <c r="D11" i="13"/>
  <c r="M10" i="13"/>
  <c r="X48" i="13" s="1"/>
  <c r="L10" i="13"/>
  <c r="K10" i="13"/>
  <c r="K11" i="13" s="1"/>
  <c r="K12" i="13" s="1"/>
  <c r="I10" i="13"/>
  <c r="H10" i="13"/>
  <c r="E10" i="13"/>
  <c r="R43" i="13" s="1"/>
  <c r="D10" i="13"/>
  <c r="M9" i="13"/>
  <c r="X36" i="13" s="1"/>
  <c r="L9" i="13"/>
  <c r="I9" i="13"/>
  <c r="H9" i="13"/>
  <c r="E9" i="13"/>
  <c r="D9" i="13"/>
  <c r="M8" i="13"/>
  <c r="L8" i="13"/>
  <c r="K8" i="13"/>
  <c r="I8" i="13"/>
  <c r="R47" i="13" s="1"/>
  <c r="H8" i="13"/>
  <c r="E8" i="13"/>
  <c r="R38" i="13" s="1"/>
  <c r="D8" i="13"/>
  <c r="M7" i="13"/>
  <c r="L7" i="13"/>
  <c r="I7" i="13"/>
  <c r="H7" i="13"/>
  <c r="G7" i="13"/>
  <c r="G8" i="13" s="1"/>
  <c r="G9" i="13" s="1"/>
  <c r="G10" i="13" s="1"/>
  <c r="G11" i="13" s="1"/>
  <c r="G12" i="13" s="1"/>
  <c r="G13" i="13" s="1"/>
  <c r="G14" i="13" s="1"/>
  <c r="G15" i="13" s="1"/>
  <c r="G16" i="13" s="1"/>
  <c r="G17" i="13" s="1"/>
  <c r="G49" i="13" s="1"/>
  <c r="G18" i="13" s="1"/>
  <c r="E7" i="13"/>
  <c r="R36" i="13" s="1"/>
  <c r="D7" i="13"/>
  <c r="C7" i="13"/>
  <c r="C8" i="13" s="1"/>
  <c r="C9" i="13" s="1"/>
  <c r="C10" i="13" s="1"/>
  <c r="C11" i="13" s="1"/>
  <c r="C12" i="13" s="1"/>
  <c r="C13" i="13" s="1"/>
  <c r="C14" i="13" s="1"/>
  <c r="C15" i="13" s="1"/>
  <c r="C16" i="13" s="1"/>
  <c r="C25" i="13" s="1"/>
  <c r="M6" i="13"/>
  <c r="L6" i="13"/>
  <c r="I6" i="13"/>
  <c r="H6" i="13"/>
  <c r="E6" i="13"/>
  <c r="D6" i="13"/>
  <c r="C84" i="12"/>
  <c r="C85" i="12" s="1"/>
  <c r="C86" i="12" s="1"/>
  <c r="C87" i="12" s="1"/>
  <c r="C88" i="12" s="1"/>
  <c r="C89" i="12" s="1"/>
  <c r="C90" i="12" s="1"/>
  <c r="C91" i="12" s="1"/>
  <c r="C92" i="12" s="1"/>
  <c r="C93" i="12" s="1"/>
  <c r="C94" i="12" s="1"/>
  <c r="C95" i="12" s="1"/>
  <c r="C96" i="12" s="1"/>
  <c r="C83" i="12"/>
  <c r="I75" i="12"/>
  <c r="I74" i="12"/>
  <c r="I76" i="12" s="1"/>
  <c r="G74" i="12"/>
  <c r="G75" i="12" s="1"/>
  <c r="G76" i="12" s="1"/>
  <c r="I73" i="12"/>
  <c r="E71" i="12"/>
  <c r="E70" i="12"/>
  <c r="E69" i="12"/>
  <c r="I68" i="12"/>
  <c r="E68" i="12"/>
  <c r="I67" i="12"/>
  <c r="E67" i="12"/>
  <c r="I66" i="12"/>
  <c r="E66" i="12"/>
  <c r="I65" i="12"/>
  <c r="E65" i="12"/>
  <c r="I64" i="12"/>
  <c r="E64" i="12"/>
  <c r="I63" i="12"/>
  <c r="I62" i="12"/>
  <c r="I61" i="12"/>
  <c r="I60" i="12"/>
  <c r="I59" i="12"/>
  <c r="E59" i="12"/>
  <c r="I58" i="12"/>
  <c r="G58" i="12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C64" i="12" s="1"/>
  <c r="C65" i="12" s="1"/>
  <c r="C66" i="12" s="1"/>
  <c r="C67" i="12" s="1"/>
  <c r="C68" i="12" s="1"/>
  <c r="C69" i="12" s="1"/>
  <c r="C70" i="12" s="1"/>
  <c r="C71" i="12" s="1"/>
  <c r="E58" i="12"/>
  <c r="I57" i="12"/>
  <c r="G57" i="12"/>
  <c r="E57" i="12"/>
  <c r="C57" i="12"/>
  <c r="C58" i="12" s="1"/>
  <c r="C59" i="12" s="1"/>
  <c r="I56" i="12"/>
  <c r="E56" i="12"/>
  <c r="I49" i="12"/>
  <c r="U53" i="12" s="1"/>
  <c r="H49" i="12"/>
  <c r="E49" i="12"/>
  <c r="U51" i="12" s="1"/>
  <c r="D49" i="12"/>
  <c r="I48" i="12"/>
  <c r="H48" i="12"/>
  <c r="E48" i="12"/>
  <c r="U50" i="12" s="1"/>
  <c r="D48" i="12"/>
  <c r="I47" i="12"/>
  <c r="U48" i="12" s="1"/>
  <c r="H47" i="12"/>
  <c r="E47" i="12"/>
  <c r="U49" i="12" s="1"/>
  <c r="D47" i="12"/>
  <c r="I46" i="12"/>
  <c r="U54" i="12" s="1"/>
  <c r="H46" i="12"/>
  <c r="E46" i="12"/>
  <c r="U40" i="12" s="1"/>
  <c r="D46" i="12"/>
  <c r="I45" i="12"/>
  <c r="H45" i="12"/>
  <c r="E45" i="12"/>
  <c r="U38" i="12" s="1"/>
  <c r="D45" i="12"/>
  <c r="I44" i="12"/>
  <c r="H44" i="12"/>
  <c r="E44" i="12"/>
  <c r="U39" i="12" s="1"/>
  <c r="D44" i="12"/>
  <c r="M43" i="12"/>
  <c r="X38" i="12" s="1"/>
  <c r="L43" i="12"/>
  <c r="K43" i="12"/>
  <c r="I43" i="12"/>
  <c r="H43" i="12"/>
  <c r="G43" i="12"/>
  <c r="G44" i="12" s="1"/>
  <c r="G45" i="12" s="1"/>
  <c r="G46" i="12" s="1"/>
  <c r="G47" i="12" s="1"/>
  <c r="G48" i="12" s="1"/>
  <c r="E43" i="12"/>
  <c r="D43" i="12"/>
  <c r="M42" i="12"/>
  <c r="L42" i="12"/>
  <c r="I42" i="12"/>
  <c r="H42" i="12"/>
  <c r="P37" i="12"/>
  <c r="P38" i="12" s="1"/>
  <c r="P39" i="12" s="1"/>
  <c r="P40" i="12" s="1"/>
  <c r="P41" i="12" s="1"/>
  <c r="P42" i="12" s="1"/>
  <c r="P43" i="12" s="1"/>
  <c r="P44" i="12" s="1"/>
  <c r="P45" i="12" s="1"/>
  <c r="P46" i="12" s="1"/>
  <c r="P47" i="12" s="1"/>
  <c r="P48" i="12" s="1"/>
  <c r="P49" i="12" s="1"/>
  <c r="P50" i="12" s="1"/>
  <c r="P51" i="12" s="1"/>
  <c r="P52" i="12" s="1"/>
  <c r="P53" i="12" s="1"/>
  <c r="P54" i="12" s="1"/>
  <c r="S36" i="12" s="1"/>
  <c r="S37" i="12" s="1"/>
  <c r="S38" i="12" s="1"/>
  <c r="S39" i="12" s="1"/>
  <c r="S40" i="12" s="1"/>
  <c r="S41" i="12" s="1"/>
  <c r="S42" i="12" s="1"/>
  <c r="S43" i="12" s="1"/>
  <c r="S44" i="12" s="1"/>
  <c r="S45" i="12" s="1"/>
  <c r="I36" i="12"/>
  <c r="H36" i="12"/>
  <c r="I35" i="12"/>
  <c r="U46" i="12" s="1"/>
  <c r="H35" i="12"/>
  <c r="R53" i="12"/>
  <c r="M34" i="12"/>
  <c r="X45" i="12" s="1"/>
  <c r="L34" i="12"/>
  <c r="I34" i="12"/>
  <c r="H34" i="12"/>
  <c r="R52" i="12"/>
  <c r="M33" i="12"/>
  <c r="X44" i="12" s="1"/>
  <c r="L33" i="12"/>
  <c r="I33" i="12"/>
  <c r="H33" i="12"/>
  <c r="R41" i="12"/>
  <c r="M32" i="12"/>
  <c r="X43" i="12" s="1"/>
  <c r="L32" i="12"/>
  <c r="I32" i="12"/>
  <c r="H32" i="12"/>
  <c r="R39" i="12"/>
  <c r="M31" i="12"/>
  <c r="X54" i="12" s="1"/>
  <c r="L31" i="12"/>
  <c r="I31" i="12"/>
  <c r="H31" i="12"/>
  <c r="M30" i="12"/>
  <c r="X53" i="12" s="1"/>
  <c r="L30" i="12"/>
  <c r="I30" i="12"/>
  <c r="H30" i="12"/>
  <c r="M29" i="12"/>
  <c r="X40" i="12" s="1"/>
  <c r="L29" i="12"/>
  <c r="I29" i="12"/>
  <c r="H29" i="12"/>
  <c r="M28" i="12"/>
  <c r="X52" i="12" s="1"/>
  <c r="L28" i="12"/>
  <c r="I28" i="12"/>
  <c r="H28" i="12"/>
  <c r="M27" i="12"/>
  <c r="X51" i="12" s="1"/>
  <c r="L27" i="12"/>
  <c r="I27" i="12"/>
  <c r="H27" i="12"/>
  <c r="M26" i="12"/>
  <c r="X50" i="12" s="1"/>
  <c r="L26" i="12"/>
  <c r="I26" i="12"/>
  <c r="R48" i="12" s="1"/>
  <c r="H26" i="12"/>
  <c r="M25" i="12"/>
  <c r="X49" i="12" s="1"/>
  <c r="L25" i="12"/>
  <c r="I25" i="12"/>
  <c r="H25" i="12"/>
  <c r="G25" i="12"/>
  <c r="G26" i="12" s="1"/>
  <c r="G27" i="12" s="1"/>
  <c r="G28" i="12" s="1"/>
  <c r="G29" i="12" s="1"/>
  <c r="G30" i="12" s="1"/>
  <c r="G31" i="12" s="1"/>
  <c r="G32" i="12" s="1"/>
  <c r="G33" i="12" s="1"/>
  <c r="G34" i="12" s="1"/>
  <c r="G35" i="12" s="1"/>
  <c r="G36" i="12" s="1"/>
  <c r="E25" i="12"/>
  <c r="D25" i="12"/>
  <c r="M24" i="12"/>
  <c r="L24" i="12"/>
  <c r="K24" i="12"/>
  <c r="K23" i="12" s="1"/>
  <c r="K25" i="12" s="1"/>
  <c r="K26" i="12" s="1"/>
  <c r="K27" i="12" s="1"/>
  <c r="K28" i="12" s="1"/>
  <c r="K29" i="12" s="1"/>
  <c r="K30" i="12" s="1"/>
  <c r="K31" i="12" s="1"/>
  <c r="K32" i="12" s="1"/>
  <c r="K33" i="12" s="1"/>
  <c r="K34" i="12" s="1"/>
  <c r="I24" i="12"/>
  <c r="H24" i="12"/>
  <c r="E24" i="12"/>
  <c r="D24" i="12"/>
  <c r="M23" i="12"/>
  <c r="L23" i="12"/>
  <c r="E23" i="12"/>
  <c r="D23" i="12"/>
  <c r="C23" i="12"/>
  <c r="C24" i="12" s="1"/>
  <c r="M22" i="12"/>
  <c r="L22" i="12"/>
  <c r="E22" i="12"/>
  <c r="D22" i="12"/>
  <c r="I18" i="12"/>
  <c r="H18" i="12"/>
  <c r="I17" i="12"/>
  <c r="U52" i="12" s="1"/>
  <c r="H17" i="12"/>
  <c r="I16" i="12"/>
  <c r="H16" i="12"/>
  <c r="E16" i="12"/>
  <c r="R44" i="12" s="1"/>
  <c r="D16" i="12"/>
  <c r="I15" i="12"/>
  <c r="H15" i="12"/>
  <c r="E15" i="12"/>
  <c r="R37" i="12" s="1"/>
  <c r="D15" i="12"/>
  <c r="M14" i="12"/>
  <c r="L14" i="12"/>
  <c r="I14" i="12"/>
  <c r="H14" i="12"/>
  <c r="E14" i="12"/>
  <c r="D14" i="12"/>
  <c r="M13" i="12"/>
  <c r="L13" i="12"/>
  <c r="I13" i="12"/>
  <c r="H13" i="12"/>
  <c r="E13" i="12"/>
  <c r="U43" i="12" s="1"/>
  <c r="D13" i="12"/>
  <c r="M12" i="12"/>
  <c r="X39" i="12" s="1"/>
  <c r="L12" i="12"/>
  <c r="I12" i="12"/>
  <c r="H12" i="12"/>
  <c r="E12" i="12"/>
  <c r="R45" i="12" s="1"/>
  <c r="D12" i="12"/>
  <c r="M11" i="12"/>
  <c r="X42" i="12" s="1"/>
  <c r="L11" i="12"/>
  <c r="K11" i="12"/>
  <c r="K12" i="12" s="1"/>
  <c r="K13" i="12" s="1"/>
  <c r="K14" i="12" s="1"/>
  <c r="I11" i="12"/>
  <c r="H11" i="12"/>
  <c r="E11" i="12"/>
  <c r="D11" i="12"/>
  <c r="M10" i="12"/>
  <c r="X48" i="12" s="1"/>
  <c r="L10" i="12"/>
  <c r="K10" i="12"/>
  <c r="I10" i="12"/>
  <c r="H10" i="12"/>
  <c r="E10" i="12"/>
  <c r="R43" i="12" s="1"/>
  <c r="D10" i="12"/>
  <c r="M9" i="12"/>
  <c r="X36" i="12" s="1"/>
  <c r="L9" i="12"/>
  <c r="I9" i="12"/>
  <c r="H9" i="12"/>
  <c r="E9" i="12"/>
  <c r="R50" i="12" s="1"/>
  <c r="D9" i="12"/>
  <c r="M8" i="12"/>
  <c r="L8" i="12"/>
  <c r="K8" i="12"/>
  <c r="I8" i="12"/>
  <c r="R47" i="12" s="1"/>
  <c r="H8" i="12"/>
  <c r="E8" i="12"/>
  <c r="R38" i="12" s="1"/>
  <c r="D8" i="12"/>
  <c r="M7" i="12"/>
  <c r="L7" i="12"/>
  <c r="I7" i="12"/>
  <c r="H7" i="12"/>
  <c r="G7" i="12"/>
  <c r="G8" i="12" s="1"/>
  <c r="G9" i="12" s="1"/>
  <c r="G10" i="12" s="1"/>
  <c r="G11" i="12" s="1"/>
  <c r="G12" i="12" s="1"/>
  <c r="G13" i="12" s="1"/>
  <c r="G14" i="12" s="1"/>
  <c r="G15" i="12" s="1"/>
  <c r="G16" i="12" s="1"/>
  <c r="G17" i="12" s="1"/>
  <c r="G49" i="12" s="1"/>
  <c r="G18" i="12" s="1"/>
  <c r="E7" i="12"/>
  <c r="R36" i="12" s="1"/>
  <c r="D7" i="12"/>
  <c r="C7" i="12"/>
  <c r="C8" i="12" s="1"/>
  <c r="C9" i="12" s="1"/>
  <c r="C10" i="12" s="1"/>
  <c r="C11" i="12" s="1"/>
  <c r="C12" i="12" s="1"/>
  <c r="C13" i="12" s="1"/>
  <c r="C14" i="12" s="1"/>
  <c r="C15" i="12" s="1"/>
  <c r="C16" i="12" s="1"/>
  <c r="C25" i="12" s="1"/>
  <c r="M6" i="12"/>
  <c r="L6" i="12"/>
  <c r="I6" i="12"/>
  <c r="H6" i="12"/>
  <c r="E6" i="12"/>
  <c r="D6" i="12"/>
  <c r="E70" i="11"/>
  <c r="C84" i="11"/>
  <c r="C85" i="11" s="1"/>
  <c r="C86" i="11" s="1"/>
  <c r="C87" i="11" s="1"/>
  <c r="C88" i="11" s="1"/>
  <c r="C89" i="11" s="1"/>
  <c r="C90" i="11" s="1"/>
  <c r="C91" i="11" s="1"/>
  <c r="C92" i="11" s="1"/>
  <c r="C93" i="11" s="1"/>
  <c r="C94" i="11" s="1"/>
  <c r="C95" i="11" s="1"/>
  <c r="C96" i="11" s="1"/>
  <c r="C83" i="11"/>
  <c r="G76" i="11"/>
  <c r="I75" i="11"/>
  <c r="G75" i="11"/>
  <c r="I74" i="11"/>
  <c r="I76" i="11" s="1"/>
  <c r="G74" i="11"/>
  <c r="I73" i="11"/>
  <c r="E71" i="11"/>
  <c r="I67" i="11"/>
  <c r="I66" i="11"/>
  <c r="I65" i="11"/>
  <c r="I64" i="11"/>
  <c r="E64" i="11"/>
  <c r="I63" i="11"/>
  <c r="I59" i="11"/>
  <c r="E59" i="11"/>
  <c r="G58" i="11"/>
  <c r="G59" i="11" s="1"/>
  <c r="G60" i="11" s="1"/>
  <c r="G61" i="11" s="1"/>
  <c r="G62" i="11" s="1"/>
  <c r="G63" i="11" s="1"/>
  <c r="G64" i="11" s="1"/>
  <c r="G65" i="11" s="1"/>
  <c r="G66" i="11" s="1"/>
  <c r="G67" i="11" s="1"/>
  <c r="G68" i="11" s="1"/>
  <c r="C64" i="11" s="1"/>
  <c r="C65" i="11" s="1"/>
  <c r="C66" i="11" s="1"/>
  <c r="C67" i="11" s="1"/>
  <c r="C68" i="11" s="1"/>
  <c r="C69" i="11" s="1"/>
  <c r="C70" i="11" s="1"/>
  <c r="C71" i="11" s="1"/>
  <c r="E58" i="11"/>
  <c r="G57" i="11"/>
  <c r="E57" i="11"/>
  <c r="C57" i="11"/>
  <c r="C58" i="11" s="1"/>
  <c r="C59" i="11" s="1"/>
  <c r="E56" i="11"/>
  <c r="I49" i="11"/>
  <c r="U53" i="11" s="1"/>
  <c r="H49" i="11"/>
  <c r="E49" i="11"/>
  <c r="U51" i="11" s="1"/>
  <c r="D49" i="11"/>
  <c r="I48" i="11"/>
  <c r="H48" i="11"/>
  <c r="E48" i="11"/>
  <c r="U50" i="11" s="1"/>
  <c r="D48" i="11"/>
  <c r="I47" i="11"/>
  <c r="U48" i="11" s="1"/>
  <c r="H47" i="11"/>
  <c r="E47" i="11"/>
  <c r="U49" i="11" s="1"/>
  <c r="D47" i="11"/>
  <c r="I46" i="11"/>
  <c r="U54" i="11" s="1"/>
  <c r="H46" i="11"/>
  <c r="E46" i="11"/>
  <c r="U40" i="11" s="1"/>
  <c r="D46" i="11"/>
  <c r="I45" i="11"/>
  <c r="H45" i="11"/>
  <c r="E45" i="11"/>
  <c r="U38" i="11" s="1"/>
  <c r="D45" i="11"/>
  <c r="I44" i="11"/>
  <c r="H44" i="11"/>
  <c r="E44" i="11"/>
  <c r="U39" i="11" s="1"/>
  <c r="D44" i="11"/>
  <c r="M43" i="11"/>
  <c r="X38" i="11" s="1"/>
  <c r="L43" i="11"/>
  <c r="K43" i="11"/>
  <c r="I43" i="11"/>
  <c r="H43" i="11"/>
  <c r="G43" i="11"/>
  <c r="G44" i="11" s="1"/>
  <c r="G45" i="11" s="1"/>
  <c r="G46" i="11" s="1"/>
  <c r="G47" i="11" s="1"/>
  <c r="G48" i="11" s="1"/>
  <c r="E43" i="11"/>
  <c r="D43" i="11"/>
  <c r="L42" i="11"/>
  <c r="I42" i="11"/>
  <c r="H42" i="11"/>
  <c r="P37" i="11"/>
  <c r="P38" i="11" s="1"/>
  <c r="P39" i="11" s="1"/>
  <c r="P40" i="11" s="1"/>
  <c r="P41" i="11" s="1"/>
  <c r="P42" i="11" s="1"/>
  <c r="P43" i="11" s="1"/>
  <c r="P44" i="11" s="1"/>
  <c r="P45" i="11" s="1"/>
  <c r="P46" i="11" s="1"/>
  <c r="P47" i="11" s="1"/>
  <c r="P48" i="11" s="1"/>
  <c r="P49" i="11" s="1"/>
  <c r="P50" i="11" s="1"/>
  <c r="P51" i="11" s="1"/>
  <c r="P52" i="11" s="1"/>
  <c r="P53" i="11" s="1"/>
  <c r="P54" i="11" s="1"/>
  <c r="S36" i="11" s="1"/>
  <c r="S37" i="11" s="1"/>
  <c r="S38" i="11" s="1"/>
  <c r="S39" i="11" s="1"/>
  <c r="S40" i="11" s="1"/>
  <c r="S41" i="11" s="1"/>
  <c r="S42" i="11" s="1"/>
  <c r="S43" i="11" s="1"/>
  <c r="S44" i="11" s="1"/>
  <c r="S45" i="11" s="1"/>
  <c r="I36" i="11"/>
  <c r="H36" i="11"/>
  <c r="I35" i="11"/>
  <c r="U46" i="11" s="1"/>
  <c r="H35" i="11"/>
  <c r="R53" i="11"/>
  <c r="M34" i="11"/>
  <c r="X45" i="11" s="1"/>
  <c r="L34" i="11"/>
  <c r="I34" i="11"/>
  <c r="H34" i="11"/>
  <c r="R52" i="11"/>
  <c r="M33" i="11"/>
  <c r="X44" i="11" s="1"/>
  <c r="L33" i="11"/>
  <c r="I33" i="11"/>
  <c r="H33" i="11"/>
  <c r="R41" i="11"/>
  <c r="M32" i="11"/>
  <c r="X43" i="11" s="1"/>
  <c r="L32" i="11"/>
  <c r="I32" i="11"/>
  <c r="H32" i="11"/>
  <c r="R39" i="11"/>
  <c r="M31" i="11"/>
  <c r="X54" i="11" s="1"/>
  <c r="L31" i="11"/>
  <c r="I31" i="11"/>
  <c r="H31" i="11"/>
  <c r="M30" i="11"/>
  <c r="X53" i="11" s="1"/>
  <c r="L30" i="11"/>
  <c r="I30" i="11"/>
  <c r="H30" i="11"/>
  <c r="M29" i="11"/>
  <c r="X40" i="11" s="1"/>
  <c r="L29" i="11"/>
  <c r="I29" i="11"/>
  <c r="H29" i="11"/>
  <c r="M28" i="11"/>
  <c r="X52" i="11" s="1"/>
  <c r="L28" i="11"/>
  <c r="I28" i="11"/>
  <c r="H28" i="11"/>
  <c r="M27" i="11"/>
  <c r="X51" i="11" s="1"/>
  <c r="L27" i="11"/>
  <c r="I27" i="11"/>
  <c r="H27" i="11"/>
  <c r="M26" i="11"/>
  <c r="X50" i="11" s="1"/>
  <c r="L26" i="11"/>
  <c r="I26" i="11"/>
  <c r="R48" i="11" s="1"/>
  <c r="H26" i="11"/>
  <c r="M25" i="11"/>
  <c r="X49" i="11" s="1"/>
  <c r="L25" i="11"/>
  <c r="I25" i="11"/>
  <c r="H25" i="11"/>
  <c r="G25" i="1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E25" i="11"/>
  <c r="D25" i="11"/>
  <c r="M24" i="11"/>
  <c r="L24" i="11"/>
  <c r="K24" i="11"/>
  <c r="K23" i="11" s="1"/>
  <c r="K25" i="11" s="1"/>
  <c r="K26" i="11" s="1"/>
  <c r="K27" i="11" s="1"/>
  <c r="K28" i="11" s="1"/>
  <c r="K29" i="11" s="1"/>
  <c r="K30" i="11" s="1"/>
  <c r="K31" i="11" s="1"/>
  <c r="K32" i="11" s="1"/>
  <c r="K33" i="11" s="1"/>
  <c r="K34" i="11" s="1"/>
  <c r="I24" i="11"/>
  <c r="H24" i="11"/>
  <c r="E24" i="11"/>
  <c r="D24" i="11"/>
  <c r="C24" i="11"/>
  <c r="M23" i="11"/>
  <c r="L23" i="11"/>
  <c r="E23" i="11"/>
  <c r="D23" i="11"/>
  <c r="C23" i="11"/>
  <c r="M22" i="11"/>
  <c r="L22" i="11"/>
  <c r="E22" i="11"/>
  <c r="D22" i="11"/>
  <c r="I18" i="11"/>
  <c r="H18" i="11"/>
  <c r="I17" i="11"/>
  <c r="U52" i="11" s="1"/>
  <c r="H17" i="11"/>
  <c r="I16" i="11"/>
  <c r="H16" i="11"/>
  <c r="E16" i="11"/>
  <c r="R44" i="11" s="1"/>
  <c r="D16" i="11"/>
  <c r="I15" i="11"/>
  <c r="H15" i="11"/>
  <c r="E15" i="11"/>
  <c r="D15" i="11"/>
  <c r="M14" i="11"/>
  <c r="L14" i="11"/>
  <c r="I14" i="11"/>
  <c r="H14" i="11"/>
  <c r="E14" i="11"/>
  <c r="D14" i="11"/>
  <c r="M13" i="11"/>
  <c r="L13" i="11"/>
  <c r="I13" i="11"/>
  <c r="H13" i="11"/>
  <c r="E13" i="11"/>
  <c r="U43" i="11" s="1"/>
  <c r="D13" i="11"/>
  <c r="M12" i="11"/>
  <c r="X39" i="11" s="1"/>
  <c r="L12" i="11"/>
  <c r="I12" i="11"/>
  <c r="H12" i="11"/>
  <c r="E12" i="11"/>
  <c r="R45" i="11" s="1"/>
  <c r="D12" i="11"/>
  <c r="M11" i="11"/>
  <c r="X42" i="11" s="1"/>
  <c r="L11" i="11"/>
  <c r="I11" i="11"/>
  <c r="H11" i="11"/>
  <c r="E11" i="11"/>
  <c r="D11" i="11"/>
  <c r="M10" i="11"/>
  <c r="X48" i="11" s="1"/>
  <c r="L10" i="11"/>
  <c r="K10" i="11"/>
  <c r="K11" i="11" s="1"/>
  <c r="K12" i="11" s="1"/>
  <c r="I10" i="11"/>
  <c r="H10" i="11"/>
  <c r="E10" i="11"/>
  <c r="R43" i="11" s="1"/>
  <c r="D10" i="11"/>
  <c r="M9" i="11"/>
  <c r="X36" i="11" s="1"/>
  <c r="L9" i="11"/>
  <c r="I9" i="11"/>
  <c r="H9" i="11"/>
  <c r="E9" i="11"/>
  <c r="R50" i="11" s="1"/>
  <c r="D9" i="11"/>
  <c r="M8" i="11"/>
  <c r="L8" i="11"/>
  <c r="K8" i="11"/>
  <c r="I8" i="11"/>
  <c r="R47" i="11" s="1"/>
  <c r="H8" i="11"/>
  <c r="E8" i="11"/>
  <c r="R38" i="11" s="1"/>
  <c r="D8" i="11"/>
  <c r="M7" i="11"/>
  <c r="L7" i="11"/>
  <c r="I7" i="11"/>
  <c r="H7" i="11"/>
  <c r="G7" i="1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49" i="11" s="1"/>
  <c r="G18" i="11" s="1"/>
  <c r="E7" i="11"/>
  <c r="R36" i="11" s="1"/>
  <c r="D7" i="11"/>
  <c r="C7" i="11"/>
  <c r="C8" i="11" s="1"/>
  <c r="C9" i="11" s="1"/>
  <c r="C10" i="11" s="1"/>
  <c r="C11" i="11" s="1"/>
  <c r="C12" i="11" s="1"/>
  <c r="C13" i="11" s="1"/>
  <c r="C14" i="11" s="1"/>
  <c r="C15" i="11" s="1"/>
  <c r="C16" i="11" s="1"/>
  <c r="C25" i="11" s="1"/>
  <c r="M6" i="11"/>
  <c r="L6" i="11"/>
  <c r="I6" i="11"/>
  <c r="H6" i="11"/>
  <c r="E6" i="11"/>
  <c r="D6" i="11"/>
  <c r="C84" i="10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83" i="10"/>
  <c r="I75" i="10"/>
  <c r="I74" i="10"/>
  <c r="I76" i="10" s="1"/>
  <c r="G74" i="10"/>
  <c r="G75" i="10" s="1"/>
  <c r="G76" i="10" s="1"/>
  <c r="I73" i="10"/>
  <c r="E71" i="10"/>
  <c r="E70" i="10"/>
  <c r="E69" i="10"/>
  <c r="I68" i="10"/>
  <c r="E68" i="10"/>
  <c r="I67" i="10"/>
  <c r="E67" i="10"/>
  <c r="I66" i="10"/>
  <c r="E66" i="10"/>
  <c r="I65" i="10"/>
  <c r="E65" i="10"/>
  <c r="I64" i="10"/>
  <c r="E64" i="10"/>
  <c r="I63" i="10"/>
  <c r="I62" i="10"/>
  <c r="I61" i="10"/>
  <c r="I60" i="10"/>
  <c r="I59" i="10"/>
  <c r="E59" i="10"/>
  <c r="I58" i="10"/>
  <c r="E58" i="10"/>
  <c r="I57" i="10"/>
  <c r="G57" i="10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C64" i="10" s="1"/>
  <c r="C65" i="10" s="1"/>
  <c r="C66" i="10" s="1"/>
  <c r="C67" i="10" s="1"/>
  <c r="C68" i="10" s="1"/>
  <c r="C69" i="10" s="1"/>
  <c r="C70" i="10" s="1"/>
  <c r="C71" i="10" s="1"/>
  <c r="E57" i="10"/>
  <c r="C57" i="10"/>
  <c r="C58" i="10" s="1"/>
  <c r="C59" i="10" s="1"/>
  <c r="I56" i="10"/>
  <c r="E56" i="10"/>
  <c r="I49" i="10"/>
  <c r="U53" i="10" s="1"/>
  <c r="H49" i="10"/>
  <c r="E49" i="10"/>
  <c r="U51" i="10" s="1"/>
  <c r="D49" i="10"/>
  <c r="I48" i="10"/>
  <c r="H48" i="10"/>
  <c r="E48" i="10"/>
  <c r="U50" i="10" s="1"/>
  <c r="D48" i="10"/>
  <c r="I47" i="10"/>
  <c r="U48" i="10" s="1"/>
  <c r="H47" i="10"/>
  <c r="E47" i="10"/>
  <c r="U49" i="10" s="1"/>
  <c r="D47" i="10"/>
  <c r="I46" i="10"/>
  <c r="U54" i="10" s="1"/>
  <c r="H46" i="10"/>
  <c r="E46" i="10"/>
  <c r="U40" i="10" s="1"/>
  <c r="D46" i="10"/>
  <c r="I45" i="10"/>
  <c r="H45" i="10"/>
  <c r="E45" i="10"/>
  <c r="U38" i="10" s="1"/>
  <c r="D45" i="10"/>
  <c r="I44" i="10"/>
  <c r="H44" i="10"/>
  <c r="E44" i="10"/>
  <c r="U39" i="10" s="1"/>
  <c r="D44" i="10"/>
  <c r="M43" i="10"/>
  <c r="X38" i="10" s="1"/>
  <c r="L43" i="10"/>
  <c r="K43" i="10"/>
  <c r="I43" i="10"/>
  <c r="H43" i="10"/>
  <c r="G43" i="10"/>
  <c r="G44" i="10" s="1"/>
  <c r="G45" i="10" s="1"/>
  <c r="G46" i="10" s="1"/>
  <c r="G47" i="10" s="1"/>
  <c r="G48" i="10" s="1"/>
  <c r="E43" i="10"/>
  <c r="D43" i="10"/>
  <c r="M42" i="10"/>
  <c r="X37" i="10" s="1"/>
  <c r="L42" i="10"/>
  <c r="I42" i="10"/>
  <c r="H42" i="10"/>
  <c r="R41" i="10"/>
  <c r="P37" i="10"/>
  <c r="P38" i="10" s="1"/>
  <c r="P39" i="10" s="1"/>
  <c r="P40" i="10" s="1"/>
  <c r="P41" i="10" s="1"/>
  <c r="P42" i="10" s="1"/>
  <c r="P43" i="10" s="1"/>
  <c r="P44" i="10" s="1"/>
  <c r="P45" i="10" s="1"/>
  <c r="P46" i="10" s="1"/>
  <c r="P47" i="10" s="1"/>
  <c r="P48" i="10" s="1"/>
  <c r="P49" i="10" s="1"/>
  <c r="P50" i="10" s="1"/>
  <c r="P51" i="10" s="1"/>
  <c r="P52" i="10" s="1"/>
  <c r="P53" i="10" s="1"/>
  <c r="P54" i="10" s="1"/>
  <c r="S36" i="10" s="1"/>
  <c r="S37" i="10" s="1"/>
  <c r="S38" i="10" s="1"/>
  <c r="S39" i="10" s="1"/>
  <c r="S40" i="10" s="1"/>
  <c r="S41" i="10" s="1"/>
  <c r="S42" i="10" s="1"/>
  <c r="S43" i="10" s="1"/>
  <c r="S44" i="10" s="1"/>
  <c r="S45" i="10" s="1"/>
  <c r="I36" i="10"/>
  <c r="H36" i="10"/>
  <c r="I35" i="10"/>
  <c r="U46" i="10" s="1"/>
  <c r="H35" i="10"/>
  <c r="R53" i="10"/>
  <c r="M34" i="10"/>
  <c r="X45" i="10" s="1"/>
  <c r="L34" i="10"/>
  <c r="I34" i="10"/>
  <c r="H34" i="10"/>
  <c r="R52" i="10"/>
  <c r="M33" i="10"/>
  <c r="X44" i="10" s="1"/>
  <c r="L33" i="10"/>
  <c r="I33" i="10"/>
  <c r="H33" i="10"/>
  <c r="M32" i="10"/>
  <c r="X43" i="10" s="1"/>
  <c r="L32" i="10"/>
  <c r="I32" i="10"/>
  <c r="H32" i="10"/>
  <c r="R39" i="10"/>
  <c r="M31" i="10"/>
  <c r="X54" i="10" s="1"/>
  <c r="L31" i="10"/>
  <c r="I31" i="10"/>
  <c r="H31" i="10"/>
  <c r="M30" i="10"/>
  <c r="X53" i="10" s="1"/>
  <c r="L30" i="10"/>
  <c r="I30" i="10"/>
  <c r="H30" i="10"/>
  <c r="M29" i="10"/>
  <c r="X40" i="10" s="1"/>
  <c r="L29" i="10"/>
  <c r="I29" i="10"/>
  <c r="H29" i="10"/>
  <c r="M28" i="10"/>
  <c r="X52" i="10" s="1"/>
  <c r="L28" i="10"/>
  <c r="I28" i="10"/>
  <c r="H28" i="10"/>
  <c r="M27" i="10"/>
  <c r="X51" i="10" s="1"/>
  <c r="L27" i="10"/>
  <c r="I27" i="10"/>
  <c r="H27" i="10"/>
  <c r="M26" i="10"/>
  <c r="X50" i="10" s="1"/>
  <c r="L26" i="10"/>
  <c r="I26" i="10"/>
  <c r="R48" i="10" s="1"/>
  <c r="H26" i="10"/>
  <c r="M25" i="10"/>
  <c r="X49" i="10" s="1"/>
  <c r="L25" i="10"/>
  <c r="I25" i="10"/>
  <c r="H25" i="10"/>
  <c r="G25" i="10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E25" i="10"/>
  <c r="D25" i="10"/>
  <c r="M24" i="10"/>
  <c r="L24" i="10"/>
  <c r="K24" i="10"/>
  <c r="K23" i="10" s="1"/>
  <c r="K25" i="10" s="1"/>
  <c r="K26" i="10" s="1"/>
  <c r="K27" i="10" s="1"/>
  <c r="K28" i="10" s="1"/>
  <c r="K29" i="10" s="1"/>
  <c r="K30" i="10" s="1"/>
  <c r="K31" i="10" s="1"/>
  <c r="K32" i="10" s="1"/>
  <c r="K33" i="10" s="1"/>
  <c r="K34" i="10" s="1"/>
  <c r="I24" i="10"/>
  <c r="H24" i="10"/>
  <c r="E24" i="10"/>
  <c r="D24" i="10"/>
  <c r="C24" i="10"/>
  <c r="M23" i="10"/>
  <c r="L23" i="10"/>
  <c r="E23" i="10"/>
  <c r="D23" i="10"/>
  <c r="C23" i="10"/>
  <c r="M22" i="10"/>
  <c r="L22" i="10"/>
  <c r="E22" i="10"/>
  <c r="D22" i="10"/>
  <c r="I18" i="10"/>
  <c r="H18" i="10"/>
  <c r="I17" i="10"/>
  <c r="U52" i="10" s="1"/>
  <c r="H17" i="10"/>
  <c r="I16" i="10"/>
  <c r="H16" i="10"/>
  <c r="E16" i="10"/>
  <c r="R44" i="10" s="1"/>
  <c r="D16" i="10"/>
  <c r="I15" i="10"/>
  <c r="H15" i="10"/>
  <c r="E15" i="10"/>
  <c r="R37" i="10" s="1"/>
  <c r="D15" i="10"/>
  <c r="M14" i="10"/>
  <c r="L14" i="10"/>
  <c r="I14" i="10"/>
  <c r="H14" i="10"/>
  <c r="E14" i="10"/>
  <c r="D14" i="10"/>
  <c r="M13" i="10"/>
  <c r="L13" i="10"/>
  <c r="I13" i="10"/>
  <c r="H13" i="10"/>
  <c r="E13" i="10"/>
  <c r="U43" i="10" s="1"/>
  <c r="D13" i="10"/>
  <c r="M12" i="10"/>
  <c r="X39" i="10" s="1"/>
  <c r="L12" i="10"/>
  <c r="I12" i="10"/>
  <c r="H12" i="10"/>
  <c r="E12" i="10"/>
  <c r="R45" i="10" s="1"/>
  <c r="D12" i="10"/>
  <c r="M11" i="10"/>
  <c r="X42" i="10" s="1"/>
  <c r="L11" i="10"/>
  <c r="I11" i="10"/>
  <c r="H11" i="10"/>
  <c r="E11" i="10"/>
  <c r="D11" i="10"/>
  <c r="M10" i="10"/>
  <c r="X48" i="10" s="1"/>
  <c r="L10" i="10"/>
  <c r="K10" i="10"/>
  <c r="K11" i="10" s="1"/>
  <c r="K12" i="10" s="1"/>
  <c r="I10" i="10"/>
  <c r="H10" i="10"/>
  <c r="E10" i="10"/>
  <c r="R43" i="10" s="1"/>
  <c r="D10" i="10"/>
  <c r="M9" i="10"/>
  <c r="X36" i="10" s="1"/>
  <c r="L9" i="10"/>
  <c r="I9" i="10"/>
  <c r="H9" i="10"/>
  <c r="E9" i="10"/>
  <c r="R50" i="10" s="1"/>
  <c r="D9" i="10"/>
  <c r="M8" i="10"/>
  <c r="L8" i="10"/>
  <c r="K8" i="10"/>
  <c r="I8" i="10"/>
  <c r="R47" i="10" s="1"/>
  <c r="H8" i="10"/>
  <c r="E8" i="10"/>
  <c r="R38" i="10" s="1"/>
  <c r="D8" i="10"/>
  <c r="M7" i="10"/>
  <c r="L7" i="10"/>
  <c r="I7" i="10"/>
  <c r="H7" i="10"/>
  <c r="G7" i="10"/>
  <c r="G8" i="10" s="1"/>
  <c r="G9" i="10" s="1"/>
  <c r="G10" i="10" s="1"/>
  <c r="G11" i="10" s="1"/>
  <c r="G12" i="10" s="1"/>
  <c r="G13" i="10" s="1"/>
  <c r="G14" i="10" s="1"/>
  <c r="G15" i="10" s="1"/>
  <c r="G16" i="10" s="1"/>
  <c r="G17" i="10" s="1"/>
  <c r="G49" i="10" s="1"/>
  <c r="G18" i="10" s="1"/>
  <c r="E7" i="10"/>
  <c r="R36" i="10" s="1"/>
  <c r="D7" i="10"/>
  <c r="C7" i="10"/>
  <c r="C8" i="10" s="1"/>
  <c r="C9" i="10" s="1"/>
  <c r="C10" i="10" s="1"/>
  <c r="C11" i="10" s="1"/>
  <c r="C12" i="10" s="1"/>
  <c r="C13" i="10" s="1"/>
  <c r="C14" i="10" s="1"/>
  <c r="C15" i="10" s="1"/>
  <c r="C16" i="10" s="1"/>
  <c r="C25" i="10" s="1"/>
  <c r="M6" i="10"/>
  <c r="L6" i="10"/>
  <c r="I6" i="10"/>
  <c r="H6" i="10"/>
  <c r="E6" i="10"/>
  <c r="D6" i="10"/>
  <c r="C83" i="9"/>
  <c r="C84" i="9" s="1"/>
  <c r="C85" i="9" s="1"/>
  <c r="C86" i="9" s="1"/>
  <c r="C87" i="9" s="1"/>
  <c r="C88" i="9" s="1"/>
  <c r="C89" i="9" s="1"/>
  <c r="C90" i="9" s="1"/>
  <c r="C91" i="9" s="1"/>
  <c r="C92" i="9" s="1"/>
  <c r="C93" i="9" s="1"/>
  <c r="C94" i="9" s="1"/>
  <c r="C95" i="9" s="1"/>
  <c r="C96" i="9" s="1"/>
  <c r="I75" i="9"/>
  <c r="I74" i="9"/>
  <c r="I76" i="9" s="1"/>
  <c r="G74" i="9"/>
  <c r="G75" i="9" s="1"/>
  <c r="G76" i="9" s="1"/>
  <c r="I73" i="9"/>
  <c r="E71" i="9"/>
  <c r="E70" i="9"/>
  <c r="E69" i="9"/>
  <c r="I68" i="9"/>
  <c r="E68" i="9"/>
  <c r="I67" i="9"/>
  <c r="E67" i="9"/>
  <c r="I66" i="9"/>
  <c r="E66" i="9"/>
  <c r="I65" i="9"/>
  <c r="E65" i="9"/>
  <c r="I64" i="9"/>
  <c r="E64" i="9"/>
  <c r="I63" i="9"/>
  <c r="I62" i="9"/>
  <c r="I61" i="9"/>
  <c r="I60" i="9"/>
  <c r="I59" i="9"/>
  <c r="E59" i="9"/>
  <c r="I58" i="9"/>
  <c r="G58" i="9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C64" i="9" s="1"/>
  <c r="C65" i="9" s="1"/>
  <c r="C66" i="9" s="1"/>
  <c r="C67" i="9" s="1"/>
  <c r="C68" i="9" s="1"/>
  <c r="C69" i="9" s="1"/>
  <c r="C70" i="9" s="1"/>
  <c r="C71" i="9" s="1"/>
  <c r="E58" i="9"/>
  <c r="I57" i="9"/>
  <c r="G57" i="9"/>
  <c r="E57" i="9"/>
  <c r="C57" i="9"/>
  <c r="C58" i="9" s="1"/>
  <c r="C59" i="9" s="1"/>
  <c r="I56" i="9"/>
  <c r="E56" i="9"/>
  <c r="I49" i="9"/>
  <c r="U53" i="9" s="1"/>
  <c r="H49" i="9"/>
  <c r="E49" i="9"/>
  <c r="U51" i="9" s="1"/>
  <c r="D49" i="9"/>
  <c r="I48" i="9"/>
  <c r="H48" i="9"/>
  <c r="E48" i="9"/>
  <c r="U50" i="9" s="1"/>
  <c r="D48" i="9"/>
  <c r="I47" i="9"/>
  <c r="U48" i="9" s="1"/>
  <c r="H47" i="9"/>
  <c r="E47" i="9"/>
  <c r="U49" i="9" s="1"/>
  <c r="D47" i="9"/>
  <c r="I46" i="9"/>
  <c r="U54" i="9" s="1"/>
  <c r="H46" i="9"/>
  <c r="E46" i="9"/>
  <c r="U40" i="9" s="1"/>
  <c r="D46" i="9"/>
  <c r="I45" i="9"/>
  <c r="H45" i="9"/>
  <c r="E45" i="9"/>
  <c r="U38" i="9" s="1"/>
  <c r="D45" i="9"/>
  <c r="I44" i="9"/>
  <c r="H44" i="9"/>
  <c r="E44" i="9"/>
  <c r="U39" i="9" s="1"/>
  <c r="D44" i="9"/>
  <c r="M43" i="9"/>
  <c r="X38" i="9" s="1"/>
  <c r="L43" i="9"/>
  <c r="K43" i="9"/>
  <c r="I43" i="9"/>
  <c r="H43" i="9"/>
  <c r="G43" i="9"/>
  <c r="G44" i="9" s="1"/>
  <c r="G45" i="9" s="1"/>
  <c r="G46" i="9" s="1"/>
  <c r="G47" i="9" s="1"/>
  <c r="G48" i="9" s="1"/>
  <c r="E43" i="9"/>
  <c r="D43" i="9"/>
  <c r="M42" i="9"/>
  <c r="L42" i="9"/>
  <c r="I42" i="9"/>
  <c r="H42" i="9"/>
  <c r="P38" i="9"/>
  <c r="P39" i="9" s="1"/>
  <c r="P40" i="9" s="1"/>
  <c r="P41" i="9" s="1"/>
  <c r="P42" i="9" s="1"/>
  <c r="P43" i="9" s="1"/>
  <c r="P44" i="9" s="1"/>
  <c r="P45" i="9" s="1"/>
  <c r="P46" i="9" s="1"/>
  <c r="P47" i="9" s="1"/>
  <c r="P48" i="9" s="1"/>
  <c r="P49" i="9" s="1"/>
  <c r="P50" i="9" s="1"/>
  <c r="P51" i="9" s="1"/>
  <c r="P52" i="9" s="1"/>
  <c r="P53" i="9" s="1"/>
  <c r="P54" i="9" s="1"/>
  <c r="S36" i="9" s="1"/>
  <c r="S37" i="9" s="1"/>
  <c r="S38" i="9" s="1"/>
  <c r="S39" i="9" s="1"/>
  <c r="S40" i="9" s="1"/>
  <c r="S41" i="9" s="1"/>
  <c r="S42" i="9" s="1"/>
  <c r="S43" i="9" s="1"/>
  <c r="S44" i="9" s="1"/>
  <c r="S45" i="9" s="1"/>
  <c r="P37" i="9"/>
  <c r="I36" i="9"/>
  <c r="H36" i="9"/>
  <c r="I35" i="9"/>
  <c r="U46" i="9" s="1"/>
  <c r="H35" i="9"/>
  <c r="R53" i="9"/>
  <c r="M34" i="9"/>
  <c r="X45" i="9" s="1"/>
  <c r="L34" i="9"/>
  <c r="I34" i="9"/>
  <c r="H34" i="9"/>
  <c r="R52" i="9"/>
  <c r="M33" i="9"/>
  <c r="X44" i="9" s="1"/>
  <c r="L33" i="9"/>
  <c r="I33" i="9"/>
  <c r="H33" i="9"/>
  <c r="R41" i="9"/>
  <c r="M32" i="9"/>
  <c r="X43" i="9" s="1"/>
  <c r="L32" i="9"/>
  <c r="I32" i="9"/>
  <c r="H32" i="9"/>
  <c r="R39" i="9"/>
  <c r="M31" i="9"/>
  <c r="X54" i="9" s="1"/>
  <c r="L31" i="9"/>
  <c r="I31" i="9"/>
  <c r="H31" i="9"/>
  <c r="M30" i="9"/>
  <c r="X53" i="9" s="1"/>
  <c r="L30" i="9"/>
  <c r="I30" i="9"/>
  <c r="H30" i="9"/>
  <c r="M29" i="9"/>
  <c r="X40" i="9" s="1"/>
  <c r="L29" i="9"/>
  <c r="I29" i="9"/>
  <c r="H29" i="9"/>
  <c r="M28" i="9"/>
  <c r="X52" i="9" s="1"/>
  <c r="L28" i="9"/>
  <c r="I28" i="9"/>
  <c r="H28" i="9"/>
  <c r="M27" i="9"/>
  <c r="X51" i="9" s="1"/>
  <c r="L27" i="9"/>
  <c r="I27" i="9"/>
  <c r="H27" i="9"/>
  <c r="M26" i="9"/>
  <c r="X50" i="9" s="1"/>
  <c r="L26" i="9"/>
  <c r="I26" i="9"/>
  <c r="R48" i="9" s="1"/>
  <c r="H26" i="9"/>
  <c r="M25" i="9"/>
  <c r="X49" i="9" s="1"/>
  <c r="L25" i="9"/>
  <c r="I25" i="9"/>
  <c r="H25" i="9"/>
  <c r="G25" i="9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E25" i="9"/>
  <c r="D25" i="9"/>
  <c r="M24" i="9"/>
  <c r="L24" i="9"/>
  <c r="K24" i="9"/>
  <c r="K23" i="9" s="1"/>
  <c r="K25" i="9" s="1"/>
  <c r="K26" i="9" s="1"/>
  <c r="K27" i="9" s="1"/>
  <c r="K28" i="9" s="1"/>
  <c r="K29" i="9" s="1"/>
  <c r="K30" i="9" s="1"/>
  <c r="K31" i="9" s="1"/>
  <c r="K32" i="9" s="1"/>
  <c r="K33" i="9" s="1"/>
  <c r="K34" i="9" s="1"/>
  <c r="I24" i="9"/>
  <c r="H24" i="9"/>
  <c r="E24" i="9"/>
  <c r="D24" i="9"/>
  <c r="C24" i="9"/>
  <c r="M23" i="9"/>
  <c r="L23" i="9"/>
  <c r="E23" i="9"/>
  <c r="D23" i="9"/>
  <c r="C23" i="9"/>
  <c r="M22" i="9"/>
  <c r="L22" i="9"/>
  <c r="E22" i="9"/>
  <c r="D22" i="9"/>
  <c r="I18" i="9"/>
  <c r="H18" i="9"/>
  <c r="I17" i="9"/>
  <c r="U52" i="9" s="1"/>
  <c r="H17" i="9"/>
  <c r="I16" i="9"/>
  <c r="H16" i="9"/>
  <c r="E16" i="9"/>
  <c r="R44" i="9" s="1"/>
  <c r="D16" i="9"/>
  <c r="I15" i="9"/>
  <c r="H15" i="9"/>
  <c r="E15" i="9"/>
  <c r="D15" i="9"/>
  <c r="M14" i="9"/>
  <c r="L14" i="9"/>
  <c r="I14" i="9"/>
  <c r="H14" i="9"/>
  <c r="E14" i="9"/>
  <c r="D14" i="9"/>
  <c r="M13" i="9"/>
  <c r="L13" i="9"/>
  <c r="I13" i="9"/>
  <c r="H13" i="9"/>
  <c r="E13" i="9"/>
  <c r="U43" i="9" s="1"/>
  <c r="D13" i="9"/>
  <c r="M12" i="9"/>
  <c r="X39" i="9" s="1"/>
  <c r="L12" i="9"/>
  <c r="I12" i="9"/>
  <c r="H12" i="9"/>
  <c r="E12" i="9"/>
  <c r="R45" i="9" s="1"/>
  <c r="D12" i="9"/>
  <c r="M11" i="9"/>
  <c r="X42" i="9" s="1"/>
  <c r="L11" i="9"/>
  <c r="I11" i="9"/>
  <c r="H11" i="9"/>
  <c r="E11" i="9"/>
  <c r="D11" i="9"/>
  <c r="M10" i="9"/>
  <c r="X48" i="9" s="1"/>
  <c r="L10" i="9"/>
  <c r="K10" i="9"/>
  <c r="K11" i="9" s="1"/>
  <c r="K12" i="9" s="1"/>
  <c r="I10" i="9"/>
  <c r="H10" i="9"/>
  <c r="E10" i="9"/>
  <c r="R43" i="9" s="1"/>
  <c r="D10" i="9"/>
  <c r="M9" i="9"/>
  <c r="X36" i="9" s="1"/>
  <c r="L9" i="9"/>
  <c r="I9" i="9"/>
  <c r="H9" i="9"/>
  <c r="E9" i="9"/>
  <c r="D9" i="9"/>
  <c r="M8" i="9"/>
  <c r="L8" i="9"/>
  <c r="K8" i="9"/>
  <c r="I8" i="9"/>
  <c r="R47" i="9" s="1"/>
  <c r="H8" i="9"/>
  <c r="E8" i="9"/>
  <c r="R38" i="9" s="1"/>
  <c r="D8" i="9"/>
  <c r="M7" i="9"/>
  <c r="L7" i="9"/>
  <c r="I7" i="9"/>
  <c r="H7" i="9"/>
  <c r="G7" i="9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49" i="9" s="1"/>
  <c r="G18" i="9" s="1"/>
  <c r="E7" i="9"/>
  <c r="R36" i="9" s="1"/>
  <c r="D7" i="9"/>
  <c r="C7" i="9"/>
  <c r="C8" i="9" s="1"/>
  <c r="C9" i="9" s="1"/>
  <c r="C10" i="9" s="1"/>
  <c r="C11" i="9" s="1"/>
  <c r="C12" i="9" s="1"/>
  <c r="C13" i="9" s="1"/>
  <c r="C14" i="9" s="1"/>
  <c r="C15" i="9" s="1"/>
  <c r="C16" i="9" s="1"/>
  <c r="C25" i="9" s="1"/>
  <c r="M6" i="9"/>
  <c r="L6" i="9"/>
  <c r="I6" i="9"/>
  <c r="H6" i="9"/>
  <c r="E6" i="9"/>
  <c r="D6" i="9"/>
  <c r="C84" i="8"/>
  <c r="C85" i="8" s="1"/>
  <c r="C86" i="8" s="1"/>
  <c r="C87" i="8" s="1"/>
  <c r="C88" i="8" s="1"/>
  <c r="C89" i="8" s="1"/>
  <c r="C90" i="8" s="1"/>
  <c r="C91" i="8" s="1"/>
  <c r="C92" i="8" s="1"/>
  <c r="C93" i="8" s="1"/>
  <c r="C94" i="8" s="1"/>
  <c r="C95" i="8" s="1"/>
  <c r="C96" i="8" s="1"/>
  <c r="C83" i="8"/>
  <c r="I75" i="8"/>
  <c r="I74" i="8"/>
  <c r="I76" i="8" s="1"/>
  <c r="G74" i="8"/>
  <c r="G75" i="8" s="1"/>
  <c r="G76" i="8" s="1"/>
  <c r="I73" i="8"/>
  <c r="E71" i="8"/>
  <c r="E70" i="8"/>
  <c r="E69" i="8"/>
  <c r="I68" i="8"/>
  <c r="E68" i="8"/>
  <c r="I67" i="8"/>
  <c r="E67" i="8"/>
  <c r="I66" i="8"/>
  <c r="E66" i="8"/>
  <c r="I65" i="8"/>
  <c r="E65" i="8"/>
  <c r="I64" i="8"/>
  <c r="E64" i="8"/>
  <c r="I63" i="8"/>
  <c r="I62" i="8"/>
  <c r="I61" i="8"/>
  <c r="I60" i="8"/>
  <c r="I59" i="8"/>
  <c r="E59" i="8"/>
  <c r="I58" i="8"/>
  <c r="E58" i="8"/>
  <c r="I57" i="8"/>
  <c r="G57" i="8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C64" i="8" s="1"/>
  <c r="C65" i="8" s="1"/>
  <c r="C66" i="8" s="1"/>
  <c r="C67" i="8" s="1"/>
  <c r="C68" i="8" s="1"/>
  <c r="C69" i="8" s="1"/>
  <c r="C70" i="8" s="1"/>
  <c r="C71" i="8" s="1"/>
  <c r="E57" i="8"/>
  <c r="C57" i="8"/>
  <c r="C58" i="8" s="1"/>
  <c r="C59" i="8" s="1"/>
  <c r="I56" i="8"/>
  <c r="E56" i="8"/>
  <c r="I49" i="8"/>
  <c r="U53" i="8" s="1"/>
  <c r="H49" i="8"/>
  <c r="E49" i="8"/>
  <c r="U51" i="8" s="1"/>
  <c r="D49" i="8"/>
  <c r="I48" i="8"/>
  <c r="H48" i="8"/>
  <c r="E48" i="8"/>
  <c r="U50" i="8" s="1"/>
  <c r="D48" i="8"/>
  <c r="I47" i="8"/>
  <c r="U48" i="8" s="1"/>
  <c r="H47" i="8"/>
  <c r="E47" i="8"/>
  <c r="U49" i="8" s="1"/>
  <c r="D47" i="8"/>
  <c r="I46" i="8"/>
  <c r="U54" i="8" s="1"/>
  <c r="H46" i="8"/>
  <c r="E46" i="8"/>
  <c r="U40" i="8" s="1"/>
  <c r="D46" i="8"/>
  <c r="I45" i="8"/>
  <c r="H45" i="8"/>
  <c r="E45" i="8"/>
  <c r="U38" i="8" s="1"/>
  <c r="D45" i="8"/>
  <c r="I44" i="8"/>
  <c r="H44" i="8"/>
  <c r="E44" i="8"/>
  <c r="U39" i="8" s="1"/>
  <c r="D44" i="8"/>
  <c r="M43" i="8"/>
  <c r="X38" i="8" s="1"/>
  <c r="L43" i="8"/>
  <c r="K43" i="8"/>
  <c r="I43" i="8"/>
  <c r="H43" i="8"/>
  <c r="G43" i="8"/>
  <c r="G44" i="8" s="1"/>
  <c r="G45" i="8" s="1"/>
  <c r="G46" i="8" s="1"/>
  <c r="G47" i="8" s="1"/>
  <c r="G48" i="8" s="1"/>
  <c r="E43" i="8"/>
  <c r="D43" i="8"/>
  <c r="M42" i="8"/>
  <c r="L42" i="8"/>
  <c r="I42" i="8"/>
  <c r="H42" i="8"/>
  <c r="R39" i="8"/>
  <c r="P37" i="8"/>
  <c r="P38" i="8" s="1"/>
  <c r="P39" i="8" s="1"/>
  <c r="P40" i="8" s="1"/>
  <c r="P41" i="8" s="1"/>
  <c r="P42" i="8" s="1"/>
  <c r="P43" i="8" s="1"/>
  <c r="P44" i="8" s="1"/>
  <c r="P45" i="8" s="1"/>
  <c r="P46" i="8" s="1"/>
  <c r="P47" i="8" s="1"/>
  <c r="P48" i="8" s="1"/>
  <c r="P49" i="8" s="1"/>
  <c r="P50" i="8" s="1"/>
  <c r="P51" i="8" s="1"/>
  <c r="P52" i="8" s="1"/>
  <c r="P53" i="8" s="1"/>
  <c r="P54" i="8" s="1"/>
  <c r="S36" i="8" s="1"/>
  <c r="S37" i="8" s="1"/>
  <c r="S38" i="8" s="1"/>
  <c r="S39" i="8" s="1"/>
  <c r="S40" i="8" s="1"/>
  <c r="S41" i="8" s="1"/>
  <c r="S42" i="8" s="1"/>
  <c r="S43" i="8" s="1"/>
  <c r="S44" i="8" s="1"/>
  <c r="S45" i="8" s="1"/>
  <c r="I36" i="8"/>
  <c r="H36" i="8"/>
  <c r="I35" i="8"/>
  <c r="U46" i="8" s="1"/>
  <c r="H35" i="8"/>
  <c r="R53" i="8"/>
  <c r="M34" i="8"/>
  <c r="X45" i="8" s="1"/>
  <c r="L34" i="8"/>
  <c r="I34" i="8"/>
  <c r="H34" i="8"/>
  <c r="R52" i="8"/>
  <c r="M33" i="8"/>
  <c r="X44" i="8" s="1"/>
  <c r="L33" i="8"/>
  <c r="I33" i="8"/>
  <c r="H33" i="8"/>
  <c r="R41" i="8"/>
  <c r="M32" i="8"/>
  <c r="X43" i="8" s="1"/>
  <c r="L32" i="8"/>
  <c r="I32" i="8"/>
  <c r="H32" i="8"/>
  <c r="M31" i="8"/>
  <c r="X54" i="8" s="1"/>
  <c r="L31" i="8"/>
  <c r="I31" i="8"/>
  <c r="H31" i="8"/>
  <c r="M30" i="8"/>
  <c r="X53" i="8" s="1"/>
  <c r="L30" i="8"/>
  <c r="I30" i="8"/>
  <c r="H30" i="8"/>
  <c r="M29" i="8"/>
  <c r="X40" i="8" s="1"/>
  <c r="L29" i="8"/>
  <c r="I29" i="8"/>
  <c r="H29" i="8"/>
  <c r="M28" i="8"/>
  <c r="X52" i="8" s="1"/>
  <c r="L28" i="8"/>
  <c r="I28" i="8"/>
  <c r="H28" i="8"/>
  <c r="M27" i="8"/>
  <c r="X51" i="8" s="1"/>
  <c r="L27" i="8"/>
  <c r="I27" i="8"/>
  <c r="H27" i="8"/>
  <c r="G27" i="8"/>
  <c r="G28" i="8" s="1"/>
  <c r="G29" i="8" s="1"/>
  <c r="G30" i="8" s="1"/>
  <c r="G31" i="8" s="1"/>
  <c r="G32" i="8" s="1"/>
  <c r="G33" i="8" s="1"/>
  <c r="G34" i="8" s="1"/>
  <c r="G35" i="8" s="1"/>
  <c r="G36" i="8" s="1"/>
  <c r="M26" i="8"/>
  <c r="X50" i="8" s="1"/>
  <c r="L26" i="8"/>
  <c r="I26" i="8"/>
  <c r="R48" i="8" s="1"/>
  <c r="H26" i="8"/>
  <c r="G26" i="8"/>
  <c r="M25" i="8"/>
  <c r="X49" i="8" s="1"/>
  <c r="L25" i="8"/>
  <c r="I25" i="8"/>
  <c r="H25" i="8"/>
  <c r="G25" i="8"/>
  <c r="E25" i="8"/>
  <c r="D25" i="8"/>
  <c r="M24" i="8"/>
  <c r="L24" i="8"/>
  <c r="K24" i="8"/>
  <c r="I24" i="8"/>
  <c r="H24" i="8"/>
  <c r="E24" i="8"/>
  <c r="D24" i="8"/>
  <c r="C24" i="8"/>
  <c r="M23" i="8"/>
  <c r="L23" i="8"/>
  <c r="K23" i="8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E23" i="8"/>
  <c r="D23" i="8"/>
  <c r="C23" i="8"/>
  <c r="M22" i="8"/>
  <c r="L22" i="8"/>
  <c r="E22" i="8"/>
  <c r="D22" i="8"/>
  <c r="I18" i="8"/>
  <c r="H18" i="8"/>
  <c r="I17" i="8"/>
  <c r="U52" i="8" s="1"/>
  <c r="H17" i="8"/>
  <c r="I16" i="8"/>
  <c r="H16" i="8"/>
  <c r="E16" i="8"/>
  <c r="R44" i="8" s="1"/>
  <c r="D16" i="8"/>
  <c r="I15" i="8"/>
  <c r="H15" i="8"/>
  <c r="E15" i="8"/>
  <c r="R37" i="8" s="1"/>
  <c r="D15" i="8"/>
  <c r="M14" i="8"/>
  <c r="L14" i="8"/>
  <c r="I14" i="8"/>
  <c r="H14" i="8"/>
  <c r="E14" i="8"/>
  <c r="D14" i="8"/>
  <c r="M13" i="8"/>
  <c r="L13" i="8"/>
  <c r="I13" i="8"/>
  <c r="H13" i="8"/>
  <c r="E13" i="8"/>
  <c r="U43" i="8" s="1"/>
  <c r="D13" i="8"/>
  <c r="M12" i="8"/>
  <c r="X39" i="8" s="1"/>
  <c r="L12" i="8"/>
  <c r="I12" i="8"/>
  <c r="H12" i="8"/>
  <c r="E12" i="8"/>
  <c r="R45" i="8" s="1"/>
  <c r="D12" i="8"/>
  <c r="M11" i="8"/>
  <c r="X42" i="8" s="1"/>
  <c r="L11" i="8"/>
  <c r="I11" i="8"/>
  <c r="H11" i="8"/>
  <c r="E11" i="8"/>
  <c r="D11" i="8"/>
  <c r="M10" i="8"/>
  <c r="X48" i="8" s="1"/>
  <c r="L10" i="8"/>
  <c r="K10" i="8"/>
  <c r="K11" i="8" s="1"/>
  <c r="K12" i="8" s="1"/>
  <c r="I10" i="8"/>
  <c r="H10" i="8"/>
  <c r="E10" i="8"/>
  <c r="R43" i="8" s="1"/>
  <c r="D10" i="8"/>
  <c r="M9" i="8"/>
  <c r="X36" i="8" s="1"/>
  <c r="L9" i="8"/>
  <c r="I9" i="8"/>
  <c r="H9" i="8"/>
  <c r="E9" i="8"/>
  <c r="R50" i="8" s="1"/>
  <c r="D9" i="8"/>
  <c r="M8" i="8"/>
  <c r="L8" i="8"/>
  <c r="K8" i="8"/>
  <c r="I8" i="8"/>
  <c r="R47" i="8" s="1"/>
  <c r="H8" i="8"/>
  <c r="E8" i="8"/>
  <c r="R38" i="8" s="1"/>
  <c r="D8" i="8"/>
  <c r="M7" i="8"/>
  <c r="L7" i="8"/>
  <c r="I7" i="8"/>
  <c r="H7" i="8"/>
  <c r="G7" i="8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49" i="8" s="1"/>
  <c r="G18" i="8" s="1"/>
  <c r="E7" i="8"/>
  <c r="R36" i="8" s="1"/>
  <c r="D7" i="8"/>
  <c r="C7" i="8"/>
  <c r="C8" i="8" s="1"/>
  <c r="C9" i="8" s="1"/>
  <c r="C10" i="8" s="1"/>
  <c r="C11" i="8" s="1"/>
  <c r="C12" i="8" s="1"/>
  <c r="C13" i="8" s="1"/>
  <c r="C14" i="8" s="1"/>
  <c r="C15" i="8" s="1"/>
  <c r="C16" i="8" s="1"/>
  <c r="C25" i="8" s="1"/>
  <c r="M6" i="8"/>
  <c r="L6" i="8"/>
  <c r="I6" i="8"/>
  <c r="H6" i="8"/>
  <c r="E6" i="8"/>
  <c r="D6" i="8"/>
  <c r="C84" i="7"/>
  <c r="C85" i="7" s="1"/>
  <c r="C86" i="7" s="1"/>
  <c r="C87" i="7" s="1"/>
  <c r="C88" i="7" s="1"/>
  <c r="C89" i="7" s="1"/>
  <c r="C90" i="7" s="1"/>
  <c r="C91" i="7" s="1"/>
  <c r="C92" i="7" s="1"/>
  <c r="C93" i="7" s="1"/>
  <c r="C94" i="7" s="1"/>
  <c r="C95" i="7" s="1"/>
  <c r="C96" i="7" s="1"/>
  <c r="C83" i="7"/>
  <c r="I75" i="7"/>
  <c r="I74" i="7"/>
  <c r="I76" i="7" s="1"/>
  <c r="G74" i="7"/>
  <c r="G75" i="7" s="1"/>
  <c r="G76" i="7" s="1"/>
  <c r="I73" i="7"/>
  <c r="E71" i="7"/>
  <c r="E70" i="7"/>
  <c r="E69" i="7"/>
  <c r="I68" i="7"/>
  <c r="E68" i="7"/>
  <c r="I67" i="7"/>
  <c r="E67" i="7"/>
  <c r="I66" i="7"/>
  <c r="E66" i="7"/>
  <c r="I65" i="7"/>
  <c r="E65" i="7"/>
  <c r="I64" i="7"/>
  <c r="E64" i="7"/>
  <c r="I63" i="7"/>
  <c r="I62" i="7"/>
  <c r="I61" i="7"/>
  <c r="I60" i="7"/>
  <c r="I59" i="7"/>
  <c r="E59" i="7"/>
  <c r="I58" i="7"/>
  <c r="E58" i="7"/>
  <c r="I57" i="7"/>
  <c r="G57" i="7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C64" i="7" s="1"/>
  <c r="C65" i="7" s="1"/>
  <c r="C66" i="7" s="1"/>
  <c r="C67" i="7" s="1"/>
  <c r="C68" i="7" s="1"/>
  <c r="C69" i="7" s="1"/>
  <c r="C70" i="7" s="1"/>
  <c r="C71" i="7" s="1"/>
  <c r="E57" i="7"/>
  <c r="C57" i="7"/>
  <c r="C58" i="7" s="1"/>
  <c r="C59" i="7" s="1"/>
  <c r="I56" i="7"/>
  <c r="E56" i="7"/>
  <c r="I49" i="7"/>
  <c r="U53" i="7" s="1"/>
  <c r="H49" i="7"/>
  <c r="E49" i="7"/>
  <c r="U51" i="7" s="1"/>
  <c r="D49" i="7"/>
  <c r="I48" i="7"/>
  <c r="H48" i="7"/>
  <c r="E48" i="7"/>
  <c r="U50" i="7" s="1"/>
  <c r="D48" i="7"/>
  <c r="I47" i="7"/>
  <c r="U48" i="7" s="1"/>
  <c r="H47" i="7"/>
  <c r="E47" i="7"/>
  <c r="U49" i="7" s="1"/>
  <c r="D47" i="7"/>
  <c r="I46" i="7"/>
  <c r="U54" i="7" s="1"/>
  <c r="H46" i="7"/>
  <c r="E46" i="7"/>
  <c r="U40" i="7" s="1"/>
  <c r="D46" i="7"/>
  <c r="I45" i="7"/>
  <c r="H45" i="7"/>
  <c r="E45" i="7"/>
  <c r="U38" i="7" s="1"/>
  <c r="D45" i="7"/>
  <c r="I44" i="7"/>
  <c r="H44" i="7"/>
  <c r="E44" i="7"/>
  <c r="U39" i="7" s="1"/>
  <c r="D44" i="7"/>
  <c r="M43" i="7"/>
  <c r="X38" i="7" s="1"/>
  <c r="L43" i="7"/>
  <c r="K43" i="7"/>
  <c r="I43" i="7"/>
  <c r="H43" i="7"/>
  <c r="G43" i="7"/>
  <c r="G44" i="7" s="1"/>
  <c r="G45" i="7" s="1"/>
  <c r="G46" i="7" s="1"/>
  <c r="G47" i="7" s="1"/>
  <c r="G48" i="7" s="1"/>
  <c r="E43" i="7"/>
  <c r="D43" i="7"/>
  <c r="M42" i="7"/>
  <c r="L42" i="7"/>
  <c r="I42" i="7"/>
  <c r="H42" i="7"/>
  <c r="R41" i="7"/>
  <c r="P37" i="7"/>
  <c r="P38" i="7" s="1"/>
  <c r="P39" i="7" s="1"/>
  <c r="P40" i="7" s="1"/>
  <c r="P41" i="7" s="1"/>
  <c r="P42" i="7" s="1"/>
  <c r="P43" i="7" s="1"/>
  <c r="P44" i="7" s="1"/>
  <c r="P45" i="7" s="1"/>
  <c r="P46" i="7" s="1"/>
  <c r="P47" i="7" s="1"/>
  <c r="P48" i="7" s="1"/>
  <c r="P49" i="7" s="1"/>
  <c r="P50" i="7" s="1"/>
  <c r="P51" i="7" s="1"/>
  <c r="P52" i="7" s="1"/>
  <c r="P53" i="7" s="1"/>
  <c r="P54" i="7" s="1"/>
  <c r="S36" i="7" s="1"/>
  <c r="S37" i="7" s="1"/>
  <c r="S38" i="7" s="1"/>
  <c r="S39" i="7" s="1"/>
  <c r="S40" i="7" s="1"/>
  <c r="S41" i="7" s="1"/>
  <c r="S42" i="7" s="1"/>
  <c r="S43" i="7" s="1"/>
  <c r="S44" i="7" s="1"/>
  <c r="S45" i="7" s="1"/>
  <c r="I36" i="7"/>
  <c r="H36" i="7"/>
  <c r="I35" i="7"/>
  <c r="U46" i="7" s="1"/>
  <c r="H35" i="7"/>
  <c r="R53" i="7"/>
  <c r="M34" i="7"/>
  <c r="X45" i="7" s="1"/>
  <c r="L34" i="7"/>
  <c r="I34" i="7"/>
  <c r="H34" i="7"/>
  <c r="R52" i="7"/>
  <c r="M33" i="7"/>
  <c r="X44" i="7" s="1"/>
  <c r="L33" i="7"/>
  <c r="I33" i="7"/>
  <c r="H33" i="7"/>
  <c r="M32" i="7"/>
  <c r="X43" i="7" s="1"/>
  <c r="L32" i="7"/>
  <c r="I32" i="7"/>
  <c r="H32" i="7"/>
  <c r="R39" i="7"/>
  <c r="M31" i="7"/>
  <c r="X54" i="7" s="1"/>
  <c r="L31" i="7"/>
  <c r="I31" i="7"/>
  <c r="H31" i="7"/>
  <c r="M30" i="7"/>
  <c r="X53" i="7" s="1"/>
  <c r="L30" i="7"/>
  <c r="I30" i="7"/>
  <c r="H30" i="7"/>
  <c r="M29" i="7"/>
  <c r="X40" i="7" s="1"/>
  <c r="L29" i="7"/>
  <c r="I29" i="7"/>
  <c r="H29" i="7"/>
  <c r="M28" i="7"/>
  <c r="X52" i="7" s="1"/>
  <c r="L28" i="7"/>
  <c r="I28" i="7"/>
  <c r="H28" i="7"/>
  <c r="M27" i="7"/>
  <c r="X51" i="7" s="1"/>
  <c r="L27" i="7"/>
  <c r="I27" i="7"/>
  <c r="H27" i="7"/>
  <c r="M26" i="7"/>
  <c r="X50" i="7" s="1"/>
  <c r="L26" i="7"/>
  <c r="I26" i="7"/>
  <c r="R48" i="7" s="1"/>
  <c r="H26" i="7"/>
  <c r="M25" i="7"/>
  <c r="X49" i="7" s="1"/>
  <c r="L25" i="7"/>
  <c r="I25" i="7"/>
  <c r="H25" i="7"/>
  <c r="G25" i="7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E25" i="7"/>
  <c r="D25" i="7"/>
  <c r="M24" i="7"/>
  <c r="L24" i="7"/>
  <c r="K24" i="7"/>
  <c r="K23" i="7" s="1"/>
  <c r="K25" i="7" s="1"/>
  <c r="K26" i="7" s="1"/>
  <c r="K27" i="7" s="1"/>
  <c r="K28" i="7" s="1"/>
  <c r="K29" i="7" s="1"/>
  <c r="K30" i="7" s="1"/>
  <c r="K31" i="7" s="1"/>
  <c r="K32" i="7" s="1"/>
  <c r="K33" i="7" s="1"/>
  <c r="K34" i="7" s="1"/>
  <c r="I24" i="7"/>
  <c r="H24" i="7"/>
  <c r="E24" i="7"/>
  <c r="D24" i="7"/>
  <c r="M23" i="7"/>
  <c r="L23" i="7"/>
  <c r="E23" i="7"/>
  <c r="D23" i="7"/>
  <c r="C23" i="7"/>
  <c r="C24" i="7" s="1"/>
  <c r="M22" i="7"/>
  <c r="L22" i="7"/>
  <c r="E22" i="7"/>
  <c r="D22" i="7"/>
  <c r="I18" i="7"/>
  <c r="H18" i="7"/>
  <c r="I17" i="7"/>
  <c r="U52" i="7" s="1"/>
  <c r="H17" i="7"/>
  <c r="I16" i="7"/>
  <c r="H16" i="7"/>
  <c r="E16" i="7"/>
  <c r="R44" i="7" s="1"/>
  <c r="D16" i="7"/>
  <c r="I15" i="7"/>
  <c r="H15" i="7"/>
  <c r="E15" i="7"/>
  <c r="R37" i="7" s="1"/>
  <c r="D15" i="7"/>
  <c r="M14" i="7"/>
  <c r="L14" i="7"/>
  <c r="I14" i="7"/>
  <c r="H14" i="7"/>
  <c r="E14" i="7"/>
  <c r="D14" i="7"/>
  <c r="M13" i="7"/>
  <c r="L13" i="7"/>
  <c r="I13" i="7"/>
  <c r="H13" i="7"/>
  <c r="E13" i="7"/>
  <c r="U43" i="7" s="1"/>
  <c r="D13" i="7"/>
  <c r="M12" i="7"/>
  <c r="X39" i="7" s="1"/>
  <c r="L12" i="7"/>
  <c r="I12" i="7"/>
  <c r="H12" i="7"/>
  <c r="E12" i="7"/>
  <c r="R45" i="7" s="1"/>
  <c r="D12" i="7"/>
  <c r="M11" i="7"/>
  <c r="X42" i="7" s="1"/>
  <c r="L11" i="7"/>
  <c r="I11" i="7"/>
  <c r="H11" i="7"/>
  <c r="E11" i="7"/>
  <c r="D11" i="7"/>
  <c r="M10" i="7"/>
  <c r="X48" i="7" s="1"/>
  <c r="L10" i="7"/>
  <c r="K10" i="7"/>
  <c r="K11" i="7" s="1"/>
  <c r="K12" i="7" s="1"/>
  <c r="I10" i="7"/>
  <c r="H10" i="7"/>
  <c r="E10" i="7"/>
  <c r="R43" i="7" s="1"/>
  <c r="D10" i="7"/>
  <c r="M9" i="7"/>
  <c r="X36" i="7" s="1"/>
  <c r="L9" i="7"/>
  <c r="I9" i="7"/>
  <c r="H9" i="7"/>
  <c r="E9" i="7"/>
  <c r="D9" i="7"/>
  <c r="M8" i="7"/>
  <c r="L8" i="7"/>
  <c r="K8" i="7"/>
  <c r="I8" i="7"/>
  <c r="R47" i="7" s="1"/>
  <c r="H8" i="7"/>
  <c r="E8" i="7"/>
  <c r="R38" i="7" s="1"/>
  <c r="D8" i="7"/>
  <c r="M7" i="7"/>
  <c r="L7" i="7"/>
  <c r="I7" i="7"/>
  <c r="H7" i="7"/>
  <c r="G7" i="7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49" i="7" s="1"/>
  <c r="G18" i="7" s="1"/>
  <c r="E7" i="7"/>
  <c r="R36" i="7" s="1"/>
  <c r="D7" i="7"/>
  <c r="C7" i="7"/>
  <c r="C8" i="7" s="1"/>
  <c r="C9" i="7" s="1"/>
  <c r="C10" i="7" s="1"/>
  <c r="C11" i="7" s="1"/>
  <c r="C12" i="7" s="1"/>
  <c r="C13" i="7" s="1"/>
  <c r="C14" i="7" s="1"/>
  <c r="C15" i="7" s="1"/>
  <c r="C16" i="7" s="1"/>
  <c r="C25" i="7" s="1"/>
  <c r="M6" i="7"/>
  <c r="L6" i="7"/>
  <c r="I6" i="7"/>
  <c r="H6" i="7"/>
  <c r="E6" i="7"/>
  <c r="D6" i="7"/>
  <c r="C84" i="6"/>
  <c r="C85" i="6" s="1"/>
  <c r="C86" i="6" s="1"/>
  <c r="C87" i="6" s="1"/>
  <c r="C88" i="6" s="1"/>
  <c r="C89" i="6" s="1"/>
  <c r="C90" i="6" s="1"/>
  <c r="C91" i="6" s="1"/>
  <c r="C92" i="6" s="1"/>
  <c r="C93" i="6" s="1"/>
  <c r="C94" i="6" s="1"/>
  <c r="C95" i="6" s="1"/>
  <c r="C96" i="6" s="1"/>
  <c r="C83" i="6"/>
  <c r="G76" i="6"/>
  <c r="I75" i="6"/>
  <c r="G75" i="6"/>
  <c r="I74" i="6"/>
  <c r="I76" i="6" s="1"/>
  <c r="G74" i="6"/>
  <c r="I73" i="6"/>
  <c r="E71" i="6"/>
  <c r="E70" i="6"/>
  <c r="E69" i="6"/>
  <c r="I68" i="6"/>
  <c r="E68" i="6"/>
  <c r="I67" i="6"/>
  <c r="E67" i="6"/>
  <c r="I66" i="6"/>
  <c r="E66" i="6"/>
  <c r="I65" i="6"/>
  <c r="E65" i="6"/>
  <c r="I64" i="6"/>
  <c r="E64" i="6"/>
  <c r="I63" i="6"/>
  <c r="I62" i="6"/>
  <c r="I61" i="6"/>
  <c r="I60" i="6"/>
  <c r="I59" i="6"/>
  <c r="E59" i="6"/>
  <c r="I58" i="6"/>
  <c r="G58" i="6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C64" i="6" s="1"/>
  <c r="C65" i="6" s="1"/>
  <c r="C66" i="6" s="1"/>
  <c r="C67" i="6" s="1"/>
  <c r="C68" i="6" s="1"/>
  <c r="C69" i="6" s="1"/>
  <c r="C70" i="6" s="1"/>
  <c r="C71" i="6" s="1"/>
  <c r="E58" i="6"/>
  <c r="I57" i="6"/>
  <c r="G57" i="6"/>
  <c r="E57" i="6"/>
  <c r="C57" i="6"/>
  <c r="C58" i="6" s="1"/>
  <c r="C59" i="6" s="1"/>
  <c r="I56" i="6"/>
  <c r="E56" i="6"/>
  <c r="I49" i="6"/>
  <c r="U53" i="6" s="1"/>
  <c r="H49" i="6"/>
  <c r="E49" i="6"/>
  <c r="U51" i="6" s="1"/>
  <c r="D49" i="6"/>
  <c r="I48" i="6"/>
  <c r="H48" i="6"/>
  <c r="E48" i="6"/>
  <c r="U50" i="6" s="1"/>
  <c r="D48" i="6"/>
  <c r="I47" i="6"/>
  <c r="U48" i="6" s="1"/>
  <c r="H47" i="6"/>
  <c r="E47" i="6"/>
  <c r="U49" i="6" s="1"/>
  <c r="D47" i="6"/>
  <c r="I46" i="6"/>
  <c r="U54" i="6" s="1"/>
  <c r="H46" i="6"/>
  <c r="E46" i="6"/>
  <c r="U40" i="6" s="1"/>
  <c r="D46" i="6"/>
  <c r="I45" i="6"/>
  <c r="H45" i="6"/>
  <c r="E45" i="6"/>
  <c r="U38" i="6" s="1"/>
  <c r="D45" i="6"/>
  <c r="I44" i="6"/>
  <c r="H44" i="6"/>
  <c r="E44" i="6"/>
  <c r="U39" i="6" s="1"/>
  <c r="D44" i="6"/>
  <c r="M43" i="6"/>
  <c r="X38" i="6" s="1"/>
  <c r="L43" i="6"/>
  <c r="K43" i="6"/>
  <c r="I43" i="6"/>
  <c r="H43" i="6"/>
  <c r="G43" i="6"/>
  <c r="G44" i="6" s="1"/>
  <c r="G45" i="6" s="1"/>
  <c r="G46" i="6" s="1"/>
  <c r="G47" i="6" s="1"/>
  <c r="G48" i="6" s="1"/>
  <c r="E43" i="6"/>
  <c r="D43" i="6"/>
  <c r="M42" i="6"/>
  <c r="L42" i="6"/>
  <c r="I42" i="6"/>
  <c r="H42" i="6"/>
  <c r="P37" i="6"/>
  <c r="P38" i="6" s="1"/>
  <c r="P39" i="6" s="1"/>
  <c r="P40" i="6" s="1"/>
  <c r="P41" i="6" s="1"/>
  <c r="P42" i="6" s="1"/>
  <c r="P43" i="6" s="1"/>
  <c r="P44" i="6" s="1"/>
  <c r="P45" i="6" s="1"/>
  <c r="P46" i="6" s="1"/>
  <c r="P47" i="6" s="1"/>
  <c r="P48" i="6" s="1"/>
  <c r="P49" i="6" s="1"/>
  <c r="P50" i="6" s="1"/>
  <c r="P51" i="6" s="1"/>
  <c r="P52" i="6" s="1"/>
  <c r="P53" i="6" s="1"/>
  <c r="P54" i="6" s="1"/>
  <c r="S36" i="6" s="1"/>
  <c r="S37" i="6" s="1"/>
  <c r="S38" i="6" s="1"/>
  <c r="S39" i="6" s="1"/>
  <c r="S40" i="6" s="1"/>
  <c r="S41" i="6" s="1"/>
  <c r="S42" i="6" s="1"/>
  <c r="S43" i="6" s="1"/>
  <c r="S44" i="6" s="1"/>
  <c r="S45" i="6" s="1"/>
  <c r="I36" i="6"/>
  <c r="H36" i="6"/>
  <c r="I35" i="6"/>
  <c r="U46" i="6" s="1"/>
  <c r="H35" i="6"/>
  <c r="R53" i="6"/>
  <c r="M34" i="6"/>
  <c r="X45" i="6" s="1"/>
  <c r="L34" i="6"/>
  <c r="I34" i="6"/>
  <c r="H34" i="6"/>
  <c r="R52" i="6"/>
  <c r="M33" i="6"/>
  <c r="X44" i="6" s="1"/>
  <c r="L33" i="6"/>
  <c r="I33" i="6"/>
  <c r="H33" i="6"/>
  <c r="R41" i="6"/>
  <c r="M32" i="6"/>
  <c r="X43" i="6" s="1"/>
  <c r="L32" i="6"/>
  <c r="I32" i="6"/>
  <c r="H32" i="6"/>
  <c r="R39" i="6"/>
  <c r="M31" i="6"/>
  <c r="X54" i="6" s="1"/>
  <c r="L31" i="6"/>
  <c r="I31" i="6"/>
  <c r="H31" i="6"/>
  <c r="M30" i="6"/>
  <c r="X53" i="6" s="1"/>
  <c r="L30" i="6"/>
  <c r="I30" i="6"/>
  <c r="H30" i="6"/>
  <c r="M29" i="6"/>
  <c r="X40" i="6" s="1"/>
  <c r="L29" i="6"/>
  <c r="I29" i="6"/>
  <c r="H29" i="6"/>
  <c r="M28" i="6"/>
  <c r="X52" i="6" s="1"/>
  <c r="L28" i="6"/>
  <c r="I28" i="6"/>
  <c r="H28" i="6"/>
  <c r="M27" i="6"/>
  <c r="X51" i="6" s="1"/>
  <c r="L27" i="6"/>
  <c r="I27" i="6"/>
  <c r="H27" i="6"/>
  <c r="M26" i="6"/>
  <c r="X50" i="6" s="1"/>
  <c r="L26" i="6"/>
  <c r="I26" i="6"/>
  <c r="R48" i="6" s="1"/>
  <c r="H26" i="6"/>
  <c r="G26" i="6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M25" i="6"/>
  <c r="X49" i="6" s="1"/>
  <c r="L25" i="6"/>
  <c r="I25" i="6"/>
  <c r="H25" i="6"/>
  <c r="G25" i="6"/>
  <c r="E25" i="6"/>
  <c r="D25" i="6"/>
  <c r="M24" i="6"/>
  <c r="L24" i="6"/>
  <c r="K24" i="6"/>
  <c r="K23" i="6" s="1"/>
  <c r="K25" i="6" s="1"/>
  <c r="K26" i="6" s="1"/>
  <c r="K27" i="6" s="1"/>
  <c r="K28" i="6" s="1"/>
  <c r="K29" i="6" s="1"/>
  <c r="K30" i="6" s="1"/>
  <c r="K31" i="6" s="1"/>
  <c r="K32" i="6" s="1"/>
  <c r="K33" i="6" s="1"/>
  <c r="K34" i="6" s="1"/>
  <c r="I24" i="6"/>
  <c r="H24" i="6"/>
  <c r="E24" i="6"/>
  <c r="D24" i="6"/>
  <c r="M23" i="6"/>
  <c r="L23" i="6"/>
  <c r="E23" i="6"/>
  <c r="D23" i="6"/>
  <c r="C23" i="6"/>
  <c r="C24" i="6" s="1"/>
  <c r="M22" i="6"/>
  <c r="L22" i="6"/>
  <c r="E22" i="6"/>
  <c r="D22" i="6"/>
  <c r="I18" i="6"/>
  <c r="H18" i="6"/>
  <c r="I17" i="6"/>
  <c r="U52" i="6" s="1"/>
  <c r="H17" i="6"/>
  <c r="I16" i="6"/>
  <c r="H16" i="6"/>
  <c r="E16" i="6"/>
  <c r="R44" i="6" s="1"/>
  <c r="D16" i="6"/>
  <c r="I15" i="6"/>
  <c r="H15" i="6"/>
  <c r="E15" i="6"/>
  <c r="D15" i="6"/>
  <c r="M14" i="6"/>
  <c r="L14" i="6"/>
  <c r="I14" i="6"/>
  <c r="H14" i="6"/>
  <c r="E14" i="6"/>
  <c r="D14" i="6"/>
  <c r="M13" i="6"/>
  <c r="L13" i="6"/>
  <c r="I13" i="6"/>
  <c r="H13" i="6"/>
  <c r="E13" i="6"/>
  <c r="U43" i="6" s="1"/>
  <c r="D13" i="6"/>
  <c r="M12" i="6"/>
  <c r="X39" i="6" s="1"/>
  <c r="L12" i="6"/>
  <c r="I12" i="6"/>
  <c r="H12" i="6"/>
  <c r="E12" i="6"/>
  <c r="R45" i="6" s="1"/>
  <c r="D12" i="6"/>
  <c r="M11" i="6"/>
  <c r="X42" i="6" s="1"/>
  <c r="L11" i="6"/>
  <c r="I11" i="6"/>
  <c r="H11" i="6"/>
  <c r="E11" i="6"/>
  <c r="D11" i="6"/>
  <c r="M10" i="6"/>
  <c r="X48" i="6" s="1"/>
  <c r="L10" i="6"/>
  <c r="K10" i="6"/>
  <c r="K11" i="6" s="1"/>
  <c r="K12" i="6" s="1"/>
  <c r="I10" i="6"/>
  <c r="H10" i="6"/>
  <c r="E10" i="6"/>
  <c r="R43" i="6" s="1"/>
  <c r="D10" i="6"/>
  <c r="M9" i="6"/>
  <c r="X36" i="6" s="1"/>
  <c r="L9" i="6"/>
  <c r="I9" i="6"/>
  <c r="H9" i="6"/>
  <c r="E9" i="6"/>
  <c r="D9" i="6"/>
  <c r="M8" i="6"/>
  <c r="L8" i="6"/>
  <c r="K8" i="6"/>
  <c r="I8" i="6"/>
  <c r="R47" i="6" s="1"/>
  <c r="H8" i="6"/>
  <c r="E8" i="6"/>
  <c r="R38" i="6" s="1"/>
  <c r="D8" i="6"/>
  <c r="M7" i="6"/>
  <c r="L7" i="6"/>
  <c r="I7" i="6"/>
  <c r="H7" i="6"/>
  <c r="G7" i="6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49" i="6" s="1"/>
  <c r="G18" i="6" s="1"/>
  <c r="E7" i="6"/>
  <c r="R36" i="6" s="1"/>
  <c r="D7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25" i="6" s="1"/>
  <c r="M6" i="6"/>
  <c r="L6" i="6"/>
  <c r="I6" i="6"/>
  <c r="H6" i="6"/>
  <c r="E6" i="6"/>
  <c r="D6" i="6"/>
  <c r="E46" i="5"/>
  <c r="U40" i="5" s="1"/>
  <c r="C84" i="5"/>
  <c r="C85" i="5" s="1"/>
  <c r="C86" i="5" s="1"/>
  <c r="C87" i="5" s="1"/>
  <c r="C88" i="5" s="1"/>
  <c r="C89" i="5" s="1"/>
  <c r="C90" i="5" s="1"/>
  <c r="C91" i="5" s="1"/>
  <c r="C92" i="5" s="1"/>
  <c r="C93" i="5" s="1"/>
  <c r="C94" i="5" s="1"/>
  <c r="C95" i="5" s="1"/>
  <c r="C96" i="5" s="1"/>
  <c r="C83" i="5"/>
  <c r="I75" i="5"/>
  <c r="I74" i="5"/>
  <c r="I76" i="5" s="1"/>
  <c r="G74" i="5"/>
  <c r="G75" i="5" s="1"/>
  <c r="G76" i="5" s="1"/>
  <c r="I73" i="5"/>
  <c r="E71" i="5"/>
  <c r="E70" i="5"/>
  <c r="E69" i="5"/>
  <c r="I68" i="5"/>
  <c r="E68" i="5"/>
  <c r="I67" i="5"/>
  <c r="E67" i="5"/>
  <c r="I66" i="5"/>
  <c r="E66" i="5"/>
  <c r="I65" i="5"/>
  <c r="E65" i="5"/>
  <c r="I64" i="5"/>
  <c r="E64" i="5"/>
  <c r="I63" i="5"/>
  <c r="I62" i="5"/>
  <c r="I61" i="5"/>
  <c r="I60" i="5"/>
  <c r="I59" i="5"/>
  <c r="E59" i="5"/>
  <c r="I58" i="5"/>
  <c r="E58" i="5"/>
  <c r="I57" i="5"/>
  <c r="G57" i="5"/>
  <c r="G58" i="5" s="1"/>
  <c r="G59" i="5" s="1"/>
  <c r="G60" i="5" s="1"/>
  <c r="G61" i="5" s="1"/>
  <c r="G62" i="5" s="1"/>
  <c r="G63" i="5" s="1"/>
  <c r="G64" i="5" s="1"/>
  <c r="G65" i="5" s="1"/>
  <c r="G66" i="5" s="1"/>
  <c r="G67" i="5" s="1"/>
  <c r="G68" i="5" s="1"/>
  <c r="C64" i="5" s="1"/>
  <c r="C65" i="5" s="1"/>
  <c r="C66" i="5" s="1"/>
  <c r="C67" i="5" s="1"/>
  <c r="C68" i="5" s="1"/>
  <c r="C69" i="5" s="1"/>
  <c r="C70" i="5" s="1"/>
  <c r="C71" i="5" s="1"/>
  <c r="E57" i="5"/>
  <c r="C57" i="5"/>
  <c r="C58" i="5" s="1"/>
  <c r="C59" i="5" s="1"/>
  <c r="I56" i="5"/>
  <c r="E56" i="5"/>
  <c r="I49" i="5"/>
  <c r="U53" i="5" s="1"/>
  <c r="H49" i="5"/>
  <c r="E49" i="5"/>
  <c r="U51" i="5" s="1"/>
  <c r="D49" i="5"/>
  <c r="I48" i="5"/>
  <c r="H48" i="5"/>
  <c r="E48" i="5"/>
  <c r="U50" i="5" s="1"/>
  <c r="D48" i="5"/>
  <c r="I47" i="5"/>
  <c r="U48" i="5" s="1"/>
  <c r="H47" i="5"/>
  <c r="E47" i="5"/>
  <c r="U49" i="5" s="1"/>
  <c r="D47" i="5"/>
  <c r="I46" i="5"/>
  <c r="U54" i="5" s="1"/>
  <c r="H46" i="5"/>
  <c r="D46" i="5"/>
  <c r="I45" i="5"/>
  <c r="H45" i="5"/>
  <c r="E45" i="5"/>
  <c r="U38" i="5" s="1"/>
  <c r="D45" i="5"/>
  <c r="I44" i="5"/>
  <c r="H44" i="5"/>
  <c r="E44" i="5"/>
  <c r="U39" i="5" s="1"/>
  <c r="D44" i="5"/>
  <c r="M43" i="5"/>
  <c r="X38" i="5" s="1"/>
  <c r="L43" i="5"/>
  <c r="K43" i="5"/>
  <c r="I43" i="5"/>
  <c r="H43" i="5"/>
  <c r="G43" i="5"/>
  <c r="G44" i="5" s="1"/>
  <c r="G45" i="5" s="1"/>
  <c r="G46" i="5" s="1"/>
  <c r="G47" i="5" s="1"/>
  <c r="G48" i="5" s="1"/>
  <c r="E43" i="5"/>
  <c r="D43" i="5"/>
  <c r="M42" i="5"/>
  <c r="L42" i="5"/>
  <c r="I42" i="5"/>
  <c r="H42" i="5"/>
  <c r="P37" i="5"/>
  <c r="P38" i="5" s="1"/>
  <c r="P39" i="5" s="1"/>
  <c r="P40" i="5" s="1"/>
  <c r="P41" i="5" s="1"/>
  <c r="P42" i="5" s="1"/>
  <c r="P43" i="5" s="1"/>
  <c r="P44" i="5" s="1"/>
  <c r="P45" i="5" s="1"/>
  <c r="P46" i="5" s="1"/>
  <c r="P47" i="5" s="1"/>
  <c r="P48" i="5" s="1"/>
  <c r="P49" i="5" s="1"/>
  <c r="P50" i="5" s="1"/>
  <c r="P51" i="5" s="1"/>
  <c r="P52" i="5" s="1"/>
  <c r="P53" i="5" s="1"/>
  <c r="P54" i="5" s="1"/>
  <c r="S36" i="5" s="1"/>
  <c r="S37" i="5" s="1"/>
  <c r="S38" i="5" s="1"/>
  <c r="S39" i="5" s="1"/>
  <c r="S40" i="5" s="1"/>
  <c r="S41" i="5" s="1"/>
  <c r="S42" i="5" s="1"/>
  <c r="S43" i="5" s="1"/>
  <c r="S44" i="5" s="1"/>
  <c r="S45" i="5" s="1"/>
  <c r="I36" i="5"/>
  <c r="H36" i="5"/>
  <c r="I35" i="5"/>
  <c r="U46" i="5" s="1"/>
  <c r="H35" i="5"/>
  <c r="R53" i="5"/>
  <c r="M34" i="5"/>
  <c r="X45" i="5" s="1"/>
  <c r="L34" i="5"/>
  <c r="I34" i="5"/>
  <c r="H34" i="5"/>
  <c r="R52" i="5"/>
  <c r="M33" i="5"/>
  <c r="X44" i="5" s="1"/>
  <c r="L33" i="5"/>
  <c r="I33" i="5"/>
  <c r="H33" i="5"/>
  <c r="R41" i="5"/>
  <c r="M32" i="5"/>
  <c r="X43" i="5" s="1"/>
  <c r="L32" i="5"/>
  <c r="I32" i="5"/>
  <c r="H32" i="5"/>
  <c r="R39" i="5"/>
  <c r="M31" i="5"/>
  <c r="X54" i="5" s="1"/>
  <c r="L31" i="5"/>
  <c r="I31" i="5"/>
  <c r="H31" i="5"/>
  <c r="M30" i="5"/>
  <c r="X53" i="5" s="1"/>
  <c r="L30" i="5"/>
  <c r="I30" i="5"/>
  <c r="H30" i="5"/>
  <c r="M29" i="5"/>
  <c r="X40" i="5" s="1"/>
  <c r="L29" i="5"/>
  <c r="I29" i="5"/>
  <c r="H29" i="5"/>
  <c r="M28" i="5"/>
  <c r="X52" i="5" s="1"/>
  <c r="L28" i="5"/>
  <c r="I28" i="5"/>
  <c r="H28" i="5"/>
  <c r="M27" i="5"/>
  <c r="X51" i="5" s="1"/>
  <c r="L27" i="5"/>
  <c r="I27" i="5"/>
  <c r="H27" i="5"/>
  <c r="M26" i="5"/>
  <c r="X50" i="5" s="1"/>
  <c r="L26" i="5"/>
  <c r="I26" i="5"/>
  <c r="R48" i="5" s="1"/>
  <c r="H26" i="5"/>
  <c r="G26" i="5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M25" i="5"/>
  <c r="X49" i="5" s="1"/>
  <c r="L25" i="5"/>
  <c r="I25" i="5"/>
  <c r="H25" i="5"/>
  <c r="G25" i="5"/>
  <c r="E25" i="5"/>
  <c r="D25" i="5"/>
  <c r="M24" i="5"/>
  <c r="L24" i="5"/>
  <c r="K24" i="5"/>
  <c r="K23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I24" i="5"/>
  <c r="H24" i="5"/>
  <c r="E24" i="5"/>
  <c r="D24" i="5"/>
  <c r="C24" i="5"/>
  <c r="M23" i="5"/>
  <c r="L23" i="5"/>
  <c r="E23" i="5"/>
  <c r="D23" i="5"/>
  <c r="C23" i="5"/>
  <c r="M22" i="5"/>
  <c r="L22" i="5"/>
  <c r="E22" i="5"/>
  <c r="D22" i="5"/>
  <c r="I18" i="5"/>
  <c r="H18" i="5"/>
  <c r="I17" i="5"/>
  <c r="U52" i="5" s="1"/>
  <c r="H17" i="5"/>
  <c r="I16" i="5"/>
  <c r="H16" i="5"/>
  <c r="E16" i="5"/>
  <c r="R44" i="5" s="1"/>
  <c r="D16" i="5"/>
  <c r="I15" i="5"/>
  <c r="H15" i="5"/>
  <c r="E15" i="5"/>
  <c r="R37" i="5" s="1"/>
  <c r="D15" i="5"/>
  <c r="M14" i="5"/>
  <c r="L14" i="5"/>
  <c r="I14" i="5"/>
  <c r="H14" i="5"/>
  <c r="E14" i="5"/>
  <c r="D14" i="5"/>
  <c r="M13" i="5"/>
  <c r="L13" i="5"/>
  <c r="I13" i="5"/>
  <c r="H13" i="5"/>
  <c r="E13" i="5"/>
  <c r="U43" i="5" s="1"/>
  <c r="D13" i="5"/>
  <c r="M12" i="5"/>
  <c r="X39" i="5" s="1"/>
  <c r="L12" i="5"/>
  <c r="I12" i="5"/>
  <c r="H12" i="5"/>
  <c r="E12" i="5"/>
  <c r="R45" i="5" s="1"/>
  <c r="D12" i="5"/>
  <c r="M11" i="5"/>
  <c r="X42" i="5" s="1"/>
  <c r="L11" i="5"/>
  <c r="I11" i="5"/>
  <c r="H11" i="5"/>
  <c r="E11" i="5"/>
  <c r="D11" i="5"/>
  <c r="M10" i="5"/>
  <c r="X48" i="5" s="1"/>
  <c r="L10" i="5"/>
  <c r="K10" i="5"/>
  <c r="K11" i="5" s="1"/>
  <c r="K12" i="5" s="1"/>
  <c r="I10" i="5"/>
  <c r="H10" i="5"/>
  <c r="E10" i="5"/>
  <c r="R43" i="5" s="1"/>
  <c r="D10" i="5"/>
  <c r="M9" i="5"/>
  <c r="X36" i="5" s="1"/>
  <c r="L9" i="5"/>
  <c r="I9" i="5"/>
  <c r="H9" i="5"/>
  <c r="E9" i="5"/>
  <c r="D9" i="5"/>
  <c r="M8" i="5"/>
  <c r="L8" i="5"/>
  <c r="K8" i="5"/>
  <c r="I8" i="5"/>
  <c r="R47" i="5" s="1"/>
  <c r="H8" i="5"/>
  <c r="E8" i="5"/>
  <c r="R38" i="5" s="1"/>
  <c r="D8" i="5"/>
  <c r="M7" i="5"/>
  <c r="L7" i="5"/>
  <c r="I7" i="5"/>
  <c r="H7" i="5"/>
  <c r="G7" i="5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49" i="5" s="1"/>
  <c r="G18" i="5" s="1"/>
  <c r="E7" i="5"/>
  <c r="R36" i="5" s="1"/>
  <c r="D7" i="5"/>
  <c r="C7" i="5"/>
  <c r="C8" i="5" s="1"/>
  <c r="C9" i="5" s="1"/>
  <c r="C10" i="5" s="1"/>
  <c r="C11" i="5" s="1"/>
  <c r="C12" i="5" s="1"/>
  <c r="C13" i="5" s="1"/>
  <c r="C14" i="5" s="1"/>
  <c r="C15" i="5" s="1"/>
  <c r="C16" i="5" s="1"/>
  <c r="C25" i="5" s="1"/>
  <c r="M6" i="5"/>
  <c r="L6" i="5"/>
  <c r="I6" i="5"/>
  <c r="H6" i="5"/>
  <c r="E6" i="5"/>
  <c r="D6" i="5"/>
  <c r="C84" i="4"/>
  <c r="C85" i="4" s="1"/>
  <c r="C86" i="4" s="1"/>
  <c r="C87" i="4" s="1"/>
  <c r="C88" i="4" s="1"/>
  <c r="C89" i="4" s="1"/>
  <c r="C90" i="4" s="1"/>
  <c r="C91" i="4" s="1"/>
  <c r="C92" i="4" s="1"/>
  <c r="C93" i="4" s="1"/>
  <c r="C94" i="4" s="1"/>
  <c r="C95" i="4" s="1"/>
  <c r="C96" i="4" s="1"/>
  <c r="C83" i="4"/>
  <c r="I75" i="4"/>
  <c r="I74" i="4"/>
  <c r="I76" i="4" s="1"/>
  <c r="G74" i="4"/>
  <c r="G75" i="4" s="1"/>
  <c r="G76" i="4" s="1"/>
  <c r="I73" i="4"/>
  <c r="E71" i="4"/>
  <c r="E70" i="4"/>
  <c r="E69" i="4"/>
  <c r="I68" i="4"/>
  <c r="E68" i="4"/>
  <c r="I67" i="4"/>
  <c r="E67" i="4"/>
  <c r="I66" i="4"/>
  <c r="E66" i="4"/>
  <c r="I65" i="4"/>
  <c r="E65" i="4"/>
  <c r="I64" i="4"/>
  <c r="E64" i="4"/>
  <c r="I63" i="4"/>
  <c r="I62" i="4"/>
  <c r="I61" i="4"/>
  <c r="I60" i="4"/>
  <c r="I59" i="4"/>
  <c r="E59" i="4"/>
  <c r="I58" i="4"/>
  <c r="E58" i="4"/>
  <c r="I57" i="4"/>
  <c r="G57" i="4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C64" i="4" s="1"/>
  <c r="C65" i="4" s="1"/>
  <c r="C66" i="4" s="1"/>
  <c r="C67" i="4" s="1"/>
  <c r="C68" i="4" s="1"/>
  <c r="C69" i="4" s="1"/>
  <c r="C70" i="4" s="1"/>
  <c r="C71" i="4" s="1"/>
  <c r="E57" i="4"/>
  <c r="C57" i="4"/>
  <c r="C58" i="4" s="1"/>
  <c r="C59" i="4" s="1"/>
  <c r="I56" i="4"/>
  <c r="E56" i="4"/>
  <c r="I49" i="4"/>
  <c r="U53" i="4" s="1"/>
  <c r="H49" i="4"/>
  <c r="E49" i="4"/>
  <c r="U51" i="4" s="1"/>
  <c r="D49" i="4"/>
  <c r="I48" i="4"/>
  <c r="H48" i="4"/>
  <c r="E48" i="4"/>
  <c r="U50" i="4" s="1"/>
  <c r="D48" i="4"/>
  <c r="I47" i="4"/>
  <c r="U48" i="4" s="1"/>
  <c r="H47" i="4"/>
  <c r="E47" i="4"/>
  <c r="U49" i="4" s="1"/>
  <c r="D47" i="4"/>
  <c r="I46" i="4"/>
  <c r="U54" i="4" s="1"/>
  <c r="H46" i="4"/>
  <c r="E46" i="4"/>
  <c r="U40" i="4" s="1"/>
  <c r="D46" i="4"/>
  <c r="I45" i="4"/>
  <c r="H45" i="4"/>
  <c r="E45" i="4"/>
  <c r="U38" i="4" s="1"/>
  <c r="D45" i="4"/>
  <c r="I44" i="4"/>
  <c r="H44" i="4"/>
  <c r="E44" i="4"/>
  <c r="U39" i="4" s="1"/>
  <c r="D44" i="4"/>
  <c r="M43" i="4"/>
  <c r="X38" i="4" s="1"/>
  <c r="L43" i="4"/>
  <c r="K43" i="4"/>
  <c r="I43" i="4"/>
  <c r="H43" i="4"/>
  <c r="G43" i="4"/>
  <c r="G44" i="4" s="1"/>
  <c r="G45" i="4" s="1"/>
  <c r="G46" i="4" s="1"/>
  <c r="G47" i="4" s="1"/>
  <c r="G48" i="4" s="1"/>
  <c r="E43" i="4"/>
  <c r="D43" i="4"/>
  <c r="M42" i="4"/>
  <c r="L42" i="4"/>
  <c r="I42" i="4"/>
  <c r="H42" i="4"/>
  <c r="P37" i="4"/>
  <c r="P38" i="4" s="1"/>
  <c r="P39" i="4" s="1"/>
  <c r="P40" i="4" s="1"/>
  <c r="P41" i="4" s="1"/>
  <c r="P42" i="4" s="1"/>
  <c r="P43" i="4" s="1"/>
  <c r="P44" i="4" s="1"/>
  <c r="P45" i="4" s="1"/>
  <c r="P46" i="4" s="1"/>
  <c r="P47" i="4" s="1"/>
  <c r="P48" i="4" s="1"/>
  <c r="P49" i="4" s="1"/>
  <c r="P50" i="4" s="1"/>
  <c r="P51" i="4" s="1"/>
  <c r="P52" i="4" s="1"/>
  <c r="P53" i="4" s="1"/>
  <c r="P54" i="4" s="1"/>
  <c r="S36" i="4" s="1"/>
  <c r="S37" i="4" s="1"/>
  <c r="S38" i="4" s="1"/>
  <c r="S39" i="4" s="1"/>
  <c r="S40" i="4" s="1"/>
  <c r="S41" i="4" s="1"/>
  <c r="S42" i="4" s="1"/>
  <c r="S43" i="4" s="1"/>
  <c r="S44" i="4" s="1"/>
  <c r="S45" i="4" s="1"/>
  <c r="I36" i="4"/>
  <c r="H36" i="4"/>
  <c r="I35" i="4"/>
  <c r="U46" i="4" s="1"/>
  <c r="H35" i="4"/>
  <c r="R53" i="4"/>
  <c r="M34" i="4"/>
  <c r="X45" i="4" s="1"/>
  <c r="L34" i="4"/>
  <c r="I34" i="4"/>
  <c r="H34" i="4"/>
  <c r="R52" i="4"/>
  <c r="M33" i="4"/>
  <c r="X44" i="4" s="1"/>
  <c r="L33" i="4"/>
  <c r="I33" i="4"/>
  <c r="H33" i="4"/>
  <c r="R41" i="4"/>
  <c r="M32" i="4"/>
  <c r="X43" i="4" s="1"/>
  <c r="L32" i="4"/>
  <c r="I32" i="4"/>
  <c r="H32" i="4"/>
  <c r="R39" i="4"/>
  <c r="M31" i="4"/>
  <c r="X54" i="4" s="1"/>
  <c r="L31" i="4"/>
  <c r="I31" i="4"/>
  <c r="H31" i="4"/>
  <c r="M30" i="4"/>
  <c r="X53" i="4" s="1"/>
  <c r="L30" i="4"/>
  <c r="I30" i="4"/>
  <c r="H30" i="4"/>
  <c r="M29" i="4"/>
  <c r="X40" i="4" s="1"/>
  <c r="L29" i="4"/>
  <c r="I29" i="4"/>
  <c r="H29" i="4"/>
  <c r="M28" i="4"/>
  <c r="X52" i="4" s="1"/>
  <c r="L28" i="4"/>
  <c r="I28" i="4"/>
  <c r="H28" i="4"/>
  <c r="M27" i="4"/>
  <c r="X51" i="4" s="1"/>
  <c r="L27" i="4"/>
  <c r="I27" i="4"/>
  <c r="H27" i="4"/>
  <c r="G27" i="4"/>
  <c r="G28" i="4" s="1"/>
  <c r="G29" i="4" s="1"/>
  <c r="G30" i="4" s="1"/>
  <c r="G31" i="4" s="1"/>
  <c r="G32" i="4" s="1"/>
  <c r="G33" i="4" s="1"/>
  <c r="G34" i="4" s="1"/>
  <c r="G35" i="4" s="1"/>
  <c r="G36" i="4" s="1"/>
  <c r="M26" i="4"/>
  <c r="X50" i="4" s="1"/>
  <c r="L26" i="4"/>
  <c r="I26" i="4"/>
  <c r="R48" i="4" s="1"/>
  <c r="H26" i="4"/>
  <c r="G26" i="4"/>
  <c r="M25" i="4"/>
  <c r="X49" i="4" s="1"/>
  <c r="L25" i="4"/>
  <c r="I25" i="4"/>
  <c r="H25" i="4"/>
  <c r="G25" i="4"/>
  <c r="E25" i="4"/>
  <c r="D25" i="4"/>
  <c r="M24" i="4"/>
  <c r="L24" i="4"/>
  <c r="K24" i="4"/>
  <c r="I24" i="4"/>
  <c r="H24" i="4"/>
  <c r="E24" i="4"/>
  <c r="U42" i="4" s="1"/>
  <c r="D24" i="4"/>
  <c r="C24" i="4"/>
  <c r="M23" i="4"/>
  <c r="L23" i="4"/>
  <c r="K23" i="4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E23" i="4"/>
  <c r="D23" i="4"/>
  <c r="C23" i="4"/>
  <c r="M22" i="4"/>
  <c r="L22" i="4"/>
  <c r="E22" i="4"/>
  <c r="D22" i="4"/>
  <c r="I18" i="4"/>
  <c r="H18" i="4"/>
  <c r="I17" i="4"/>
  <c r="U52" i="4" s="1"/>
  <c r="H17" i="4"/>
  <c r="I16" i="4"/>
  <c r="H16" i="4"/>
  <c r="E16" i="4"/>
  <c r="R44" i="4" s="1"/>
  <c r="D16" i="4"/>
  <c r="I15" i="4"/>
  <c r="H15" i="4"/>
  <c r="E15" i="4"/>
  <c r="D15" i="4"/>
  <c r="M14" i="4"/>
  <c r="L14" i="4"/>
  <c r="I14" i="4"/>
  <c r="H14" i="4"/>
  <c r="E14" i="4"/>
  <c r="D14" i="4"/>
  <c r="M13" i="4"/>
  <c r="L13" i="4"/>
  <c r="I13" i="4"/>
  <c r="H13" i="4"/>
  <c r="E13" i="4"/>
  <c r="U43" i="4" s="1"/>
  <c r="D13" i="4"/>
  <c r="M12" i="4"/>
  <c r="X39" i="4" s="1"/>
  <c r="L12" i="4"/>
  <c r="I12" i="4"/>
  <c r="H12" i="4"/>
  <c r="E12" i="4"/>
  <c r="R45" i="4" s="1"/>
  <c r="D12" i="4"/>
  <c r="M11" i="4"/>
  <c r="X42" i="4" s="1"/>
  <c r="L11" i="4"/>
  <c r="I11" i="4"/>
  <c r="H11" i="4"/>
  <c r="E11" i="4"/>
  <c r="D11" i="4"/>
  <c r="M10" i="4"/>
  <c r="X48" i="4" s="1"/>
  <c r="L10" i="4"/>
  <c r="K10" i="4"/>
  <c r="K11" i="4" s="1"/>
  <c r="K12" i="4" s="1"/>
  <c r="I10" i="4"/>
  <c r="H10" i="4"/>
  <c r="E10" i="4"/>
  <c r="R43" i="4" s="1"/>
  <c r="D10" i="4"/>
  <c r="M9" i="4"/>
  <c r="X36" i="4" s="1"/>
  <c r="L9" i="4"/>
  <c r="I9" i="4"/>
  <c r="H9" i="4"/>
  <c r="E9" i="4"/>
  <c r="D9" i="4"/>
  <c r="M8" i="4"/>
  <c r="L8" i="4"/>
  <c r="K8" i="4"/>
  <c r="I8" i="4"/>
  <c r="R47" i="4" s="1"/>
  <c r="H8" i="4"/>
  <c r="E8" i="4"/>
  <c r="R38" i="4" s="1"/>
  <c r="D8" i="4"/>
  <c r="M7" i="4"/>
  <c r="L7" i="4"/>
  <c r="I7" i="4"/>
  <c r="H7" i="4"/>
  <c r="G7" i="4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49" i="4" s="1"/>
  <c r="G18" i="4" s="1"/>
  <c r="E7" i="4"/>
  <c r="R36" i="4" s="1"/>
  <c r="D7" i="4"/>
  <c r="C7" i="4"/>
  <c r="C8" i="4" s="1"/>
  <c r="C9" i="4" s="1"/>
  <c r="C10" i="4" s="1"/>
  <c r="C11" i="4" s="1"/>
  <c r="C12" i="4" s="1"/>
  <c r="C13" i="4" s="1"/>
  <c r="C14" i="4" s="1"/>
  <c r="C15" i="4" s="1"/>
  <c r="C16" i="4" s="1"/>
  <c r="C25" i="4" s="1"/>
  <c r="M6" i="4"/>
  <c r="L6" i="4"/>
  <c r="I6" i="4"/>
  <c r="H6" i="4"/>
  <c r="E6" i="4"/>
  <c r="D6" i="4"/>
  <c r="E59" i="1"/>
  <c r="E58" i="1"/>
  <c r="E57" i="1"/>
  <c r="E56" i="1"/>
  <c r="R54" i="7" l="1"/>
  <c r="U41" i="13"/>
  <c r="X47" i="24"/>
  <c r="U44" i="15"/>
  <c r="R46" i="19"/>
  <c r="R46" i="11"/>
  <c r="X47" i="12"/>
  <c r="U42" i="10"/>
  <c r="R46" i="12"/>
  <c r="X47" i="17"/>
  <c r="U42" i="21"/>
  <c r="R54" i="16"/>
  <c r="R54" i="24"/>
  <c r="U44" i="12"/>
  <c r="X47" i="15"/>
  <c r="R49" i="21"/>
  <c r="R49" i="11"/>
  <c r="R46" i="22"/>
  <c r="R54" i="11"/>
  <c r="H91" i="12"/>
  <c r="I91" i="12" s="1"/>
  <c r="R84" i="12" s="1"/>
  <c r="M41" i="18" s="1"/>
  <c r="X47" i="21"/>
  <c r="U42" i="8"/>
  <c r="U45" i="16"/>
  <c r="R42" i="12"/>
  <c r="R40" i="15"/>
  <c r="X47" i="9"/>
  <c r="X47" i="20"/>
  <c r="X46" i="5"/>
  <c r="U45" i="9"/>
  <c r="R46" i="16"/>
  <c r="U36" i="13"/>
  <c r="U44" i="17"/>
  <c r="X47" i="13"/>
  <c r="U36" i="16"/>
  <c r="M50" i="24"/>
  <c r="R54" i="17"/>
  <c r="X47" i="7"/>
  <c r="R46" i="20"/>
  <c r="R42" i="22"/>
  <c r="U45" i="6"/>
  <c r="U45" i="5"/>
  <c r="U45" i="10"/>
  <c r="U44" i="13"/>
  <c r="R54" i="6"/>
  <c r="U42" i="12"/>
  <c r="U36" i="15"/>
  <c r="U45" i="17"/>
  <c r="R49" i="4"/>
  <c r="R40" i="6"/>
  <c r="X47" i="8"/>
  <c r="R46" i="9"/>
  <c r="R40" i="11"/>
  <c r="R42" i="16"/>
  <c r="U41" i="16"/>
  <c r="R46" i="17"/>
  <c r="R54" i="20"/>
  <c r="U45" i="21"/>
  <c r="U36" i="24"/>
  <c r="U42" i="24"/>
  <c r="I50" i="24"/>
  <c r="M71" i="24" s="1"/>
  <c r="S20" i="18" s="1"/>
  <c r="R42" i="4"/>
  <c r="U41" i="4"/>
  <c r="U36" i="6"/>
  <c r="R46" i="15"/>
  <c r="R40" i="16"/>
  <c r="R54" i="4"/>
  <c r="R42" i="6"/>
  <c r="U41" i="6"/>
  <c r="R42" i="7"/>
  <c r="U41" i="10"/>
  <c r="R42" i="11"/>
  <c r="R49" i="17"/>
  <c r="U45" i="20"/>
  <c r="U45" i="22"/>
  <c r="R49" i="24"/>
  <c r="R54" i="5"/>
  <c r="U36" i="7"/>
  <c r="U44" i="7"/>
  <c r="R42" i="8"/>
  <c r="R49" i="9"/>
  <c r="U41" i="9"/>
  <c r="U41" i="12"/>
  <c r="M50" i="12"/>
  <c r="X46" i="13"/>
  <c r="R54" i="13"/>
  <c r="U42" i="17"/>
  <c r="R49" i="19"/>
  <c r="U41" i="19"/>
  <c r="R49" i="22"/>
  <c r="U41" i="22"/>
  <c r="X46" i="24"/>
  <c r="R49" i="8"/>
  <c r="H87" i="12"/>
  <c r="I87" i="12" s="1"/>
  <c r="R80" i="12" s="1"/>
  <c r="M37" i="18" s="1"/>
  <c r="X46" i="15"/>
  <c r="R49" i="15"/>
  <c r="U41" i="15"/>
  <c r="E72" i="17"/>
  <c r="M74" i="17" s="1"/>
  <c r="U44" i="21"/>
  <c r="X37" i="12"/>
  <c r="R54" i="9"/>
  <c r="X47" i="10"/>
  <c r="X47" i="11"/>
  <c r="R54" i="12"/>
  <c r="X47" i="4"/>
  <c r="U37" i="4"/>
  <c r="R42" i="5"/>
  <c r="U41" i="5"/>
  <c r="H83" i="5"/>
  <c r="I83" i="5" s="1"/>
  <c r="L83" i="5" s="1"/>
  <c r="R54" i="8"/>
  <c r="U36" i="8"/>
  <c r="U44" i="8"/>
  <c r="U36" i="9"/>
  <c r="U44" i="10"/>
  <c r="U45" i="11"/>
  <c r="R40" i="12"/>
  <c r="U42" i="13"/>
  <c r="R54" i="15"/>
  <c r="U42" i="16"/>
  <c r="X46" i="17"/>
  <c r="U37" i="17"/>
  <c r="R40" i="19"/>
  <c r="U44" i="19"/>
  <c r="R40" i="22"/>
  <c r="U36" i="22"/>
  <c r="U42" i="22"/>
  <c r="R49" i="16"/>
  <c r="U37" i="16"/>
  <c r="M17" i="16"/>
  <c r="M72" i="16" s="1"/>
  <c r="U44" i="16"/>
  <c r="U45" i="15"/>
  <c r="U45" i="24"/>
  <c r="R46" i="24"/>
  <c r="R42" i="24"/>
  <c r="R46" i="13"/>
  <c r="M50" i="22"/>
  <c r="R51" i="22"/>
  <c r="U44" i="22"/>
  <c r="I19" i="21"/>
  <c r="I77" i="21"/>
  <c r="R54" i="21"/>
  <c r="M50" i="20"/>
  <c r="U42" i="20"/>
  <c r="H88" i="19"/>
  <c r="I88" i="19" s="1"/>
  <c r="R81" i="19" s="1"/>
  <c r="U45" i="12"/>
  <c r="U42" i="11"/>
  <c r="U37" i="11"/>
  <c r="X41" i="10"/>
  <c r="M50" i="10"/>
  <c r="H91" i="10"/>
  <c r="I91" i="10" s="1"/>
  <c r="R84" i="10" s="1"/>
  <c r="K41" i="18" s="1"/>
  <c r="M17" i="9"/>
  <c r="U42" i="9"/>
  <c r="X41" i="8"/>
  <c r="E72" i="8"/>
  <c r="M74" i="8" s="1"/>
  <c r="I23" i="18" s="1"/>
  <c r="U37" i="8"/>
  <c r="R40" i="7"/>
  <c r="H90" i="6"/>
  <c r="I90" i="6" s="1"/>
  <c r="R83" i="6" s="1"/>
  <c r="G40" i="18" s="1"/>
  <c r="X47" i="5"/>
  <c r="I50" i="5"/>
  <c r="M71" i="5" s="1"/>
  <c r="F20" i="18" s="1"/>
  <c r="U36" i="5"/>
  <c r="U47" i="5"/>
  <c r="H82" i="5"/>
  <c r="I82" i="5" s="1"/>
  <c r="L82" i="5" s="1"/>
  <c r="U42" i="5"/>
  <c r="E60" i="21"/>
  <c r="U44" i="4"/>
  <c r="I50" i="4"/>
  <c r="M71" i="4" s="1"/>
  <c r="E20" i="18" s="1"/>
  <c r="U36" i="4"/>
  <c r="R46" i="4"/>
  <c r="E60" i="16"/>
  <c r="E60" i="9"/>
  <c r="E60" i="8"/>
  <c r="AO30" i="18"/>
  <c r="P29" i="37"/>
  <c r="P29" i="40"/>
  <c r="P29" i="39"/>
  <c r="P29" i="38"/>
  <c r="P29" i="36"/>
  <c r="S90" i="39"/>
  <c r="S90" i="36"/>
  <c r="S90" i="40"/>
  <c r="R71" i="40"/>
  <c r="R68" i="40"/>
  <c r="S90" i="37"/>
  <c r="R68" i="37"/>
  <c r="R71" i="37"/>
  <c r="S90" i="38"/>
  <c r="R71" i="36"/>
  <c r="R68" i="36"/>
  <c r="R71" i="39"/>
  <c r="R68" i="39"/>
  <c r="R71" i="38"/>
  <c r="R68" i="38"/>
  <c r="X29" i="33"/>
  <c r="X29" i="30"/>
  <c r="X29" i="15"/>
  <c r="X29" i="24"/>
  <c r="X29" i="20"/>
  <c r="X29" i="10"/>
  <c r="X29" i="6"/>
  <c r="X29" i="32"/>
  <c r="X29" i="29"/>
  <c r="X29" i="27"/>
  <c r="X29" i="13"/>
  <c r="X29" i="19"/>
  <c r="X29" i="9"/>
  <c r="X29" i="5"/>
  <c r="X29" i="17"/>
  <c r="X29" i="31"/>
  <c r="X29" i="28"/>
  <c r="X29" i="26"/>
  <c r="X29" i="22"/>
  <c r="X29" i="12"/>
  <c r="X29" i="8"/>
  <c r="X29" i="4"/>
  <c r="X29" i="34"/>
  <c r="X29" i="16"/>
  <c r="X29" i="23"/>
  <c r="X29" i="25"/>
  <c r="X29" i="21"/>
  <c r="X29" i="11"/>
  <c r="X29" i="7"/>
  <c r="X29" i="1"/>
  <c r="AO31" i="18"/>
  <c r="P30" i="32"/>
  <c r="P30" i="29"/>
  <c r="P30" i="27"/>
  <c r="P30" i="13"/>
  <c r="P30" i="19"/>
  <c r="P30" i="9"/>
  <c r="P30" i="17"/>
  <c r="P30" i="31"/>
  <c r="P30" i="28"/>
  <c r="P30" i="26"/>
  <c r="P30" i="22"/>
  <c r="P30" i="12"/>
  <c r="P30" i="34"/>
  <c r="P30" i="16"/>
  <c r="P30" i="23"/>
  <c r="P30" i="25"/>
  <c r="P30" i="21"/>
  <c r="P30" i="11"/>
  <c r="P30" i="15"/>
  <c r="P30" i="6"/>
  <c r="P30" i="1"/>
  <c r="P30" i="10"/>
  <c r="P30" i="20"/>
  <c r="P30" i="5"/>
  <c r="P30" i="8"/>
  <c r="P30" i="30"/>
  <c r="P30" i="24"/>
  <c r="P30" i="7"/>
  <c r="P30" i="4"/>
  <c r="P30" i="33"/>
  <c r="R30" i="32"/>
  <c r="H95" i="32" s="1"/>
  <c r="I95" i="32" s="1"/>
  <c r="R88" i="32" s="1"/>
  <c r="R30" i="29"/>
  <c r="H95" i="29" s="1"/>
  <c r="I95" i="29" s="1"/>
  <c r="R88" i="29" s="1"/>
  <c r="R30" i="27"/>
  <c r="H95" i="27" s="1"/>
  <c r="I95" i="27" s="1"/>
  <c r="R88" i="27" s="1"/>
  <c r="R30" i="13"/>
  <c r="R30" i="19"/>
  <c r="R30" i="9"/>
  <c r="R30" i="5"/>
  <c r="R30" i="17"/>
  <c r="R30" i="31"/>
  <c r="H95" i="31" s="1"/>
  <c r="I95" i="31" s="1"/>
  <c r="R88" i="31" s="1"/>
  <c r="R30" i="28"/>
  <c r="H95" i="28" s="1"/>
  <c r="I95" i="28" s="1"/>
  <c r="R88" i="28" s="1"/>
  <c r="R30" i="26"/>
  <c r="H95" i="26" s="1"/>
  <c r="I95" i="26" s="1"/>
  <c r="R88" i="26" s="1"/>
  <c r="R30" i="22"/>
  <c r="R30" i="12"/>
  <c r="R30" i="8"/>
  <c r="R30" i="4"/>
  <c r="R30" i="34"/>
  <c r="H95" i="34" s="1"/>
  <c r="I95" i="34" s="1"/>
  <c r="R88" i="34" s="1"/>
  <c r="R30" i="16"/>
  <c r="R30" i="23"/>
  <c r="H95" i="23" s="1"/>
  <c r="I95" i="23" s="1"/>
  <c r="R88" i="23" s="1"/>
  <c r="R30" i="25"/>
  <c r="H95" i="25" s="1"/>
  <c r="I95" i="25" s="1"/>
  <c r="R88" i="25" s="1"/>
  <c r="R30" i="21"/>
  <c r="R30" i="11"/>
  <c r="R30" i="7"/>
  <c r="R30" i="1"/>
  <c r="R30" i="33"/>
  <c r="H95" i="33" s="1"/>
  <c r="I95" i="33" s="1"/>
  <c r="R88" i="33" s="1"/>
  <c r="R30" i="30"/>
  <c r="H95" i="30" s="1"/>
  <c r="I95" i="30" s="1"/>
  <c r="R88" i="30" s="1"/>
  <c r="R30" i="15"/>
  <c r="R30" i="24"/>
  <c r="R30" i="20"/>
  <c r="R30" i="10"/>
  <c r="R30" i="6"/>
  <c r="U30" i="17"/>
  <c r="H92" i="17" s="1"/>
  <c r="U30" i="31"/>
  <c r="H92" i="31" s="1"/>
  <c r="U30" i="28"/>
  <c r="H92" i="28" s="1"/>
  <c r="U30" i="26"/>
  <c r="H92" i="26" s="1"/>
  <c r="U30" i="22"/>
  <c r="H92" i="22" s="1"/>
  <c r="U30" i="12"/>
  <c r="H92" i="12" s="1"/>
  <c r="I92" i="12" s="1"/>
  <c r="U30" i="8"/>
  <c r="H92" i="8" s="1"/>
  <c r="H99" i="8" s="1"/>
  <c r="U30" i="4"/>
  <c r="H92" i="4" s="1"/>
  <c r="I92" i="4" s="1"/>
  <c r="U30" i="34"/>
  <c r="H92" i="34" s="1"/>
  <c r="U30" i="16"/>
  <c r="H92" i="16" s="1"/>
  <c r="H99" i="16" s="1"/>
  <c r="U30" i="23"/>
  <c r="H92" i="23" s="1"/>
  <c r="U30" i="25"/>
  <c r="H92" i="25" s="1"/>
  <c r="U30" i="21"/>
  <c r="H92" i="21" s="1"/>
  <c r="U30" i="11"/>
  <c r="H92" i="11" s="1"/>
  <c r="H99" i="11" s="1"/>
  <c r="U30" i="7"/>
  <c r="H92" i="7" s="1"/>
  <c r="H99" i="7" s="1"/>
  <c r="U30" i="1"/>
  <c r="U30" i="33"/>
  <c r="H92" i="33" s="1"/>
  <c r="U30" i="30"/>
  <c r="H92" i="30" s="1"/>
  <c r="U30" i="15"/>
  <c r="U30" i="24"/>
  <c r="U30" i="20"/>
  <c r="H92" i="20" s="1"/>
  <c r="U30" i="10"/>
  <c r="H92" i="10" s="1"/>
  <c r="H99" i="10" s="1"/>
  <c r="U30" i="6"/>
  <c r="H92" i="6" s="1"/>
  <c r="U30" i="32"/>
  <c r="H92" i="32" s="1"/>
  <c r="U30" i="29"/>
  <c r="H92" i="29" s="1"/>
  <c r="U30" i="27"/>
  <c r="H92" i="27" s="1"/>
  <c r="U30" i="13"/>
  <c r="H92" i="13" s="1"/>
  <c r="U30" i="19"/>
  <c r="H92" i="19" s="1"/>
  <c r="H99" i="19" s="1"/>
  <c r="U30" i="9"/>
  <c r="H92" i="9" s="1"/>
  <c r="H99" i="9" s="1"/>
  <c r="U30" i="5"/>
  <c r="H92" i="5" s="1"/>
  <c r="H99" i="5" s="1"/>
  <c r="H92" i="15"/>
  <c r="H99" i="15" s="1"/>
  <c r="X30" i="34"/>
  <c r="X30" i="16"/>
  <c r="X30" i="23"/>
  <c r="X30" i="25"/>
  <c r="X30" i="21"/>
  <c r="X30" i="11"/>
  <c r="X30" i="7"/>
  <c r="X30" i="1"/>
  <c r="X30" i="33"/>
  <c r="X30" i="30"/>
  <c r="X30" i="15"/>
  <c r="X30" i="24"/>
  <c r="X30" i="20"/>
  <c r="X30" i="10"/>
  <c r="X30" i="6"/>
  <c r="X30" i="32"/>
  <c r="X30" i="29"/>
  <c r="X30" i="27"/>
  <c r="X30" i="13"/>
  <c r="X30" i="19"/>
  <c r="X30" i="9"/>
  <c r="X30" i="5"/>
  <c r="X30" i="17"/>
  <c r="X30" i="31"/>
  <c r="X30" i="28"/>
  <c r="X30" i="26"/>
  <c r="X30" i="22"/>
  <c r="X30" i="12"/>
  <c r="X30" i="8"/>
  <c r="X30" i="4"/>
  <c r="R31" i="33"/>
  <c r="R31" i="30"/>
  <c r="R31" i="15"/>
  <c r="R31" i="24"/>
  <c r="R31" i="20"/>
  <c r="R31" i="10"/>
  <c r="R31" i="6"/>
  <c r="R31" i="32"/>
  <c r="R31" i="29"/>
  <c r="R31" i="27"/>
  <c r="R31" i="13"/>
  <c r="R31" i="19"/>
  <c r="R31" i="9"/>
  <c r="R31" i="5"/>
  <c r="R31" i="17"/>
  <c r="R31" i="31"/>
  <c r="R31" i="28"/>
  <c r="R31" i="26"/>
  <c r="R31" i="22"/>
  <c r="R31" i="12"/>
  <c r="R31" i="8"/>
  <c r="R31" i="4"/>
  <c r="R31" i="34"/>
  <c r="R31" i="16"/>
  <c r="R31" i="23"/>
  <c r="R31" i="25"/>
  <c r="R31" i="21"/>
  <c r="R31" i="11"/>
  <c r="R31" i="7"/>
  <c r="R31" i="1"/>
  <c r="U31" i="32"/>
  <c r="H93" i="32" s="1"/>
  <c r="U31" i="29"/>
  <c r="H93" i="29" s="1"/>
  <c r="U31" i="27"/>
  <c r="H93" i="27" s="1"/>
  <c r="U31" i="13"/>
  <c r="H93" i="13" s="1"/>
  <c r="U31" i="19"/>
  <c r="H93" i="19" s="1"/>
  <c r="U31" i="9"/>
  <c r="H93" i="9" s="1"/>
  <c r="U31" i="5"/>
  <c r="H93" i="5" s="1"/>
  <c r="U31" i="17"/>
  <c r="H93" i="17" s="1"/>
  <c r="I93" i="17" s="1"/>
  <c r="U31" i="31"/>
  <c r="H93" i="31" s="1"/>
  <c r="U31" i="28"/>
  <c r="H93" i="28" s="1"/>
  <c r="U31" i="26"/>
  <c r="H93" i="26" s="1"/>
  <c r="U31" i="22"/>
  <c r="H93" i="22" s="1"/>
  <c r="U31" i="12"/>
  <c r="H93" i="12" s="1"/>
  <c r="U31" i="8"/>
  <c r="H93" i="8" s="1"/>
  <c r="U31" i="4"/>
  <c r="H93" i="4" s="1"/>
  <c r="U31" i="34"/>
  <c r="H93" i="34" s="1"/>
  <c r="U31" i="16"/>
  <c r="H93" i="16" s="1"/>
  <c r="I93" i="16" s="1"/>
  <c r="U31" i="23"/>
  <c r="H93" i="23" s="1"/>
  <c r="U31" i="25"/>
  <c r="H93" i="25" s="1"/>
  <c r="U31" i="21"/>
  <c r="H93" i="21" s="1"/>
  <c r="U31" i="11"/>
  <c r="H93" i="11" s="1"/>
  <c r="U31" i="7"/>
  <c r="H93" i="7" s="1"/>
  <c r="U31" i="1"/>
  <c r="U31" i="33"/>
  <c r="H93" i="33" s="1"/>
  <c r="U31" i="30"/>
  <c r="H93" i="30" s="1"/>
  <c r="U31" i="15"/>
  <c r="H93" i="15" s="1"/>
  <c r="U31" i="24"/>
  <c r="H93" i="24" s="1"/>
  <c r="U31" i="20"/>
  <c r="H93" i="20" s="1"/>
  <c r="H100" i="20" s="1"/>
  <c r="U31" i="10"/>
  <c r="H93" i="10" s="1"/>
  <c r="U31" i="6"/>
  <c r="H93" i="6" s="1"/>
  <c r="U28" i="33"/>
  <c r="U28" i="30"/>
  <c r="U28" i="15"/>
  <c r="U28" i="24"/>
  <c r="U28" i="20"/>
  <c r="U28" i="10"/>
  <c r="U28" i="6"/>
  <c r="U28" i="32"/>
  <c r="U28" i="29"/>
  <c r="U28" i="27"/>
  <c r="U28" i="13"/>
  <c r="U28" i="19"/>
  <c r="U28" i="9"/>
  <c r="U28" i="5"/>
  <c r="U28" i="17"/>
  <c r="U28" i="31"/>
  <c r="U28" i="28"/>
  <c r="U28" i="26"/>
  <c r="U28" i="22"/>
  <c r="U28" i="12"/>
  <c r="U28" i="8"/>
  <c r="U28" i="4"/>
  <c r="U28" i="34"/>
  <c r="U28" i="16"/>
  <c r="U28" i="23"/>
  <c r="U28" i="25"/>
  <c r="U28" i="21"/>
  <c r="U28" i="11"/>
  <c r="U28" i="7"/>
  <c r="U28" i="1"/>
  <c r="X31" i="17"/>
  <c r="X31" i="31"/>
  <c r="X31" i="28"/>
  <c r="X31" i="26"/>
  <c r="X31" i="22"/>
  <c r="X31" i="12"/>
  <c r="X31" i="8"/>
  <c r="X31" i="4"/>
  <c r="X31" i="34"/>
  <c r="X31" i="16"/>
  <c r="X31" i="23"/>
  <c r="X31" i="25"/>
  <c r="X31" i="21"/>
  <c r="X31" i="11"/>
  <c r="X31" i="7"/>
  <c r="X31" i="1"/>
  <c r="X31" i="33"/>
  <c r="X31" i="30"/>
  <c r="X31" i="15"/>
  <c r="X31" i="24"/>
  <c r="X31" i="20"/>
  <c r="X31" i="10"/>
  <c r="X31" i="6"/>
  <c r="X31" i="32"/>
  <c r="X31" i="29"/>
  <c r="X31" i="27"/>
  <c r="X31" i="13"/>
  <c r="X31" i="19"/>
  <c r="X31" i="9"/>
  <c r="X31" i="5"/>
  <c r="X28" i="32"/>
  <c r="X28" i="29"/>
  <c r="X28" i="27"/>
  <c r="X28" i="13"/>
  <c r="X28" i="19"/>
  <c r="X28" i="9"/>
  <c r="X28" i="5"/>
  <c r="X28" i="17"/>
  <c r="X28" i="31"/>
  <c r="X28" i="28"/>
  <c r="X28" i="26"/>
  <c r="X28" i="22"/>
  <c r="X28" i="12"/>
  <c r="X28" i="8"/>
  <c r="X28" i="4"/>
  <c r="X28" i="34"/>
  <c r="X28" i="16"/>
  <c r="X28" i="23"/>
  <c r="X28" i="25"/>
  <c r="X28" i="21"/>
  <c r="X28" i="11"/>
  <c r="X28" i="7"/>
  <c r="X28" i="1"/>
  <c r="X28" i="33"/>
  <c r="X28" i="30"/>
  <c r="X28" i="15"/>
  <c r="X28" i="24"/>
  <c r="X28" i="20"/>
  <c r="X28" i="10"/>
  <c r="X28" i="6"/>
  <c r="H92" i="24"/>
  <c r="H99" i="24" s="1"/>
  <c r="P29" i="17"/>
  <c r="P29" i="31"/>
  <c r="P29" i="28"/>
  <c r="P29" i="26"/>
  <c r="P29" i="22"/>
  <c r="P29" i="12"/>
  <c r="P29" i="34"/>
  <c r="P29" i="16"/>
  <c r="P29" i="23"/>
  <c r="P29" i="25"/>
  <c r="P29" i="21"/>
  <c r="P29" i="33"/>
  <c r="P29" i="30"/>
  <c r="P29" i="15"/>
  <c r="P29" i="24"/>
  <c r="P29" i="20"/>
  <c r="P29" i="27"/>
  <c r="P29" i="6"/>
  <c r="P29" i="1"/>
  <c r="P29" i="19"/>
  <c r="P29" i="7"/>
  <c r="P29" i="4"/>
  <c r="P29" i="10"/>
  <c r="P29" i="29"/>
  <c r="P29" i="13"/>
  <c r="P29" i="11"/>
  <c r="P29" i="9"/>
  <c r="P29" i="32"/>
  <c r="P29" i="8"/>
  <c r="P29" i="5"/>
  <c r="R29" i="17"/>
  <c r="R29" i="31"/>
  <c r="R29" i="28"/>
  <c r="R29" i="26"/>
  <c r="R29" i="22"/>
  <c r="R29" i="12"/>
  <c r="R29" i="8"/>
  <c r="R29" i="4"/>
  <c r="R29" i="34"/>
  <c r="R29" i="16"/>
  <c r="R29" i="23"/>
  <c r="R29" i="25"/>
  <c r="R29" i="21"/>
  <c r="R29" i="11"/>
  <c r="R29" i="7"/>
  <c r="R29" i="1"/>
  <c r="R29" i="33"/>
  <c r="R29" i="30"/>
  <c r="R29" i="15"/>
  <c r="R29" i="24"/>
  <c r="R29" i="20"/>
  <c r="R29" i="10"/>
  <c r="R29" i="6"/>
  <c r="R29" i="32"/>
  <c r="R29" i="29"/>
  <c r="R29" i="27"/>
  <c r="R29" i="13"/>
  <c r="R29" i="19"/>
  <c r="R29" i="9"/>
  <c r="R29" i="5"/>
  <c r="U29" i="34"/>
  <c r="U29" i="16"/>
  <c r="U29" i="23"/>
  <c r="U29" i="25"/>
  <c r="U29" i="21"/>
  <c r="U29" i="11"/>
  <c r="U29" i="7"/>
  <c r="U29" i="1"/>
  <c r="U29" i="33"/>
  <c r="U29" i="30"/>
  <c r="U29" i="15"/>
  <c r="U29" i="24"/>
  <c r="U29" i="20"/>
  <c r="U29" i="10"/>
  <c r="U29" i="6"/>
  <c r="U29" i="32"/>
  <c r="U29" i="29"/>
  <c r="U29" i="27"/>
  <c r="U29" i="13"/>
  <c r="U29" i="19"/>
  <c r="U29" i="9"/>
  <c r="U29" i="5"/>
  <c r="U29" i="17"/>
  <c r="U29" i="31"/>
  <c r="U29" i="28"/>
  <c r="U29" i="26"/>
  <c r="U29" i="22"/>
  <c r="U29" i="12"/>
  <c r="U29" i="8"/>
  <c r="U29" i="4"/>
  <c r="E17" i="24"/>
  <c r="R50" i="24"/>
  <c r="H86" i="24"/>
  <c r="I86" i="24" s="1"/>
  <c r="R79" i="24" s="1"/>
  <c r="U41" i="24"/>
  <c r="H84" i="24"/>
  <c r="I84" i="24" s="1"/>
  <c r="R77" i="24" s="1"/>
  <c r="H87" i="24"/>
  <c r="I87" i="24" s="1"/>
  <c r="R80" i="24" s="1"/>
  <c r="H91" i="24"/>
  <c r="I91" i="24" s="1"/>
  <c r="R84" i="24" s="1"/>
  <c r="U37" i="24"/>
  <c r="R40" i="24"/>
  <c r="E50" i="24"/>
  <c r="U44" i="24"/>
  <c r="H83" i="24"/>
  <c r="I83" i="24" s="1"/>
  <c r="R76" i="24" s="1"/>
  <c r="U47" i="24"/>
  <c r="H88" i="24"/>
  <c r="I88" i="24" s="1"/>
  <c r="R81" i="24" s="1"/>
  <c r="E38" i="24"/>
  <c r="R51" i="24"/>
  <c r="E60" i="24"/>
  <c r="H90" i="24"/>
  <c r="I90" i="24" s="1"/>
  <c r="R83" i="24" s="1"/>
  <c r="E72" i="24"/>
  <c r="M74" i="24" s="1"/>
  <c r="I77" i="24"/>
  <c r="C44" i="24"/>
  <c r="C45" i="24" s="1"/>
  <c r="C46" i="24" s="1"/>
  <c r="C47" i="24" s="1"/>
  <c r="C48" i="24" s="1"/>
  <c r="C49" i="24" s="1"/>
  <c r="K13" i="24"/>
  <c r="K14" i="24" s="1"/>
  <c r="K9" i="24"/>
  <c r="S47" i="24"/>
  <c r="S48" i="24" s="1"/>
  <c r="S49" i="24" s="1"/>
  <c r="S50" i="24" s="1"/>
  <c r="S51" i="24" s="1"/>
  <c r="S52" i="24" s="1"/>
  <c r="S53" i="24" s="1"/>
  <c r="S54" i="24" s="1"/>
  <c r="V36" i="24" s="1"/>
  <c r="V37" i="24" s="1"/>
  <c r="V38" i="24" s="1"/>
  <c r="V39" i="24" s="1"/>
  <c r="V40" i="24" s="1"/>
  <c r="V41" i="24" s="1"/>
  <c r="V42" i="24" s="1"/>
  <c r="V43" i="24" s="1"/>
  <c r="V44" i="24" s="1"/>
  <c r="V45" i="24" s="1"/>
  <c r="V46" i="24" s="1"/>
  <c r="V47" i="24" s="1"/>
  <c r="V48" i="24" s="1"/>
  <c r="V49" i="24" s="1"/>
  <c r="V50" i="24" s="1"/>
  <c r="V51" i="24" s="1"/>
  <c r="V52" i="24" s="1"/>
  <c r="V53" i="24" s="1"/>
  <c r="V54" i="24" s="1"/>
  <c r="S46" i="24"/>
  <c r="E26" i="24"/>
  <c r="M37" i="24"/>
  <c r="I19" i="24"/>
  <c r="H85" i="24"/>
  <c r="I85" i="24" s="1"/>
  <c r="R78" i="24" s="1"/>
  <c r="H89" i="24"/>
  <c r="I89" i="24" s="1"/>
  <c r="R82" i="24" s="1"/>
  <c r="M17" i="24"/>
  <c r="I69" i="24"/>
  <c r="M75" i="24" s="1"/>
  <c r="I37" i="24"/>
  <c r="H82" i="24"/>
  <c r="X37" i="24"/>
  <c r="X41" i="24"/>
  <c r="H87" i="16"/>
  <c r="I87" i="16" s="1"/>
  <c r="R80" i="16" s="1"/>
  <c r="H84" i="13"/>
  <c r="I84" i="13" s="1"/>
  <c r="R77" i="13" s="1"/>
  <c r="H91" i="13"/>
  <c r="I91" i="13" s="1"/>
  <c r="R84" i="13" s="1"/>
  <c r="H91" i="21"/>
  <c r="I91" i="21" s="1"/>
  <c r="R84" i="21" s="1"/>
  <c r="H86" i="20"/>
  <c r="I86" i="20" s="1"/>
  <c r="R79" i="20" s="1"/>
  <c r="H86" i="12"/>
  <c r="I86" i="12" s="1"/>
  <c r="R79" i="12" s="1"/>
  <c r="H84" i="12"/>
  <c r="I84" i="12" s="1"/>
  <c r="R77" i="12" s="1"/>
  <c r="H87" i="11"/>
  <c r="I87" i="11" s="1"/>
  <c r="R80" i="11" s="1"/>
  <c r="H91" i="9"/>
  <c r="I91" i="9" s="1"/>
  <c r="R84" i="9" s="1"/>
  <c r="H91" i="8"/>
  <c r="I91" i="8" s="1"/>
  <c r="R84" i="8" s="1"/>
  <c r="H84" i="7"/>
  <c r="I84" i="7" s="1"/>
  <c r="R77" i="7" s="1"/>
  <c r="H91" i="6"/>
  <c r="I91" i="6" s="1"/>
  <c r="R84" i="6" s="1"/>
  <c r="H91" i="5"/>
  <c r="I91" i="5" s="1"/>
  <c r="H91" i="4"/>
  <c r="I91" i="4" s="1"/>
  <c r="H84" i="4"/>
  <c r="I84" i="4" s="1"/>
  <c r="R50" i="22"/>
  <c r="E50" i="22"/>
  <c r="H83" i="22"/>
  <c r="I83" i="22" s="1"/>
  <c r="R76" i="22" s="1"/>
  <c r="H90" i="22"/>
  <c r="I90" i="22" s="1"/>
  <c r="R83" i="22" s="1"/>
  <c r="R54" i="22"/>
  <c r="U47" i="22"/>
  <c r="E38" i="22"/>
  <c r="I19" i="22"/>
  <c r="X47" i="22"/>
  <c r="H88" i="22"/>
  <c r="U37" i="22"/>
  <c r="H87" i="22"/>
  <c r="I87" i="22" s="1"/>
  <c r="R80" i="22" s="1"/>
  <c r="X38" i="22"/>
  <c r="E72" i="22"/>
  <c r="M74" i="22" s="1"/>
  <c r="Q23" i="18" s="1"/>
  <c r="X46" i="22"/>
  <c r="H91" i="22"/>
  <c r="I91" i="22" s="1"/>
  <c r="R84" i="22" s="1"/>
  <c r="E60" i="22"/>
  <c r="S47" i="22"/>
  <c r="S48" i="22" s="1"/>
  <c r="S49" i="22" s="1"/>
  <c r="S50" i="22" s="1"/>
  <c r="S51" i="22" s="1"/>
  <c r="S52" i="22" s="1"/>
  <c r="S53" i="22" s="1"/>
  <c r="S54" i="22" s="1"/>
  <c r="V36" i="22" s="1"/>
  <c r="V37" i="22" s="1"/>
  <c r="V38" i="22" s="1"/>
  <c r="V39" i="22" s="1"/>
  <c r="V40" i="22" s="1"/>
  <c r="V41" i="22" s="1"/>
  <c r="V42" i="22" s="1"/>
  <c r="V43" i="22" s="1"/>
  <c r="V44" i="22" s="1"/>
  <c r="V45" i="22" s="1"/>
  <c r="V46" i="22" s="1"/>
  <c r="V47" i="22" s="1"/>
  <c r="V48" i="22" s="1"/>
  <c r="V49" i="22" s="1"/>
  <c r="V50" i="22" s="1"/>
  <c r="V51" i="22" s="1"/>
  <c r="V52" i="22" s="1"/>
  <c r="V53" i="22" s="1"/>
  <c r="V54" i="22" s="1"/>
  <c r="S46" i="22"/>
  <c r="C44" i="22"/>
  <c r="C45" i="22" s="1"/>
  <c r="C46" i="22" s="1"/>
  <c r="C47" i="22" s="1"/>
  <c r="C48" i="22" s="1"/>
  <c r="C49" i="22" s="1"/>
  <c r="I77" i="22"/>
  <c r="K9" i="22"/>
  <c r="K13" i="22"/>
  <c r="K14" i="22" s="1"/>
  <c r="I50" i="22"/>
  <c r="M71" i="22" s="1"/>
  <c r="Q20" i="18" s="1"/>
  <c r="I37" i="22"/>
  <c r="H84" i="22"/>
  <c r="I84" i="22" s="1"/>
  <c r="R77" i="22" s="1"/>
  <c r="E26" i="22"/>
  <c r="M37" i="22"/>
  <c r="M73" i="22" s="1"/>
  <c r="Q22" i="18" s="1"/>
  <c r="E17" i="22"/>
  <c r="H85" i="22"/>
  <c r="I85" i="22" s="1"/>
  <c r="R78" i="22" s="1"/>
  <c r="H89" i="22"/>
  <c r="I89" i="22" s="1"/>
  <c r="R82" i="22" s="1"/>
  <c r="I69" i="22"/>
  <c r="M75" i="22" s="1"/>
  <c r="Q24" i="18" s="1"/>
  <c r="M17" i="22"/>
  <c r="H82" i="22"/>
  <c r="H86" i="22"/>
  <c r="I86" i="22" s="1"/>
  <c r="R79" i="22" s="1"/>
  <c r="X37" i="22"/>
  <c r="X41" i="22"/>
  <c r="H84" i="21"/>
  <c r="I84" i="21" s="1"/>
  <c r="R77" i="21" s="1"/>
  <c r="M17" i="21"/>
  <c r="M72" i="21" s="1"/>
  <c r="P21" i="18" s="1"/>
  <c r="R41" i="21"/>
  <c r="H86" i="21"/>
  <c r="I86" i="21" s="1"/>
  <c r="R79" i="21" s="1"/>
  <c r="U37" i="21"/>
  <c r="H87" i="21"/>
  <c r="I87" i="21" s="1"/>
  <c r="R80" i="21" s="1"/>
  <c r="H90" i="21"/>
  <c r="I90" i="21" s="1"/>
  <c r="R83" i="21" s="1"/>
  <c r="I50" i="21"/>
  <c r="M71" i="21" s="1"/>
  <c r="P20" i="18" s="1"/>
  <c r="R37" i="21"/>
  <c r="M37" i="21"/>
  <c r="R40" i="21"/>
  <c r="U41" i="21"/>
  <c r="U47" i="21"/>
  <c r="E38" i="21"/>
  <c r="I69" i="21"/>
  <c r="M75" i="21" s="1"/>
  <c r="P24" i="18" s="1"/>
  <c r="E72" i="21"/>
  <c r="M74" i="21" s="1"/>
  <c r="P23" i="18" s="1"/>
  <c r="M50" i="21"/>
  <c r="X46" i="21"/>
  <c r="H83" i="21"/>
  <c r="I83" i="21" s="1"/>
  <c r="R76" i="21" s="1"/>
  <c r="H82" i="21"/>
  <c r="I82" i="21" s="1"/>
  <c r="R75" i="21" s="1"/>
  <c r="P32" i="18" s="1"/>
  <c r="R50" i="21"/>
  <c r="E17" i="21"/>
  <c r="E50" i="21"/>
  <c r="U36" i="21"/>
  <c r="K9" i="21"/>
  <c r="K13" i="21"/>
  <c r="K14" i="21" s="1"/>
  <c r="S47" i="21"/>
  <c r="S48" i="21" s="1"/>
  <c r="S49" i="21" s="1"/>
  <c r="S50" i="21" s="1"/>
  <c r="S51" i="21" s="1"/>
  <c r="S52" i="21" s="1"/>
  <c r="S53" i="21" s="1"/>
  <c r="S54" i="21" s="1"/>
  <c r="V36" i="21" s="1"/>
  <c r="V37" i="21" s="1"/>
  <c r="V38" i="21" s="1"/>
  <c r="V39" i="21" s="1"/>
  <c r="V40" i="21" s="1"/>
  <c r="V41" i="21" s="1"/>
  <c r="V42" i="21" s="1"/>
  <c r="V43" i="21" s="1"/>
  <c r="V44" i="21" s="1"/>
  <c r="V45" i="21" s="1"/>
  <c r="V46" i="21" s="1"/>
  <c r="V47" i="21" s="1"/>
  <c r="V48" i="21" s="1"/>
  <c r="V49" i="21" s="1"/>
  <c r="V50" i="21" s="1"/>
  <c r="V51" i="21" s="1"/>
  <c r="V52" i="21" s="1"/>
  <c r="V53" i="21" s="1"/>
  <c r="V54" i="21" s="1"/>
  <c r="S46" i="21"/>
  <c r="I37" i="21"/>
  <c r="H88" i="21"/>
  <c r="E26" i="21"/>
  <c r="R42" i="21"/>
  <c r="H85" i="21"/>
  <c r="I85" i="21" s="1"/>
  <c r="R78" i="21" s="1"/>
  <c r="H89" i="21"/>
  <c r="I89" i="21" s="1"/>
  <c r="R82" i="21" s="1"/>
  <c r="R46" i="21"/>
  <c r="X37" i="21"/>
  <c r="R51" i="21"/>
  <c r="X41" i="21"/>
  <c r="R50" i="20"/>
  <c r="U36" i="20"/>
  <c r="H82" i="20"/>
  <c r="I82" i="20" s="1"/>
  <c r="R75" i="20" s="1"/>
  <c r="O32" i="18" s="1"/>
  <c r="U37" i="20"/>
  <c r="E38" i="20"/>
  <c r="H87" i="20"/>
  <c r="I87" i="20" s="1"/>
  <c r="R80" i="20" s="1"/>
  <c r="H83" i="20"/>
  <c r="I83" i="20" s="1"/>
  <c r="R76" i="20" s="1"/>
  <c r="R42" i="20"/>
  <c r="I50" i="20"/>
  <c r="M71" i="20" s="1"/>
  <c r="O20" i="18" s="1"/>
  <c r="U44" i="20"/>
  <c r="M37" i="20"/>
  <c r="R51" i="20"/>
  <c r="R40" i="20"/>
  <c r="U41" i="20"/>
  <c r="I19" i="20"/>
  <c r="U47" i="20"/>
  <c r="X41" i="20"/>
  <c r="E50" i="20"/>
  <c r="H89" i="20"/>
  <c r="I89" i="20" s="1"/>
  <c r="R82" i="20" s="1"/>
  <c r="M17" i="20"/>
  <c r="M72" i="20" s="1"/>
  <c r="O21" i="18" s="1"/>
  <c r="I77" i="20"/>
  <c r="H91" i="20"/>
  <c r="I91" i="20" s="1"/>
  <c r="R84" i="20" s="1"/>
  <c r="E60" i="20"/>
  <c r="X46" i="20"/>
  <c r="E72" i="20"/>
  <c r="H90" i="20"/>
  <c r="I90" i="20" s="1"/>
  <c r="R83" i="20" s="1"/>
  <c r="K9" i="20"/>
  <c r="K13" i="20"/>
  <c r="K14" i="20" s="1"/>
  <c r="C44" i="20"/>
  <c r="C45" i="20" s="1"/>
  <c r="C46" i="20" s="1"/>
  <c r="C47" i="20" s="1"/>
  <c r="C48" i="20" s="1"/>
  <c r="C49" i="20" s="1"/>
  <c r="S47" i="20"/>
  <c r="S48" i="20" s="1"/>
  <c r="S49" i="20" s="1"/>
  <c r="S50" i="20" s="1"/>
  <c r="S51" i="20" s="1"/>
  <c r="S52" i="20" s="1"/>
  <c r="S53" i="20" s="1"/>
  <c r="S54" i="20" s="1"/>
  <c r="V36" i="20" s="1"/>
  <c r="V37" i="20" s="1"/>
  <c r="V38" i="20" s="1"/>
  <c r="V39" i="20" s="1"/>
  <c r="V40" i="20" s="1"/>
  <c r="V41" i="20" s="1"/>
  <c r="V42" i="20" s="1"/>
  <c r="V43" i="20" s="1"/>
  <c r="V44" i="20" s="1"/>
  <c r="V45" i="20" s="1"/>
  <c r="V46" i="20" s="1"/>
  <c r="V47" i="20" s="1"/>
  <c r="V48" i="20" s="1"/>
  <c r="V49" i="20" s="1"/>
  <c r="V50" i="20" s="1"/>
  <c r="V51" i="20" s="1"/>
  <c r="V52" i="20" s="1"/>
  <c r="V53" i="20" s="1"/>
  <c r="V54" i="20" s="1"/>
  <c r="S46" i="20"/>
  <c r="H84" i="20"/>
  <c r="I84" i="20" s="1"/>
  <c r="R77" i="20" s="1"/>
  <c r="E26" i="20"/>
  <c r="E17" i="20"/>
  <c r="I37" i="20"/>
  <c r="H85" i="20"/>
  <c r="I85" i="20" s="1"/>
  <c r="R78" i="20" s="1"/>
  <c r="R41" i="20"/>
  <c r="R49" i="20"/>
  <c r="H88" i="20"/>
  <c r="I69" i="20"/>
  <c r="M75" i="20" s="1"/>
  <c r="O24" i="18" s="1"/>
  <c r="X37" i="20"/>
  <c r="R51" i="19"/>
  <c r="R54" i="19"/>
  <c r="U47" i="19"/>
  <c r="X46" i="19"/>
  <c r="X47" i="19"/>
  <c r="M50" i="19"/>
  <c r="U42" i="19"/>
  <c r="H84" i="19"/>
  <c r="I84" i="19" s="1"/>
  <c r="R77" i="19" s="1"/>
  <c r="I50" i="19"/>
  <c r="M71" i="19" s="1"/>
  <c r="N20" i="18" s="1"/>
  <c r="U37" i="19"/>
  <c r="H87" i="19"/>
  <c r="I87" i="19" s="1"/>
  <c r="R80" i="19" s="1"/>
  <c r="U36" i="19"/>
  <c r="R37" i="19"/>
  <c r="U45" i="19"/>
  <c r="H83" i="19"/>
  <c r="I83" i="19" s="1"/>
  <c r="R76" i="19" s="1"/>
  <c r="R42" i="19"/>
  <c r="E50" i="19"/>
  <c r="I19" i="19"/>
  <c r="H90" i="19"/>
  <c r="I90" i="19" s="1"/>
  <c r="R83" i="19" s="1"/>
  <c r="E72" i="19"/>
  <c r="M74" i="19" s="1"/>
  <c r="N23" i="18" s="1"/>
  <c r="I77" i="19"/>
  <c r="H91" i="19"/>
  <c r="I91" i="19" s="1"/>
  <c r="R84" i="19" s="1"/>
  <c r="E60" i="19"/>
  <c r="S47" i="19"/>
  <c r="S48" i="19" s="1"/>
  <c r="S49" i="19" s="1"/>
  <c r="S50" i="19" s="1"/>
  <c r="S51" i="19" s="1"/>
  <c r="S52" i="19" s="1"/>
  <c r="S53" i="19" s="1"/>
  <c r="S54" i="19" s="1"/>
  <c r="V36" i="19" s="1"/>
  <c r="V37" i="19" s="1"/>
  <c r="V38" i="19" s="1"/>
  <c r="V39" i="19" s="1"/>
  <c r="V40" i="19" s="1"/>
  <c r="V41" i="19" s="1"/>
  <c r="V42" i="19" s="1"/>
  <c r="V43" i="19" s="1"/>
  <c r="V44" i="19" s="1"/>
  <c r="V45" i="19" s="1"/>
  <c r="V46" i="19" s="1"/>
  <c r="V47" i="19" s="1"/>
  <c r="V48" i="19" s="1"/>
  <c r="V49" i="19" s="1"/>
  <c r="V50" i="19" s="1"/>
  <c r="V51" i="19" s="1"/>
  <c r="V52" i="19" s="1"/>
  <c r="V53" i="19" s="1"/>
  <c r="V54" i="19" s="1"/>
  <c r="S46" i="19"/>
  <c r="C44" i="19"/>
  <c r="C45" i="19" s="1"/>
  <c r="C46" i="19" s="1"/>
  <c r="C47" i="19" s="1"/>
  <c r="C48" i="19" s="1"/>
  <c r="C49" i="19" s="1"/>
  <c r="K9" i="19"/>
  <c r="K13" i="19"/>
  <c r="K14" i="19" s="1"/>
  <c r="E26" i="19"/>
  <c r="M37" i="19"/>
  <c r="E17" i="19"/>
  <c r="I37" i="19"/>
  <c r="H85" i="19"/>
  <c r="I85" i="19" s="1"/>
  <c r="R78" i="19" s="1"/>
  <c r="H89" i="19"/>
  <c r="I89" i="19" s="1"/>
  <c r="R82" i="19" s="1"/>
  <c r="R41" i="19"/>
  <c r="I69" i="19"/>
  <c r="M75" i="19" s="1"/>
  <c r="N24" i="18" s="1"/>
  <c r="M17" i="19"/>
  <c r="H82" i="19"/>
  <c r="H86" i="19"/>
  <c r="I86" i="19" s="1"/>
  <c r="R79" i="19" s="1"/>
  <c r="X37" i="19"/>
  <c r="X41" i="19"/>
  <c r="H83" i="17"/>
  <c r="I83" i="17" s="1"/>
  <c r="R76" i="17" s="1"/>
  <c r="R42" i="17"/>
  <c r="H91" i="17"/>
  <c r="I91" i="17" s="1"/>
  <c r="R84" i="17" s="1"/>
  <c r="H90" i="17"/>
  <c r="I90" i="17" s="1"/>
  <c r="R83" i="17" s="1"/>
  <c r="M50" i="17"/>
  <c r="R51" i="17"/>
  <c r="I19" i="17"/>
  <c r="U41" i="17"/>
  <c r="U47" i="17"/>
  <c r="E38" i="17"/>
  <c r="H87" i="17"/>
  <c r="I87" i="17" s="1"/>
  <c r="R80" i="17" s="1"/>
  <c r="H86" i="17"/>
  <c r="I86" i="17" s="1"/>
  <c r="R79" i="17" s="1"/>
  <c r="H88" i="17"/>
  <c r="I88" i="17" s="1"/>
  <c r="R81" i="17" s="1"/>
  <c r="I50" i="17"/>
  <c r="M71" i="17" s="1"/>
  <c r="AG20" i="18" s="1"/>
  <c r="M17" i="17"/>
  <c r="M72" i="17" s="1"/>
  <c r="I77" i="17"/>
  <c r="E60" i="17"/>
  <c r="E50" i="17"/>
  <c r="K9" i="17"/>
  <c r="K13" i="17"/>
  <c r="K14" i="17" s="1"/>
  <c r="S47" i="17"/>
  <c r="S48" i="17" s="1"/>
  <c r="S49" i="17" s="1"/>
  <c r="S50" i="17" s="1"/>
  <c r="S51" i="17" s="1"/>
  <c r="S52" i="17" s="1"/>
  <c r="S53" i="17" s="1"/>
  <c r="S54" i="17" s="1"/>
  <c r="V36" i="17" s="1"/>
  <c r="V37" i="17" s="1"/>
  <c r="V38" i="17" s="1"/>
  <c r="V39" i="17" s="1"/>
  <c r="V40" i="17" s="1"/>
  <c r="V41" i="17" s="1"/>
  <c r="V42" i="17" s="1"/>
  <c r="V43" i="17" s="1"/>
  <c r="V44" i="17" s="1"/>
  <c r="V45" i="17" s="1"/>
  <c r="V46" i="17" s="1"/>
  <c r="V47" i="17" s="1"/>
  <c r="V48" i="17" s="1"/>
  <c r="V49" i="17" s="1"/>
  <c r="V50" i="17" s="1"/>
  <c r="V51" i="17" s="1"/>
  <c r="V52" i="17" s="1"/>
  <c r="V53" i="17" s="1"/>
  <c r="V54" i="17" s="1"/>
  <c r="S46" i="17"/>
  <c r="R40" i="17"/>
  <c r="I37" i="17"/>
  <c r="H84" i="17"/>
  <c r="I84" i="17" s="1"/>
  <c r="R77" i="17" s="1"/>
  <c r="E26" i="17"/>
  <c r="M37" i="17"/>
  <c r="E17" i="17"/>
  <c r="H85" i="17"/>
  <c r="I85" i="17" s="1"/>
  <c r="R78" i="17" s="1"/>
  <c r="H89" i="17"/>
  <c r="I89" i="17" s="1"/>
  <c r="R82" i="17" s="1"/>
  <c r="I69" i="17"/>
  <c r="M75" i="17" s="1"/>
  <c r="H82" i="17"/>
  <c r="X37" i="17"/>
  <c r="X41" i="17"/>
  <c r="H85" i="16"/>
  <c r="I85" i="16" s="1"/>
  <c r="R78" i="16" s="1"/>
  <c r="R50" i="16"/>
  <c r="E50" i="16"/>
  <c r="H83" i="16"/>
  <c r="I83" i="16" s="1"/>
  <c r="R76" i="16" s="1"/>
  <c r="H90" i="16"/>
  <c r="I90" i="16" s="1"/>
  <c r="R83" i="16" s="1"/>
  <c r="U47" i="16"/>
  <c r="R51" i="16"/>
  <c r="E38" i="16"/>
  <c r="I19" i="16"/>
  <c r="I50" i="16"/>
  <c r="M71" i="16" s="1"/>
  <c r="AB20" i="18" s="1"/>
  <c r="X47" i="16"/>
  <c r="I69" i="16"/>
  <c r="M75" i="16" s="1"/>
  <c r="AB24" i="18" s="1"/>
  <c r="X46" i="16"/>
  <c r="H91" i="16"/>
  <c r="I91" i="16" s="1"/>
  <c r="R84" i="16" s="1"/>
  <c r="E72" i="16"/>
  <c r="M74" i="16" s="1"/>
  <c r="I77" i="16"/>
  <c r="K9" i="16"/>
  <c r="K13" i="16"/>
  <c r="K14" i="16" s="1"/>
  <c r="C44" i="16"/>
  <c r="C45" i="16" s="1"/>
  <c r="C46" i="16" s="1"/>
  <c r="C47" i="16" s="1"/>
  <c r="C48" i="16" s="1"/>
  <c r="C49" i="16" s="1"/>
  <c r="S47" i="16"/>
  <c r="S48" i="16" s="1"/>
  <c r="S49" i="16" s="1"/>
  <c r="S50" i="16" s="1"/>
  <c r="S51" i="16" s="1"/>
  <c r="S52" i="16" s="1"/>
  <c r="S53" i="16" s="1"/>
  <c r="S54" i="16" s="1"/>
  <c r="V36" i="16" s="1"/>
  <c r="V37" i="16" s="1"/>
  <c r="V38" i="16" s="1"/>
  <c r="V39" i="16" s="1"/>
  <c r="V40" i="16" s="1"/>
  <c r="V41" i="16" s="1"/>
  <c r="V42" i="16" s="1"/>
  <c r="V43" i="16" s="1"/>
  <c r="V44" i="16" s="1"/>
  <c r="V45" i="16" s="1"/>
  <c r="V46" i="16" s="1"/>
  <c r="V47" i="16" s="1"/>
  <c r="V48" i="16" s="1"/>
  <c r="V49" i="16" s="1"/>
  <c r="V50" i="16" s="1"/>
  <c r="V51" i="16" s="1"/>
  <c r="V52" i="16" s="1"/>
  <c r="V53" i="16" s="1"/>
  <c r="V54" i="16" s="1"/>
  <c r="S46" i="16"/>
  <c r="M50" i="16"/>
  <c r="I37" i="16"/>
  <c r="H84" i="16"/>
  <c r="I84" i="16" s="1"/>
  <c r="R77" i="16" s="1"/>
  <c r="H88" i="16"/>
  <c r="E26" i="16"/>
  <c r="M37" i="16"/>
  <c r="E17" i="16"/>
  <c r="H89" i="16"/>
  <c r="I89" i="16" s="1"/>
  <c r="R82" i="16" s="1"/>
  <c r="H82" i="16"/>
  <c r="H86" i="16"/>
  <c r="I86" i="16" s="1"/>
  <c r="R79" i="16" s="1"/>
  <c r="X37" i="16"/>
  <c r="X41" i="16"/>
  <c r="R50" i="15"/>
  <c r="E38" i="15"/>
  <c r="H88" i="15"/>
  <c r="I88" i="15" s="1"/>
  <c r="R81" i="15" s="1"/>
  <c r="U47" i="15"/>
  <c r="U42" i="15"/>
  <c r="H84" i="15"/>
  <c r="I84" i="15" s="1"/>
  <c r="R77" i="15" s="1"/>
  <c r="U37" i="15"/>
  <c r="I50" i="15"/>
  <c r="M71" i="15" s="1"/>
  <c r="W20" i="18" s="1"/>
  <c r="H87" i="15"/>
  <c r="I87" i="15" s="1"/>
  <c r="R80" i="15" s="1"/>
  <c r="H83" i="15"/>
  <c r="I83" i="15" s="1"/>
  <c r="R76" i="15" s="1"/>
  <c r="R42" i="15"/>
  <c r="I19" i="15"/>
  <c r="R51" i="15"/>
  <c r="E50" i="15"/>
  <c r="E72" i="15"/>
  <c r="M74" i="15" s="1"/>
  <c r="I77" i="15"/>
  <c r="H91" i="15"/>
  <c r="I91" i="15" s="1"/>
  <c r="R84" i="15" s="1"/>
  <c r="M50" i="15"/>
  <c r="H90" i="15"/>
  <c r="I90" i="15" s="1"/>
  <c r="R83" i="15" s="1"/>
  <c r="E60" i="15"/>
  <c r="K9" i="15"/>
  <c r="K13" i="15"/>
  <c r="K14" i="15" s="1"/>
  <c r="S47" i="15"/>
  <c r="S48" i="15" s="1"/>
  <c r="S49" i="15" s="1"/>
  <c r="S50" i="15" s="1"/>
  <c r="S51" i="15" s="1"/>
  <c r="S52" i="15" s="1"/>
  <c r="S53" i="15" s="1"/>
  <c r="S54" i="15" s="1"/>
  <c r="V36" i="15" s="1"/>
  <c r="V37" i="15" s="1"/>
  <c r="V38" i="15" s="1"/>
  <c r="V39" i="15" s="1"/>
  <c r="V40" i="15" s="1"/>
  <c r="V41" i="15" s="1"/>
  <c r="V42" i="15" s="1"/>
  <c r="V43" i="15" s="1"/>
  <c r="V44" i="15" s="1"/>
  <c r="V45" i="15" s="1"/>
  <c r="V46" i="15" s="1"/>
  <c r="V47" i="15" s="1"/>
  <c r="V48" i="15" s="1"/>
  <c r="V49" i="15" s="1"/>
  <c r="V50" i="15" s="1"/>
  <c r="V51" i="15" s="1"/>
  <c r="V52" i="15" s="1"/>
  <c r="V53" i="15" s="1"/>
  <c r="V54" i="15" s="1"/>
  <c r="S46" i="15"/>
  <c r="C44" i="15"/>
  <c r="C45" i="15" s="1"/>
  <c r="C46" i="15" s="1"/>
  <c r="C47" i="15" s="1"/>
  <c r="C48" i="15" s="1"/>
  <c r="C49" i="15" s="1"/>
  <c r="I37" i="15"/>
  <c r="E26" i="15"/>
  <c r="M37" i="15"/>
  <c r="E17" i="15"/>
  <c r="H85" i="15"/>
  <c r="I85" i="15" s="1"/>
  <c r="R78" i="15" s="1"/>
  <c r="H89" i="15"/>
  <c r="I89" i="15" s="1"/>
  <c r="R82" i="15" s="1"/>
  <c r="R41" i="15"/>
  <c r="I69" i="15"/>
  <c r="M75" i="15" s="1"/>
  <c r="M17" i="15"/>
  <c r="H82" i="15"/>
  <c r="H86" i="15"/>
  <c r="I86" i="15" s="1"/>
  <c r="R79" i="15" s="1"/>
  <c r="X37" i="15"/>
  <c r="X41" i="15"/>
  <c r="H82" i="13"/>
  <c r="I82" i="13" s="1"/>
  <c r="R75" i="13" s="1"/>
  <c r="R32" i="18" s="1"/>
  <c r="R50" i="13"/>
  <c r="H85" i="13"/>
  <c r="I85" i="13" s="1"/>
  <c r="R78" i="13" s="1"/>
  <c r="M17" i="13"/>
  <c r="M72" i="13" s="1"/>
  <c r="R21" i="18" s="1"/>
  <c r="E38" i="13"/>
  <c r="H87" i="13"/>
  <c r="I87" i="13" s="1"/>
  <c r="R80" i="13" s="1"/>
  <c r="R37" i="13"/>
  <c r="U45" i="13"/>
  <c r="H83" i="13"/>
  <c r="I83" i="13" s="1"/>
  <c r="R76" i="13" s="1"/>
  <c r="R42" i="13"/>
  <c r="H90" i="13"/>
  <c r="I90" i="13" s="1"/>
  <c r="R83" i="13" s="1"/>
  <c r="R40" i="13"/>
  <c r="R49" i="13"/>
  <c r="U37" i="13"/>
  <c r="U47" i="13"/>
  <c r="I50" i="13"/>
  <c r="M71" i="13" s="1"/>
  <c r="R20" i="18" s="1"/>
  <c r="H86" i="13"/>
  <c r="I86" i="13" s="1"/>
  <c r="R79" i="13" s="1"/>
  <c r="X37" i="13"/>
  <c r="E72" i="13"/>
  <c r="M74" i="13" s="1"/>
  <c r="R23" i="18" s="1"/>
  <c r="I77" i="13"/>
  <c r="E60" i="13"/>
  <c r="I69" i="13"/>
  <c r="M75" i="13" s="1"/>
  <c r="R24" i="18" s="1"/>
  <c r="C44" i="13"/>
  <c r="C45" i="13" s="1"/>
  <c r="C46" i="13" s="1"/>
  <c r="C47" i="13" s="1"/>
  <c r="C48" i="13" s="1"/>
  <c r="C49" i="13" s="1"/>
  <c r="S47" i="13"/>
  <c r="S48" i="13" s="1"/>
  <c r="S49" i="13" s="1"/>
  <c r="S50" i="13" s="1"/>
  <c r="S51" i="13" s="1"/>
  <c r="S52" i="13" s="1"/>
  <c r="S53" i="13" s="1"/>
  <c r="S54" i="13" s="1"/>
  <c r="V36" i="13" s="1"/>
  <c r="V37" i="13" s="1"/>
  <c r="V38" i="13" s="1"/>
  <c r="V39" i="13" s="1"/>
  <c r="V40" i="13" s="1"/>
  <c r="V41" i="13" s="1"/>
  <c r="V42" i="13" s="1"/>
  <c r="V43" i="13" s="1"/>
  <c r="V44" i="13" s="1"/>
  <c r="V45" i="13" s="1"/>
  <c r="V46" i="13" s="1"/>
  <c r="V47" i="13" s="1"/>
  <c r="V48" i="13" s="1"/>
  <c r="V49" i="13" s="1"/>
  <c r="V50" i="13" s="1"/>
  <c r="V51" i="13" s="1"/>
  <c r="V52" i="13" s="1"/>
  <c r="V53" i="13" s="1"/>
  <c r="V54" i="13" s="1"/>
  <c r="S46" i="13"/>
  <c r="K13" i="13"/>
  <c r="K14" i="13" s="1"/>
  <c r="K9" i="13"/>
  <c r="R51" i="13"/>
  <c r="I19" i="13"/>
  <c r="X41" i="13"/>
  <c r="E50" i="13"/>
  <c r="H88" i="13"/>
  <c r="M50" i="13"/>
  <c r="I37" i="13"/>
  <c r="H89" i="13"/>
  <c r="I89" i="13" s="1"/>
  <c r="R82" i="13" s="1"/>
  <c r="E26" i="13"/>
  <c r="M37" i="13"/>
  <c r="E17" i="13"/>
  <c r="H85" i="12"/>
  <c r="I85" i="12" s="1"/>
  <c r="R78" i="12" s="1"/>
  <c r="R49" i="12"/>
  <c r="U47" i="12"/>
  <c r="M17" i="12"/>
  <c r="M72" i="12" s="1"/>
  <c r="M21" i="18" s="1"/>
  <c r="E38" i="12"/>
  <c r="U37" i="12"/>
  <c r="I37" i="12"/>
  <c r="I50" i="12"/>
  <c r="M71" i="12" s="1"/>
  <c r="M20" i="18" s="1"/>
  <c r="E72" i="12"/>
  <c r="M74" i="12" s="1"/>
  <c r="M23" i="18" s="1"/>
  <c r="I77" i="12"/>
  <c r="H90" i="12"/>
  <c r="I90" i="12" s="1"/>
  <c r="R83" i="12" s="1"/>
  <c r="E60" i="12"/>
  <c r="I69" i="12"/>
  <c r="M75" i="12" s="1"/>
  <c r="M24" i="18" s="1"/>
  <c r="U36" i="12"/>
  <c r="H83" i="12"/>
  <c r="I83" i="12" s="1"/>
  <c r="R76" i="12" s="1"/>
  <c r="H82" i="12"/>
  <c r="I82" i="12" s="1"/>
  <c r="R75" i="12" s="1"/>
  <c r="M32" i="18" s="1"/>
  <c r="C44" i="12"/>
  <c r="C45" i="12" s="1"/>
  <c r="C46" i="12" s="1"/>
  <c r="C47" i="12" s="1"/>
  <c r="C48" i="12" s="1"/>
  <c r="C49" i="12" s="1"/>
  <c r="S47" i="12"/>
  <c r="S48" i="12" s="1"/>
  <c r="S49" i="12" s="1"/>
  <c r="S50" i="12" s="1"/>
  <c r="S51" i="12" s="1"/>
  <c r="S52" i="12" s="1"/>
  <c r="S53" i="12" s="1"/>
  <c r="S54" i="12" s="1"/>
  <c r="V36" i="12" s="1"/>
  <c r="V37" i="12" s="1"/>
  <c r="V38" i="12" s="1"/>
  <c r="V39" i="12" s="1"/>
  <c r="V40" i="12" s="1"/>
  <c r="V41" i="12" s="1"/>
  <c r="V42" i="12" s="1"/>
  <c r="V43" i="12" s="1"/>
  <c r="V44" i="12" s="1"/>
  <c r="V45" i="12" s="1"/>
  <c r="V46" i="12" s="1"/>
  <c r="V47" i="12" s="1"/>
  <c r="V48" i="12" s="1"/>
  <c r="V49" i="12" s="1"/>
  <c r="V50" i="12" s="1"/>
  <c r="V51" i="12" s="1"/>
  <c r="V52" i="12" s="1"/>
  <c r="V53" i="12" s="1"/>
  <c r="V54" i="12" s="1"/>
  <c r="S46" i="12"/>
  <c r="K9" i="12"/>
  <c r="R51" i="12"/>
  <c r="I19" i="12"/>
  <c r="X41" i="12"/>
  <c r="X46" i="12"/>
  <c r="E50" i="12"/>
  <c r="H88" i="12"/>
  <c r="H89" i="12"/>
  <c r="I89" i="12" s="1"/>
  <c r="R82" i="12" s="1"/>
  <c r="E26" i="12"/>
  <c r="M37" i="12"/>
  <c r="E17" i="12"/>
  <c r="R37" i="11"/>
  <c r="E38" i="11"/>
  <c r="H88" i="11"/>
  <c r="I88" i="11" s="1"/>
  <c r="R81" i="11" s="1"/>
  <c r="H83" i="11"/>
  <c r="I83" i="11" s="1"/>
  <c r="R76" i="11" s="1"/>
  <c r="U44" i="11"/>
  <c r="U41" i="11"/>
  <c r="U47" i="11"/>
  <c r="I50" i="11"/>
  <c r="M71" i="11" s="1"/>
  <c r="L20" i="18" s="1"/>
  <c r="U36" i="11"/>
  <c r="H82" i="11"/>
  <c r="I82" i="11" s="1"/>
  <c r="R75" i="11" s="1"/>
  <c r="L32" i="18" s="1"/>
  <c r="H84" i="11"/>
  <c r="I84" i="11" s="1"/>
  <c r="R77" i="11" s="1"/>
  <c r="H86" i="11"/>
  <c r="I86" i="11" s="1"/>
  <c r="R79" i="11" s="1"/>
  <c r="H85" i="11"/>
  <c r="I85" i="11" s="1"/>
  <c r="R78" i="11" s="1"/>
  <c r="M17" i="11"/>
  <c r="M72" i="11" s="1"/>
  <c r="L21" i="18" s="1"/>
  <c r="H90" i="11"/>
  <c r="I90" i="11" s="1"/>
  <c r="R83" i="11" s="1"/>
  <c r="E65" i="11"/>
  <c r="I58" i="11"/>
  <c r="E66" i="11"/>
  <c r="E67" i="11"/>
  <c r="M42" i="11"/>
  <c r="H91" i="11" s="1"/>
  <c r="I91" i="11" s="1"/>
  <c r="R84" i="11" s="1"/>
  <c r="E68" i="11"/>
  <c r="E69" i="11"/>
  <c r="I56" i="11"/>
  <c r="I60" i="11"/>
  <c r="I77" i="11"/>
  <c r="E60" i="11"/>
  <c r="X46" i="11"/>
  <c r="I61" i="11"/>
  <c r="I68" i="11"/>
  <c r="I57" i="11"/>
  <c r="I62" i="11"/>
  <c r="K13" i="11"/>
  <c r="K14" i="11" s="1"/>
  <c r="K9" i="11"/>
  <c r="C44" i="11"/>
  <c r="C45" i="11" s="1"/>
  <c r="C46" i="11" s="1"/>
  <c r="C47" i="11" s="1"/>
  <c r="C48" i="11" s="1"/>
  <c r="C49" i="11" s="1"/>
  <c r="S47" i="11"/>
  <c r="S48" i="11" s="1"/>
  <c r="S49" i="11" s="1"/>
  <c r="S50" i="11" s="1"/>
  <c r="S51" i="11" s="1"/>
  <c r="S52" i="11" s="1"/>
  <c r="S53" i="11" s="1"/>
  <c r="S54" i="11" s="1"/>
  <c r="V36" i="11" s="1"/>
  <c r="V37" i="11" s="1"/>
  <c r="V38" i="11" s="1"/>
  <c r="V39" i="11" s="1"/>
  <c r="V40" i="11" s="1"/>
  <c r="V41" i="11" s="1"/>
  <c r="V42" i="11" s="1"/>
  <c r="V43" i="11" s="1"/>
  <c r="V44" i="11" s="1"/>
  <c r="V45" i="11" s="1"/>
  <c r="V46" i="11" s="1"/>
  <c r="V47" i="11" s="1"/>
  <c r="V48" i="11" s="1"/>
  <c r="V49" i="11" s="1"/>
  <c r="V50" i="11" s="1"/>
  <c r="V51" i="11" s="1"/>
  <c r="V52" i="11" s="1"/>
  <c r="V53" i="11" s="1"/>
  <c r="V54" i="11" s="1"/>
  <c r="S46" i="11"/>
  <c r="R51" i="11"/>
  <c r="E50" i="11"/>
  <c r="I19" i="11"/>
  <c r="X41" i="11"/>
  <c r="I37" i="11"/>
  <c r="H89" i="11"/>
  <c r="I89" i="11" s="1"/>
  <c r="R82" i="11" s="1"/>
  <c r="E26" i="11"/>
  <c r="M37" i="11"/>
  <c r="E17" i="11"/>
  <c r="R46" i="10"/>
  <c r="H86" i="10"/>
  <c r="I86" i="10" s="1"/>
  <c r="R79" i="10" s="1"/>
  <c r="E38" i="10"/>
  <c r="M17" i="10"/>
  <c r="M72" i="10" s="1"/>
  <c r="K21" i="18" s="1"/>
  <c r="U37" i="10"/>
  <c r="I37" i="10"/>
  <c r="U36" i="10"/>
  <c r="H87" i="10"/>
  <c r="I87" i="10" s="1"/>
  <c r="R80" i="10" s="1"/>
  <c r="H83" i="10"/>
  <c r="I83" i="10" s="1"/>
  <c r="R76" i="10" s="1"/>
  <c r="R42" i="10"/>
  <c r="H90" i="10"/>
  <c r="I90" i="10" s="1"/>
  <c r="R83" i="10" s="1"/>
  <c r="U47" i="10"/>
  <c r="I50" i="10"/>
  <c r="M71" i="10" s="1"/>
  <c r="K20" i="18" s="1"/>
  <c r="H82" i="10"/>
  <c r="I82" i="10" s="1"/>
  <c r="R75" i="10" s="1"/>
  <c r="K32" i="18" s="1"/>
  <c r="I19" i="10"/>
  <c r="R54" i="10"/>
  <c r="R49" i="10"/>
  <c r="H84" i="10"/>
  <c r="I84" i="10" s="1"/>
  <c r="R77" i="10" s="1"/>
  <c r="I69" i="10"/>
  <c r="M75" i="10" s="1"/>
  <c r="K24" i="18" s="1"/>
  <c r="E72" i="10"/>
  <c r="M74" i="10" s="1"/>
  <c r="K23" i="18" s="1"/>
  <c r="X46" i="10"/>
  <c r="X55" i="10" s="1"/>
  <c r="I77" i="10"/>
  <c r="E60" i="10"/>
  <c r="S47" i="10"/>
  <c r="S48" i="10" s="1"/>
  <c r="S49" i="10" s="1"/>
  <c r="S50" i="10" s="1"/>
  <c r="S51" i="10" s="1"/>
  <c r="S52" i="10" s="1"/>
  <c r="S53" i="10" s="1"/>
  <c r="S54" i="10" s="1"/>
  <c r="V36" i="10" s="1"/>
  <c r="V37" i="10" s="1"/>
  <c r="V38" i="10" s="1"/>
  <c r="V39" i="10" s="1"/>
  <c r="V40" i="10" s="1"/>
  <c r="V41" i="10" s="1"/>
  <c r="V42" i="10" s="1"/>
  <c r="V43" i="10" s="1"/>
  <c r="V44" i="10" s="1"/>
  <c r="V45" i="10" s="1"/>
  <c r="V46" i="10" s="1"/>
  <c r="V47" i="10" s="1"/>
  <c r="V48" i="10" s="1"/>
  <c r="V49" i="10" s="1"/>
  <c r="V50" i="10" s="1"/>
  <c r="V51" i="10" s="1"/>
  <c r="V52" i="10" s="1"/>
  <c r="V53" i="10" s="1"/>
  <c r="V54" i="10" s="1"/>
  <c r="S46" i="10"/>
  <c r="K13" i="10"/>
  <c r="K14" i="10" s="1"/>
  <c r="K9" i="10"/>
  <c r="C44" i="10"/>
  <c r="C45" i="10" s="1"/>
  <c r="C46" i="10" s="1"/>
  <c r="C47" i="10" s="1"/>
  <c r="C48" i="10" s="1"/>
  <c r="C49" i="10" s="1"/>
  <c r="R51" i="10"/>
  <c r="E50" i="10"/>
  <c r="H88" i="10"/>
  <c r="R40" i="10"/>
  <c r="H85" i="10"/>
  <c r="I85" i="10" s="1"/>
  <c r="R78" i="10" s="1"/>
  <c r="H89" i="10"/>
  <c r="I89" i="10" s="1"/>
  <c r="R82" i="10" s="1"/>
  <c r="E26" i="10"/>
  <c r="M37" i="10"/>
  <c r="E17" i="10"/>
  <c r="R50" i="9"/>
  <c r="I37" i="9"/>
  <c r="R37" i="9"/>
  <c r="E26" i="9"/>
  <c r="R42" i="9"/>
  <c r="U44" i="9"/>
  <c r="H90" i="9"/>
  <c r="I90" i="9" s="1"/>
  <c r="R83" i="9" s="1"/>
  <c r="H87" i="9"/>
  <c r="I87" i="9" s="1"/>
  <c r="R80" i="9" s="1"/>
  <c r="H82" i="9"/>
  <c r="I82" i="9" s="1"/>
  <c r="R75" i="9" s="1"/>
  <c r="J32" i="18" s="1"/>
  <c r="R40" i="9"/>
  <c r="H85" i="9"/>
  <c r="I85" i="9" s="1"/>
  <c r="R78" i="9" s="1"/>
  <c r="U47" i="9"/>
  <c r="I50" i="9"/>
  <c r="M71" i="9" s="1"/>
  <c r="J20" i="18" s="1"/>
  <c r="H86" i="9"/>
  <c r="I86" i="9" s="1"/>
  <c r="R79" i="9" s="1"/>
  <c r="H84" i="9"/>
  <c r="I84" i="9" s="1"/>
  <c r="R77" i="9" s="1"/>
  <c r="U37" i="9"/>
  <c r="H89" i="9"/>
  <c r="I89" i="9" s="1"/>
  <c r="R82" i="9" s="1"/>
  <c r="M50" i="9"/>
  <c r="E72" i="9"/>
  <c r="M74" i="9" s="1"/>
  <c r="J23" i="18" s="1"/>
  <c r="I77" i="9"/>
  <c r="X46" i="9"/>
  <c r="I69" i="9"/>
  <c r="M75" i="9" s="1"/>
  <c r="J24" i="18" s="1"/>
  <c r="X37" i="9"/>
  <c r="K13" i="9"/>
  <c r="K14" i="9" s="1"/>
  <c r="K9" i="9"/>
  <c r="M72" i="9"/>
  <c r="J21" i="18" s="1"/>
  <c r="C44" i="9"/>
  <c r="C45" i="9" s="1"/>
  <c r="C46" i="9" s="1"/>
  <c r="C47" i="9" s="1"/>
  <c r="C48" i="9" s="1"/>
  <c r="C49" i="9" s="1"/>
  <c r="S47" i="9"/>
  <c r="S48" i="9" s="1"/>
  <c r="S49" i="9" s="1"/>
  <c r="S50" i="9" s="1"/>
  <c r="S51" i="9" s="1"/>
  <c r="S52" i="9" s="1"/>
  <c r="S53" i="9" s="1"/>
  <c r="S54" i="9" s="1"/>
  <c r="V36" i="9" s="1"/>
  <c r="V37" i="9" s="1"/>
  <c r="V38" i="9" s="1"/>
  <c r="V39" i="9" s="1"/>
  <c r="V40" i="9" s="1"/>
  <c r="V41" i="9" s="1"/>
  <c r="V42" i="9" s="1"/>
  <c r="V43" i="9" s="1"/>
  <c r="V44" i="9" s="1"/>
  <c r="V45" i="9" s="1"/>
  <c r="V46" i="9" s="1"/>
  <c r="V47" i="9" s="1"/>
  <c r="V48" i="9" s="1"/>
  <c r="V49" i="9" s="1"/>
  <c r="V50" i="9" s="1"/>
  <c r="V51" i="9" s="1"/>
  <c r="V52" i="9" s="1"/>
  <c r="V53" i="9" s="1"/>
  <c r="V54" i="9" s="1"/>
  <c r="S46" i="9"/>
  <c r="H83" i="9"/>
  <c r="I83" i="9" s="1"/>
  <c r="R76" i="9" s="1"/>
  <c r="R51" i="9"/>
  <c r="I19" i="9"/>
  <c r="X41" i="9"/>
  <c r="E50" i="9"/>
  <c r="H88" i="9"/>
  <c r="E38" i="9"/>
  <c r="M37" i="9"/>
  <c r="E17" i="9"/>
  <c r="R46" i="8"/>
  <c r="X37" i="8"/>
  <c r="M17" i="8"/>
  <c r="M72" i="8" s="1"/>
  <c r="I21" i="18" s="1"/>
  <c r="E38" i="8"/>
  <c r="H87" i="8"/>
  <c r="I87" i="8" s="1"/>
  <c r="R80" i="8" s="1"/>
  <c r="H85" i="8"/>
  <c r="I85" i="8" s="1"/>
  <c r="R78" i="8" s="1"/>
  <c r="U45" i="8"/>
  <c r="H83" i="8"/>
  <c r="I83" i="8" s="1"/>
  <c r="R76" i="8" s="1"/>
  <c r="H90" i="8"/>
  <c r="I90" i="8" s="1"/>
  <c r="R83" i="8" s="1"/>
  <c r="U41" i="8"/>
  <c r="H82" i="8"/>
  <c r="I82" i="8" s="1"/>
  <c r="R75" i="8" s="1"/>
  <c r="I32" i="18" s="1"/>
  <c r="U47" i="8"/>
  <c r="H84" i="8"/>
  <c r="I84" i="8" s="1"/>
  <c r="R77" i="8" s="1"/>
  <c r="I50" i="8"/>
  <c r="M71" i="8" s="1"/>
  <c r="I20" i="18" s="1"/>
  <c r="X46" i="8"/>
  <c r="I77" i="8"/>
  <c r="I69" i="8"/>
  <c r="M75" i="8" s="1"/>
  <c r="I24" i="18" s="1"/>
  <c r="I19" i="8"/>
  <c r="H86" i="8"/>
  <c r="I86" i="8" s="1"/>
  <c r="R79" i="8" s="1"/>
  <c r="K13" i="8"/>
  <c r="K14" i="8" s="1"/>
  <c r="K9" i="8"/>
  <c r="S47" i="8"/>
  <c r="S48" i="8" s="1"/>
  <c r="S49" i="8" s="1"/>
  <c r="S50" i="8" s="1"/>
  <c r="S51" i="8" s="1"/>
  <c r="S52" i="8" s="1"/>
  <c r="S53" i="8" s="1"/>
  <c r="S54" i="8" s="1"/>
  <c r="V36" i="8" s="1"/>
  <c r="V37" i="8" s="1"/>
  <c r="V38" i="8" s="1"/>
  <c r="V39" i="8" s="1"/>
  <c r="V40" i="8" s="1"/>
  <c r="V41" i="8" s="1"/>
  <c r="V42" i="8" s="1"/>
  <c r="V43" i="8" s="1"/>
  <c r="V44" i="8" s="1"/>
  <c r="V45" i="8" s="1"/>
  <c r="V46" i="8" s="1"/>
  <c r="V47" i="8" s="1"/>
  <c r="V48" i="8" s="1"/>
  <c r="V49" i="8" s="1"/>
  <c r="V50" i="8" s="1"/>
  <c r="V51" i="8" s="1"/>
  <c r="V52" i="8" s="1"/>
  <c r="V53" i="8" s="1"/>
  <c r="V54" i="8" s="1"/>
  <c r="S46" i="8"/>
  <c r="C44" i="8"/>
  <c r="C45" i="8" s="1"/>
  <c r="C46" i="8" s="1"/>
  <c r="C47" i="8" s="1"/>
  <c r="C48" i="8" s="1"/>
  <c r="C49" i="8" s="1"/>
  <c r="R51" i="8"/>
  <c r="E50" i="8"/>
  <c r="H88" i="8"/>
  <c r="R40" i="8"/>
  <c r="M50" i="8"/>
  <c r="I37" i="8"/>
  <c r="H89" i="8"/>
  <c r="I89" i="8" s="1"/>
  <c r="R82" i="8" s="1"/>
  <c r="E26" i="8"/>
  <c r="M37" i="8"/>
  <c r="E17" i="8"/>
  <c r="H91" i="7"/>
  <c r="I91" i="7" s="1"/>
  <c r="R84" i="7" s="1"/>
  <c r="H86" i="7"/>
  <c r="I86" i="7" s="1"/>
  <c r="R79" i="7" s="1"/>
  <c r="R46" i="7"/>
  <c r="M17" i="7"/>
  <c r="M72" i="7" s="1"/>
  <c r="H21" i="18" s="1"/>
  <c r="U42" i="7"/>
  <c r="X37" i="7"/>
  <c r="E38" i="7"/>
  <c r="U37" i="7"/>
  <c r="U45" i="7"/>
  <c r="H90" i="7"/>
  <c r="I90" i="7" s="1"/>
  <c r="R83" i="7" s="1"/>
  <c r="I50" i="7"/>
  <c r="M71" i="7" s="1"/>
  <c r="H20" i="18" s="1"/>
  <c r="R50" i="7"/>
  <c r="U41" i="7"/>
  <c r="U47" i="7"/>
  <c r="E72" i="7"/>
  <c r="M74" i="7" s="1"/>
  <c r="H23" i="18" s="1"/>
  <c r="E60" i="7"/>
  <c r="I77" i="7"/>
  <c r="I69" i="7"/>
  <c r="M75" i="7" s="1"/>
  <c r="H24" i="18" s="1"/>
  <c r="X46" i="7"/>
  <c r="H87" i="7"/>
  <c r="I87" i="7" s="1"/>
  <c r="R80" i="7" s="1"/>
  <c r="R49" i="7"/>
  <c r="H83" i="7"/>
  <c r="I83" i="7" s="1"/>
  <c r="R76" i="7" s="1"/>
  <c r="H82" i="7"/>
  <c r="H85" i="7"/>
  <c r="I85" i="7" s="1"/>
  <c r="R78" i="7" s="1"/>
  <c r="S47" i="7"/>
  <c r="S48" i="7" s="1"/>
  <c r="S49" i="7" s="1"/>
  <c r="S50" i="7" s="1"/>
  <c r="S51" i="7" s="1"/>
  <c r="S52" i="7" s="1"/>
  <c r="S53" i="7" s="1"/>
  <c r="S54" i="7" s="1"/>
  <c r="V36" i="7" s="1"/>
  <c r="V37" i="7" s="1"/>
  <c r="V38" i="7" s="1"/>
  <c r="V39" i="7" s="1"/>
  <c r="V40" i="7" s="1"/>
  <c r="V41" i="7" s="1"/>
  <c r="V42" i="7" s="1"/>
  <c r="V43" i="7" s="1"/>
  <c r="V44" i="7" s="1"/>
  <c r="V45" i="7" s="1"/>
  <c r="V46" i="7" s="1"/>
  <c r="V47" i="7" s="1"/>
  <c r="V48" i="7" s="1"/>
  <c r="V49" i="7" s="1"/>
  <c r="V50" i="7" s="1"/>
  <c r="V51" i="7" s="1"/>
  <c r="V52" i="7" s="1"/>
  <c r="V53" i="7" s="1"/>
  <c r="V54" i="7" s="1"/>
  <c r="S46" i="7"/>
  <c r="K13" i="7"/>
  <c r="K14" i="7" s="1"/>
  <c r="K9" i="7"/>
  <c r="C44" i="7"/>
  <c r="C45" i="7" s="1"/>
  <c r="C46" i="7" s="1"/>
  <c r="C47" i="7" s="1"/>
  <c r="C48" i="7" s="1"/>
  <c r="C49" i="7" s="1"/>
  <c r="I19" i="7"/>
  <c r="R51" i="7"/>
  <c r="X41" i="7"/>
  <c r="E50" i="7"/>
  <c r="H88" i="7"/>
  <c r="M50" i="7"/>
  <c r="I37" i="7"/>
  <c r="H89" i="7"/>
  <c r="I89" i="7" s="1"/>
  <c r="R82" i="7" s="1"/>
  <c r="E26" i="7"/>
  <c r="M37" i="7"/>
  <c r="E17" i="7"/>
  <c r="H86" i="4"/>
  <c r="I86" i="4" s="1"/>
  <c r="R46" i="5"/>
  <c r="R49" i="5"/>
  <c r="I19" i="5"/>
  <c r="R46" i="6"/>
  <c r="R51" i="6"/>
  <c r="R37" i="6"/>
  <c r="R50" i="6"/>
  <c r="H82" i="6"/>
  <c r="I82" i="6" s="1"/>
  <c r="R75" i="6" s="1"/>
  <c r="G32" i="18" s="1"/>
  <c r="U37" i="6"/>
  <c r="X41" i="6"/>
  <c r="U44" i="6"/>
  <c r="X47" i="6"/>
  <c r="R49" i="6"/>
  <c r="U47" i="6"/>
  <c r="H86" i="6"/>
  <c r="I86" i="6" s="1"/>
  <c r="R79" i="6" s="1"/>
  <c r="E17" i="6"/>
  <c r="H85" i="6"/>
  <c r="I85" i="6" s="1"/>
  <c r="R78" i="6" s="1"/>
  <c r="H84" i="6"/>
  <c r="I84" i="6" s="1"/>
  <c r="R77" i="6" s="1"/>
  <c r="M17" i="6"/>
  <c r="M72" i="6" s="1"/>
  <c r="G21" i="18" s="1"/>
  <c r="U42" i="6"/>
  <c r="E38" i="6"/>
  <c r="H87" i="6"/>
  <c r="I87" i="6" s="1"/>
  <c r="R80" i="6" s="1"/>
  <c r="H83" i="6"/>
  <c r="I83" i="6" s="1"/>
  <c r="R76" i="6" s="1"/>
  <c r="I50" i="6"/>
  <c r="M71" i="6" s="1"/>
  <c r="G20" i="18" s="1"/>
  <c r="E72" i="6"/>
  <c r="I77" i="6"/>
  <c r="X37" i="6"/>
  <c r="E60" i="6"/>
  <c r="I69" i="6"/>
  <c r="M75" i="6" s="1"/>
  <c r="G24" i="18" s="1"/>
  <c r="S47" i="6"/>
  <c r="S48" i="6" s="1"/>
  <c r="S49" i="6" s="1"/>
  <c r="S50" i="6" s="1"/>
  <c r="S51" i="6" s="1"/>
  <c r="S52" i="6" s="1"/>
  <c r="S53" i="6" s="1"/>
  <c r="S54" i="6" s="1"/>
  <c r="V36" i="6" s="1"/>
  <c r="V37" i="6" s="1"/>
  <c r="V38" i="6" s="1"/>
  <c r="V39" i="6" s="1"/>
  <c r="V40" i="6" s="1"/>
  <c r="V41" i="6" s="1"/>
  <c r="V42" i="6" s="1"/>
  <c r="V43" i="6" s="1"/>
  <c r="V44" i="6" s="1"/>
  <c r="V45" i="6" s="1"/>
  <c r="V46" i="6" s="1"/>
  <c r="V47" i="6" s="1"/>
  <c r="V48" i="6" s="1"/>
  <c r="V49" i="6" s="1"/>
  <c r="V50" i="6" s="1"/>
  <c r="V51" i="6" s="1"/>
  <c r="V52" i="6" s="1"/>
  <c r="V53" i="6" s="1"/>
  <c r="V54" i="6" s="1"/>
  <c r="S46" i="6"/>
  <c r="K9" i="6"/>
  <c r="K13" i="6"/>
  <c r="K14" i="6" s="1"/>
  <c r="X46" i="6"/>
  <c r="C44" i="6"/>
  <c r="C45" i="6" s="1"/>
  <c r="C46" i="6" s="1"/>
  <c r="C47" i="6" s="1"/>
  <c r="C48" i="6" s="1"/>
  <c r="C49" i="6" s="1"/>
  <c r="E50" i="6"/>
  <c r="H88" i="6"/>
  <c r="I19" i="6"/>
  <c r="M50" i="6"/>
  <c r="I37" i="6"/>
  <c r="H89" i="6"/>
  <c r="I89" i="6" s="1"/>
  <c r="R82" i="6" s="1"/>
  <c r="E26" i="6"/>
  <c r="M37" i="6"/>
  <c r="H86" i="5"/>
  <c r="I86" i="5" s="1"/>
  <c r="H84" i="5"/>
  <c r="I84" i="5" s="1"/>
  <c r="M17" i="5"/>
  <c r="M72" i="5" s="1"/>
  <c r="F21" i="18" s="1"/>
  <c r="U37" i="5"/>
  <c r="E38" i="5"/>
  <c r="H87" i="5"/>
  <c r="I87" i="5" s="1"/>
  <c r="U44" i="5"/>
  <c r="H90" i="5"/>
  <c r="I90" i="5" s="1"/>
  <c r="R83" i="5" s="1"/>
  <c r="X37" i="5"/>
  <c r="I77" i="5"/>
  <c r="E72" i="5"/>
  <c r="M74" i="5" s="1"/>
  <c r="F23" i="18" s="1"/>
  <c r="E60" i="5"/>
  <c r="I69" i="5"/>
  <c r="M75" i="5" s="1"/>
  <c r="F24" i="18" s="1"/>
  <c r="H85" i="5"/>
  <c r="I85" i="5" s="1"/>
  <c r="R50" i="5"/>
  <c r="X41" i="5"/>
  <c r="S47" i="5"/>
  <c r="S48" i="5" s="1"/>
  <c r="S49" i="5" s="1"/>
  <c r="S50" i="5" s="1"/>
  <c r="S51" i="5" s="1"/>
  <c r="S52" i="5" s="1"/>
  <c r="S53" i="5" s="1"/>
  <c r="S54" i="5" s="1"/>
  <c r="V36" i="5" s="1"/>
  <c r="V37" i="5" s="1"/>
  <c r="V38" i="5" s="1"/>
  <c r="V39" i="5" s="1"/>
  <c r="V40" i="5" s="1"/>
  <c r="V41" i="5" s="1"/>
  <c r="V42" i="5" s="1"/>
  <c r="V43" i="5" s="1"/>
  <c r="V44" i="5" s="1"/>
  <c r="V45" i="5" s="1"/>
  <c r="V46" i="5" s="1"/>
  <c r="V47" i="5" s="1"/>
  <c r="V48" i="5" s="1"/>
  <c r="V49" i="5" s="1"/>
  <c r="V50" i="5" s="1"/>
  <c r="V51" i="5" s="1"/>
  <c r="V52" i="5" s="1"/>
  <c r="V53" i="5" s="1"/>
  <c r="V54" i="5" s="1"/>
  <c r="S46" i="5"/>
  <c r="K13" i="5"/>
  <c r="K14" i="5" s="1"/>
  <c r="K9" i="5"/>
  <c r="R51" i="5"/>
  <c r="C44" i="5"/>
  <c r="C45" i="5" s="1"/>
  <c r="C46" i="5" s="1"/>
  <c r="C47" i="5" s="1"/>
  <c r="C48" i="5" s="1"/>
  <c r="C49" i="5" s="1"/>
  <c r="E50" i="5"/>
  <c r="H88" i="5"/>
  <c r="R40" i="5"/>
  <c r="M50" i="5"/>
  <c r="I37" i="5"/>
  <c r="H89" i="5"/>
  <c r="I89" i="5" s="1"/>
  <c r="R82" i="5" s="1"/>
  <c r="E26" i="5"/>
  <c r="M37" i="5"/>
  <c r="E17" i="5"/>
  <c r="H82" i="4"/>
  <c r="I82" i="4" s="1"/>
  <c r="R50" i="4"/>
  <c r="M17" i="4"/>
  <c r="M72" i="4" s="1"/>
  <c r="E21" i="18" s="1"/>
  <c r="X46" i="4"/>
  <c r="E38" i="4"/>
  <c r="X41" i="4"/>
  <c r="H87" i="4"/>
  <c r="I87" i="4" s="1"/>
  <c r="R37" i="4"/>
  <c r="U45" i="4"/>
  <c r="H83" i="4"/>
  <c r="I83" i="4" s="1"/>
  <c r="H90" i="4"/>
  <c r="I90" i="4" s="1"/>
  <c r="I19" i="4"/>
  <c r="U47" i="4"/>
  <c r="I77" i="4"/>
  <c r="X37" i="4"/>
  <c r="E72" i="4"/>
  <c r="M74" i="4" s="1"/>
  <c r="E23" i="18" s="1"/>
  <c r="E60" i="4"/>
  <c r="I69" i="4"/>
  <c r="M75" i="4" s="1"/>
  <c r="E24" i="18" s="1"/>
  <c r="S47" i="4"/>
  <c r="S48" i="4" s="1"/>
  <c r="S49" i="4" s="1"/>
  <c r="S50" i="4" s="1"/>
  <c r="S51" i="4" s="1"/>
  <c r="S52" i="4" s="1"/>
  <c r="S53" i="4" s="1"/>
  <c r="S54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V48" i="4" s="1"/>
  <c r="V49" i="4" s="1"/>
  <c r="V50" i="4" s="1"/>
  <c r="V51" i="4" s="1"/>
  <c r="V52" i="4" s="1"/>
  <c r="V53" i="4" s="1"/>
  <c r="V54" i="4" s="1"/>
  <c r="S46" i="4"/>
  <c r="K13" i="4"/>
  <c r="K14" i="4" s="1"/>
  <c r="K9" i="4"/>
  <c r="R51" i="4"/>
  <c r="C44" i="4"/>
  <c r="C45" i="4" s="1"/>
  <c r="C46" i="4" s="1"/>
  <c r="C47" i="4" s="1"/>
  <c r="C48" i="4" s="1"/>
  <c r="C49" i="4" s="1"/>
  <c r="E50" i="4"/>
  <c r="H88" i="4"/>
  <c r="R40" i="4"/>
  <c r="M50" i="4"/>
  <c r="I37" i="4"/>
  <c r="H85" i="4"/>
  <c r="I85" i="4" s="1"/>
  <c r="H89" i="4"/>
  <c r="I89" i="4" s="1"/>
  <c r="E26" i="4"/>
  <c r="M37" i="4"/>
  <c r="E17" i="4"/>
  <c r="H95" i="17" l="1"/>
  <c r="I95" i="17" s="1"/>
  <c r="R88" i="17" s="1"/>
  <c r="AG45" i="18" s="1"/>
  <c r="M73" i="6"/>
  <c r="G22" i="18" s="1"/>
  <c r="I52" i="21"/>
  <c r="M73" i="10"/>
  <c r="K22" i="18" s="1"/>
  <c r="M73" i="24"/>
  <c r="S22" i="18" s="1"/>
  <c r="M73" i="5"/>
  <c r="F22" i="18" s="1"/>
  <c r="M73" i="17"/>
  <c r="M73" i="13"/>
  <c r="R22" i="18" s="1"/>
  <c r="M73" i="8"/>
  <c r="I22" i="18" s="1"/>
  <c r="X55" i="6"/>
  <c r="M70" i="16"/>
  <c r="AB19" i="18" s="1"/>
  <c r="H95" i="8"/>
  <c r="I95" i="8" s="1"/>
  <c r="R88" i="8" s="1"/>
  <c r="I45" i="18" s="1"/>
  <c r="I52" i="17"/>
  <c r="M52" i="21"/>
  <c r="U55" i="9"/>
  <c r="U55" i="6"/>
  <c r="M73" i="12"/>
  <c r="M22" i="18" s="1"/>
  <c r="I52" i="19"/>
  <c r="M70" i="20"/>
  <c r="O19" i="18" s="1"/>
  <c r="M73" i="20"/>
  <c r="O22" i="18" s="1"/>
  <c r="I52" i="22"/>
  <c r="AK28" i="18"/>
  <c r="AI28" i="18"/>
  <c r="AL28" i="18"/>
  <c r="AJ28" i="18"/>
  <c r="AH28" i="18"/>
  <c r="U55" i="16"/>
  <c r="H95" i="16"/>
  <c r="I95" i="16" s="1"/>
  <c r="R88" i="16" s="1"/>
  <c r="AB45" i="18" s="1"/>
  <c r="M70" i="15"/>
  <c r="W19" i="18" s="1"/>
  <c r="S24" i="18"/>
  <c r="M69" i="24"/>
  <c r="H95" i="24"/>
  <c r="I95" i="24" s="1"/>
  <c r="R88" i="24" s="1"/>
  <c r="S45" i="18" s="1"/>
  <c r="S23" i="18"/>
  <c r="H95" i="13"/>
  <c r="I95" i="13" s="1"/>
  <c r="R88" i="13" s="1"/>
  <c r="R45" i="18" s="1"/>
  <c r="H95" i="22"/>
  <c r="I95" i="22" s="1"/>
  <c r="R88" i="22" s="1"/>
  <c r="Q45" i="18" s="1"/>
  <c r="H95" i="21"/>
  <c r="I95" i="21" s="1"/>
  <c r="R88" i="21" s="1"/>
  <c r="P45" i="18" s="1"/>
  <c r="M52" i="20"/>
  <c r="M73" i="19"/>
  <c r="N22" i="18" s="1"/>
  <c r="H95" i="19"/>
  <c r="I95" i="19" s="1"/>
  <c r="R88" i="19" s="1"/>
  <c r="N45" i="18" s="1"/>
  <c r="H95" i="12"/>
  <c r="I95" i="12" s="1"/>
  <c r="R88" i="12" s="1"/>
  <c r="M45" i="18" s="1"/>
  <c r="U55" i="8"/>
  <c r="H95" i="7"/>
  <c r="I95" i="7" s="1"/>
  <c r="R88" i="7" s="1"/>
  <c r="H45" i="18" s="1"/>
  <c r="I92" i="7"/>
  <c r="I99" i="7" s="1"/>
  <c r="P31" i="40"/>
  <c r="P31" i="39"/>
  <c r="P31" i="38"/>
  <c r="P31" i="36"/>
  <c r="P31" i="37"/>
  <c r="P30" i="37"/>
  <c r="P30" i="40"/>
  <c r="P30" i="39"/>
  <c r="P30" i="38"/>
  <c r="P30" i="36"/>
  <c r="AG39" i="18"/>
  <c r="AG35" i="18"/>
  <c r="AG34" i="18"/>
  <c r="AG37" i="18"/>
  <c r="AG41" i="18"/>
  <c r="AG40" i="18"/>
  <c r="AG36" i="18"/>
  <c r="AG38" i="18"/>
  <c r="AG33" i="18"/>
  <c r="I92" i="5"/>
  <c r="I99" i="5" s="1"/>
  <c r="R72" i="40"/>
  <c r="R72" i="38"/>
  <c r="R92" i="38"/>
  <c r="R72" i="36"/>
  <c r="R92" i="36"/>
  <c r="R92" i="37"/>
  <c r="R72" i="37"/>
  <c r="R72" i="39"/>
  <c r="R92" i="39"/>
  <c r="H95" i="10"/>
  <c r="I95" i="10" s="1"/>
  <c r="R88" i="10" s="1"/>
  <c r="K45" i="18" s="1"/>
  <c r="H95" i="20"/>
  <c r="I95" i="20" s="1"/>
  <c r="R88" i="20" s="1"/>
  <c r="O45" i="18" s="1"/>
  <c r="H96" i="4"/>
  <c r="I96" i="4" s="1"/>
  <c r="L96" i="4" s="1"/>
  <c r="I93" i="20"/>
  <c r="I100" i="20" s="1"/>
  <c r="H96" i="6"/>
  <c r="I96" i="6" s="1"/>
  <c r="R89" i="6" s="1"/>
  <c r="G46" i="18" s="1"/>
  <c r="H96" i="15"/>
  <c r="I96" i="15" s="1"/>
  <c r="R89" i="15" s="1"/>
  <c r="W46" i="18" s="1"/>
  <c r="H96" i="7"/>
  <c r="I96" i="7" s="1"/>
  <c r="R89" i="7" s="1"/>
  <c r="H46" i="18" s="1"/>
  <c r="H96" i="23"/>
  <c r="I96" i="23" s="1"/>
  <c r="R89" i="23" s="1"/>
  <c r="X46" i="18" s="1"/>
  <c r="H96" i="8"/>
  <c r="I96" i="8" s="1"/>
  <c r="R89" i="8" s="1"/>
  <c r="I46" i="18" s="1"/>
  <c r="I92" i="16"/>
  <c r="I99" i="16" s="1"/>
  <c r="H100" i="16"/>
  <c r="H96" i="17"/>
  <c r="I96" i="17" s="1"/>
  <c r="R89" i="17" s="1"/>
  <c r="H94" i="10"/>
  <c r="I94" i="10" s="1"/>
  <c r="R87" i="10" s="1"/>
  <c r="H94" i="20"/>
  <c r="I94" i="20" s="1"/>
  <c r="R87" i="20" s="1"/>
  <c r="O44" i="18" s="1"/>
  <c r="H94" i="22"/>
  <c r="I94" i="22" s="1"/>
  <c r="R87" i="22" s="1"/>
  <c r="Q44" i="18" s="1"/>
  <c r="H96" i="12"/>
  <c r="I96" i="12" s="1"/>
  <c r="R89" i="12" s="1"/>
  <c r="M46" i="18" s="1"/>
  <c r="H94" i="6"/>
  <c r="I94" i="6" s="1"/>
  <c r="R87" i="6" s="1"/>
  <c r="G35" i="18"/>
  <c r="I39" i="18"/>
  <c r="K40" i="18"/>
  <c r="M33" i="18"/>
  <c r="R36" i="18"/>
  <c r="W39" i="18"/>
  <c r="W38" i="18"/>
  <c r="P40" i="18"/>
  <c r="M36" i="18"/>
  <c r="S39" i="18"/>
  <c r="T45" i="18"/>
  <c r="U45" i="18"/>
  <c r="V45" i="18"/>
  <c r="L90" i="4"/>
  <c r="R83" i="4"/>
  <c r="R80" i="4"/>
  <c r="L87" i="4"/>
  <c r="R76" i="5"/>
  <c r="L90" i="5"/>
  <c r="L86" i="4"/>
  <c r="R79" i="4"/>
  <c r="H39" i="18"/>
  <c r="H35" i="18"/>
  <c r="H37" i="18"/>
  <c r="I35" i="18"/>
  <c r="J39" i="18"/>
  <c r="K34" i="18"/>
  <c r="K36" i="18"/>
  <c r="L35" i="18"/>
  <c r="M39" i="18"/>
  <c r="M40" i="18"/>
  <c r="W35" i="18"/>
  <c r="W33" i="18"/>
  <c r="W34" i="18"/>
  <c r="AB36" i="18"/>
  <c r="N35" i="18"/>
  <c r="N34" i="18"/>
  <c r="P39" i="18"/>
  <c r="P37" i="18"/>
  <c r="Q36" i="18"/>
  <c r="Q39" i="18"/>
  <c r="L91" i="5"/>
  <c r="R84" i="5"/>
  <c r="J41" i="18"/>
  <c r="O36" i="18"/>
  <c r="AB37" i="18"/>
  <c r="S35" i="18"/>
  <c r="S41" i="18"/>
  <c r="S36" i="18"/>
  <c r="H96" i="20"/>
  <c r="I96" i="20" s="1"/>
  <c r="R89" i="20" s="1"/>
  <c r="I100" i="16"/>
  <c r="R86" i="16"/>
  <c r="X45" i="18"/>
  <c r="Y45" i="18"/>
  <c r="Z45" i="18"/>
  <c r="H96" i="13"/>
  <c r="I96" i="13" s="1"/>
  <c r="R89" i="13" s="1"/>
  <c r="H41" i="18"/>
  <c r="W40" i="18"/>
  <c r="AB33" i="18"/>
  <c r="Q33" i="18"/>
  <c r="I41" i="18"/>
  <c r="R82" i="4"/>
  <c r="L89" i="4"/>
  <c r="G36" i="18"/>
  <c r="I40" i="18"/>
  <c r="J37" i="18"/>
  <c r="K39" i="18"/>
  <c r="K33" i="18"/>
  <c r="L39" i="18"/>
  <c r="L41" i="18"/>
  <c r="L36" i="18"/>
  <c r="L33" i="18"/>
  <c r="R40" i="18"/>
  <c r="R35" i="18"/>
  <c r="W41" i="18"/>
  <c r="W37" i="18"/>
  <c r="AB41" i="18"/>
  <c r="N38" i="18"/>
  <c r="N40" i="18"/>
  <c r="N33" i="18"/>
  <c r="N37" i="18"/>
  <c r="O35" i="18"/>
  <c r="O34" i="18"/>
  <c r="O40" i="18"/>
  <c r="O39" i="18"/>
  <c r="O33" i="18"/>
  <c r="P35" i="18"/>
  <c r="P34" i="18"/>
  <c r="Q35" i="18"/>
  <c r="Q34" i="18"/>
  <c r="Q41" i="18"/>
  <c r="G41" i="18"/>
  <c r="L37" i="18"/>
  <c r="P41" i="18"/>
  <c r="S40" i="18"/>
  <c r="S38" i="18"/>
  <c r="S37" i="18"/>
  <c r="I100" i="17"/>
  <c r="R86" i="17"/>
  <c r="AA45" i="18"/>
  <c r="AC45" i="18"/>
  <c r="AD45" i="18"/>
  <c r="L86" i="5"/>
  <c r="R79" i="5"/>
  <c r="J36" i="18"/>
  <c r="I99" i="12"/>
  <c r="R85" i="12"/>
  <c r="R33" i="18"/>
  <c r="AB34" i="18"/>
  <c r="N39" i="18"/>
  <c r="P33" i="18"/>
  <c r="R84" i="4"/>
  <c r="L91" i="4"/>
  <c r="R34" i="18"/>
  <c r="S33" i="18"/>
  <c r="R76" i="4"/>
  <c r="L83" i="4"/>
  <c r="R75" i="5"/>
  <c r="F32" i="18" s="1"/>
  <c r="G33" i="18"/>
  <c r="I34" i="18"/>
  <c r="I37" i="18"/>
  <c r="R78" i="4"/>
  <c r="L85" i="4"/>
  <c r="I99" i="4"/>
  <c r="R85" i="4"/>
  <c r="L92" i="4"/>
  <c r="L82" i="4"/>
  <c r="R75" i="4"/>
  <c r="E32" i="18" s="1"/>
  <c r="L89" i="5"/>
  <c r="R78" i="5"/>
  <c r="L85" i="5"/>
  <c r="L87" i="5"/>
  <c r="R80" i="5"/>
  <c r="R77" i="5"/>
  <c r="L84" i="5"/>
  <c r="G39" i="18"/>
  <c r="G37" i="18"/>
  <c r="G34" i="18"/>
  <c r="H33" i="18"/>
  <c r="H40" i="18"/>
  <c r="H36" i="18"/>
  <c r="I36" i="18"/>
  <c r="I33" i="18"/>
  <c r="J33" i="18"/>
  <c r="J34" i="18"/>
  <c r="J35" i="18"/>
  <c r="J40" i="18"/>
  <c r="K35" i="18"/>
  <c r="K37" i="18"/>
  <c r="L40" i="18"/>
  <c r="L34" i="18"/>
  <c r="L38" i="18"/>
  <c r="M35" i="18"/>
  <c r="R39" i="18"/>
  <c r="R37" i="18"/>
  <c r="W36" i="18"/>
  <c r="AB39" i="18"/>
  <c r="AB40" i="18"/>
  <c r="AB35" i="18"/>
  <c r="N36" i="18"/>
  <c r="N41" i="18"/>
  <c r="O41" i="18"/>
  <c r="O37" i="18"/>
  <c r="P36" i="18"/>
  <c r="Q37" i="18"/>
  <c r="Q40" i="18"/>
  <c r="R77" i="4"/>
  <c r="L84" i="4"/>
  <c r="H34" i="18"/>
  <c r="M34" i="18"/>
  <c r="R41" i="18"/>
  <c r="S34" i="18"/>
  <c r="AE45" i="18"/>
  <c r="AF45" i="18"/>
  <c r="H96" i="10"/>
  <c r="I96" i="10" s="1"/>
  <c r="R89" i="10" s="1"/>
  <c r="I92" i="19"/>
  <c r="H94" i="8"/>
  <c r="H94" i="7"/>
  <c r="I94" i="7" s="1"/>
  <c r="R87" i="7" s="1"/>
  <c r="I93" i="15"/>
  <c r="H100" i="15"/>
  <c r="I93" i="8"/>
  <c r="H100" i="8"/>
  <c r="H96" i="11"/>
  <c r="I96" i="11" s="1"/>
  <c r="R89" i="11" s="1"/>
  <c r="H94" i="16"/>
  <c r="I94" i="16" s="1"/>
  <c r="R87" i="16" s="1"/>
  <c r="H95" i="5"/>
  <c r="I95" i="5" s="1"/>
  <c r="H96" i="25"/>
  <c r="I96" i="25" s="1"/>
  <c r="R89" i="25" s="1"/>
  <c r="H94" i="5"/>
  <c r="I94" i="5" s="1"/>
  <c r="H96" i="9"/>
  <c r="I96" i="9" s="1"/>
  <c r="R89" i="9" s="1"/>
  <c r="H96" i="5"/>
  <c r="I96" i="5" s="1"/>
  <c r="H94" i="24"/>
  <c r="I94" i="24" s="1"/>
  <c r="R87" i="24" s="1"/>
  <c r="H94" i="12"/>
  <c r="I94" i="12" s="1"/>
  <c r="R87" i="12" s="1"/>
  <c r="H96" i="22"/>
  <c r="I96" i="22" s="1"/>
  <c r="R89" i="22" s="1"/>
  <c r="H94" i="13"/>
  <c r="I94" i="13" s="1"/>
  <c r="R87" i="13" s="1"/>
  <c r="R63" i="19"/>
  <c r="R63" i="16"/>
  <c r="H94" i="34"/>
  <c r="I92" i="9"/>
  <c r="H96" i="21"/>
  <c r="I96" i="21" s="1"/>
  <c r="R89" i="21" s="1"/>
  <c r="H94" i="32"/>
  <c r="I94" i="32" s="1"/>
  <c r="R87" i="32" s="1"/>
  <c r="H94" i="25"/>
  <c r="H96" i="34"/>
  <c r="I96" i="34" s="1"/>
  <c r="R89" i="34" s="1"/>
  <c r="I93" i="11"/>
  <c r="H100" i="11"/>
  <c r="H94" i="28"/>
  <c r="I94" i="28" s="1"/>
  <c r="R87" i="28" s="1"/>
  <c r="H99" i="21"/>
  <c r="I92" i="21"/>
  <c r="I93" i="12"/>
  <c r="H100" i="12"/>
  <c r="R63" i="8"/>
  <c r="H96" i="16"/>
  <c r="I96" i="16" s="1"/>
  <c r="R89" i="16" s="1"/>
  <c r="I92" i="8"/>
  <c r="H94" i="4"/>
  <c r="I94" i="4" s="1"/>
  <c r="H94" i="19"/>
  <c r="I94" i="19" s="1"/>
  <c r="R87" i="19" s="1"/>
  <c r="H94" i="26"/>
  <c r="I94" i="26" s="1"/>
  <c r="R87" i="26" s="1"/>
  <c r="H94" i="9"/>
  <c r="I94" i="9" s="1"/>
  <c r="R87" i="9" s="1"/>
  <c r="H94" i="31"/>
  <c r="I94" i="31" s="1"/>
  <c r="R87" i="31" s="1"/>
  <c r="H96" i="24"/>
  <c r="I96" i="24" s="1"/>
  <c r="R89" i="24" s="1"/>
  <c r="H96" i="30"/>
  <c r="I96" i="30" s="1"/>
  <c r="R89" i="30" s="1"/>
  <c r="H96" i="33"/>
  <c r="I96" i="33" s="1"/>
  <c r="R89" i="33" s="1"/>
  <c r="H94" i="21"/>
  <c r="I94" i="21" s="1"/>
  <c r="R87" i="21" s="1"/>
  <c r="H94" i="17"/>
  <c r="I94" i="17" s="1"/>
  <c r="R87" i="17" s="1"/>
  <c r="H94" i="15"/>
  <c r="I94" i="15" s="1"/>
  <c r="R87" i="15" s="1"/>
  <c r="I93" i="6"/>
  <c r="H100" i="6"/>
  <c r="R63" i="9"/>
  <c r="I93" i="9"/>
  <c r="H100" i="9"/>
  <c r="I93" i="10"/>
  <c r="H100" i="10"/>
  <c r="H100" i="13"/>
  <c r="I93" i="13"/>
  <c r="H99" i="17"/>
  <c r="R63" i="17"/>
  <c r="I92" i="17"/>
  <c r="H100" i="24"/>
  <c r="I93" i="24"/>
  <c r="H100" i="4"/>
  <c r="I93" i="4"/>
  <c r="I93" i="5"/>
  <c r="R63" i="5"/>
  <c r="H100" i="5"/>
  <c r="H99" i="6"/>
  <c r="I92" i="6"/>
  <c r="R63" i="6"/>
  <c r="I93" i="22"/>
  <c r="H100" i="22"/>
  <c r="H99" i="20"/>
  <c r="I92" i="20"/>
  <c r="R63" i="20"/>
  <c r="R63" i="7"/>
  <c r="I93" i="7"/>
  <c r="H100" i="7"/>
  <c r="I93" i="21"/>
  <c r="H100" i="21"/>
  <c r="R63" i="21"/>
  <c r="H99" i="22"/>
  <c r="I92" i="22"/>
  <c r="R63" i="22"/>
  <c r="AR28" i="18"/>
  <c r="P31" i="33"/>
  <c r="P31" i="30"/>
  <c r="P31" i="15"/>
  <c r="P31" i="24"/>
  <c r="P31" i="20"/>
  <c r="P31" i="10"/>
  <c r="P31" i="32"/>
  <c r="P31" i="29"/>
  <c r="P31" i="27"/>
  <c r="P31" i="13"/>
  <c r="P31" i="19"/>
  <c r="P31" i="17"/>
  <c r="P31" i="31"/>
  <c r="P31" i="28"/>
  <c r="P31" i="26"/>
  <c r="P31" i="22"/>
  <c r="P31" i="12"/>
  <c r="P31" i="23"/>
  <c r="P31" i="21"/>
  <c r="P31" i="7"/>
  <c r="P31" i="4"/>
  <c r="P31" i="6"/>
  <c r="P31" i="1"/>
  <c r="P31" i="16"/>
  <c r="P31" i="25"/>
  <c r="P31" i="9"/>
  <c r="P31" i="34"/>
  <c r="P31" i="11"/>
  <c r="P31" i="8"/>
  <c r="P31" i="5"/>
  <c r="R63" i="12"/>
  <c r="I92" i="15"/>
  <c r="I93" i="25"/>
  <c r="H100" i="25"/>
  <c r="H99" i="12"/>
  <c r="H94" i="27"/>
  <c r="H100" i="23"/>
  <c r="I93" i="23"/>
  <c r="I92" i="24"/>
  <c r="H94" i="29"/>
  <c r="H96" i="19"/>
  <c r="I96" i="19" s="1"/>
  <c r="R89" i="19" s="1"/>
  <c r="H99" i="30"/>
  <c r="I92" i="30"/>
  <c r="R85" i="30" s="1"/>
  <c r="R63" i="30"/>
  <c r="I93" i="34"/>
  <c r="H100" i="34"/>
  <c r="H99" i="33"/>
  <c r="R63" i="33"/>
  <c r="I92" i="33"/>
  <c r="R85" i="33" s="1"/>
  <c r="R63" i="15"/>
  <c r="H94" i="23"/>
  <c r="H96" i="27"/>
  <c r="I96" i="27" s="1"/>
  <c r="R89" i="27" s="1"/>
  <c r="I93" i="27"/>
  <c r="H100" i="27"/>
  <c r="I92" i="26"/>
  <c r="R85" i="26" s="1"/>
  <c r="U42" i="18" s="1"/>
  <c r="H99" i="26"/>
  <c r="R63" i="26"/>
  <c r="H99" i="34"/>
  <c r="R63" i="34"/>
  <c r="I92" i="34"/>
  <c r="R85" i="34" s="1"/>
  <c r="H95" i="9"/>
  <c r="I95" i="9" s="1"/>
  <c r="R88" i="9" s="1"/>
  <c r="R63" i="10"/>
  <c r="R63" i="13"/>
  <c r="R63" i="24"/>
  <c r="H96" i="29"/>
  <c r="I96" i="29" s="1"/>
  <c r="R89" i="29" s="1"/>
  <c r="I93" i="29"/>
  <c r="H100" i="29"/>
  <c r="I92" i="28"/>
  <c r="R85" i="28" s="1"/>
  <c r="H99" i="28"/>
  <c r="R63" i="28"/>
  <c r="H95" i="6"/>
  <c r="I95" i="6" s="1"/>
  <c r="R88" i="6" s="1"/>
  <c r="H100" i="17"/>
  <c r="H96" i="32"/>
  <c r="I96" i="32" s="1"/>
  <c r="R89" i="32" s="1"/>
  <c r="I93" i="30"/>
  <c r="H100" i="30"/>
  <c r="I93" i="32"/>
  <c r="H100" i="32"/>
  <c r="H99" i="27"/>
  <c r="I92" i="27"/>
  <c r="R85" i="27" s="1"/>
  <c r="R63" i="27"/>
  <c r="H99" i="31"/>
  <c r="R63" i="31"/>
  <c r="I92" i="31"/>
  <c r="R85" i="31" s="1"/>
  <c r="I93" i="33"/>
  <c r="H100" i="33"/>
  <c r="I92" i="29"/>
  <c r="R85" i="29" s="1"/>
  <c r="H99" i="29"/>
  <c r="R63" i="29"/>
  <c r="H96" i="26"/>
  <c r="I96" i="26" s="1"/>
  <c r="R89" i="26" s="1"/>
  <c r="I93" i="26"/>
  <c r="H100" i="26"/>
  <c r="R63" i="32"/>
  <c r="I92" i="32"/>
  <c r="R85" i="32" s="1"/>
  <c r="H99" i="32"/>
  <c r="I92" i="25"/>
  <c r="R85" i="25" s="1"/>
  <c r="H99" i="25"/>
  <c r="R63" i="25"/>
  <c r="H94" i="30"/>
  <c r="H96" i="28"/>
  <c r="I96" i="28" s="1"/>
  <c r="R89" i="28" s="1"/>
  <c r="I93" i="28"/>
  <c r="H100" i="28"/>
  <c r="H99" i="23"/>
  <c r="R63" i="23"/>
  <c r="I92" i="23"/>
  <c r="R85" i="23" s="1"/>
  <c r="H94" i="33"/>
  <c r="H96" i="31"/>
  <c r="I96" i="31" s="1"/>
  <c r="R89" i="31" s="1"/>
  <c r="H100" i="31"/>
  <c r="I93" i="31"/>
  <c r="H100" i="19"/>
  <c r="I93" i="19"/>
  <c r="I92" i="10"/>
  <c r="U55" i="17"/>
  <c r="M69" i="6"/>
  <c r="G18" i="18" s="1"/>
  <c r="U55" i="24"/>
  <c r="X55" i="24"/>
  <c r="R61" i="24"/>
  <c r="I52" i="24"/>
  <c r="M70" i="24"/>
  <c r="I82" i="24"/>
  <c r="R75" i="24" s="1"/>
  <c r="S32" i="18" s="1"/>
  <c r="R60" i="24"/>
  <c r="E52" i="24"/>
  <c r="M72" i="24"/>
  <c r="M52" i="24"/>
  <c r="R61" i="22"/>
  <c r="I88" i="22"/>
  <c r="R81" i="22" s="1"/>
  <c r="U55" i="22"/>
  <c r="X55" i="22"/>
  <c r="I82" i="22"/>
  <c r="R75" i="22" s="1"/>
  <c r="Q32" i="18" s="1"/>
  <c r="R60" i="22"/>
  <c r="M72" i="22"/>
  <c r="Q21" i="18" s="1"/>
  <c r="M52" i="22"/>
  <c r="M70" i="22"/>
  <c r="Q19" i="18" s="1"/>
  <c r="M69" i="22"/>
  <c r="Q18" i="18" s="1"/>
  <c r="E52" i="22"/>
  <c r="M70" i="21"/>
  <c r="P19" i="18" s="1"/>
  <c r="M73" i="21"/>
  <c r="P22" i="18" s="1"/>
  <c r="X55" i="21"/>
  <c r="U55" i="21"/>
  <c r="M69" i="21"/>
  <c r="R60" i="21"/>
  <c r="E52" i="21"/>
  <c r="R61" i="21"/>
  <c r="I88" i="21"/>
  <c r="R81" i="21" s="1"/>
  <c r="U55" i="20"/>
  <c r="I52" i="20"/>
  <c r="X55" i="20"/>
  <c r="M74" i="20"/>
  <c r="O23" i="18" s="1"/>
  <c r="R61" i="20"/>
  <c r="I88" i="20"/>
  <c r="R81" i="20" s="1"/>
  <c r="R60" i="20"/>
  <c r="M69" i="20"/>
  <c r="O18" i="18" s="1"/>
  <c r="E52" i="20"/>
  <c r="U55" i="19"/>
  <c r="X55" i="19"/>
  <c r="E52" i="19"/>
  <c r="M69" i="19"/>
  <c r="N18" i="18" s="1"/>
  <c r="I82" i="19"/>
  <c r="R75" i="19" s="1"/>
  <c r="N32" i="18" s="1"/>
  <c r="R60" i="19"/>
  <c r="M72" i="19"/>
  <c r="N21" i="18" s="1"/>
  <c r="M52" i="19"/>
  <c r="R61" i="19"/>
  <c r="M70" i="19"/>
  <c r="N19" i="18" s="1"/>
  <c r="X55" i="17"/>
  <c r="AG24" i="18"/>
  <c r="AG23" i="18"/>
  <c r="I82" i="17"/>
  <c r="R75" i="17" s="1"/>
  <c r="R60" i="17"/>
  <c r="R61" i="17"/>
  <c r="M69" i="17"/>
  <c r="E52" i="17"/>
  <c r="M70" i="17"/>
  <c r="AG22" i="18"/>
  <c r="M52" i="17"/>
  <c r="AG21" i="18"/>
  <c r="X55" i="16"/>
  <c r="M52" i="16"/>
  <c r="R61" i="16"/>
  <c r="I88" i="16"/>
  <c r="R81" i="16" s="1"/>
  <c r="I82" i="16"/>
  <c r="R75" i="16" s="1"/>
  <c r="AB32" i="18" s="1"/>
  <c r="R60" i="16"/>
  <c r="M69" i="16"/>
  <c r="E52" i="16"/>
  <c r="AB21" i="18"/>
  <c r="M73" i="16"/>
  <c r="I52" i="16"/>
  <c r="AB23" i="18"/>
  <c r="X55" i="15"/>
  <c r="U55" i="15"/>
  <c r="I52" i="15"/>
  <c r="M73" i="15"/>
  <c r="W22" i="18" s="1"/>
  <c r="H95" i="15"/>
  <c r="I82" i="15"/>
  <c r="R75" i="15" s="1"/>
  <c r="W32" i="18" s="1"/>
  <c r="R60" i="15"/>
  <c r="W24" i="18"/>
  <c r="M72" i="15"/>
  <c r="M52" i="15"/>
  <c r="W23" i="18"/>
  <c r="R61" i="15"/>
  <c r="M69" i="15"/>
  <c r="E52" i="15"/>
  <c r="U55" i="13"/>
  <c r="X55" i="13"/>
  <c r="R60" i="13"/>
  <c r="H99" i="13"/>
  <c r="I92" i="13"/>
  <c r="M69" i="13"/>
  <c r="R18" i="18" s="1"/>
  <c r="E52" i="13"/>
  <c r="R61" i="13"/>
  <c r="I88" i="13"/>
  <c r="R81" i="13" s="1"/>
  <c r="I52" i="13"/>
  <c r="M70" i="13"/>
  <c r="R19" i="18" s="1"/>
  <c r="M52" i="13"/>
  <c r="U55" i="12"/>
  <c r="R60" i="12"/>
  <c r="X55" i="12"/>
  <c r="I52" i="12"/>
  <c r="M70" i="12"/>
  <c r="M19" i="18" s="1"/>
  <c r="M69" i="12"/>
  <c r="M18" i="18" s="1"/>
  <c r="E52" i="12"/>
  <c r="R61" i="12"/>
  <c r="I88" i="12"/>
  <c r="R81" i="12" s="1"/>
  <c r="M52" i="12"/>
  <c r="U55" i="11"/>
  <c r="R60" i="11"/>
  <c r="M50" i="11"/>
  <c r="M52" i="11" s="1"/>
  <c r="X37" i="11"/>
  <c r="X55" i="11" s="1"/>
  <c r="E72" i="11"/>
  <c r="M74" i="11" s="1"/>
  <c r="L23" i="18" s="1"/>
  <c r="H94" i="11"/>
  <c r="I94" i="11" s="1"/>
  <c r="R87" i="11" s="1"/>
  <c r="R63" i="11"/>
  <c r="I92" i="11"/>
  <c r="I69" i="11"/>
  <c r="M75" i="11" s="1"/>
  <c r="L24" i="18" s="1"/>
  <c r="M69" i="11"/>
  <c r="L18" i="18" s="1"/>
  <c r="E52" i="11"/>
  <c r="R61" i="11"/>
  <c r="I52" i="11"/>
  <c r="M70" i="11"/>
  <c r="L19" i="18" s="1"/>
  <c r="M70" i="10"/>
  <c r="K19" i="18" s="1"/>
  <c r="U55" i="10"/>
  <c r="I52" i="10"/>
  <c r="M52" i="10"/>
  <c r="M69" i="10"/>
  <c r="K18" i="18" s="1"/>
  <c r="E52" i="10"/>
  <c r="R61" i="10"/>
  <c r="I88" i="10"/>
  <c r="R81" i="10" s="1"/>
  <c r="R60" i="10"/>
  <c r="X55" i="9"/>
  <c r="M73" i="9"/>
  <c r="J22" i="18" s="1"/>
  <c r="R60" i="9"/>
  <c r="I52" i="9"/>
  <c r="M70" i="9"/>
  <c r="J19" i="18" s="1"/>
  <c r="M52" i="9"/>
  <c r="E52" i="9"/>
  <c r="M69" i="9"/>
  <c r="J18" i="18" s="1"/>
  <c r="R61" i="9"/>
  <c r="I88" i="9"/>
  <c r="R81" i="9" s="1"/>
  <c r="I52" i="8"/>
  <c r="X55" i="8"/>
  <c r="M52" i="8"/>
  <c r="M70" i="5"/>
  <c r="F19" i="18" s="1"/>
  <c r="M70" i="8"/>
  <c r="I19" i="18" s="1"/>
  <c r="R60" i="8"/>
  <c r="M69" i="8"/>
  <c r="I18" i="18" s="1"/>
  <c r="E52" i="8"/>
  <c r="R61" i="8"/>
  <c r="I88" i="8"/>
  <c r="R81" i="8" s="1"/>
  <c r="X55" i="7"/>
  <c r="U55" i="7"/>
  <c r="M52" i="7"/>
  <c r="M73" i="7"/>
  <c r="H22" i="18" s="1"/>
  <c r="R60" i="7"/>
  <c r="I82" i="7"/>
  <c r="R75" i="7" s="1"/>
  <c r="H32" i="18" s="1"/>
  <c r="I52" i="7"/>
  <c r="M70" i="7"/>
  <c r="H19" i="18" s="1"/>
  <c r="R61" i="7"/>
  <c r="I88" i="7"/>
  <c r="R81" i="7" s="1"/>
  <c r="M69" i="7"/>
  <c r="H18" i="18" s="1"/>
  <c r="E52" i="7"/>
  <c r="I52" i="4"/>
  <c r="E52" i="6"/>
  <c r="R60" i="6"/>
  <c r="M74" i="6"/>
  <c r="G23" i="18" s="1"/>
  <c r="M52" i="6"/>
  <c r="I52" i="6"/>
  <c r="M70" i="6"/>
  <c r="G19" i="18" s="1"/>
  <c r="R61" i="6"/>
  <c r="I88" i="6"/>
  <c r="R81" i="6" s="1"/>
  <c r="U55" i="5"/>
  <c r="X55" i="5"/>
  <c r="H95" i="4"/>
  <c r="I95" i="4" s="1"/>
  <c r="X55" i="4"/>
  <c r="R60" i="5"/>
  <c r="I52" i="5"/>
  <c r="M52" i="5"/>
  <c r="M69" i="5"/>
  <c r="F18" i="18" s="1"/>
  <c r="E52" i="5"/>
  <c r="R61" i="5"/>
  <c r="I88" i="5"/>
  <c r="U55" i="4"/>
  <c r="M73" i="4"/>
  <c r="E22" i="18" s="1"/>
  <c r="R63" i="4"/>
  <c r="H99" i="4"/>
  <c r="M70" i="4"/>
  <c r="E19" i="18" s="1"/>
  <c r="M52" i="4"/>
  <c r="R61" i="4"/>
  <c r="I88" i="4"/>
  <c r="R60" i="4"/>
  <c r="M69" i="4"/>
  <c r="E18" i="18" s="1"/>
  <c r="E52" i="4"/>
  <c r="R85" i="7" l="1"/>
  <c r="L92" i="5"/>
  <c r="AL29" i="18"/>
  <c r="AK29" i="18"/>
  <c r="AH29" i="18"/>
  <c r="M73" i="11"/>
  <c r="L22" i="18" s="1"/>
  <c r="AI29" i="18"/>
  <c r="AJ29" i="18"/>
  <c r="AJ48" i="18" s="1"/>
  <c r="S21" i="18"/>
  <c r="S19" i="18"/>
  <c r="S18" i="18"/>
  <c r="H95" i="11"/>
  <c r="I95" i="11" s="1"/>
  <c r="R88" i="11" s="1"/>
  <c r="L45" i="18" s="1"/>
  <c r="R85" i="5"/>
  <c r="F42" i="18" s="1"/>
  <c r="AG44" i="18"/>
  <c r="AG46" i="18"/>
  <c r="AG32" i="18"/>
  <c r="AG43" i="18"/>
  <c r="S28" i="38"/>
  <c r="S28" i="39"/>
  <c r="S28" i="40"/>
  <c r="S28" i="36"/>
  <c r="S28" i="37"/>
  <c r="R86" i="20"/>
  <c r="O43" i="18" s="1"/>
  <c r="R89" i="4"/>
  <c r="E46" i="18" s="1"/>
  <c r="R62" i="8"/>
  <c r="R85" i="16"/>
  <c r="AB42" i="18" s="1"/>
  <c r="H97" i="23"/>
  <c r="S63" i="23" s="1"/>
  <c r="H97" i="7"/>
  <c r="S63" i="7" s="1"/>
  <c r="R62" i="10"/>
  <c r="H97" i="10"/>
  <c r="S61" i="10" s="1"/>
  <c r="H97" i="8"/>
  <c r="H97" i="12"/>
  <c r="S63" i="12" s="1"/>
  <c r="R62" i="24"/>
  <c r="H97" i="34"/>
  <c r="S61" i="34" s="1"/>
  <c r="R62" i="12"/>
  <c r="I94" i="8"/>
  <c r="R87" i="8" s="1"/>
  <c r="I44" i="18" s="1"/>
  <c r="R62" i="13"/>
  <c r="H97" i="5"/>
  <c r="S61" i="5" s="1"/>
  <c r="R62" i="5"/>
  <c r="H97" i="13"/>
  <c r="S61" i="13" s="1"/>
  <c r="R62" i="7"/>
  <c r="H97" i="25"/>
  <c r="S60" i="25" s="1"/>
  <c r="M44" i="18"/>
  <c r="U46" i="18"/>
  <c r="G45" i="18"/>
  <c r="AF42" i="18"/>
  <c r="AD44" i="18"/>
  <c r="I100" i="25"/>
  <c r="R86" i="25"/>
  <c r="I99" i="20"/>
  <c r="R85" i="20"/>
  <c r="L94" i="4"/>
  <c r="R87" i="4"/>
  <c r="Q46" i="18"/>
  <c r="F37" i="18"/>
  <c r="E33" i="18"/>
  <c r="E39" i="18"/>
  <c r="H97" i="6"/>
  <c r="S61" i="6" s="1"/>
  <c r="AB38" i="18"/>
  <c r="I100" i="32"/>
  <c r="R86" i="32"/>
  <c r="I100" i="29"/>
  <c r="R86" i="29"/>
  <c r="I99" i="15"/>
  <c r="R85" i="15"/>
  <c r="I100" i="7"/>
  <c r="R86" i="7"/>
  <c r="I99" i="6"/>
  <c r="R85" i="6"/>
  <c r="I100" i="5"/>
  <c r="R86" i="5"/>
  <c r="L93" i="5"/>
  <c r="I100" i="13"/>
  <c r="R86" i="13"/>
  <c r="I100" i="6"/>
  <c r="R86" i="6"/>
  <c r="AE46" i="18"/>
  <c r="J44" i="18"/>
  <c r="I99" i="8"/>
  <c r="R85" i="8"/>
  <c r="I100" i="12"/>
  <c r="R86" i="12"/>
  <c r="L46" i="18"/>
  <c r="I100" i="15"/>
  <c r="R86" i="15"/>
  <c r="K46" i="18"/>
  <c r="E34" i="18"/>
  <c r="F39" i="18"/>
  <c r="E42" i="18"/>
  <c r="R46" i="18"/>
  <c r="F41" i="18"/>
  <c r="E36" i="18"/>
  <c r="F40" i="18"/>
  <c r="E37" i="18"/>
  <c r="R88" i="4"/>
  <c r="L95" i="4"/>
  <c r="L44" i="18"/>
  <c r="AD46" i="18"/>
  <c r="N46" i="18"/>
  <c r="P44" i="18"/>
  <c r="Y44" i="18"/>
  <c r="AB44" i="18"/>
  <c r="O46" i="18"/>
  <c r="R81" i="4"/>
  <c r="L88" i="4"/>
  <c r="I99" i="11"/>
  <c r="R85" i="11"/>
  <c r="H97" i="20"/>
  <c r="S63" i="20" s="1"/>
  <c r="X42" i="18"/>
  <c r="I100" i="33"/>
  <c r="R86" i="33"/>
  <c r="R62" i="34"/>
  <c r="R81" i="5"/>
  <c r="L88" i="5"/>
  <c r="I38" i="18"/>
  <c r="K38" i="18"/>
  <c r="R38" i="18"/>
  <c r="H97" i="22"/>
  <c r="S60" i="22" s="1"/>
  <c r="Q38" i="18"/>
  <c r="I100" i="19"/>
  <c r="R86" i="19"/>
  <c r="AC46" i="18"/>
  <c r="Y46" i="18"/>
  <c r="T42" i="18"/>
  <c r="AC42" i="18"/>
  <c r="V42" i="18"/>
  <c r="I94" i="34"/>
  <c r="R87" i="34" s="1"/>
  <c r="Z46" i="18"/>
  <c r="J45" i="18"/>
  <c r="AA42" i="18"/>
  <c r="I99" i="24"/>
  <c r="R85" i="24"/>
  <c r="I100" i="4"/>
  <c r="R86" i="4"/>
  <c r="L93" i="4"/>
  <c r="I99" i="17"/>
  <c r="R85" i="17"/>
  <c r="I100" i="9"/>
  <c r="R86" i="9"/>
  <c r="W44" i="18"/>
  <c r="AA46" i="18"/>
  <c r="U44" i="18"/>
  <c r="AB46" i="18"/>
  <c r="I99" i="21"/>
  <c r="R85" i="21"/>
  <c r="I100" i="11"/>
  <c r="R86" i="11"/>
  <c r="P46" i="18"/>
  <c r="S44" i="18"/>
  <c r="T46" i="18"/>
  <c r="H44" i="18"/>
  <c r="E41" i="18"/>
  <c r="AB43" i="18"/>
  <c r="E40" i="18"/>
  <c r="L94" i="5"/>
  <c r="R87" i="5"/>
  <c r="M38" i="18"/>
  <c r="I99" i="13"/>
  <c r="R85" i="13"/>
  <c r="I100" i="31"/>
  <c r="R86" i="31"/>
  <c r="AD42" i="18"/>
  <c r="V46" i="18"/>
  <c r="I100" i="24"/>
  <c r="R86" i="24"/>
  <c r="I100" i="10"/>
  <c r="R86" i="10"/>
  <c r="AC44" i="18"/>
  <c r="J46" i="18"/>
  <c r="I99" i="19"/>
  <c r="R85" i="19"/>
  <c r="E35" i="18"/>
  <c r="G44" i="18"/>
  <c r="K44" i="18"/>
  <c r="I99" i="10"/>
  <c r="R85" i="10"/>
  <c r="I100" i="28"/>
  <c r="R86" i="28"/>
  <c r="G38" i="18"/>
  <c r="H38" i="18"/>
  <c r="J38" i="18"/>
  <c r="O38" i="18"/>
  <c r="R62" i="20"/>
  <c r="P38" i="18"/>
  <c r="I100" i="26"/>
  <c r="R86" i="26"/>
  <c r="Z42" i="18"/>
  <c r="I100" i="30"/>
  <c r="R86" i="30"/>
  <c r="Y42" i="18"/>
  <c r="I100" i="27"/>
  <c r="R86" i="27"/>
  <c r="AE42" i="18"/>
  <c r="I100" i="34"/>
  <c r="R86" i="34"/>
  <c r="I100" i="23"/>
  <c r="R86" i="23"/>
  <c r="I99" i="22"/>
  <c r="R85" i="22"/>
  <c r="I100" i="21"/>
  <c r="R86" i="21"/>
  <c r="I100" i="22"/>
  <c r="R86" i="22"/>
  <c r="S46" i="18"/>
  <c r="N44" i="18"/>
  <c r="AF46" i="18"/>
  <c r="I99" i="9"/>
  <c r="R85" i="9"/>
  <c r="R44" i="18"/>
  <c r="R89" i="5"/>
  <c r="L96" i="5"/>
  <c r="L95" i="5"/>
  <c r="R88" i="5"/>
  <c r="I100" i="8"/>
  <c r="R86" i="8"/>
  <c r="F34" i="18"/>
  <c r="F35" i="18"/>
  <c r="M42" i="18"/>
  <c r="F36" i="18"/>
  <c r="H42" i="18"/>
  <c r="F33" i="18"/>
  <c r="R62" i="22"/>
  <c r="H97" i="24"/>
  <c r="S61" i="24" s="1"/>
  <c r="R62" i="16"/>
  <c r="I97" i="7"/>
  <c r="R90" i="7" s="1"/>
  <c r="S85" i="7" s="1"/>
  <c r="R62" i="21"/>
  <c r="H97" i="21"/>
  <c r="H97" i="16"/>
  <c r="S63" i="16" s="1"/>
  <c r="R62" i="25"/>
  <c r="I94" i="25"/>
  <c r="R87" i="25" s="1"/>
  <c r="I97" i="24"/>
  <c r="R90" i="24" s="1"/>
  <c r="S75" i="24" s="1"/>
  <c r="I97" i="20"/>
  <c r="R62" i="26"/>
  <c r="I97" i="10"/>
  <c r="H97" i="29"/>
  <c r="S60" i="29" s="1"/>
  <c r="I97" i="21"/>
  <c r="R90" i="21" s="1"/>
  <c r="R62" i="19"/>
  <c r="H97" i="30"/>
  <c r="R58" i="30" s="1"/>
  <c r="H97" i="9"/>
  <c r="S63" i="9" s="1"/>
  <c r="H97" i="19"/>
  <c r="S61" i="19" s="1"/>
  <c r="H97" i="32"/>
  <c r="R58" i="32" s="1"/>
  <c r="I97" i="5"/>
  <c r="I97" i="9"/>
  <c r="H97" i="17"/>
  <c r="I97" i="19"/>
  <c r="R62" i="17"/>
  <c r="R62" i="9"/>
  <c r="R62" i="6"/>
  <c r="H97" i="26"/>
  <c r="S61" i="26" s="1"/>
  <c r="I99" i="27"/>
  <c r="I97" i="17"/>
  <c r="R90" i="17" s="1"/>
  <c r="S87" i="17" s="1"/>
  <c r="R62" i="28"/>
  <c r="I99" i="33"/>
  <c r="I94" i="33"/>
  <c r="R62" i="33"/>
  <c r="I99" i="28"/>
  <c r="I97" i="28"/>
  <c r="R90" i="28" s="1"/>
  <c r="I94" i="29"/>
  <c r="R62" i="29"/>
  <c r="I99" i="29"/>
  <c r="I99" i="23"/>
  <c r="I99" i="25"/>
  <c r="I99" i="26"/>
  <c r="I97" i="26"/>
  <c r="R90" i="26" s="1"/>
  <c r="S87" i="26" s="1"/>
  <c r="H97" i="31"/>
  <c r="I99" i="32"/>
  <c r="I97" i="32"/>
  <c r="R90" i="32" s="1"/>
  <c r="S87" i="32" s="1"/>
  <c r="I99" i="31"/>
  <c r="I97" i="31"/>
  <c r="R90" i="31" s="1"/>
  <c r="R62" i="32"/>
  <c r="R62" i="31"/>
  <c r="I94" i="23"/>
  <c r="R62" i="23"/>
  <c r="I94" i="27"/>
  <c r="R62" i="27"/>
  <c r="I94" i="30"/>
  <c r="R62" i="30"/>
  <c r="H97" i="27"/>
  <c r="S63" i="27" s="1"/>
  <c r="H97" i="28"/>
  <c r="S63" i="28" s="1"/>
  <c r="I99" i="34"/>
  <c r="H97" i="33"/>
  <c r="S63" i="33" s="1"/>
  <c r="I99" i="30"/>
  <c r="AR29" i="18"/>
  <c r="S28" i="33"/>
  <c r="S28" i="30"/>
  <c r="S28" i="15"/>
  <c r="S28" i="24"/>
  <c r="S28" i="20"/>
  <c r="S28" i="10"/>
  <c r="S28" i="32"/>
  <c r="S28" i="29"/>
  <c r="S28" i="27"/>
  <c r="S28" i="13"/>
  <c r="S28" i="19"/>
  <c r="S28" i="17"/>
  <c r="S28" i="31"/>
  <c r="S28" i="28"/>
  <c r="S28" i="26"/>
  <c r="S28" i="22"/>
  <c r="S28" i="12"/>
  <c r="S28" i="21"/>
  <c r="S28" i="8"/>
  <c r="S28" i="5"/>
  <c r="S28" i="16"/>
  <c r="S28" i="7"/>
  <c r="S28" i="4"/>
  <c r="S28" i="25"/>
  <c r="S28" i="34"/>
  <c r="S28" i="23"/>
  <c r="S28" i="11"/>
  <c r="S28" i="9"/>
  <c r="S28" i="6"/>
  <c r="S28" i="1"/>
  <c r="I97" i="16"/>
  <c r="I97" i="13"/>
  <c r="I97" i="12"/>
  <c r="I97" i="6"/>
  <c r="M76" i="21"/>
  <c r="P25" i="18" s="1"/>
  <c r="P18" i="18"/>
  <c r="M76" i="24"/>
  <c r="N70" i="24" s="1"/>
  <c r="I97" i="22"/>
  <c r="M76" i="22"/>
  <c r="M76" i="20"/>
  <c r="M76" i="19"/>
  <c r="AG18" i="18"/>
  <c r="M76" i="17"/>
  <c r="AG19" i="18"/>
  <c r="AB18" i="18"/>
  <c r="M76" i="16"/>
  <c r="AB22" i="18"/>
  <c r="I95" i="15"/>
  <c r="R62" i="15"/>
  <c r="H97" i="15"/>
  <c r="S63" i="15" s="1"/>
  <c r="W21" i="18"/>
  <c r="M76" i="15"/>
  <c r="E76" i="15" s="1"/>
  <c r="W18" i="18"/>
  <c r="M76" i="13"/>
  <c r="M76" i="12"/>
  <c r="R62" i="11"/>
  <c r="M76" i="11"/>
  <c r="M76" i="10"/>
  <c r="M76" i="9"/>
  <c r="M76" i="8"/>
  <c r="M76" i="7"/>
  <c r="M76" i="6"/>
  <c r="R62" i="4"/>
  <c r="H97" i="4"/>
  <c r="S61" i="4" s="1"/>
  <c r="I97" i="4"/>
  <c r="M76" i="5"/>
  <c r="M76" i="4"/>
  <c r="N69" i="21" l="1"/>
  <c r="N73" i="21"/>
  <c r="N71" i="21"/>
  <c r="E75" i="21"/>
  <c r="N75" i="21"/>
  <c r="M77" i="21"/>
  <c r="P26" i="18" s="1"/>
  <c r="N74" i="21"/>
  <c r="E76" i="21"/>
  <c r="I97" i="11"/>
  <c r="R90" i="11" s="1"/>
  <c r="S89" i="11" s="1"/>
  <c r="H97" i="11"/>
  <c r="S60" i="11" s="1"/>
  <c r="N72" i="21"/>
  <c r="N70" i="21"/>
  <c r="E77" i="21"/>
  <c r="E76" i="24"/>
  <c r="N72" i="24"/>
  <c r="E75" i="24"/>
  <c r="S25" i="18"/>
  <c r="H98" i="21"/>
  <c r="AH47" i="18"/>
  <c r="AH31" i="18" s="1"/>
  <c r="AG42" i="18"/>
  <c r="AG47" i="18" s="1"/>
  <c r="AG31" i="18" s="1"/>
  <c r="S29" i="39"/>
  <c r="S29" i="40"/>
  <c r="S29" i="38"/>
  <c r="S29" i="37"/>
  <c r="S29" i="36"/>
  <c r="S63" i="22"/>
  <c r="S62" i="20"/>
  <c r="S62" i="23"/>
  <c r="H98" i="23"/>
  <c r="S61" i="23"/>
  <c r="S62" i="8"/>
  <c r="R58" i="23"/>
  <c r="H101" i="23"/>
  <c r="S60" i="23"/>
  <c r="S61" i="7"/>
  <c r="S60" i="7"/>
  <c r="S63" i="8"/>
  <c r="S62" i="7"/>
  <c r="S60" i="10"/>
  <c r="S63" i="10"/>
  <c r="S62" i="10"/>
  <c r="H98" i="12"/>
  <c r="S63" i="13"/>
  <c r="H101" i="12"/>
  <c r="S60" i="8"/>
  <c r="S62" i="13"/>
  <c r="I97" i="8"/>
  <c r="R90" i="8" s="1"/>
  <c r="S85" i="8" s="1"/>
  <c r="S60" i="6"/>
  <c r="S61" i="8"/>
  <c r="R58" i="12"/>
  <c r="R59" i="12" s="1"/>
  <c r="S61" i="12"/>
  <c r="S60" i="13"/>
  <c r="S61" i="21"/>
  <c r="S60" i="12"/>
  <c r="S62" i="12"/>
  <c r="R58" i="34"/>
  <c r="S62" i="34"/>
  <c r="J101" i="24"/>
  <c r="S63" i="34"/>
  <c r="S62" i="22"/>
  <c r="S63" i="5"/>
  <c r="S61" i="20"/>
  <c r="H101" i="34"/>
  <c r="S60" i="34"/>
  <c r="S62" i="32"/>
  <c r="S61" i="22"/>
  <c r="H98" i="34"/>
  <c r="R65" i="5"/>
  <c r="R67" i="5" s="1"/>
  <c r="R71" i="5" s="1"/>
  <c r="F28" i="18" s="1"/>
  <c r="R65" i="20"/>
  <c r="R67" i="20" s="1"/>
  <c r="R71" i="20" s="1"/>
  <c r="O28" i="18" s="1"/>
  <c r="S62" i="5"/>
  <c r="S61" i="25"/>
  <c r="H101" i="24"/>
  <c r="S60" i="5"/>
  <c r="S60" i="20"/>
  <c r="H98" i="25"/>
  <c r="H101" i="25"/>
  <c r="S63" i="25"/>
  <c r="R58" i="25"/>
  <c r="I97" i="34"/>
  <c r="R90" i="34" s="1"/>
  <c r="S79" i="34" s="1"/>
  <c r="S62" i="25"/>
  <c r="J101" i="21"/>
  <c r="S62" i="9"/>
  <c r="S62" i="6"/>
  <c r="S61" i="9"/>
  <c r="S60" i="9"/>
  <c r="S63" i="6"/>
  <c r="H98" i="9"/>
  <c r="S61" i="16"/>
  <c r="I98" i="17"/>
  <c r="R65" i="7"/>
  <c r="R67" i="7" s="1"/>
  <c r="S62" i="16"/>
  <c r="S89" i="26"/>
  <c r="S62" i="19"/>
  <c r="R90" i="22"/>
  <c r="S86" i="22" s="1"/>
  <c r="I97" i="27"/>
  <c r="R90" i="27" s="1"/>
  <c r="R87" i="27"/>
  <c r="I97" i="29"/>
  <c r="R90" i="29" s="1"/>
  <c r="S86" i="29" s="1"/>
  <c r="R87" i="29"/>
  <c r="R90" i="9"/>
  <c r="T44" i="18"/>
  <c r="K42" i="18"/>
  <c r="E43" i="18"/>
  <c r="L42" i="18"/>
  <c r="I42" i="18"/>
  <c r="R43" i="18"/>
  <c r="Z43" i="18"/>
  <c r="O42" i="18"/>
  <c r="O47" i="18" s="1"/>
  <c r="O31" i="18" s="1"/>
  <c r="J101" i="17"/>
  <c r="S63" i="21"/>
  <c r="R65" i="24"/>
  <c r="R67" i="24" s="1"/>
  <c r="R71" i="24" s="1"/>
  <c r="S28" i="18" s="1"/>
  <c r="R58" i="24"/>
  <c r="R59" i="24" s="1"/>
  <c r="R65" i="13"/>
  <c r="R90" i="13"/>
  <c r="S86" i="13" s="1"/>
  <c r="I97" i="30"/>
  <c r="R90" i="30" s="1"/>
  <c r="S86" i="30" s="1"/>
  <c r="R87" i="30"/>
  <c r="S84" i="31"/>
  <c r="S77" i="31"/>
  <c r="S78" i="31"/>
  <c r="S82" i="31"/>
  <c r="S80" i="31"/>
  <c r="S76" i="31"/>
  <c r="S79" i="31"/>
  <c r="S83" i="31"/>
  <c r="S81" i="31"/>
  <c r="S75" i="31"/>
  <c r="S88" i="31"/>
  <c r="S83" i="28"/>
  <c r="S76" i="28"/>
  <c r="S84" i="28"/>
  <c r="S77" i="28"/>
  <c r="S78" i="28"/>
  <c r="S82" i="28"/>
  <c r="S80" i="28"/>
  <c r="S79" i="28"/>
  <c r="S75" i="28"/>
  <c r="S81" i="28"/>
  <c r="S88" i="28"/>
  <c r="I97" i="33"/>
  <c r="R90" i="33" s="1"/>
  <c r="R87" i="33"/>
  <c r="R90" i="19"/>
  <c r="S85" i="19" s="1"/>
  <c r="R90" i="5"/>
  <c r="S82" i="21"/>
  <c r="S77" i="21"/>
  <c r="S84" i="21"/>
  <c r="S76" i="21"/>
  <c r="S83" i="21"/>
  <c r="S79" i="21"/>
  <c r="S75" i="21"/>
  <c r="S80" i="21"/>
  <c r="S88" i="21"/>
  <c r="S78" i="21"/>
  <c r="S62" i="21"/>
  <c r="I43" i="18"/>
  <c r="J42" i="18"/>
  <c r="P43" i="18"/>
  <c r="S86" i="21"/>
  <c r="X43" i="18"/>
  <c r="S85" i="28"/>
  <c r="K43" i="18"/>
  <c r="AC43" i="18"/>
  <c r="AC47" i="18" s="1"/>
  <c r="AC31" i="18" s="1"/>
  <c r="S86" i="31"/>
  <c r="F44" i="18"/>
  <c r="S89" i="21"/>
  <c r="P42" i="18"/>
  <c r="S85" i="21"/>
  <c r="S85" i="17"/>
  <c r="S85" i="31"/>
  <c r="S89" i="28"/>
  <c r="N43" i="18"/>
  <c r="F38" i="18"/>
  <c r="S87" i="28"/>
  <c r="G42" i="18"/>
  <c r="W42" i="18"/>
  <c r="AB47" i="18"/>
  <c r="AB31" i="18" s="1"/>
  <c r="R90" i="4"/>
  <c r="S88" i="4" s="1"/>
  <c r="I97" i="15"/>
  <c r="I98" i="15" s="1"/>
  <c r="R88" i="15"/>
  <c r="R65" i="16"/>
  <c r="R67" i="16" s="1"/>
  <c r="R71" i="16" s="1"/>
  <c r="AB28" i="18" s="1"/>
  <c r="R90" i="16"/>
  <c r="R90" i="10"/>
  <c r="R65" i="19"/>
  <c r="R67" i="19" s="1"/>
  <c r="R71" i="19" s="1"/>
  <c r="N28" i="18" s="1"/>
  <c r="H101" i="21"/>
  <c r="S63" i="24"/>
  <c r="R90" i="6"/>
  <c r="S86" i="6" s="1"/>
  <c r="I97" i="23"/>
  <c r="R90" i="23" s="1"/>
  <c r="R87" i="23"/>
  <c r="I97" i="25"/>
  <c r="R90" i="25" s="1"/>
  <c r="S86" i="25" s="1"/>
  <c r="S78" i="17"/>
  <c r="S79" i="17"/>
  <c r="S80" i="17"/>
  <c r="S82" i="17"/>
  <c r="S81" i="17"/>
  <c r="S89" i="17"/>
  <c r="S76" i="17"/>
  <c r="S77" i="17"/>
  <c r="S83" i="17"/>
  <c r="S88" i="17"/>
  <c r="S84" i="17"/>
  <c r="R90" i="20"/>
  <c r="S85" i="20" s="1"/>
  <c r="S82" i="7"/>
  <c r="S80" i="7"/>
  <c r="S84" i="7"/>
  <c r="S83" i="7"/>
  <c r="S77" i="7"/>
  <c r="S79" i="7"/>
  <c r="S78" i="7"/>
  <c r="S89" i="7"/>
  <c r="S88" i="7"/>
  <c r="S76" i="7"/>
  <c r="S86" i="17"/>
  <c r="F46" i="18"/>
  <c r="S81" i="7"/>
  <c r="Y43" i="18"/>
  <c r="Y47" i="18" s="1"/>
  <c r="Y31" i="18" s="1"/>
  <c r="S86" i="28"/>
  <c r="S42" i="18"/>
  <c r="S85" i="24"/>
  <c r="AF44" i="18"/>
  <c r="S75" i="17"/>
  <c r="E45" i="18"/>
  <c r="W43" i="18"/>
  <c r="M43" i="18"/>
  <c r="M47" i="18" s="1"/>
  <c r="M31" i="18" s="1"/>
  <c r="G43" i="18"/>
  <c r="AD43" i="18"/>
  <c r="AD47" i="18" s="1"/>
  <c r="AD31" i="18" s="1"/>
  <c r="S86" i="32"/>
  <c r="E44" i="18"/>
  <c r="T43" i="18"/>
  <c r="S60" i="16"/>
  <c r="H101" i="17"/>
  <c r="S60" i="21"/>
  <c r="S62" i="24"/>
  <c r="H98" i="24"/>
  <c r="S60" i="24"/>
  <c r="R90" i="12"/>
  <c r="S78" i="32"/>
  <c r="S80" i="32"/>
  <c r="S79" i="32"/>
  <c r="S77" i="32"/>
  <c r="S83" i="32"/>
  <c r="S76" i="32"/>
  <c r="S82" i="32"/>
  <c r="S84" i="32"/>
  <c r="S75" i="32"/>
  <c r="S81" i="32"/>
  <c r="S88" i="32"/>
  <c r="S85" i="26"/>
  <c r="S80" i="26"/>
  <c r="S83" i="26"/>
  <c r="S78" i="26"/>
  <c r="S84" i="26"/>
  <c r="S77" i="26"/>
  <c r="S81" i="26"/>
  <c r="S82" i="26"/>
  <c r="S79" i="26"/>
  <c r="S76" i="26"/>
  <c r="S75" i="26"/>
  <c r="S88" i="26"/>
  <c r="S81" i="11"/>
  <c r="S76" i="11"/>
  <c r="S80" i="11"/>
  <c r="S84" i="24"/>
  <c r="S81" i="24"/>
  <c r="S88" i="24"/>
  <c r="S82" i="24"/>
  <c r="S79" i="24"/>
  <c r="S78" i="24"/>
  <c r="S83" i="24"/>
  <c r="S80" i="24"/>
  <c r="S76" i="24"/>
  <c r="S77" i="24"/>
  <c r="F45" i="18"/>
  <c r="S89" i="24"/>
  <c r="Q43" i="18"/>
  <c r="Q42" i="18"/>
  <c r="AF43" i="18"/>
  <c r="V43" i="18"/>
  <c r="AA43" i="18"/>
  <c r="U43" i="18"/>
  <c r="U47" i="18" s="1"/>
  <c r="U31" i="18" s="1"/>
  <c r="S86" i="26"/>
  <c r="S81" i="21"/>
  <c r="N42" i="18"/>
  <c r="S87" i="31"/>
  <c r="S43" i="18"/>
  <c r="S86" i="24"/>
  <c r="S85" i="32"/>
  <c r="R42" i="18"/>
  <c r="S75" i="7"/>
  <c r="S87" i="7"/>
  <c r="S87" i="24"/>
  <c r="L43" i="18"/>
  <c r="J43" i="18"/>
  <c r="S89" i="31"/>
  <c r="AE43" i="18"/>
  <c r="E38" i="18"/>
  <c r="S87" i="21"/>
  <c r="S89" i="32"/>
  <c r="F43" i="18"/>
  <c r="H43" i="18"/>
  <c r="H47" i="18" s="1"/>
  <c r="H31" i="18" s="1"/>
  <c r="S86" i="7"/>
  <c r="S63" i="19"/>
  <c r="S60" i="19"/>
  <c r="R58" i="21"/>
  <c r="R59" i="21" s="1"/>
  <c r="S63" i="29"/>
  <c r="R65" i="21"/>
  <c r="R67" i="21" s="1"/>
  <c r="R71" i="21" s="1"/>
  <c r="P28" i="18" s="1"/>
  <c r="I98" i="21"/>
  <c r="R65" i="10"/>
  <c r="R67" i="10" s="1"/>
  <c r="R71" i="10" s="1"/>
  <c r="K28" i="18" s="1"/>
  <c r="R65" i="9"/>
  <c r="R67" i="9" s="1"/>
  <c r="R71" i="9" s="1"/>
  <c r="J28" i="18" s="1"/>
  <c r="R58" i="29"/>
  <c r="H101" i="29"/>
  <c r="H98" i="29"/>
  <c r="S61" i="29"/>
  <c r="S60" i="30"/>
  <c r="S62" i="29"/>
  <c r="S63" i="30"/>
  <c r="S63" i="26"/>
  <c r="S62" i="30"/>
  <c r="S61" i="30"/>
  <c r="S60" i="32"/>
  <c r="H101" i="30"/>
  <c r="R65" i="17"/>
  <c r="R67" i="17" s="1"/>
  <c r="R71" i="17" s="1"/>
  <c r="AG28" i="18" s="1"/>
  <c r="S61" i="32"/>
  <c r="H98" i="30"/>
  <c r="S61" i="17"/>
  <c r="S63" i="17"/>
  <c r="S60" i="17"/>
  <c r="S62" i="17"/>
  <c r="H98" i="32"/>
  <c r="J101" i="16"/>
  <c r="S63" i="32"/>
  <c r="H101" i="32"/>
  <c r="I98" i="16"/>
  <c r="R58" i="26"/>
  <c r="R59" i="26" s="1"/>
  <c r="S62" i="26"/>
  <c r="S62" i="28"/>
  <c r="S62" i="27"/>
  <c r="H101" i="26"/>
  <c r="H98" i="26"/>
  <c r="S60" i="26"/>
  <c r="S61" i="31"/>
  <c r="S60" i="31"/>
  <c r="H101" i="31"/>
  <c r="H98" i="31"/>
  <c r="R58" i="31"/>
  <c r="R59" i="31" s="1"/>
  <c r="R65" i="26"/>
  <c r="I98" i="26"/>
  <c r="J101" i="26"/>
  <c r="AR30" i="18"/>
  <c r="S29" i="34"/>
  <c r="S29" i="16"/>
  <c r="S29" i="23"/>
  <c r="S29" i="25"/>
  <c r="S29" i="21"/>
  <c r="S29" i="11"/>
  <c r="S29" i="33"/>
  <c r="S29" i="30"/>
  <c r="S29" i="15"/>
  <c r="S29" i="24"/>
  <c r="S29" i="20"/>
  <c r="S29" i="32"/>
  <c r="S29" i="29"/>
  <c r="S29" i="27"/>
  <c r="S29" i="13"/>
  <c r="S29" i="19"/>
  <c r="S29" i="7"/>
  <c r="S29" i="4"/>
  <c r="S29" i="22"/>
  <c r="S29" i="1"/>
  <c r="S29" i="6"/>
  <c r="S29" i="17"/>
  <c r="S29" i="31"/>
  <c r="S29" i="10"/>
  <c r="S29" i="9"/>
  <c r="S29" i="26"/>
  <c r="S29" i="12"/>
  <c r="S29" i="8"/>
  <c r="S29" i="5"/>
  <c r="S29" i="28"/>
  <c r="S63" i="31"/>
  <c r="R65" i="28"/>
  <c r="I98" i="28"/>
  <c r="J101" i="28"/>
  <c r="S61" i="33"/>
  <c r="S60" i="33"/>
  <c r="H101" i="33"/>
  <c r="H98" i="33"/>
  <c r="R58" i="33"/>
  <c r="S62" i="31"/>
  <c r="R59" i="32"/>
  <c r="R65" i="32"/>
  <c r="I98" i="32"/>
  <c r="J101" i="32"/>
  <c r="R58" i="27"/>
  <c r="S60" i="27"/>
  <c r="S61" i="27"/>
  <c r="H101" i="27"/>
  <c r="H98" i="27"/>
  <c r="R65" i="6"/>
  <c r="R67" i="6" s="1"/>
  <c r="R71" i="6" s="1"/>
  <c r="G28" i="18" s="1"/>
  <c r="R65" i="31"/>
  <c r="J101" i="31"/>
  <c r="I98" i="31"/>
  <c r="S62" i="33"/>
  <c r="S60" i="28"/>
  <c r="S61" i="28"/>
  <c r="H98" i="28"/>
  <c r="R58" i="28"/>
  <c r="R59" i="28" s="1"/>
  <c r="H101" i="28"/>
  <c r="R65" i="12"/>
  <c r="R67" i="12" s="1"/>
  <c r="R71" i="12" s="1"/>
  <c r="M28" i="18" s="1"/>
  <c r="I98" i="24"/>
  <c r="N69" i="4"/>
  <c r="E25" i="18"/>
  <c r="N69" i="5"/>
  <c r="F25" i="18"/>
  <c r="J101" i="6"/>
  <c r="G25" i="18"/>
  <c r="R58" i="7"/>
  <c r="R59" i="7" s="1"/>
  <c r="H25" i="18"/>
  <c r="H98" i="8"/>
  <c r="I25" i="18"/>
  <c r="H101" i="9"/>
  <c r="J25" i="18"/>
  <c r="R58" i="9"/>
  <c r="R59" i="9" s="1"/>
  <c r="J101" i="10"/>
  <c r="K25" i="18"/>
  <c r="N70" i="11"/>
  <c r="L25" i="18"/>
  <c r="N69" i="12"/>
  <c r="M25" i="18"/>
  <c r="H101" i="19"/>
  <c r="N25" i="18"/>
  <c r="J101" i="20"/>
  <c r="O25" i="18"/>
  <c r="N70" i="22"/>
  <c r="Q25" i="18"/>
  <c r="E75" i="13"/>
  <c r="R25" i="18"/>
  <c r="M77" i="24"/>
  <c r="N71" i="24"/>
  <c r="N69" i="24"/>
  <c r="N74" i="24"/>
  <c r="N75" i="24"/>
  <c r="E77" i="24"/>
  <c r="N73" i="24"/>
  <c r="S61" i="15"/>
  <c r="S60" i="15"/>
  <c r="S63" i="4"/>
  <c r="R65" i="22"/>
  <c r="R67" i="22" s="1"/>
  <c r="R71" i="22" s="1"/>
  <c r="Q28" i="18" s="1"/>
  <c r="J101" i="22"/>
  <c r="I98" i="22"/>
  <c r="H98" i="22"/>
  <c r="R58" i="22"/>
  <c r="R59" i="22" s="1"/>
  <c r="H101" i="22"/>
  <c r="N72" i="22"/>
  <c r="M77" i="22"/>
  <c r="Q26" i="18" s="1"/>
  <c r="N73" i="22"/>
  <c r="N74" i="22"/>
  <c r="E77" i="22"/>
  <c r="N75" i="22"/>
  <c r="N71" i="22"/>
  <c r="E75" i="22"/>
  <c r="N69" i="22"/>
  <c r="E76" i="22"/>
  <c r="K98" i="21"/>
  <c r="K99" i="21" s="1"/>
  <c r="K100" i="21" s="1"/>
  <c r="J98" i="21"/>
  <c r="J99" i="21" s="1"/>
  <c r="J100" i="21" s="1"/>
  <c r="H101" i="20"/>
  <c r="H98" i="20"/>
  <c r="I98" i="20"/>
  <c r="M77" i="20"/>
  <c r="O26" i="18" s="1"/>
  <c r="N73" i="20"/>
  <c r="N71" i="20"/>
  <c r="N75" i="20"/>
  <c r="N72" i="20"/>
  <c r="E76" i="20"/>
  <c r="N70" i="20"/>
  <c r="E77" i="20"/>
  <c r="N74" i="20"/>
  <c r="E75" i="20"/>
  <c r="R58" i="20"/>
  <c r="R59" i="20" s="1"/>
  <c r="N69" i="20"/>
  <c r="N70" i="19"/>
  <c r="I98" i="19"/>
  <c r="H98" i="19"/>
  <c r="J101" i="19"/>
  <c r="R58" i="19"/>
  <c r="R59" i="19" s="1"/>
  <c r="M77" i="19"/>
  <c r="N26" i="18" s="1"/>
  <c r="N71" i="19"/>
  <c r="N73" i="19"/>
  <c r="E77" i="19"/>
  <c r="N74" i="19"/>
  <c r="N75" i="19"/>
  <c r="E75" i="19"/>
  <c r="N69" i="19"/>
  <c r="E76" i="19"/>
  <c r="N72" i="19"/>
  <c r="N69" i="17"/>
  <c r="R58" i="17"/>
  <c r="R59" i="17" s="1"/>
  <c r="N70" i="17"/>
  <c r="H98" i="17"/>
  <c r="M77" i="17"/>
  <c r="AG25" i="18"/>
  <c r="N71" i="17"/>
  <c r="N73" i="17"/>
  <c r="N75" i="17"/>
  <c r="E76" i="17"/>
  <c r="N74" i="17"/>
  <c r="E77" i="17"/>
  <c r="N72" i="17"/>
  <c r="E75" i="17"/>
  <c r="AB25" i="18"/>
  <c r="M77" i="16"/>
  <c r="N75" i="16"/>
  <c r="N71" i="16"/>
  <c r="N74" i="16"/>
  <c r="N70" i="16"/>
  <c r="E77" i="16"/>
  <c r="N72" i="16"/>
  <c r="E76" i="16"/>
  <c r="R58" i="16"/>
  <c r="R59" i="16" s="1"/>
  <c r="H98" i="16"/>
  <c r="E75" i="16"/>
  <c r="N73" i="16"/>
  <c r="H101" i="16"/>
  <c r="N69" i="16"/>
  <c r="H101" i="15"/>
  <c r="H98" i="15"/>
  <c r="S62" i="15"/>
  <c r="R58" i="15"/>
  <c r="E75" i="15"/>
  <c r="N69" i="15"/>
  <c r="M77" i="15"/>
  <c r="W25" i="18"/>
  <c r="N71" i="15"/>
  <c r="N70" i="15"/>
  <c r="E77" i="15"/>
  <c r="N73" i="15"/>
  <c r="N75" i="15"/>
  <c r="N74" i="15"/>
  <c r="N72" i="15"/>
  <c r="N70" i="13"/>
  <c r="M77" i="13"/>
  <c r="R26" i="18" s="1"/>
  <c r="N75" i="13"/>
  <c r="N71" i="13"/>
  <c r="N72" i="13"/>
  <c r="H101" i="13"/>
  <c r="H98" i="13"/>
  <c r="E77" i="13"/>
  <c r="N73" i="13"/>
  <c r="R58" i="13"/>
  <c r="R59" i="13" s="1"/>
  <c r="E76" i="13"/>
  <c r="N74" i="13"/>
  <c r="I98" i="13"/>
  <c r="J101" i="13"/>
  <c r="N69" i="13"/>
  <c r="M77" i="12"/>
  <c r="M26" i="18" s="1"/>
  <c r="N71" i="12"/>
  <c r="N75" i="12"/>
  <c r="N74" i="12"/>
  <c r="E77" i="12"/>
  <c r="E76" i="12"/>
  <c r="N72" i="12"/>
  <c r="N73" i="12"/>
  <c r="E75" i="12"/>
  <c r="I98" i="12"/>
  <c r="J101" i="12"/>
  <c r="N70" i="12"/>
  <c r="S62" i="11"/>
  <c r="S61" i="11"/>
  <c r="R65" i="11"/>
  <c r="R67" i="11" s="1"/>
  <c r="R71" i="11" s="1"/>
  <c r="L28" i="18" s="1"/>
  <c r="N69" i="11"/>
  <c r="M77" i="11"/>
  <c r="L26" i="18" s="1"/>
  <c r="N75" i="11"/>
  <c r="N71" i="11"/>
  <c r="N72" i="11"/>
  <c r="E76" i="11"/>
  <c r="N74" i="11"/>
  <c r="E77" i="11"/>
  <c r="N73" i="11"/>
  <c r="R58" i="11"/>
  <c r="R59" i="11" s="1"/>
  <c r="H101" i="11"/>
  <c r="I98" i="11"/>
  <c r="E75" i="11"/>
  <c r="J101" i="11"/>
  <c r="N69" i="10"/>
  <c r="R58" i="10"/>
  <c r="R59" i="10" s="1"/>
  <c r="H98" i="10"/>
  <c r="E75" i="10"/>
  <c r="H101" i="10"/>
  <c r="I98" i="10"/>
  <c r="M77" i="10"/>
  <c r="K26" i="18" s="1"/>
  <c r="N75" i="10"/>
  <c r="N71" i="10"/>
  <c r="N72" i="10"/>
  <c r="N70" i="10"/>
  <c r="N73" i="10"/>
  <c r="E77" i="10"/>
  <c r="E76" i="10"/>
  <c r="N74" i="10"/>
  <c r="M77" i="9"/>
  <c r="J26" i="18" s="1"/>
  <c r="N71" i="9"/>
  <c r="N75" i="9"/>
  <c r="N74" i="9"/>
  <c r="E76" i="9"/>
  <c r="E77" i="9"/>
  <c r="N72" i="9"/>
  <c r="N73" i="9"/>
  <c r="I98" i="9"/>
  <c r="N69" i="9"/>
  <c r="E75" i="9"/>
  <c r="J101" i="9"/>
  <c r="N70" i="9"/>
  <c r="E75" i="8"/>
  <c r="R58" i="8"/>
  <c r="M77" i="8"/>
  <c r="I26" i="18" s="1"/>
  <c r="N71" i="8"/>
  <c r="N75" i="8"/>
  <c r="N72" i="8"/>
  <c r="E76" i="8"/>
  <c r="E77" i="8"/>
  <c r="N74" i="8"/>
  <c r="N73" i="8"/>
  <c r="N70" i="8"/>
  <c r="N69" i="8"/>
  <c r="H101" i="8"/>
  <c r="M77" i="7"/>
  <c r="H26" i="18" s="1"/>
  <c r="N71" i="7"/>
  <c r="N75" i="7"/>
  <c r="E76" i="7"/>
  <c r="N73" i="7"/>
  <c r="N74" i="7"/>
  <c r="N72" i="7"/>
  <c r="E77" i="7"/>
  <c r="I98" i="7"/>
  <c r="J101" i="7"/>
  <c r="E75" i="7"/>
  <c r="H98" i="7"/>
  <c r="H101" i="7"/>
  <c r="N70" i="7"/>
  <c r="N69" i="7"/>
  <c r="N70" i="4"/>
  <c r="S60" i="4"/>
  <c r="R65" i="4"/>
  <c r="R67" i="4" s="1"/>
  <c r="R71" i="4" s="1"/>
  <c r="E28" i="18" s="1"/>
  <c r="S62" i="4"/>
  <c r="R58" i="6"/>
  <c r="R59" i="6" s="1"/>
  <c r="H98" i="6"/>
  <c r="H101" i="6"/>
  <c r="N70" i="6"/>
  <c r="I98" i="6"/>
  <c r="M77" i="6"/>
  <c r="G26" i="18" s="1"/>
  <c r="N71" i="6"/>
  <c r="N75" i="6"/>
  <c r="N72" i="6"/>
  <c r="E76" i="6"/>
  <c r="N73" i="6"/>
  <c r="N69" i="6"/>
  <c r="E75" i="6"/>
  <c r="N74" i="6"/>
  <c r="E77" i="6"/>
  <c r="H101" i="5"/>
  <c r="R58" i="5"/>
  <c r="R59" i="5" s="1"/>
  <c r="H98" i="5"/>
  <c r="I98" i="5"/>
  <c r="J101" i="5"/>
  <c r="M77" i="5"/>
  <c r="F26" i="18" s="1"/>
  <c r="N71" i="5"/>
  <c r="N75" i="5"/>
  <c r="N70" i="5"/>
  <c r="E77" i="5"/>
  <c r="E76" i="5"/>
  <c r="N72" i="5"/>
  <c r="N74" i="5"/>
  <c r="N73" i="5"/>
  <c r="E75" i="5"/>
  <c r="M77" i="4"/>
  <c r="E26" i="18" s="1"/>
  <c r="N71" i="4"/>
  <c r="N75" i="4"/>
  <c r="N73" i="4"/>
  <c r="N74" i="4"/>
  <c r="E77" i="4"/>
  <c r="E76" i="4"/>
  <c r="N72" i="4"/>
  <c r="E75" i="4"/>
  <c r="H98" i="4"/>
  <c r="I98" i="4"/>
  <c r="R58" i="4"/>
  <c r="R59" i="4" s="1"/>
  <c r="J101" i="4"/>
  <c r="H101" i="4"/>
  <c r="S63" i="11" l="1"/>
  <c r="H98" i="11"/>
  <c r="N76" i="21"/>
  <c r="S78" i="11"/>
  <c r="S77" i="11"/>
  <c r="S86" i="11"/>
  <c r="S79" i="11"/>
  <c r="S83" i="11"/>
  <c r="S88" i="11"/>
  <c r="S87" i="11"/>
  <c r="S84" i="11"/>
  <c r="S82" i="11"/>
  <c r="S85" i="11"/>
  <c r="S75" i="11"/>
  <c r="S26" i="18"/>
  <c r="S81" i="5"/>
  <c r="S82" i="5"/>
  <c r="S83" i="5"/>
  <c r="R64" i="23"/>
  <c r="R66" i="23" s="1"/>
  <c r="R70" i="23" s="1"/>
  <c r="X27" i="18" s="1"/>
  <c r="S30" i="40"/>
  <c r="S30" i="38"/>
  <c r="S30" i="37"/>
  <c r="S30" i="39"/>
  <c r="S30" i="36"/>
  <c r="S64" i="23"/>
  <c r="R64" i="7"/>
  <c r="R66" i="7" s="1"/>
  <c r="R70" i="7" s="1"/>
  <c r="H27" i="18" s="1"/>
  <c r="R64" i="10"/>
  <c r="R66" i="10" s="1"/>
  <c r="R70" i="10" s="1"/>
  <c r="K27" i="18" s="1"/>
  <c r="S64" i="7"/>
  <c r="S64" i="10"/>
  <c r="R64" i="8"/>
  <c r="R66" i="8" s="1"/>
  <c r="R70" i="8" s="1"/>
  <c r="I27" i="18" s="1"/>
  <c r="R59" i="8"/>
  <c r="S64" i="13"/>
  <c r="I98" i="8"/>
  <c r="J101" i="8"/>
  <c r="I102" i="8" s="1"/>
  <c r="I98" i="29"/>
  <c r="R65" i="8"/>
  <c r="R67" i="8" s="1"/>
  <c r="R71" i="8" s="1"/>
  <c r="I28" i="18" s="1"/>
  <c r="T47" i="18"/>
  <c r="T31" i="18" s="1"/>
  <c r="I102" i="12"/>
  <c r="S64" i="8"/>
  <c r="S64" i="12"/>
  <c r="N47" i="18"/>
  <c r="N31" i="18" s="1"/>
  <c r="R64" i="13"/>
  <c r="R66" i="13" s="1"/>
  <c r="R70" i="13" s="1"/>
  <c r="R27" i="18" s="1"/>
  <c r="R64" i="12"/>
  <c r="R66" i="12" s="1"/>
  <c r="R70" i="12" s="1"/>
  <c r="M27" i="18" s="1"/>
  <c r="S64" i="20"/>
  <c r="S85" i="22"/>
  <c r="R64" i="20"/>
  <c r="R66" i="20" s="1"/>
  <c r="R70" i="20" s="1"/>
  <c r="O27" i="18" s="1"/>
  <c r="S64" i="5"/>
  <c r="S76" i="34"/>
  <c r="R64" i="5"/>
  <c r="R66" i="5" s="1"/>
  <c r="R70" i="5" s="1"/>
  <c r="F27" i="18" s="1"/>
  <c r="I102" i="24"/>
  <c r="R59" i="29"/>
  <c r="J101" i="29"/>
  <c r="I102" i="29" s="1"/>
  <c r="R65" i="29"/>
  <c r="R67" i="29" s="1"/>
  <c r="R71" i="29" s="1"/>
  <c r="Z28" i="18" s="1"/>
  <c r="S85" i="13"/>
  <c r="S64" i="25"/>
  <c r="S64" i="16"/>
  <c r="I102" i="21"/>
  <c r="S64" i="9"/>
  <c r="R64" i="34"/>
  <c r="R66" i="34" s="1"/>
  <c r="R70" i="34" s="1"/>
  <c r="S64" i="22"/>
  <c r="R64" i="22"/>
  <c r="R66" i="22" s="1"/>
  <c r="R68" i="22" s="1"/>
  <c r="S64" i="34"/>
  <c r="R64" i="9"/>
  <c r="R66" i="9" s="1"/>
  <c r="R70" i="9" s="1"/>
  <c r="J27" i="18" s="1"/>
  <c r="R65" i="30"/>
  <c r="R67" i="30" s="1"/>
  <c r="R71" i="30" s="1"/>
  <c r="AA28" i="18" s="1"/>
  <c r="R59" i="34"/>
  <c r="S81" i="4"/>
  <c r="R64" i="16"/>
  <c r="R66" i="16" s="1"/>
  <c r="R68" i="16" s="1"/>
  <c r="R72" i="16" s="1"/>
  <c r="AB29" i="18" s="1"/>
  <c r="R59" i="30"/>
  <c r="I98" i="30"/>
  <c r="S64" i="21"/>
  <c r="J101" i="30"/>
  <c r="I102" i="30" s="1"/>
  <c r="J101" i="25"/>
  <c r="I102" i="25" s="1"/>
  <c r="R59" i="25"/>
  <c r="R64" i="25"/>
  <c r="R66" i="25" s="1"/>
  <c r="R70" i="25" s="1"/>
  <c r="T27" i="18" s="1"/>
  <c r="I98" i="25"/>
  <c r="S87" i="4"/>
  <c r="S87" i="34"/>
  <c r="J101" i="34"/>
  <c r="I102" i="34" s="1"/>
  <c r="R47" i="18"/>
  <c r="R31" i="18" s="1"/>
  <c r="S81" i="34"/>
  <c r="E47" i="18"/>
  <c r="E31" i="18" s="1"/>
  <c r="S83" i="34"/>
  <c r="I98" i="27"/>
  <c r="S89" i="34"/>
  <c r="S78" i="34"/>
  <c r="S80" i="34"/>
  <c r="R65" i="34"/>
  <c r="R67" i="34" s="1"/>
  <c r="R71" i="34" s="1"/>
  <c r="S86" i="34"/>
  <c r="S85" i="34"/>
  <c r="S88" i="34"/>
  <c r="S77" i="34"/>
  <c r="S82" i="34"/>
  <c r="I98" i="34"/>
  <c r="S89" i="5"/>
  <c r="S75" i="34"/>
  <c r="S84" i="34"/>
  <c r="S64" i="6"/>
  <c r="R64" i="6"/>
  <c r="R66" i="6" s="1"/>
  <c r="R70" i="6" s="1"/>
  <c r="G27" i="18" s="1"/>
  <c r="S47" i="18"/>
  <c r="S31" i="18" s="1"/>
  <c r="R64" i="19"/>
  <c r="R66" i="19" s="1"/>
  <c r="R70" i="19" s="1"/>
  <c r="N27" i="18" s="1"/>
  <c r="R64" i="24"/>
  <c r="R66" i="24" s="1"/>
  <c r="R70" i="24" s="1"/>
  <c r="S27" i="18" s="1"/>
  <c r="R65" i="15"/>
  <c r="R67" i="15" s="1"/>
  <c r="R71" i="15" s="1"/>
  <c r="W28" i="18" s="1"/>
  <c r="R64" i="21"/>
  <c r="R66" i="21" s="1"/>
  <c r="R68" i="21" s="1"/>
  <c r="S64" i="19"/>
  <c r="J101" i="27"/>
  <c r="I102" i="27" s="1"/>
  <c r="J101" i="23"/>
  <c r="I102" i="23" s="1"/>
  <c r="S88" i="5"/>
  <c r="S86" i="19"/>
  <c r="S64" i="24"/>
  <c r="S87" i="5"/>
  <c r="R65" i="25"/>
  <c r="R67" i="25" s="1"/>
  <c r="R71" i="25" s="1"/>
  <c r="T28" i="18" s="1"/>
  <c r="J101" i="33"/>
  <c r="I102" i="33" s="1"/>
  <c r="S86" i="5"/>
  <c r="R64" i="17"/>
  <c r="R66" i="17" s="1"/>
  <c r="R70" i="17" s="1"/>
  <c r="AG27" i="18" s="1"/>
  <c r="Q47" i="18"/>
  <c r="Q31" i="18" s="1"/>
  <c r="S90" i="24"/>
  <c r="F47" i="18"/>
  <c r="F31" i="18" s="1"/>
  <c r="P47" i="18"/>
  <c r="P31" i="18" s="1"/>
  <c r="L47" i="18"/>
  <c r="L31" i="18" s="1"/>
  <c r="AF47" i="18"/>
  <c r="AF31" i="18" s="1"/>
  <c r="I47" i="18"/>
  <c r="I31" i="18" s="1"/>
  <c r="J47" i="18"/>
  <c r="J31" i="18" s="1"/>
  <c r="I102" i="17"/>
  <c r="S83" i="23"/>
  <c r="S82" i="23"/>
  <c r="S78" i="23"/>
  <c r="S80" i="23"/>
  <c r="S76" i="23"/>
  <c r="S81" i="23"/>
  <c r="S77" i="23"/>
  <c r="S84" i="23"/>
  <c r="S79" i="23"/>
  <c r="S75" i="23"/>
  <c r="S89" i="23"/>
  <c r="S88" i="23"/>
  <c r="S85" i="23"/>
  <c r="S84" i="10"/>
  <c r="S77" i="10"/>
  <c r="S79" i="10"/>
  <c r="S88" i="10"/>
  <c r="S78" i="10"/>
  <c r="S75" i="10"/>
  <c r="S82" i="10"/>
  <c r="S76" i="10"/>
  <c r="S83" i="10"/>
  <c r="S80" i="10"/>
  <c r="S87" i="10"/>
  <c r="S89" i="10"/>
  <c r="S81" i="10"/>
  <c r="S78" i="33"/>
  <c r="S81" i="33"/>
  <c r="S79" i="33"/>
  <c r="S83" i="33"/>
  <c r="S80" i="33"/>
  <c r="S84" i="33"/>
  <c r="S76" i="33"/>
  <c r="S77" i="33"/>
  <c r="S82" i="33"/>
  <c r="S75" i="33"/>
  <c r="S88" i="33"/>
  <c r="S85" i="33"/>
  <c r="S89" i="33"/>
  <c r="S85" i="10"/>
  <c r="S82" i="9"/>
  <c r="S84" i="9"/>
  <c r="S80" i="9"/>
  <c r="S76" i="9"/>
  <c r="S78" i="9"/>
  <c r="S83" i="9"/>
  <c r="S75" i="9"/>
  <c r="S79" i="9"/>
  <c r="S77" i="9"/>
  <c r="S87" i="9"/>
  <c r="S88" i="9"/>
  <c r="S89" i="9"/>
  <c r="S81" i="9"/>
  <c r="R67" i="13"/>
  <c r="R71" i="13" s="1"/>
  <c r="R28" i="18" s="1"/>
  <c r="S90" i="7"/>
  <c r="S90" i="26"/>
  <c r="S90" i="17"/>
  <c r="S77" i="8"/>
  <c r="S76" i="8"/>
  <c r="S82" i="8"/>
  <c r="S79" i="8"/>
  <c r="S78" i="8"/>
  <c r="S89" i="8"/>
  <c r="S75" i="8"/>
  <c r="S84" i="8"/>
  <c r="S83" i="8"/>
  <c r="S88" i="8"/>
  <c r="S80" i="8"/>
  <c r="S87" i="8"/>
  <c r="S81" i="8"/>
  <c r="R90" i="15"/>
  <c r="S88" i="15" s="1"/>
  <c r="AA44" i="18"/>
  <c r="AA47" i="18" s="1"/>
  <c r="AA31" i="18" s="1"/>
  <c r="S87" i="30"/>
  <c r="K47" i="18"/>
  <c r="K31" i="18" s="1"/>
  <c r="I102" i="6"/>
  <c r="J101" i="15"/>
  <c r="I102" i="15" s="1"/>
  <c r="I102" i="16"/>
  <c r="R59" i="33"/>
  <c r="S90" i="32"/>
  <c r="S82" i="25"/>
  <c r="S77" i="25"/>
  <c r="S81" i="25"/>
  <c r="S83" i="25"/>
  <c r="S76" i="25"/>
  <c r="S78" i="25"/>
  <c r="S80" i="25"/>
  <c r="S79" i="25"/>
  <c r="S84" i="25"/>
  <c r="S75" i="25"/>
  <c r="S88" i="25"/>
  <c r="S85" i="25"/>
  <c r="S89" i="25"/>
  <c r="S80" i="16"/>
  <c r="S76" i="16"/>
  <c r="S84" i="16"/>
  <c r="S82" i="16"/>
  <c r="S78" i="16"/>
  <c r="S79" i="16"/>
  <c r="S88" i="16"/>
  <c r="S77" i="16"/>
  <c r="S83" i="16"/>
  <c r="S87" i="16"/>
  <c r="S89" i="16"/>
  <c r="S85" i="16"/>
  <c r="S86" i="16"/>
  <c r="S75" i="16"/>
  <c r="S81" i="16"/>
  <c r="S75" i="4"/>
  <c r="S83" i="4"/>
  <c r="S78" i="4"/>
  <c r="S77" i="4"/>
  <c r="S82" i="4"/>
  <c r="S85" i="4"/>
  <c r="S79" i="4"/>
  <c r="S80" i="4"/>
  <c r="S84" i="4"/>
  <c r="S76" i="4"/>
  <c r="S89" i="4"/>
  <c r="S90" i="31"/>
  <c r="S76" i="30"/>
  <c r="S79" i="30"/>
  <c r="S83" i="30"/>
  <c r="S84" i="30"/>
  <c r="S80" i="30"/>
  <c r="S81" i="30"/>
  <c r="S78" i="30"/>
  <c r="S77" i="30"/>
  <c r="S82" i="30"/>
  <c r="S75" i="30"/>
  <c r="S88" i="30"/>
  <c r="S85" i="30"/>
  <c r="S89" i="30"/>
  <c r="S87" i="25"/>
  <c r="Z44" i="18"/>
  <c r="Z47" i="18" s="1"/>
  <c r="Z31" i="18" s="1"/>
  <c r="S87" i="29"/>
  <c r="S79" i="22"/>
  <c r="S88" i="22"/>
  <c r="S76" i="22"/>
  <c r="S77" i="22"/>
  <c r="S87" i="22"/>
  <c r="S83" i="22"/>
  <c r="S82" i="22"/>
  <c r="S78" i="22"/>
  <c r="S84" i="22"/>
  <c r="S80" i="22"/>
  <c r="S81" i="22"/>
  <c r="S75" i="22"/>
  <c r="S89" i="22"/>
  <c r="S84" i="12"/>
  <c r="S80" i="12"/>
  <c r="S82" i="12"/>
  <c r="S89" i="12"/>
  <c r="S77" i="12"/>
  <c r="S76" i="12"/>
  <c r="S75" i="12"/>
  <c r="S88" i="12"/>
  <c r="S83" i="12"/>
  <c r="S79" i="12"/>
  <c r="S78" i="12"/>
  <c r="S87" i="12"/>
  <c r="S85" i="12"/>
  <c r="S81" i="12"/>
  <c r="S77" i="20"/>
  <c r="S82" i="20"/>
  <c r="S75" i="20"/>
  <c r="S88" i="20"/>
  <c r="S87" i="20"/>
  <c r="S80" i="20"/>
  <c r="S79" i="20"/>
  <c r="S78" i="20"/>
  <c r="S83" i="20"/>
  <c r="S76" i="20"/>
  <c r="S84" i="20"/>
  <c r="S81" i="20"/>
  <c r="S89" i="20"/>
  <c r="S86" i="20"/>
  <c r="W45" i="18"/>
  <c r="W47" i="18" s="1"/>
  <c r="W31" i="18" s="1"/>
  <c r="G47" i="18"/>
  <c r="G31" i="18" s="1"/>
  <c r="S86" i="23"/>
  <c r="V44" i="18"/>
  <c r="V47" i="18" s="1"/>
  <c r="V31" i="18" s="1"/>
  <c r="S87" i="27"/>
  <c r="R65" i="23"/>
  <c r="R67" i="23" s="1"/>
  <c r="R71" i="23" s="1"/>
  <c r="X28" i="18" s="1"/>
  <c r="I98" i="33"/>
  <c r="S86" i="12"/>
  <c r="S86" i="8"/>
  <c r="S78" i="19"/>
  <c r="S81" i="19"/>
  <c r="S83" i="19"/>
  <c r="S84" i="19"/>
  <c r="S88" i="19"/>
  <c r="S79" i="19"/>
  <c r="S77" i="19"/>
  <c r="S76" i="19"/>
  <c r="S82" i="19"/>
  <c r="S80" i="19"/>
  <c r="S89" i="19"/>
  <c r="S87" i="19"/>
  <c r="S75" i="19"/>
  <c r="S76" i="27"/>
  <c r="S79" i="27"/>
  <c r="S84" i="27"/>
  <c r="S83" i="27"/>
  <c r="S77" i="27"/>
  <c r="S80" i="27"/>
  <c r="S78" i="27"/>
  <c r="S82" i="27"/>
  <c r="S81" i="27"/>
  <c r="S75" i="27"/>
  <c r="S88" i="27"/>
  <c r="S85" i="27"/>
  <c r="S89" i="27"/>
  <c r="R59" i="15"/>
  <c r="S64" i="17"/>
  <c r="R59" i="27"/>
  <c r="R59" i="23"/>
  <c r="R65" i="27"/>
  <c r="R67" i="27" s="1"/>
  <c r="R71" i="27" s="1"/>
  <c r="V28" i="18" s="1"/>
  <c r="I98" i="23"/>
  <c r="R65" i="33"/>
  <c r="R67" i="33" s="1"/>
  <c r="R71" i="33" s="1"/>
  <c r="AE28" i="18" s="1"/>
  <c r="S86" i="33"/>
  <c r="S86" i="9"/>
  <c r="S86" i="27"/>
  <c r="X44" i="18"/>
  <c r="X47" i="18" s="1"/>
  <c r="X31" i="18" s="1"/>
  <c r="S87" i="23"/>
  <c r="S83" i="6"/>
  <c r="S75" i="6"/>
  <c r="S84" i="6"/>
  <c r="S76" i="6"/>
  <c r="S80" i="6"/>
  <c r="S89" i="6"/>
  <c r="S77" i="6"/>
  <c r="S78" i="6"/>
  <c r="S82" i="6"/>
  <c r="S79" i="6"/>
  <c r="S88" i="6"/>
  <c r="S87" i="6"/>
  <c r="S81" i="6"/>
  <c r="S85" i="6"/>
  <c r="S86" i="10"/>
  <c r="S85" i="9"/>
  <c r="S90" i="21"/>
  <c r="S75" i="5"/>
  <c r="S84" i="5"/>
  <c r="S80" i="5"/>
  <c r="S77" i="5"/>
  <c r="S76" i="5"/>
  <c r="S85" i="5"/>
  <c r="S78" i="5"/>
  <c r="S79" i="5"/>
  <c r="AE44" i="18"/>
  <c r="AE47" i="18" s="1"/>
  <c r="AE31" i="18" s="1"/>
  <c r="S87" i="33"/>
  <c r="S90" i="28"/>
  <c r="S83" i="13"/>
  <c r="S76" i="13"/>
  <c r="S77" i="13"/>
  <c r="S82" i="13"/>
  <c r="S84" i="13"/>
  <c r="S79" i="13"/>
  <c r="S80" i="13"/>
  <c r="S75" i="13"/>
  <c r="S78" i="13"/>
  <c r="S88" i="13"/>
  <c r="S87" i="13"/>
  <c r="S81" i="13"/>
  <c r="S89" i="13"/>
  <c r="S86" i="4"/>
  <c r="S77" i="29"/>
  <c r="S84" i="29"/>
  <c r="S83" i="29"/>
  <c r="S80" i="29"/>
  <c r="S82" i="29"/>
  <c r="S79" i="29"/>
  <c r="S81" i="29"/>
  <c r="S78" i="29"/>
  <c r="S76" i="29"/>
  <c r="S75" i="29"/>
  <c r="S88" i="29"/>
  <c r="S85" i="29"/>
  <c r="S89" i="29"/>
  <c r="I102" i="26"/>
  <c r="R64" i="30"/>
  <c r="R66" i="30" s="1"/>
  <c r="R70" i="30" s="1"/>
  <c r="AA27" i="18" s="1"/>
  <c r="I102" i="32"/>
  <c r="R64" i="29"/>
  <c r="R66" i="29" s="1"/>
  <c r="R70" i="29" s="1"/>
  <c r="Z27" i="18" s="1"/>
  <c r="S64" i="30"/>
  <c r="S64" i="29"/>
  <c r="S64" i="32"/>
  <c r="R64" i="32"/>
  <c r="R66" i="32" s="1"/>
  <c r="R70" i="32" s="1"/>
  <c r="AD27" i="18" s="1"/>
  <c r="S64" i="26"/>
  <c r="I102" i="19"/>
  <c r="I102" i="9"/>
  <c r="I102" i="10"/>
  <c r="I102" i="20"/>
  <c r="R64" i="26"/>
  <c r="R66" i="26" s="1"/>
  <c r="R70" i="26" s="1"/>
  <c r="U27" i="18" s="1"/>
  <c r="AR31" i="18"/>
  <c r="S30" i="17"/>
  <c r="S30" i="31"/>
  <c r="S30" i="28"/>
  <c r="S30" i="26"/>
  <c r="S30" i="22"/>
  <c r="S30" i="12"/>
  <c r="S30" i="34"/>
  <c r="S30" i="16"/>
  <c r="S30" i="23"/>
  <c r="S30" i="25"/>
  <c r="S30" i="21"/>
  <c r="S30" i="33"/>
  <c r="S30" i="30"/>
  <c r="S30" i="15"/>
  <c r="S30" i="24"/>
  <c r="S30" i="20"/>
  <c r="S30" i="10"/>
  <c r="S30" i="29"/>
  <c r="S30" i="9"/>
  <c r="S30" i="11"/>
  <c r="S30" i="7"/>
  <c r="S30" i="4"/>
  <c r="S30" i="13"/>
  <c r="S30" i="8"/>
  <c r="S30" i="5"/>
  <c r="S30" i="32"/>
  <c r="S30" i="27"/>
  <c r="S30" i="6"/>
  <c r="S30" i="1"/>
  <c r="S30" i="19"/>
  <c r="S64" i="31"/>
  <c r="R64" i="31"/>
  <c r="R66" i="31" s="1"/>
  <c r="R67" i="26"/>
  <c r="R71" i="26" s="1"/>
  <c r="U28" i="18" s="1"/>
  <c r="S64" i="27"/>
  <c r="R64" i="27"/>
  <c r="R66" i="27" s="1"/>
  <c r="R67" i="28"/>
  <c r="R71" i="28" s="1"/>
  <c r="Y28" i="18" s="1"/>
  <c r="S64" i="28"/>
  <c r="R64" i="28"/>
  <c r="R66" i="28" s="1"/>
  <c r="R64" i="33"/>
  <c r="R66" i="33" s="1"/>
  <c r="S64" i="33"/>
  <c r="R67" i="32"/>
  <c r="R71" i="32" s="1"/>
  <c r="AD28" i="18" s="1"/>
  <c r="I102" i="28"/>
  <c r="R67" i="31"/>
  <c r="R71" i="31" s="1"/>
  <c r="AC28" i="18" s="1"/>
  <c r="I102" i="31"/>
  <c r="S64" i="4"/>
  <c r="N76" i="9"/>
  <c r="N76" i="24"/>
  <c r="K98" i="24"/>
  <c r="K99" i="24" s="1"/>
  <c r="K100" i="24" s="1"/>
  <c r="J98" i="24"/>
  <c r="J99" i="24" s="1"/>
  <c r="J100" i="24" s="1"/>
  <c r="S64" i="15"/>
  <c r="R71" i="7"/>
  <c r="H28" i="18" s="1"/>
  <c r="R64" i="4"/>
  <c r="R66" i="4" s="1"/>
  <c r="R70" i="4" s="1"/>
  <c r="E27" i="18" s="1"/>
  <c r="I102" i="22"/>
  <c r="N76" i="22"/>
  <c r="K98" i="22"/>
  <c r="K99" i="22" s="1"/>
  <c r="K100" i="22" s="1"/>
  <c r="J98" i="22"/>
  <c r="J99" i="22" s="1"/>
  <c r="J100" i="22" s="1"/>
  <c r="N76" i="20"/>
  <c r="K98" i="20"/>
  <c r="K99" i="20" s="1"/>
  <c r="K100" i="20" s="1"/>
  <c r="J98" i="20"/>
  <c r="J99" i="20" s="1"/>
  <c r="J100" i="20" s="1"/>
  <c r="K98" i="19"/>
  <c r="K99" i="19" s="1"/>
  <c r="K100" i="19" s="1"/>
  <c r="J98" i="19"/>
  <c r="J99" i="19" s="1"/>
  <c r="J100" i="19" s="1"/>
  <c r="N76" i="19"/>
  <c r="N76" i="17"/>
  <c r="AG26" i="18"/>
  <c r="K98" i="17"/>
  <c r="K99" i="17" s="1"/>
  <c r="K100" i="17" s="1"/>
  <c r="J98" i="17"/>
  <c r="J99" i="17" s="1"/>
  <c r="J100" i="17" s="1"/>
  <c r="N76" i="16"/>
  <c r="K98" i="16"/>
  <c r="K99" i="16" s="1"/>
  <c r="K100" i="16" s="1"/>
  <c r="AB26" i="18"/>
  <c r="J98" i="16"/>
  <c r="J99" i="16" s="1"/>
  <c r="J100" i="16" s="1"/>
  <c r="R64" i="15"/>
  <c r="K98" i="15"/>
  <c r="K99" i="15" s="1"/>
  <c r="K100" i="15" s="1"/>
  <c r="J98" i="15"/>
  <c r="J99" i="15" s="1"/>
  <c r="J100" i="15" s="1"/>
  <c r="W26" i="18"/>
  <c r="N76" i="15"/>
  <c r="N76" i="13"/>
  <c r="I102" i="13"/>
  <c r="K98" i="13"/>
  <c r="K99" i="13" s="1"/>
  <c r="K100" i="13" s="1"/>
  <c r="J98" i="13"/>
  <c r="J99" i="13" s="1"/>
  <c r="J100" i="13" s="1"/>
  <c r="N76" i="12"/>
  <c r="K98" i="12"/>
  <c r="K99" i="12" s="1"/>
  <c r="K100" i="12" s="1"/>
  <c r="J98" i="12"/>
  <c r="J99" i="12" s="1"/>
  <c r="J100" i="12" s="1"/>
  <c r="I102" i="11"/>
  <c r="S64" i="11"/>
  <c r="R64" i="11"/>
  <c r="R66" i="11" s="1"/>
  <c r="K98" i="11"/>
  <c r="K99" i="11" s="1"/>
  <c r="K100" i="11" s="1"/>
  <c r="J98" i="11"/>
  <c r="J99" i="11" s="1"/>
  <c r="J100" i="11" s="1"/>
  <c r="N76" i="11"/>
  <c r="N76" i="10"/>
  <c r="K98" i="10"/>
  <c r="K99" i="10" s="1"/>
  <c r="K100" i="10" s="1"/>
  <c r="J98" i="10"/>
  <c r="J99" i="10" s="1"/>
  <c r="J100" i="10" s="1"/>
  <c r="K98" i="9"/>
  <c r="K99" i="9" s="1"/>
  <c r="K100" i="9" s="1"/>
  <c r="J98" i="9"/>
  <c r="J99" i="9" s="1"/>
  <c r="J100" i="9" s="1"/>
  <c r="K98" i="8"/>
  <c r="K99" i="8" s="1"/>
  <c r="K100" i="8" s="1"/>
  <c r="J98" i="8"/>
  <c r="J99" i="8" s="1"/>
  <c r="J100" i="8" s="1"/>
  <c r="N76" i="8"/>
  <c r="I102" i="7"/>
  <c r="K98" i="7"/>
  <c r="K99" i="7" s="1"/>
  <c r="K100" i="7" s="1"/>
  <c r="J98" i="7"/>
  <c r="J99" i="7" s="1"/>
  <c r="J100" i="7" s="1"/>
  <c r="N76" i="7"/>
  <c r="I102" i="5"/>
  <c r="N76" i="6"/>
  <c r="K98" i="6"/>
  <c r="K99" i="6" s="1"/>
  <c r="K100" i="6" s="1"/>
  <c r="J98" i="6"/>
  <c r="J99" i="6" s="1"/>
  <c r="J100" i="6" s="1"/>
  <c r="N76" i="5"/>
  <c r="K98" i="5"/>
  <c r="K99" i="5" s="1"/>
  <c r="K100" i="5" s="1"/>
  <c r="J98" i="5"/>
  <c r="J99" i="5" s="1"/>
  <c r="J100" i="5" s="1"/>
  <c r="N76" i="4"/>
  <c r="I102" i="4"/>
  <c r="K98" i="4"/>
  <c r="K99" i="4" s="1"/>
  <c r="K100" i="4" s="1"/>
  <c r="J98" i="4"/>
  <c r="J99" i="4" s="1"/>
  <c r="J100" i="4" s="1"/>
  <c r="S90" i="11" l="1"/>
  <c r="AF27" i="18"/>
  <c r="S65" i="7"/>
  <c r="AF28" i="18"/>
  <c r="S65" i="10"/>
  <c r="R68" i="7"/>
  <c r="R72" i="7" s="1"/>
  <c r="H29" i="18" s="1"/>
  <c r="S31" i="39"/>
  <c r="S31" i="40"/>
  <c r="S31" i="37"/>
  <c r="S31" i="36"/>
  <c r="S31" i="38"/>
  <c r="R68" i="10"/>
  <c r="R72" i="10" s="1"/>
  <c r="K29" i="18" s="1"/>
  <c r="K48" i="18" s="1"/>
  <c r="S65" i="13"/>
  <c r="R68" i="8"/>
  <c r="R72" i="8" s="1"/>
  <c r="I29" i="18" s="1"/>
  <c r="I48" i="18" s="1"/>
  <c r="S65" i="8"/>
  <c r="S65" i="5"/>
  <c r="S65" i="12"/>
  <c r="R68" i="12"/>
  <c r="R72" i="12" s="1"/>
  <c r="M29" i="18" s="1"/>
  <c r="M48" i="18" s="1"/>
  <c r="R68" i="20"/>
  <c r="R72" i="20" s="1"/>
  <c r="O29" i="18" s="1"/>
  <c r="O48" i="18" s="1"/>
  <c r="S65" i="20"/>
  <c r="S65" i="16"/>
  <c r="S65" i="9"/>
  <c r="AB48" i="18"/>
  <c r="R68" i="5"/>
  <c r="R72" i="5" s="1"/>
  <c r="F29" i="18" s="1"/>
  <c r="F48" i="18" s="1"/>
  <c r="R70" i="22"/>
  <c r="Q27" i="18" s="1"/>
  <c r="S65" i="22"/>
  <c r="S65" i="21"/>
  <c r="R68" i="17"/>
  <c r="R72" i="17" s="1"/>
  <c r="AG29" i="18" s="1"/>
  <c r="R70" i="21"/>
  <c r="P27" i="18" s="1"/>
  <c r="R68" i="13"/>
  <c r="R72" i="13" s="1"/>
  <c r="R29" i="18" s="1"/>
  <c r="S65" i="17"/>
  <c r="S65" i="34"/>
  <c r="R70" i="16"/>
  <c r="AB27" i="18" s="1"/>
  <c r="R68" i="19"/>
  <c r="R72" i="19" s="1"/>
  <c r="N29" i="18" s="1"/>
  <c r="R68" i="9"/>
  <c r="R72" i="9" s="1"/>
  <c r="J29" i="18" s="1"/>
  <c r="S65" i="19"/>
  <c r="S65" i="23"/>
  <c r="S65" i="25"/>
  <c r="R68" i="6"/>
  <c r="R72" i="6" s="1"/>
  <c r="G29" i="18" s="1"/>
  <c r="S65" i="6"/>
  <c r="S90" i="34"/>
  <c r="S65" i="30"/>
  <c r="R68" i="24"/>
  <c r="R72" i="24" s="1"/>
  <c r="S29" i="18" s="1"/>
  <c r="S65" i="24"/>
  <c r="S90" i="19"/>
  <c r="S90" i="8"/>
  <c r="R92" i="16"/>
  <c r="S90" i="25"/>
  <c r="R72" i="22"/>
  <c r="Q29" i="18" s="1"/>
  <c r="R92" i="22"/>
  <c r="S90" i="12"/>
  <c r="S90" i="10"/>
  <c r="S65" i="32"/>
  <c r="S90" i="13"/>
  <c r="S90" i="27"/>
  <c r="S90" i="16"/>
  <c r="S90" i="9"/>
  <c r="S90" i="33"/>
  <c r="S78" i="15"/>
  <c r="S77" i="15"/>
  <c r="S89" i="15"/>
  <c r="S83" i="15"/>
  <c r="S82" i="15"/>
  <c r="S79" i="15"/>
  <c r="S84" i="15"/>
  <c r="S76" i="15"/>
  <c r="S80" i="15"/>
  <c r="S81" i="15"/>
  <c r="S87" i="15"/>
  <c r="S75" i="15"/>
  <c r="S86" i="15"/>
  <c r="S85" i="15"/>
  <c r="S90" i="23"/>
  <c r="S90" i="29"/>
  <c r="S90" i="5"/>
  <c r="S90" i="20"/>
  <c r="S90" i="30"/>
  <c r="R72" i="21"/>
  <c r="P29" i="18" s="1"/>
  <c r="R92" i="21"/>
  <c r="S90" i="6"/>
  <c r="S90" i="22"/>
  <c r="S90" i="4"/>
  <c r="S65" i="29"/>
  <c r="R68" i="25"/>
  <c r="S65" i="26"/>
  <c r="R68" i="26"/>
  <c r="S65" i="27"/>
  <c r="R68" i="23"/>
  <c r="R68" i="34"/>
  <c r="R70" i="33"/>
  <c r="AE27" i="18" s="1"/>
  <c r="R68" i="33"/>
  <c r="R70" i="31"/>
  <c r="AC27" i="18" s="1"/>
  <c r="R68" i="31"/>
  <c r="R70" i="28"/>
  <c r="Y27" i="18" s="1"/>
  <c r="R68" i="28"/>
  <c r="S65" i="28"/>
  <c r="R70" i="27"/>
  <c r="V27" i="18" s="1"/>
  <c r="R68" i="27"/>
  <c r="R68" i="32"/>
  <c r="R68" i="4"/>
  <c r="S65" i="31"/>
  <c r="S65" i="33"/>
  <c r="R68" i="29"/>
  <c r="R68" i="30"/>
  <c r="AU28" i="18"/>
  <c r="S31" i="32"/>
  <c r="S31" i="29"/>
  <c r="S31" i="27"/>
  <c r="S31" i="13"/>
  <c r="S31" i="19"/>
  <c r="S31" i="9"/>
  <c r="S31" i="17"/>
  <c r="S31" i="31"/>
  <c r="S31" i="28"/>
  <c r="S31" i="26"/>
  <c r="S31" i="22"/>
  <c r="S31" i="12"/>
  <c r="S31" i="34"/>
  <c r="S31" i="16"/>
  <c r="S31" i="23"/>
  <c r="S31" i="25"/>
  <c r="S31" i="21"/>
  <c r="S31" i="11"/>
  <c r="S31" i="30"/>
  <c r="S31" i="7"/>
  <c r="S31" i="4"/>
  <c r="S31" i="24"/>
  <c r="S31" i="6"/>
  <c r="S31" i="1"/>
  <c r="S31" i="20"/>
  <c r="S31" i="33"/>
  <c r="S31" i="15"/>
  <c r="S31" i="10"/>
  <c r="S31" i="8"/>
  <c r="S31" i="5"/>
  <c r="S65" i="4"/>
  <c r="R68" i="11"/>
  <c r="R70" i="11"/>
  <c r="L27" i="18" s="1"/>
  <c r="R66" i="15"/>
  <c r="S65" i="15"/>
  <c r="S65" i="11"/>
  <c r="R92" i="7" l="1"/>
  <c r="AG48" i="18"/>
  <c r="V28" i="40"/>
  <c r="V28" i="38"/>
  <c r="V28" i="39"/>
  <c r="V28" i="37"/>
  <c r="V28" i="36"/>
  <c r="R92" i="10"/>
  <c r="R92" i="8"/>
  <c r="R92" i="12"/>
  <c r="R92" i="20"/>
  <c r="R92" i="5"/>
  <c r="P48" i="18"/>
  <c r="S48" i="18"/>
  <c r="G48" i="18"/>
  <c r="J48" i="18"/>
  <c r="H48" i="18"/>
  <c r="Q48" i="18"/>
  <c r="N48" i="18"/>
  <c r="R48" i="18"/>
  <c r="R92" i="6"/>
  <c r="R92" i="17"/>
  <c r="R92" i="13"/>
  <c r="R92" i="19"/>
  <c r="R92" i="9"/>
  <c r="R92" i="24"/>
  <c r="S90" i="15"/>
  <c r="R72" i="27"/>
  <c r="V29" i="18" s="1"/>
  <c r="R92" i="27"/>
  <c r="R72" i="34"/>
  <c r="R92" i="34"/>
  <c r="R72" i="30"/>
  <c r="AA29" i="18" s="1"/>
  <c r="R92" i="30"/>
  <c r="R72" i="23"/>
  <c r="X29" i="18" s="1"/>
  <c r="R92" i="23"/>
  <c r="R72" i="25"/>
  <c r="T29" i="18" s="1"/>
  <c r="R92" i="25"/>
  <c r="R72" i="26"/>
  <c r="U29" i="18" s="1"/>
  <c r="R92" i="26"/>
  <c r="R72" i="11"/>
  <c r="L29" i="18" s="1"/>
  <c r="R92" i="11"/>
  <c r="R72" i="31"/>
  <c r="AC29" i="18" s="1"/>
  <c r="R92" i="31"/>
  <c r="R72" i="4"/>
  <c r="E29" i="18" s="1"/>
  <c r="R92" i="4"/>
  <c r="R72" i="29"/>
  <c r="Z29" i="18" s="1"/>
  <c r="R92" i="29"/>
  <c r="R72" i="32"/>
  <c r="AD29" i="18" s="1"/>
  <c r="R92" i="32"/>
  <c r="R72" i="28"/>
  <c r="Y29" i="18" s="1"/>
  <c r="R92" i="28"/>
  <c r="R72" i="33"/>
  <c r="AE29" i="18" s="1"/>
  <c r="R92" i="33"/>
  <c r="AU29" i="18"/>
  <c r="V28" i="32"/>
  <c r="V28" i="29"/>
  <c r="V28" i="27"/>
  <c r="V28" i="13"/>
  <c r="V28" i="19"/>
  <c r="V28" i="9"/>
  <c r="V28" i="17"/>
  <c r="V28" i="31"/>
  <c r="V28" i="28"/>
  <c r="V28" i="26"/>
  <c r="V28" i="22"/>
  <c r="V28" i="12"/>
  <c r="V28" i="34"/>
  <c r="V28" i="16"/>
  <c r="V28" i="23"/>
  <c r="V28" i="25"/>
  <c r="V28" i="21"/>
  <c r="V28" i="11"/>
  <c r="V28" i="24"/>
  <c r="V28" i="8"/>
  <c r="V28" i="5"/>
  <c r="V28" i="33"/>
  <c r="V28" i="7"/>
  <c r="V28" i="4"/>
  <c r="V28" i="15"/>
  <c r="V28" i="20"/>
  <c r="V28" i="10"/>
  <c r="V28" i="6"/>
  <c r="V28" i="30"/>
  <c r="V28" i="1"/>
  <c r="R70" i="15"/>
  <c r="W27" i="18" s="1"/>
  <c r="R68" i="15"/>
  <c r="AF29" i="18" l="1"/>
  <c r="AF48" i="18" s="1"/>
  <c r="V29" i="38"/>
  <c r="V29" i="39"/>
  <c r="V29" i="36"/>
  <c r="V29" i="40"/>
  <c r="V29" i="37"/>
  <c r="Y48" i="18"/>
  <c r="Z48" i="18"/>
  <c r="AC48" i="18"/>
  <c r="U48" i="18"/>
  <c r="X48" i="18"/>
  <c r="AE48" i="18"/>
  <c r="AD48" i="18"/>
  <c r="E48" i="18"/>
  <c r="L48" i="18"/>
  <c r="T48" i="18"/>
  <c r="AA48" i="18"/>
  <c r="V48" i="18"/>
  <c r="R72" i="15"/>
  <c r="W29" i="18" s="1"/>
  <c r="R92" i="15"/>
  <c r="AU30" i="18"/>
  <c r="V29" i="33"/>
  <c r="V29" i="30"/>
  <c r="V29" i="15"/>
  <c r="V29" i="24"/>
  <c r="V29" i="20"/>
  <c r="V29" i="10"/>
  <c r="V29" i="32"/>
  <c r="V29" i="29"/>
  <c r="V29" i="27"/>
  <c r="V29" i="13"/>
  <c r="V29" i="19"/>
  <c r="V29" i="17"/>
  <c r="V29" i="31"/>
  <c r="V29" i="28"/>
  <c r="V29" i="26"/>
  <c r="V29" i="22"/>
  <c r="V29" i="12"/>
  <c r="V29" i="25"/>
  <c r="V29" i="6"/>
  <c r="V29" i="1"/>
  <c r="V29" i="34"/>
  <c r="V29" i="9"/>
  <c r="V29" i="11"/>
  <c r="V29" i="23"/>
  <c r="V29" i="21"/>
  <c r="V29" i="16"/>
  <c r="V29" i="7"/>
  <c r="V29" i="4"/>
  <c r="V29" i="8"/>
  <c r="V29" i="5"/>
  <c r="H26" i="1"/>
  <c r="AL48" i="18" l="1"/>
  <c r="AK48" i="18"/>
  <c r="AH48" i="18"/>
  <c r="AI48" i="18"/>
  <c r="V30" i="39"/>
  <c r="V30" i="40"/>
  <c r="V30" i="38"/>
  <c r="V30" i="37"/>
  <c r="V30" i="36"/>
  <c r="W48" i="18"/>
  <c r="AU31" i="18"/>
  <c r="V30" i="34"/>
  <c r="V30" i="16"/>
  <c r="V30" i="23"/>
  <c r="V30" i="25"/>
  <c r="V30" i="21"/>
  <c r="V30" i="11"/>
  <c r="V30" i="33"/>
  <c r="V30" i="30"/>
  <c r="V30" i="15"/>
  <c r="V30" i="24"/>
  <c r="V30" i="20"/>
  <c r="V30" i="32"/>
  <c r="V30" i="29"/>
  <c r="V30" i="27"/>
  <c r="V30" i="13"/>
  <c r="V30" i="19"/>
  <c r="V30" i="8"/>
  <c r="V30" i="5"/>
  <c r="V30" i="26"/>
  <c r="V30" i="7"/>
  <c r="V30" i="4"/>
  <c r="V30" i="12"/>
  <c r="V30" i="17"/>
  <c r="V30" i="28"/>
  <c r="V30" i="22"/>
  <c r="V30" i="6"/>
  <c r="V30" i="1"/>
  <c r="V30" i="10"/>
  <c r="V30" i="9"/>
  <c r="V30" i="31"/>
  <c r="L43" i="1"/>
  <c r="L42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V31" i="38" l="1"/>
  <c r="V31" i="39"/>
  <c r="V31" i="36"/>
  <c r="V31" i="40"/>
  <c r="V31" i="37"/>
  <c r="V31" i="17"/>
  <c r="V31" i="31"/>
  <c r="V31" i="28"/>
  <c r="V31" i="26"/>
  <c r="V31" i="22"/>
  <c r="V31" i="12"/>
  <c r="V31" i="34"/>
  <c r="V31" i="16"/>
  <c r="V31" i="23"/>
  <c r="V31" i="25"/>
  <c r="V31" i="21"/>
  <c r="V31" i="33"/>
  <c r="V31" i="30"/>
  <c r="V31" i="15"/>
  <c r="V31" i="24"/>
  <c r="V31" i="20"/>
  <c r="V31" i="10"/>
  <c r="V31" i="32"/>
  <c r="V31" i="27"/>
  <c r="V31" i="6"/>
  <c r="V31" i="1"/>
  <c r="V31" i="8"/>
  <c r="V31" i="13"/>
  <c r="V31" i="5"/>
  <c r="V31" i="19"/>
  <c r="V31" i="9"/>
  <c r="V31" i="29"/>
  <c r="V31" i="11"/>
  <c r="V31" i="7"/>
  <c r="V31" i="4"/>
  <c r="L14" i="1"/>
  <c r="L13" i="1"/>
  <c r="L12" i="1"/>
  <c r="L11" i="1"/>
  <c r="L10" i="1"/>
  <c r="L9" i="1"/>
  <c r="L8" i="1"/>
  <c r="L7" i="1"/>
  <c r="L6" i="1"/>
  <c r="H49" i="1"/>
  <c r="H48" i="1"/>
  <c r="H47" i="1"/>
  <c r="H46" i="1"/>
  <c r="H45" i="1"/>
  <c r="H44" i="1"/>
  <c r="H43" i="1"/>
  <c r="H42" i="1"/>
  <c r="H36" i="1"/>
  <c r="H35" i="1"/>
  <c r="H34" i="1"/>
  <c r="H33" i="1"/>
  <c r="H32" i="1"/>
  <c r="H31" i="1"/>
  <c r="H30" i="1"/>
  <c r="H29" i="1"/>
  <c r="H28" i="1"/>
  <c r="H27" i="1"/>
  <c r="H25" i="1"/>
  <c r="H24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D49" i="1"/>
  <c r="D48" i="1"/>
  <c r="D47" i="1"/>
  <c r="D46" i="1"/>
  <c r="D45" i="1"/>
  <c r="D44" i="1"/>
  <c r="D43" i="1"/>
  <c r="D25" i="1"/>
  <c r="D24" i="1"/>
  <c r="D23" i="1"/>
  <c r="D22" i="1"/>
  <c r="D16" i="1"/>
  <c r="D15" i="1"/>
  <c r="D14" i="1"/>
  <c r="D13" i="1"/>
  <c r="D12" i="1"/>
  <c r="D11" i="1"/>
  <c r="D10" i="1"/>
  <c r="D9" i="1"/>
  <c r="D8" i="1"/>
  <c r="D7" i="1"/>
  <c r="D6" i="1"/>
  <c r="E70" i="1" l="1"/>
  <c r="E68" i="1"/>
  <c r="I66" i="1"/>
  <c r="I63" i="1"/>
  <c r="I68" i="1"/>
  <c r="I59" i="1"/>
  <c r="I58" i="1"/>
  <c r="I57" i="1"/>
  <c r="E69" i="1"/>
  <c r="E66" i="1"/>
  <c r="E67" i="1"/>
  <c r="I74" i="1"/>
  <c r="I76" i="1" s="1"/>
  <c r="I67" i="1"/>
  <c r="I60" i="1"/>
  <c r="H93" i="1"/>
  <c r="H100" i="1" s="1"/>
  <c r="H92" i="1"/>
  <c r="I64" i="1"/>
  <c r="I65" i="1"/>
  <c r="I61" i="1"/>
  <c r="I62" i="1"/>
  <c r="E65" i="1"/>
  <c r="E64" i="1"/>
  <c r="I73" i="1"/>
  <c r="E71" i="1"/>
  <c r="R63" i="1" l="1"/>
  <c r="H99" i="1"/>
  <c r="C83" i="1" l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G43" i="1" l="1"/>
  <c r="C23" i="1"/>
  <c r="C24" i="1" s="1"/>
  <c r="K8" i="1"/>
  <c r="G25" i="1"/>
  <c r="G26" i="1" s="1"/>
  <c r="G27" i="1" l="1"/>
  <c r="G28" i="1" s="1"/>
  <c r="G29" i="1" s="1"/>
  <c r="G30" i="1" s="1"/>
  <c r="G31" i="1" s="1"/>
  <c r="G32" i="1" s="1"/>
  <c r="M11" i="1" l="1"/>
  <c r="M43" i="1"/>
  <c r="I18" i="1"/>
  <c r="I17" i="1"/>
  <c r="I16" i="1"/>
  <c r="I14" i="1"/>
  <c r="I13" i="1"/>
  <c r="I15" i="1"/>
  <c r="I31" i="1"/>
  <c r="I25" i="1"/>
  <c r="I36" i="1"/>
  <c r="I33" i="1"/>
  <c r="I32" i="1"/>
  <c r="I34" i="1"/>
  <c r="I44" i="1"/>
  <c r="I43" i="1"/>
  <c r="I48" i="1"/>
  <c r="E47" i="1"/>
  <c r="E49" i="1"/>
  <c r="E48" i="1"/>
  <c r="E25" i="1"/>
  <c r="I7" i="1"/>
  <c r="I45" i="1"/>
  <c r="E44" i="1"/>
  <c r="I35" i="1"/>
  <c r="I28" i="1"/>
  <c r="I24" i="1"/>
  <c r="I27" i="1"/>
  <c r="I30" i="1"/>
  <c r="I26" i="1"/>
  <c r="I29" i="1"/>
  <c r="I49" i="1"/>
  <c r="M14" i="1"/>
  <c r="I46" i="1"/>
  <c r="M8" i="1"/>
  <c r="M24" i="1"/>
  <c r="M29" i="1"/>
  <c r="M32" i="1"/>
  <c r="M33" i="1"/>
  <c r="M12" i="1"/>
  <c r="M7" i="1"/>
  <c r="I10" i="1"/>
  <c r="I11" i="1"/>
  <c r="M23" i="1"/>
  <c r="I12" i="1"/>
  <c r="I8" i="1"/>
  <c r="M34" i="1"/>
  <c r="I6" i="1"/>
  <c r="I9" i="1"/>
  <c r="M13" i="1"/>
  <c r="M22" i="1"/>
  <c r="M31" i="1"/>
  <c r="M28" i="1"/>
  <c r="I47" i="1"/>
  <c r="M42" i="1"/>
  <c r="G33" i="1"/>
  <c r="G34" i="1" s="1"/>
  <c r="G35" i="1" s="1"/>
  <c r="G36" i="1" s="1"/>
  <c r="E6" i="1" l="1"/>
  <c r="E45" i="1"/>
  <c r="E11" i="1"/>
  <c r="E10" i="1"/>
  <c r="E9" i="1"/>
  <c r="E23" i="1"/>
  <c r="E8" i="1"/>
  <c r="E22" i="1"/>
  <c r="E7" i="1"/>
  <c r="E24" i="1"/>
  <c r="E12" i="1"/>
  <c r="E15" i="1"/>
  <c r="E14" i="1"/>
  <c r="E16" i="1"/>
  <c r="E13" i="1"/>
  <c r="E46" i="1"/>
  <c r="M50" i="1"/>
  <c r="H82" i="1" l="1"/>
  <c r="G44" i="1"/>
  <c r="G45" i="1" s="1"/>
  <c r="K24" i="1"/>
  <c r="K23" i="1" s="1"/>
  <c r="K25" i="1" s="1"/>
  <c r="K10" i="1"/>
  <c r="K11" i="1" s="1"/>
  <c r="K12" i="1" s="1"/>
  <c r="G7" i="1"/>
  <c r="G8" i="1" s="1"/>
  <c r="G9" i="1" s="1"/>
  <c r="G10" i="1" s="1"/>
  <c r="G11" i="1" s="1"/>
  <c r="G12" i="1" s="1"/>
  <c r="G13" i="1" s="1"/>
  <c r="G14" i="1" s="1"/>
  <c r="G15" i="1" s="1"/>
  <c r="G16" i="1" s="1"/>
  <c r="C7" i="1"/>
  <c r="C8" i="1" s="1"/>
  <c r="C9" i="1" s="1"/>
  <c r="C10" i="1" s="1"/>
  <c r="C11" i="1" s="1"/>
  <c r="C12" i="1" s="1"/>
  <c r="C13" i="1" l="1"/>
  <c r="C14" i="1" s="1"/>
  <c r="C15" i="1" s="1"/>
  <c r="C16" i="1" s="1"/>
  <c r="C25" i="1" s="1"/>
  <c r="G46" i="1"/>
  <c r="G47" i="1" s="1"/>
  <c r="G48" i="1" s="1"/>
  <c r="G17" i="1"/>
  <c r="G49" i="1" s="1"/>
  <c r="G18" i="1" s="1"/>
  <c r="K26" i="1"/>
  <c r="K27" i="1" s="1"/>
  <c r="K28" i="1" s="1"/>
  <c r="K29" i="1" s="1"/>
  <c r="K30" i="1" s="1"/>
  <c r="K31" i="1" s="1"/>
  <c r="K32" i="1" s="1"/>
  <c r="K33" i="1" s="1"/>
  <c r="K34" i="1" s="1"/>
  <c r="K43" i="1"/>
  <c r="K9" i="1"/>
  <c r="K13" i="1"/>
  <c r="K14" i="1" s="1"/>
  <c r="C44" i="1"/>
  <c r="C45" i="1" s="1"/>
  <c r="C46" i="1" s="1"/>
  <c r="C47" i="1" s="1"/>
  <c r="C48" i="1" s="1"/>
  <c r="C49" i="1" s="1"/>
  <c r="I56" i="1" l="1"/>
  <c r="I92" i="1" l="1"/>
  <c r="I75" i="1"/>
  <c r="E60" i="1"/>
  <c r="P37" i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I99" i="1" l="1"/>
  <c r="R85" i="1"/>
  <c r="H96" i="1"/>
  <c r="I77" i="1"/>
  <c r="P51" i="1"/>
  <c r="P52" i="1" s="1"/>
  <c r="P53" i="1" s="1"/>
  <c r="P54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D42" i="18" l="1"/>
  <c r="AM42" i="18" s="1"/>
  <c r="I96" i="1"/>
  <c r="R89" i="1" s="1"/>
  <c r="D46" i="18" s="1"/>
  <c r="AM46" i="18" s="1"/>
  <c r="U53" i="1"/>
  <c r="U54" i="1"/>
  <c r="I42" i="1"/>
  <c r="R47" i="1"/>
  <c r="R48" i="1"/>
  <c r="U46" i="1"/>
  <c r="E43" i="1"/>
  <c r="U52" i="1"/>
  <c r="R39" i="1"/>
  <c r="R52" i="1"/>
  <c r="R53" i="1"/>
  <c r="R41" i="1"/>
  <c r="X38" i="1"/>
  <c r="M6" i="1"/>
  <c r="S47" i="1"/>
  <c r="S48" i="1" s="1"/>
  <c r="S49" i="1" s="1"/>
  <c r="S50" i="1" s="1"/>
  <c r="S51" i="1" s="1"/>
  <c r="S52" i="1" s="1"/>
  <c r="S53" i="1" s="1"/>
  <c r="S54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S46" i="1"/>
  <c r="M9" i="1"/>
  <c r="U40" i="1"/>
  <c r="U39" i="1"/>
  <c r="U51" i="1"/>
  <c r="U50" i="1"/>
  <c r="U49" i="1"/>
  <c r="U38" i="1"/>
  <c r="X42" i="1"/>
  <c r="X44" i="1"/>
  <c r="X43" i="1"/>
  <c r="X45" i="1"/>
  <c r="U48" i="1"/>
  <c r="M25" i="1"/>
  <c r="X49" i="1" s="1"/>
  <c r="G74" i="1"/>
  <c r="G75" i="1" s="1"/>
  <c r="G76" i="1" s="1"/>
  <c r="C57" i="1"/>
  <c r="C58" i="1" s="1"/>
  <c r="C59" i="1" s="1"/>
  <c r="V46" i="1" l="1"/>
  <c r="V47" i="1" s="1"/>
  <c r="V48" i="1" s="1"/>
  <c r="V49" i="1" s="1"/>
  <c r="V50" i="1" s="1"/>
  <c r="V51" i="1" s="1"/>
  <c r="V52" i="1" s="1"/>
  <c r="V53" i="1" s="1"/>
  <c r="V54" i="1" s="1"/>
  <c r="H91" i="1"/>
  <c r="I91" i="1" s="1"/>
  <c r="R84" i="1" s="1"/>
  <c r="D41" i="18" s="1"/>
  <c r="AM41" i="18" s="1"/>
  <c r="H86" i="1"/>
  <c r="H88" i="1"/>
  <c r="H87" i="1"/>
  <c r="I87" i="1" s="1"/>
  <c r="R80" i="1" s="1"/>
  <c r="D37" i="18" s="1"/>
  <c r="AM37" i="18" s="1"/>
  <c r="H84" i="1"/>
  <c r="H85" i="1"/>
  <c r="I85" i="1" s="1"/>
  <c r="R78" i="1" s="1"/>
  <c r="D35" i="18" s="1"/>
  <c r="AM35" i="18" s="1"/>
  <c r="H83" i="1"/>
  <c r="I83" i="1" s="1"/>
  <c r="R76" i="1" s="1"/>
  <c r="D33" i="18" s="1"/>
  <c r="AM33" i="18" s="1"/>
  <c r="I19" i="1"/>
  <c r="I37" i="1"/>
  <c r="R50" i="1"/>
  <c r="R38" i="1"/>
  <c r="R36" i="1"/>
  <c r="E38" i="1"/>
  <c r="X40" i="1"/>
  <c r="U47" i="1"/>
  <c r="X46" i="1"/>
  <c r="R54" i="1"/>
  <c r="X37" i="1"/>
  <c r="U36" i="1"/>
  <c r="U45" i="1"/>
  <c r="R49" i="1"/>
  <c r="R46" i="1"/>
  <c r="X36" i="1"/>
  <c r="U37" i="1"/>
  <c r="E50" i="1"/>
  <c r="U41" i="1"/>
  <c r="R40" i="1"/>
  <c r="U44" i="1"/>
  <c r="X41" i="1"/>
  <c r="E26" i="1"/>
  <c r="R37" i="1"/>
  <c r="R42" i="1"/>
  <c r="R43" i="1"/>
  <c r="R44" i="1"/>
  <c r="R45" i="1"/>
  <c r="U43" i="1"/>
  <c r="E72" i="1"/>
  <c r="H94" i="1"/>
  <c r="I69" i="1" l="1"/>
  <c r="M75" i="1" s="1"/>
  <c r="D24" i="18" s="1"/>
  <c r="I94" i="1"/>
  <c r="R87" i="1" s="1"/>
  <c r="D44" i="18" s="1"/>
  <c r="AM44" i="18" s="1"/>
  <c r="R60" i="1"/>
  <c r="M70" i="1"/>
  <c r="D19" i="18" s="1"/>
  <c r="H95" i="1"/>
  <c r="I95" i="1" s="1"/>
  <c r="R88" i="1" s="1"/>
  <c r="D45" i="18" s="1"/>
  <c r="AM45" i="18" s="1"/>
  <c r="M74" i="1"/>
  <c r="D23" i="18" s="1"/>
  <c r="R51" i="1"/>
  <c r="E17" i="1"/>
  <c r="X39" i="1"/>
  <c r="G57" i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C64" i="1" s="1"/>
  <c r="C65" i="1" s="1"/>
  <c r="C66" i="1" s="1"/>
  <c r="C67" i="1" s="1"/>
  <c r="C68" i="1" s="1"/>
  <c r="C69" i="1" s="1"/>
  <c r="C70" i="1" s="1"/>
  <c r="C71" i="1" s="1"/>
  <c r="M69" i="1" l="1"/>
  <c r="D18" i="18" s="1"/>
  <c r="R62" i="1"/>
  <c r="E52" i="1"/>
  <c r="I82" i="1"/>
  <c r="M30" i="1"/>
  <c r="X53" i="1" s="1"/>
  <c r="M26" i="1"/>
  <c r="X50" i="1" s="1"/>
  <c r="X54" i="1"/>
  <c r="M27" i="1"/>
  <c r="X51" i="1" s="1"/>
  <c r="X52" i="1"/>
  <c r="M10" i="1"/>
  <c r="H89" i="1" s="1"/>
  <c r="I93" i="1"/>
  <c r="I50" i="1"/>
  <c r="M71" i="1" s="1"/>
  <c r="D20" i="18" s="1"/>
  <c r="R75" i="1" l="1"/>
  <c r="D32" i="18" s="1"/>
  <c r="AM32" i="18" s="1"/>
  <c r="I100" i="1"/>
  <c r="R86" i="1"/>
  <c r="M37" i="1"/>
  <c r="H90" i="1"/>
  <c r="H97" i="1" s="1"/>
  <c r="U42" i="1"/>
  <c r="I52" i="1"/>
  <c r="X48" i="1"/>
  <c r="M17" i="1"/>
  <c r="X47" i="1"/>
  <c r="I88" i="1"/>
  <c r="R81" i="1" s="1"/>
  <c r="D38" i="18" s="1"/>
  <c r="AM38" i="18" s="1"/>
  <c r="I86" i="1"/>
  <c r="R79" i="1" s="1"/>
  <c r="D36" i="18" s="1"/>
  <c r="AM36" i="18" s="1"/>
  <c r="I89" i="1"/>
  <c r="R82" i="1" s="1"/>
  <c r="D39" i="18" s="1"/>
  <c r="AM39" i="18" s="1"/>
  <c r="D43" i="18" l="1"/>
  <c r="AM43" i="18" s="1"/>
  <c r="S62" i="1"/>
  <c r="U55" i="1"/>
  <c r="R61" i="1"/>
  <c r="S63" i="1"/>
  <c r="S60" i="1"/>
  <c r="X55" i="1"/>
  <c r="M72" i="1"/>
  <c r="D21" i="18" s="1"/>
  <c r="I90" i="1"/>
  <c r="R83" i="1" s="1"/>
  <c r="D40" i="18" s="1"/>
  <c r="AM40" i="18" s="1"/>
  <c r="I84" i="1"/>
  <c r="R77" i="1" s="1"/>
  <c r="D34" i="18" s="1"/>
  <c r="AM34" i="18" s="1"/>
  <c r="R90" i="1" l="1"/>
  <c r="S80" i="1" s="1"/>
  <c r="D47" i="18"/>
  <c r="S61" i="1"/>
  <c r="S64" i="1" s="1"/>
  <c r="I97" i="1"/>
  <c r="L97" i="1" s="1"/>
  <c r="D31" i="18" l="1"/>
  <c r="AM47" i="18"/>
  <c r="S86" i="1"/>
  <c r="S84" i="1"/>
  <c r="S77" i="1"/>
  <c r="S79" i="1"/>
  <c r="S89" i="1"/>
  <c r="S88" i="1"/>
  <c r="S81" i="1"/>
  <c r="S85" i="1"/>
  <c r="S75" i="1"/>
  <c r="S87" i="1"/>
  <c r="S82" i="1"/>
  <c r="S76" i="1"/>
  <c r="S78" i="1"/>
  <c r="S83" i="1"/>
  <c r="R64" i="1"/>
  <c r="R66" i="1" s="1"/>
  <c r="R65" i="1"/>
  <c r="R67" i="1" s="1"/>
  <c r="R71" i="1" s="1"/>
  <c r="D28" i="18" s="1"/>
  <c r="AM28" i="18" s="1"/>
  <c r="M52" i="1"/>
  <c r="M73" i="1"/>
  <c r="D22" i="18" s="1"/>
  <c r="AN46" i="18" l="1"/>
  <c r="AN42" i="18"/>
  <c r="AN37" i="18"/>
  <c r="AN33" i="18"/>
  <c r="AN41" i="18"/>
  <c r="AN35" i="18"/>
  <c r="AN45" i="18"/>
  <c r="AN44" i="18"/>
  <c r="AN38" i="18"/>
  <c r="AN36" i="18"/>
  <c r="AN39" i="18"/>
  <c r="AN32" i="18"/>
  <c r="AN43" i="18"/>
  <c r="AN34" i="18"/>
  <c r="AN40" i="18"/>
  <c r="S90" i="1"/>
  <c r="R68" i="1"/>
  <c r="R70" i="1"/>
  <c r="D27" i="18" s="1"/>
  <c r="AM27" i="18" s="1"/>
  <c r="S65" i="1"/>
  <c r="M76" i="1"/>
  <c r="D25" i="18" s="1"/>
  <c r="AN47" i="18" l="1"/>
  <c r="AN29" i="18"/>
  <c r="R72" i="1"/>
  <c r="D29" i="18" s="1"/>
  <c r="R92" i="1"/>
  <c r="R58" i="1"/>
  <c r="R59" i="1" s="1"/>
  <c r="E77" i="1"/>
  <c r="H98" i="1"/>
  <c r="J101" i="1"/>
  <c r="E75" i="1"/>
  <c r="M77" i="1"/>
  <c r="D26" i="18" s="1"/>
  <c r="H101" i="1"/>
  <c r="I98" i="1"/>
  <c r="N73" i="1"/>
  <c r="E76" i="1"/>
  <c r="N74" i="1"/>
  <c r="N75" i="1"/>
  <c r="N70" i="1"/>
  <c r="N71" i="1"/>
  <c r="N69" i="1"/>
  <c r="N72" i="1"/>
  <c r="AL30" i="18" l="1"/>
  <c r="AM29" i="18"/>
  <c r="AG30" i="18"/>
  <c r="AK30" i="18"/>
  <c r="AI30" i="18"/>
  <c r="AJ30" i="18"/>
  <c r="AH30" i="18"/>
  <c r="D48" i="18"/>
  <c r="D30" i="18"/>
  <c r="O30" i="18"/>
  <c r="P30" i="18"/>
  <c r="AB30" i="18"/>
  <c r="F30" i="18"/>
  <c r="L30" i="18"/>
  <c r="U30" i="18"/>
  <c r="G30" i="18"/>
  <c r="J30" i="18"/>
  <c r="Z30" i="18"/>
  <c r="I30" i="18"/>
  <c r="W30" i="18"/>
  <c r="H30" i="18"/>
  <c r="Q30" i="18"/>
  <c r="Y30" i="18"/>
  <c r="E30" i="18"/>
  <c r="K30" i="18"/>
  <c r="M30" i="18"/>
  <c r="N30" i="18"/>
  <c r="V30" i="18"/>
  <c r="AE30" i="18"/>
  <c r="S30" i="18"/>
  <c r="T30" i="18"/>
  <c r="AA30" i="18"/>
  <c r="AF30" i="18"/>
  <c r="AC30" i="18"/>
  <c r="R30" i="18"/>
  <c r="X30" i="18"/>
  <c r="AD30" i="18"/>
  <c r="I102" i="1"/>
  <c r="K98" i="1"/>
  <c r="K99" i="1" s="1"/>
  <c r="K100" i="1" s="1"/>
  <c r="J98" i="1"/>
  <c r="J99" i="1" s="1"/>
  <c r="J100" i="1" s="1"/>
  <c r="N76" i="1"/>
  <c r="AN28" i="18" l="1"/>
  <c r="AN27" i="18"/>
</calcChain>
</file>

<file path=xl/sharedStrings.xml><?xml version="1.0" encoding="utf-8"?>
<sst xmlns="http://schemas.openxmlformats.org/spreadsheetml/2006/main" count="10420" uniqueCount="285">
  <si>
    <t>Área técnica - Atividade-fim</t>
  </si>
  <si>
    <t>Descrição</t>
  </si>
  <si>
    <t>Quantidade</t>
  </si>
  <si>
    <t>Área Administrativa - Atividade-meio</t>
  </si>
  <si>
    <t>Item</t>
  </si>
  <si>
    <t>Total da Área Administrativa</t>
  </si>
  <si>
    <t>Relação de Cargos do Quadro Permanente</t>
  </si>
  <si>
    <t>Chefe de Gabinete</t>
  </si>
  <si>
    <t>Nº de Ligações A</t>
  </si>
  <si>
    <t>Nº de Ligações E</t>
  </si>
  <si>
    <t>Testada média (m)</t>
  </si>
  <si>
    <t>Nº de Economias Água</t>
  </si>
  <si>
    <t>Nº de Economias Esgoto</t>
  </si>
  <si>
    <t>Diretor Presidente</t>
  </si>
  <si>
    <t>Relação de Funções Gratificadas</t>
  </si>
  <si>
    <t>Assessor Técnico</t>
  </si>
  <si>
    <t>Auditor Geral</t>
  </si>
  <si>
    <t>Secretário Executivo</t>
  </si>
  <si>
    <t>Conselheiro Fiscal</t>
  </si>
  <si>
    <t>Cargos em Comissão Remunerados</t>
  </si>
  <si>
    <t>Extensão rede de água (m)</t>
  </si>
  <si>
    <t>Extensão rede de esgoto (m)</t>
  </si>
  <si>
    <t>Nº de Func. da Administração</t>
  </si>
  <si>
    <t>Nº Total de Funcionários</t>
  </si>
  <si>
    <t>Conselheiro Administração</t>
  </si>
  <si>
    <t>Supervisão Jurídica</t>
  </si>
  <si>
    <t>Chefia de Divisão</t>
  </si>
  <si>
    <t>Chefia de Setor</t>
  </si>
  <si>
    <t>Supervisão de Equipe</t>
  </si>
  <si>
    <t>Relação de Cargos de Governança</t>
  </si>
  <si>
    <t>Área técnica - Planejamento</t>
  </si>
  <si>
    <t>Área Administrativa - Comercial</t>
  </si>
  <si>
    <t>Área Administrativa - Geral</t>
  </si>
  <si>
    <t>Informações do Sistema</t>
  </si>
  <si>
    <t>Total</t>
  </si>
  <si>
    <t>Total Área Administrativa</t>
  </si>
  <si>
    <t>Total da Área Mnutenção</t>
  </si>
  <si>
    <t>Relação de Cargos Executivos em Comissão</t>
  </si>
  <si>
    <t>Relação de Cargos Táticos em Comissão</t>
  </si>
  <si>
    <t>Grau de automação dos sistemas A</t>
  </si>
  <si>
    <t>Grau de automação dos sistemas E</t>
  </si>
  <si>
    <t>Relação de Pessoal</t>
  </si>
  <si>
    <t>Nº Cargo Comissão/ Func Total</t>
  </si>
  <si>
    <t>Nº de Func. da Manutenção A+E</t>
  </si>
  <si>
    <t>Nº de Func. da Operação A+E</t>
  </si>
  <si>
    <t>Valor</t>
  </si>
  <si>
    <t>Ass. CS/ RC/ RI</t>
  </si>
  <si>
    <t>Remuneração dos Cargos em Comissão e Funções Gratificadas</t>
  </si>
  <si>
    <t>Folha de Pagamento Mensal</t>
  </si>
  <si>
    <t>LST</t>
  </si>
  <si>
    <t>Valor Bruto</t>
  </si>
  <si>
    <t>Valor co LST</t>
  </si>
  <si>
    <t>Área técnica - Operação Água</t>
  </si>
  <si>
    <t>Área técnica - Operação Esgoto</t>
  </si>
  <si>
    <t>Área Administrativa - Pratimonial</t>
  </si>
  <si>
    <t>Área técnica - Manutenção de Redes Técnica</t>
  </si>
  <si>
    <t>Área técnica - Manutenção Eletromecânica Operacional</t>
  </si>
  <si>
    <t>Área técnica - Manutenção Eletromecânica Técnica</t>
  </si>
  <si>
    <t>Nº de Func. do Planejamento</t>
  </si>
  <si>
    <t>Nº de Func. do Comercial</t>
  </si>
  <si>
    <t>Rel. Economias A/Ligação A</t>
  </si>
  <si>
    <t>Rel. Economias E/Ligação E</t>
  </si>
  <si>
    <t>Analista (Biólogo)</t>
  </si>
  <si>
    <t>Analista (Eng Ambiental)</t>
  </si>
  <si>
    <t>Analista (Eng Cartografia)</t>
  </si>
  <si>
    <t>Analista (Eng Civil )</t>
  </si>
  <si>
    <t>Analista (Eng Eletricista)</t>
  </si>
  <si>
    <t>Analista (Eng Mecânico)</t>
  </si>
  <si>
    <t>Analista (Eng Quimico)</t>
  </si>
  <si>
    <t>Analista (Eng Sanitarista)</t>
  </si>
  <si>
    <t>Analista (Geólogo)</t>
  </si>
  <si>
    <t>Analista (Quimico)</t>
  </si>
  <si>
    <t>Assistente Técnico (Topógrafo)</t>
  </si>
  <si>
    <t>Assistente Técnico (Bioquimica)</t>
  </si>
  <si>
    <t>Assistente Técnico (Edificações)</t>
  </si>
  <si>
    <t>Assistente Técnico (Eletrônica)</t>
  </si>
  <si>
    <t>Assistente Técnico (Eletrotécnica)</t>
  </si>
  <si>
    <t>Assistente Técnico (Mecânica)</t>
  </si>
  <si>
    <t>Assistente Técnico (Quimica)</t>
  </si>
  <si>
    <t>Assistente Técnico (Saneamento)</t>
  </si>
  <si>
    <t>Assistente Administrativo</t>
  </si>
  <si>
    <t>Analista (Assistente Social)</t>
  </si>
  <si>
    <t>Analista (Contador)</t>
  </si>
  <si>
    <t>Analista (Eng Segurança do Trab.)</t>
  </si>
  <si>
    <t>Assistente Técnico (Fiscal de Postura)</t>
  </si>
  <si>
    <t>Analista (Jornalista)</t>
  </si>
  <si>
    <t>Analista (Psicológo)</t>
  </si>
  <si>
    <t>Analista (Secretária Executiva)</t>
  </si>
  <si>
    <t>Assistente Técnico (Computação/TI)</t>
  </si>
  <si>
    <t>Assistente Técnico (Seg. trabalho)</t>
  </si>
  <si>
    <t>Analista (Advogado)</t>
  </si>
  <si>
    <t>Auxiliar Administrativo (Call Center)</t>
  </si>
  <si>
    <t>Analista (Administração/Ecomonia)</t>
  </si>
  <si>
    <t>Analista (Eng Computação/Sistemas/TI)</t>
  </si>
  <si>
    <t>Nº Func Adm+ Comercial/ Func Total</t>
  </si>
  <si>
    <t>Nº Func Produção + Manutenção/ Func Total</t>
  </si>
  <si>
    <t>CA - Conselheiro Administração</t>
  </si>
  <si>
    <t>Diretor</t>
  </si>
  <si>
    <t>Gerente /Ass Téc. / Ass. Amb/Chefe de Gabinete</t>
  </si>
  <si>
    <t>LST médio</t>
  </si>
  <si>
    <t>Funçoes Gratificadas</t>
  </si>
  <si>
    <t>Auxiliar Operacional (Servente/Ajudante)</t>
  </si>
  <si>
    <t>Auxiliar Operacional (Calceteiro/Pedreiro)</t>
  </si>
  <si>
    <t>Auxiliar Operacional (Eletricista)</t>
  </si>
  <si>
    <t>Auxiliar Operacional (Encanador)</t>
  </si>
  <si>
    <t>Auxiliar Operacional (Encarregado Turma)</t>
  </si>
  <si>
    <t>Auxiliar Operacional (Laboratorista)</t>
  </si>
  <si>
    <t>Auxiliar Operacional (Mecânico)</t>
  </si>
  <si>
    <t>Auxiliar Operacional (Motorista classe D)</t>
  </si>
  <si>
    <t>Auxiliar Operacional (Mestre de Obras)</t>
  </si>
  <si>
    <t>Auxiliar Operacional (Nivelador)</t>
  </si>
  <si>
    <t>Auxiliar Operacional (Operador de bombas)</t>
  </si>
  <si>
    <t>Auxiliar Operacional (Operador de ETA)</t>
  </si>
  <si>
    <t>Auxiliar Operacional (Operador de ETE)</t>
  </si>
  <si>
    <t>Auxiliar Operacional (Motorista classe E)</t>
  </si>
  <si>
    <t>Auxiliar Operacional (Pedreiro)</t>
  </si>
  <si>
    <t>Auxiliar Operacional (Soldador)</t>
  </si>
  <si>
    <t>Auxiliar Operacional (Serralheiro)</t>
  </si>
  <si>
    <t>Auxiliar Operacional (Copeiro/Faxineiro)</t>
  </si>
  <si>
    <t>Auxiliar Operacional (Leiturista)</t>
  </si>
  <si>
    <t>Auxiliar Operacional (Vigia)</t>
  </si>
  <si>
    <t>Auxiliar Operacional (Motorista classe A-D)</t>
  </si>
  <si>
    <t>Total Área Operacional e Técnica</t>
  </si>
  <si>
    <t>Assessor de Gestão Ambiental</t>
  </si>
  <si>
    <t>Assessor de Comunicação Social</t>
  </si>
  <si>
    <t>Assessor de Relações Corporativas</t>
  </si>
  <si>
    <t>Assessor de Relações Institucionais</t>
  </si>
  <si>
    <t>Assessor Júridico/Corregedor Geral</t>
  </si>
  <si>
    <t>Diretor de Negócios Jurídicos</t>
  </si>
  <si>
    <t>Diretor de Gestão Corporativa</t>
  </si>
  <si>
    <t>Diretor de Gestão Técnica</t>
  </si>
  <si>
    <t>AG - Representante dos Acionistas</t>
  </si>
  <si>
    <t>Gerente Jurídico Administrativo</t>
  </si>
  <si>
    <t>Gerente Jurídico Contencioso</t>
  </si>
  <si>
    <t>Gerente Administrativo e Financeiro</t>
  </si>
  <si>
    <t>Gerente de Relações c/ Usuário</t>
  </si>
  <si>
    <t>Gerente de Operação e Manutenção</t>
  </si>
  <si>
    <t>Gerente de Planejamento Projetos e Obras</t>
  </si>
  <si>
    <t>Gerente de Operação e Manutenção - Água</t>
  </si>
  <si>
    <t>Gerente de Operação e Manutenção - Esgoto</t>
  </si>
  <si>
    <t>Auditor Geral /Ass Júridico/Corregedor Geral</t>
  </si>
  <si>
    <t>Remuneração Média dos Cargos do Quadro Permanente</t>
  </si>
  <si>
    <t>Auxiliar Operacional (Oper de microsistemas)</t>
  </si>
  <si>
    <t>Área técnica - Manutenção de Redes Operacional</t>
  </si>
  <si>
    <t>Assistente Técnico (Desenhista)</t>
  </si>
  <si>
    <t>Assistente Técnico (Contabilidade)</t>
  </si>
  <si>
    <t>Área Operacional e Técnica - Atividade-fim</t>
  </si>
  <si>
    <t>Analista (Eng de Automação/Mecatrônica)</t>
  </si>
  <si>
    <t>Classe</t>
  </si>
  <si>
    <t>C</t>
  </si>
  <si>
    <t>D</t>
  </si>
  <si>
    <t>E</t>
  </si>
  <si>
    <t>A</t>
  </si>
  <si>
    <t>B</t>
  </si>
  <si>
    <t>Conselheiro Fiscal/Comitê Estatutário</t>
  </si>
  <si>
    <t>CC - Conselheiro Consultivo da Comunidade</t>
  </si>
  <si>
    <t>CF - Conselheiro Fiscal e CE - Comitê Estatutário</t>
  </si>
  <si>
    <t>Nº Ligações A+E por funcionário</t>
  </si>
  <si>
    <t>Área técnica - Manut de Redes - Técnica</t>
  </si>
  <si>
    <t>Área técnica - Manutenção de Redes - Operacional</t>
  </si>
  <si>
    <t>Área técnica - Manut Eletromecânica - Operacional</t>
  </si>
  <si>
    <t>Área técnica - Manut Eletromecânica - Técnica</t>
  </si>
  <si>
    <t>Cargos Executivos</t>
  </si>
  <si>
    <t>Cargos Táticos</t>
  </si>
  <si>
    <t>Salário médio Operacional</t>
  </si>
  <si>
    <t>Salário médio Conselho ADM</t>
  </si>
  <si>
    <t>Salário médio Conselho Fiscal +CE</t>
  </si>
  <si>
    <t>Custo cargos de Conselho</t>
  </si>
  <si>
    <t>Custo cargos de Operacionais</t>
  </si>
  <si>
    <t>Custo cargos de Administrativos</t>
  </si>
  <si>
    <t>Custo de cargos Gerenciais</t>
  </si>
  <si>
    <t>Total da Área Técnica Operação</t>
  </si>
  <si>
    <t>População Atendida Água</t>
  </si>
  <si>
    <t>População Atendida Esgoto</t>
  </si>
  <si>
    <t>Tipo de Operador : Público (0) ou SEM/Empresa Privada (1)</t>
  </si>
  <si>
    <t>Nº de Func Cargos Tático</t>
  </si>
  <si>
    <t>Nº de Func Cargos Executivo</t>
  </si>
  <si>
    <t>Total Mensal</t>
  </si>
  <si>
    <t>Salario Médio por funcionário</t>
  </si>
  <si>
    <t>LST médio por funcionário</t>
  </si>
  <si>
    <t>Folha de pagamento sem encargos anual</t>
  </si>
  <si>
    <t>Encargos sobre a folha de pagamento anual</t>
  </si>
  <si>
    <t>Custeio de mão de obra e encargos sociais anual</t>
  </si>
  <si>
    <t>Custo anual de mão de obra e encargos sociais</t>
  </si>
  <si>
    <t>Resultados projetados</t>
  </si>
  <si>
    <t>PRINCIPAIS RESULTADOS DO PROJETO</t>
  </si>
  <si>
    <t>Unid.</t>
  </si>
  <si>
    <t>R$</t>
  </si>
  <si>
    <t>EVOLUÇÃO ANUAL DOS PRINCIPAIS INDICADORES FINANCEIROS</t>
  </si>
  <si>
    <t>Ano</t>
  </si>
  <si>
    <t>hab.</t>
  </si>
  <si>
    <t>m</t>
  </si>
  <si>
    <t>-</t>
  </si>
  <si>
    <t>%</t>
  </si>
  <si>
    <t>unid.</t>
  </si>
  <si>
    <t>Lig/func</t>
  </si>
  <si>
    <t>Total da folha pagamento Mensal</t>
  </si>
  <si>
    <t xml:space="preserve">Crescimento </t>
  </si>
  <si>
    <t>Extensão rede de água</t>
  </si>
  <si>
    <t>Extensão rede de esgoto</t>
  </si>
  <si>
    <t>Km</t>
  </si>
  <si>
    <t>Remuneração dos Cargos Táticos, Executivos e Funções Gratificadas</t>
  </si>
  <si>
    <t>Resumo</t>
  </si>
  <si>
    <t>Dados de entrada</t>
  </si>
  <si>
    <t>CBO</t>
  </si>
  <si>
    <t>4142-05</t>
  </si>
  <si>
    <t>2148-10</t>
  </si>
  <si>
    <t>2021-10</t>
  </si>
  <si>
    <t>2211-05</t>
  </si>
  <si>
    <t>3111-05</t>
  </si>
  <si>
    <t>2140-05</t>
  </si>
  <si>
    <t>2143-05</t>
  </si>
  <si>
    <t>2144-05</t>
  </si>
  <si>
    <t>2145-05</t>
  </si>
  <si>
    <t>2142-60</t>
  </si>
  <si>
    <t>2134-05</t>
  </si>
  <si>
    <t>7152-10</t>
  </si>
  <si>
    <t>9501-10</t>
  </si>
  <si>
    <t>7241-10</t>
  </si>
  <si>
    <t>9511-05</t>
  </si>
  <si>
    <t>8181-10</t>
  </si>
  <si>
    <t>7250-10</t>
  </si>
  <si>
    <t>7825-10</t>
  </si>
  <si>
    <t>7151-35</t>
  </si>
  <si>
    <t>7102-05</t>
  </si>
  <si>
    <t>3123-20</t>
  </si>
  <si>
    <t>8621-40</t>
  </si>
  <si>
    <t>7152-05</t>
  </si>
  <si>
    <t>7170-20</t>
  </si>
  <si>
    <t>7243-15</t>
  </si>
  <si>
    <t>7244-40</t>
  </si>
  <si>
    <t>3180-10</t>
  </si>
  <si>
    <t>3011-10</t>
  </si>
  <si>
    <t>3122-10</t>
  </si>
  <si>
    <t>4222-05</t>
  </si>
  <si>
    <t>5143-20</t>
  </si>
  <si>
    <t>5174-20</t>
  </si>
  <si>
    <t>5199-40</t>
  </si>
  <si>
    <t>7823-05</t>
  </si>
  <si>
    <t>4223-20</t>
  </si>
  <si>
    <t>3171-10</t>
  </si>
  <si>
    <t>3516-05</t>
  </si>
  <si>
    <t>2410-05</t>
  </si>
  <si>
    <t>2521-05</t>
  </si>
  <si>
    <t>2516-05</t>
  </si>
  <si>
    <t>2122-15</t>
  </si>
  <si>
    <t>2522-10</t>
  </si>
  <si>
    <t>2149-15</t>
  </si>
  <si>
    <t>2611-25</t>
  </si>
  <si>
    <t>2515-40</t>
  </si>
  <si>
    <t>2523-05</t>
  </si>
  <si>
    <t>R$/mês</t>
  </si>
  <si>
    <t>maximo</t>
  </si>
  <si>
    <t>mínimo</t>
  </si>
  <si>
    <t>3121-05</t>
  </si>
  <si>
    <t>3132-15</t>
  </si>
  <si>
    <t>3003-05</t>
  </si>
  <si>
    <t>2142-05</t>
  </si>
  <si>
    <t>Analista (Eng Civil Saneamento )</t>
  </si>
  <si>
    <t>4110-10</t>
  </si>
  <si>
    <t>3511-05</t>
  </si>
  <si>
    <t>Mediana</t>
  </si>
  <si>
    <t>2132-05</t>
  </si>
  <si>
    <t>Analista (Secretário)</t>
  </si>
  <si>
    <t>Analista (Secretária)</t>
  </si>
  <si>
    <t xml:space="preserve"> Cargos do Quadro Permanente</t>
  </si>
  <si>
    <t>Mínimo</t>
  </si>
  <si>
    <t>Máximo</t>
  </si>
  <si>
    <t>1210-10</t>
  </si>
  <si>
    <t>1421-05</t>
  </si>
  <si>
    <t>1423-05</t>
  </si>
  <si>
    <t>1527-05</t>
  </si>
  <si>
    <t>1231-05</t>
  </si>
  <si>
    <t>Gerente Jurídico</t>
  </si>
  <si>
    <t>2410-40</t>
  </si>
  <si>
    <t>1237-05</t>
  </si>
  <si>
    <t>2522-05</t>
  </si>
  <si>
    <t>2323-05</t>
  </si>
  <si>
    <t>Assessor  de Diretoria</t>
  </si>
  <si>
    <t>Área Estratégica</t>
  </si>
  <si>
    <t>Área Tática</t>
  </si>
  <si>
    <t>Área Operacional- Atividade-fim</t>
  </si>
  <si>
    <t>Área Técnica - Atividade-fim</t>
  </si>
  <si>
    <t>% de Custo cargos de Operacionais</t>
  </si>
  <si>
    <t>Indice de Reajuste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</si>
</sst>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8" formatCode="&quot;R$&quot;\ #,##0.00;[Red]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0.0000"/>
    <numFmt numFmtId="167" formatCode="0.000000"/>
    <numFmt numFmtId="168" formatCode="0.000%"/>
    <numFmt numFmtId="169" formatCode="0.0000%"/>
    <numFmt numFmtId="170" formatCode="0.00000%"/>
    <numFmt numFmtId="171" formatCode="_(* #,##0_);_(* \(#,##0\);_(* &quot;-&quot;_);_(@_)"/>
    <numFmt numFmtId="172" formatCode="#,##0.0000"/>
    <numFmt numFmtId="173" formatCode="#,##0.00_ ;[Red]\-#,##0.00\ "/>
    <numFmt numFmtId="174" formatCode="#,##0.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4" tint="-0.499984740745262"/>
      <name val="Arial Narrow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color theme="4" tint="-0.499984740745262"/>
      <name val="Arial Narrow"/>
      <family val="2"/>
    </font>
    <font>
      <b/>
      <sz val="9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447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</cellStyleXfs>
  <cellXfs count="367">
    <xf numFmtId="0" fontId="0" fillId="0" borderId="0" xfId="0"/>
    <xf numFmtId="0" fontId="0" fillId="3" borderId="1" xfId="0" applyFill="1" applyBorder="1"/>
    <xf numFmtId="0" fontId="1" fillId="3" borderId="1" xfId="0" applyFont="1" applyFill="1" applyBorder="1"/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15" xfId="0" applyFont="1" applyFill="1" applyBorder="1"/>
    <xf numFmtId="0" fontId="0" fillId="0" borderId="0" xfId="0" applyAlignment="1">
      <alignment horizontal="center"/>
    </xf>
    <xf numFmtId="0" fontId="1" fillId="2" borderId="16" xfId="0" applyFont="1" applyFill="1" applyBorder="1"/>
    <xf numFmtId="0" fontId="1" fillId="2" borderId="17" xfId="0" applyFont="1" applyFill="1" applyBorder="1"/>
    <xf numFmtId="0" fontId="0" fillId="3" borderId="2" xfId="0" applyFill="1" applyBorder="1" applyAlignment="1">
      <alignment horizontal="center"/>
    </xf>
    <xf numFmtId="0" fontId="1" fillId="3" borderId="3" xfId="0" applyFont="1" applyFill="1" applyBorder="1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1" fillId="3" borderId="8" xfId="0" applyFont="1" applyFill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164" fontId="1" fillId="3" borderId="6" xfId="0" applyNumberFormat="1" applyFont="1" applyFill="1" applyBorder="1" applyAlignment="1">
      <alignment vertical="center"/>
    </xf>
    <xf numFmtId="0" fontId="1" fillId="3" borderId="16" xfId="0" applyFont="1" applyFill="1" applyBorder="1" applyAlignment="1">
      <alignment horizontal="left"/>
    </xf>
    <xf numFmtId="0" fontId="1" fillId="3" borderId="17" xfId="0" applyFont="1" applyFill="1" applyBorder="1" applyAlignment="1">
      <alignment horizontal="left"/>
    </xf>
    <xf numFmtId="1" fontId="1" fillId="2" borderId="10" xfId="0" applyNumberFormat="1" applyFont="1" applyFill="1" applyBorder="1" applyAlignment="1">
      <alignment horizontal="center"/>
    </xf>
    <xf numFmtId="0" fontId="0" fillId="3" borderId="26" xfId="0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0" fontId="1" fillId="0" borderId="4" xfId="0" applyNumberFormat="1" applyFont="1" applyBorder="1" applyAlignment="1">
      <alignment horizontal="center"/>
    </xf>
    <xf numFmtId="10" fontId="1" fillId="0" borderId="9" xfId="2" applyNumberFormat="1" applyFont="1" applyBorder="1" applyAlignment="1">
      <alignment horizontal="center"/>
    </xf>
    <xf numFmtId="164" fontId="3" fillId="0" borderId="0" xfId="0" applyNumberFormat="1" applyFont="1"/>
    <xf numFmtId="164" fontId="3" fillId="2" borderId="6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/>
    </xf>
    <xf numFmtId="0" fontId="1" fillId="3" borderId="2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0" fillId="3" borderId="16" xfId="0" applyFill="1" applyBorder="1" applyAlignment="1">
      <alignment horizontal="center"/>
    </xf>
    <xf numFmtId="0" fontId="1" fillId="3" borderId="17" xfId="0" applyFont="1" applyFill="1" applyBorder="1"/>
    <xf numFmtId="0" fontId="0" fillId="3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164" fontId="1" fillId="3" borderId="27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1" fillId="3" borderId="18" xfId="0" applyNumberFormat="1" applyFont="1" applyFill="1" applyBorder="1" applyAlignment="1">
      <alignment horizontal="center" vertical="center"/>
    </xf>
    <xf numFmtId="164" fontId="1" fillId="3" borderId="27" xfId="0" applyNumberFormat="1" applyFont="1" applyFill="1" applyBorder="1" applyAlignment="1">
      <alignment vertical="center"/>
    </xf>
    <xf numFmtId="44" fontId="0" fillId="0" borderId="1" xfId="3" applyFont="1" applyBorder="1" applyAlignment="1">
      <alignment horizontal="center" vertical="center"/>
    </xf>
    <xf numFmtId="44" fontId="0" fillId="0" borderId="8" xfId="3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44" fontId="0" fillId="0" borderId="26" xfId="3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44" fontId="1" fillId="2" borderId="29" xfId="0" applyNumberFormat="1" applyFont="1" applyFill="1" applyBorder="1"/>
    <xf numFmtId="0" fontId="1" fillId="3" borderId="19" xfId="0" applyFont="1" applyFill="1" applyBorder="1" applyAlignment="1">
      <alignment horizontal="left"/>
    </xf>
    <xf numFmtId="0" fontId="1" fillId="3" borderId="24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2" borderId="41" xfId="0" applyFont="1" applyFill="1" applyBorder="1" applyAlignment="1">
      <alignment horizontal="center"/>
    </xf>
    <xf numFmtId="0" fontId="0" fillId="0" borderId="24" xfId="0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0" borderId="5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165" fontId="1" fillId="3" borderId="6" xfId="0" applyNumberFormat="1" applyFont="1" applyFill="1" applyBorder="1" applyAlignment="1">
      <alignment horizontal="center" vertical="center"/>
    </xf>
    <xf numFmtId="165" fontId="1" fillId="3" borderId="18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41" fontId="0" fillId="3" borderId="26" xfId="0" applyNumberFormat="1" applyFill="1" applyBorder="1" applyAlignment="1">
      <alignment horizontal="left" vertical="center"/>
    </xf>
    <xf numFmtId="41" fontId="0" fillId="2" borderId="1" xfId="0" applyNumberFormat="1" applyFill="1" applyBorder="1" applyAlignment="1">
      <alignment horizontal="left" vertical="center"/>
    </xf>
    <xf numFmtId="41" fontId="0" fillId="3" borderId="1" xfId="0" applyNumberFormat="1" applyFill="1" applyBorder="1" applyAlignment="1">
      <alignment horizontal="left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  <xf numFmtId="10" fontId="1" fillId="3" borderId="6" xfId="2" applyNumberFormat="1" applyFont="1" applyFill="1" applyBorder="1" applyAlignment="1">
      <alignment horizontal="center"/>
    </xf>
    <xf numFmtId="0" fontId="1" fillId="0" borderId="42" xfId="0" applyFont="1" applyBorder="1" applyAlignment="1">
      <alignment horizontal="center" vertical="center"/>
    </xf>
    <xf numFmtId="44" fontId="0" fillId="0" borderId="3" xfId="3" applyFont="1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44" fontId="0" fillId="0" borderId="0" xfId="0" applyNumberFormat="1"/>
    <xf numFmtId="41" fontId="0" fillId="3" borderId="4" xfId="0" applyNumberFormat="1" applyFill="1" applyBorder="1" applyAlignment="1">
      <alignment horizontal="left" vertical="center"/>
    </xf>
    <xf numFmtId="41" fontId="0" fillId="2" borderId="6" xfId="0" applyNumberFormat="1" applyFill="1" applyBorder="1" applyAlignment="1">
      <alignment horizontal="left" vertical="center"/>
    </xf>
    <xf numFmtId="41" fontId="0" fillId="3" borderId="6" xfId="0" applyNumberFormat="1" applyFill="1" applyBorder="1" applyAlignment="1">
      <alignment horizontal="left" vertical="center"/>
    </xf>
    <xf numFmtId="41" fontId="0" fillId="3" borderId="9" xfId="0" applyNumberFormat="1" applyFill="1" applyBorder="1" applyAlignment="1">
      <alignment horizontal="left" vertical="center"/>
    </xf>
    <xf numFmtId="41" fontId="1" fillId="2" borderId="31" xfId="0" applyNumberFormat="1" applyFont="1" applyFill="1" applyBorder="1" applyAlignment="1">
      <alignment horizontal="center" vertical="center"/>
    </xf>
    <xf numFmtId="41" fontId="1" fillId="2" borderId="10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1" fontId="0" fillId="0" borderId="0" xfId="0" applyNumberFormat="1"/>
    <xf numFmtId="41" fontId="0" fillId="0" borderId="0" xfId="0" applyNumberFormat="1"/>
    <xf numFmtId="0" fontId="0" fillId="0" borderId="0" xfId="0" applyAlignment="1">
      <alignment horizontal="right"/>
    </xf>
    <xf numFmtId="44" fontId="0" fillId="0" borderId="46" xfId="0" applyNumberFormat="1" applyBorder="1"/>
    <xf numFmtId="9" fontId="0" fillId="0" borderId="0" xfId="2" applyFont="1"/>
    <xf numFmtId="10" fontId="0" fillId="0" borderId="0" xfId="2" applyNumberFormat="1" applyFont="1"/>
    <xf numFmtId="10" fontId="1" fillId="4" borderId="9" xfId="2" applyNumberFormat="1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left"/>
    </xf>
    <xf numFmtId="0" fontId="1" fillId="3" borderId="26" xfId="0" applyFont="1" applyFill="1" applyBorder="1" applyAlignment="1">
      <alignment horizontal="left"/>
    </xf>
    <xf numFmtId="3" fontId="1" fillId="4" borderId="4" xfId="1" applyNumberFormat="1" applyFont="1" applyFill="1" applyBorder="1" applyAlignment="1">
      <alignment horizontal="center" vertical="center"/>
    </xf>
    <xf numFmtId="3" fontId="1" fillId="4" borderId="6" xfId="1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/>
    </xf>
    <xf numFmtId="3" fontId="1" fillId="4" borderId="9" xfId="0" applyNumberFormat="1" applyFont="1" applyFill="1" applyBorder="1" applyAlignment="1">
      <alignment horizontal="center" vertical="center"/>
    </xf>
    <xf numFmtId="10" fontId="1" fillId="4" borderId="4" xfId="2" applyNumberFormat="1" applyFont="1" applyFill="1" applyBorder="1" applyAlignment="1">
      <alignment horizontal="center" vertical="center"/>
    </xf>
    <xf numFmtId="4" fontId="4" fillId="0" borderId="0" xfId="0" applyNumberFormat="1" applyFont="1"/>
    <xf numFmtId="44" fontId="0" fillId="0" borderId="1" xfId="0" applyNumberFormat="1" applyBorder="1"/>
    <xf numFmtId="10" fontId="0" fillId="0" borderId="6" xfId="2" applyNumberFormat="1" applyFont="1" applyBorder="1"/>
    <xf numFmtId="10" fontId="0" fillId="0" borderId="6" xfId="0" applyNumberFormat="1" applyBorder="1"/>
    <xf numFmtId="0" fontId="0" fillId="0" borderId="25" xfId="0" applyBorder="1"/>
    <xf numFmtId="0" fontId="0" fillId="0" borderId="26" xfId="0" applyBorder="1"/>
    <xf numFmtId="0" fontId="0" fillId="0" borderId="16" xfId="0" applyBorder="1"/>
    <xf numFmtId="0" fontId="0" fillId="0" borderId="17" xfId="0" applyBorder="1"/>
    <xf numFmtId="0" fontId="6" fillId="0" borderId="47" xfId="4" applyFont="1" applyBorder="1" applyAlignment="1">
      <alignment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172" fontId="9" fillId="0" borderId="0" xfId="0" applyNumberFormat="1" applyFont="1" applyAlignment="1">
      <alignment horizontal="center" vertical="center"/>
    </xf>
    <xf numFmtId="0" fontId="6" fillId="0" borderId="0" xfId="4" applyFont="1" applyAlignment="1">
      <alignment vertical="center"/>
    </xf>
    <xf numFmtId="0" fontId="1" fillId="0" borderId="14" xfId="0" applyFont="1" applyBorder="1"/>
    <xf numFmtId="0" fontId="1" fillId="0" borderId="15" xfId="0" applyFont="1" applyBorder="1"/>
    <xf numFmtId="1" fontId="7" fillId="5" borderId="45" xfId="0" applyNumberFormat="1" applyFont="1" applyFill="1" applyBorder="1" applyAlignment="1">
      <alignment horizontal="center" vertical="center"/>
    </xf>
    <xf numFmtId="0" fontId="10" fillId="7" borderId="48" xfId="0" applyFont="1" applyFill="1" applyBorder="1" applyAlignment="1">
      <alignment horizontal="center" vertical="center"/>
    </xf>
    <xf numFmtId="0" fontId="1" fillId="3" borderId="48" xfId="0" applyFont="1" applyFill="1" applyBorder="1" applyAlignment="1">
      <alignment horizontal="center" vertical="center"/>
    </xf>
    <xf numFmtId="0" fontId="0" fillId="3" borderId="48" xfId="0" applyFill="1" applyBorder="1" applyAlignment="1">
      <alignment horizontal="left" vertical="center"/>
    </xf>
    <xf numFmtId="44" fontId="0" fillId="4" borderId="48" xfId="3" applyFont="1" applyFill="1" applyBorder="1" applyAlignment="1">
      <alignment horizontal="center" vertical="center"/>
    </xf>
    <xf numFmtId="0" fontId="0" fillId="0" borderId="49" xfId="0" applyBorder="1"/>
    <xf numFmtId="0" fontId="10" fillId="7" borderId="5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/>
    <xf numFmtId="44" fontId="1" fillId="4" borderId="0" xfId="3" applyFont="1" applyFill="1" applyBorder="1" applyAlignment="1">
      <alignment vertical="center"/>
    </xf>
    <xf numFmtId="0" fontId="1" fillId="3" borderId="50" xfId="0" applyFont="1" applyFill="1" applyBorder="1" applyAlignment="1">
      <alignment horizontal="center" vertical="center"/>
    </xf>
    <xf numFmtId="0" fontId="0" fillId="3" borderId="50" xfId="0" applyFill="1" applyBorder="1" applyAlignment="1">
      <alignment horizontal="left" vertical="center"/>
    </xf>
    <xf numFmtId="44" fontId="0" fillId="4" borderId="50" xfId="3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51" xfId="0" applyFont="1" applyFill="1" applyBorder="1" applyAlignment="1">
      <alignment horizontal="center"/>
    </xf>
    <xf numFmtId="0" fontId="0" fillId="0" borderId="52" xfId="0" applyBorder="1"/>
    <xf numFmtId="0" fontId="0" fillId="0" borderId="51" xfId="0" applyBorder="1"/>
    <xf numFmtId="0" fontId="9" fillId="8" borderId="0" xfId="0" applyFont="1" applyFill="1" applyAlignment="1">
      <alignment horizontal="left" vertical="center" indent="1"/>
    </xf>
    <xf numFmtId="0" fontId="9" fillId="8" borderId="0" xfId="0" applyFont="1" applyFill="1" applyAlignment="1">
      <alignment horizontal="center" vertical="center"/>
    </xf>
    <xf numFmtId="3" fontId="9" fillId="8" borderId="0" xfId="0" applyNumberFormat="1" applyFont="1" applyFill="1" applyAlignment="1">
      <alignment horizontal="center" vertical="center"/>
    </xf>
    <xf numFmtId="0" fontId="9" fillId="9" borderId="0" xfId="0" applyFont="1" applyFill="1" applyAlignment="1">
      <alignment horizontal="left" vertical="center" indent="1"/>
    </xf>
    <xf numFmtId="0" fontId="9" fillId="9" borderId="0" xfId="0" applyFont="1" applyFill="1" applyAlignment="1">
      <alignment horizontal="center" vertical="center"/>
    </xf>
    <xf numFmtId="4" fontId="9" fillId="9" borderId="0" xfId="0" applyNumberFormat="1" applyFont="1" applyFill="1" applyAlignment="1">
      <alignment horizontal="center" vertical="center"/>
    </xf>
    <xf numFmtId="0" fontId="11" fillId="9" borderId="0" xfId="0" applyFont="1" applyFill="1" applyAlignment="1">
      <alignment horizontal="left" vertical="center" indent="1"/>
    </xf>
    <xf numFmtId="0" fontId="11" fillId="9" borderId="0" xfId="0" applyFont="1" applyFill="1" applyAlignment="1">
      <alignment horizontal="center" vertical="center"/>
    </xf>
    <xf numFmtId="4" fontId="11" fillId="9" borderId="0" xfId="0" applyNumberFormat="1" applyFont="1" applyFill="1" applyAlignment="1">
      <alignment horizontal="center" vertical="center"/>
    </xf>
    <xf numFmtId="0" fontId="0" fillId="9" borderId="0" xfId="0" applyFill="1"/>
    <xf numFmtId="167" fontId="0" fillId="9" borderId="0" xfId="0" applyNumberFormat="1" applyFill="1"/>
    <xf numFmtId="44" fontId="0" fillId="3" borderId="1" xfId="3" applyFont="1" applyFill="1" applyBorder="1" applyAlignment="1">
      <alignment horizontal="center" vertical="center"/>
    </xf>
    <xf numFmtId="44" fontId="0" fillId="3" borderId="6" xfId="3" applyFont="1" applyFill="1" applyBorder="1" applyAlignment="1">
      <alignment horizontal="center" vertical="center"/>
    </xf>
    <xf numFmtId="44" fontId="0" fillId="3" borderId="32" xfId="3" applyFont="1" applyFill="1" applyBorder="1" applyAlignment="1">
      <alignment horizontal="center" vertical="center"/>
    </xf>
    <xf numFmtId="44" fontId="0" fillId="3" borderId="18" xfId="3" applyFont="1" applyFill="1" applyBorder="1" applyAlignment="1">
      <alignment horizontal="center" vertical="center"/>
    </xf>
    <xf numFmtId="44" fontId="0" fillId="3" borderId="33" xfId="3" applyFont="1" applyFill="1" applyBorder="1" applyAlignment="1">
      <alignment horizontal="center" vertical="center"/>
    </xf>
    <xf numFmtId="44" fontId="0" fillId="3" borderId="27" xfId="3" applyFont="1" applyFill="1" applyBorder="1" applyAlignment="1">
      <alignment horizontal="center" vertical="center"/>
    </xf>
    <xf numFmtId="44" fontId="0" fillId="3" borderId="26" xfId="3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0" fillId="3" borderId="0" xfId="0" applyFill="1"/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44" fontId="1" fillId="3" borderId="26" xfId="3" applyFont="1" applyFill="1" applyBorder="1" applyAlignment="1">
      <alignment vertical="center"/>
    </xf>
    <xf numFmtId="44" fontId="1" fillId="3" borderId="27" xfId="3" applyFont="1" applyFill="1" applyBorder="1" applyAlignment="1">
      <alignment vertical="center"/>
    </xf>
    <xf numFmtId="44" fontId="1" fillId="3" borderId="1" xfId="3" applyFont="1" applyFill="1" applyBorder="1" applyAlignment="1">
      <alignment vertical="center"/>
    </xf>
    <xf numFmtId="44" fontId="1" fillId="3" borderId="6" xfId="3" applyFont="1" applyFill="1" applyBorder="1" applyAlignment="1">
      <alignment vertical="center"/>
    </xf>
    <xf numFmtId="44" fontId="1" fillId="3" borderId="8" xfId="3" applyFont="1" applyFill="1" applyBorder="1" applyAlignment="1">
      <alignment vertical="center"/>
    </xf>
    <xf numFmtId="44" fontId="1" fillId="3" borderId="9" xfId="3" applyFont="1" applyFill="1" applyBorder="1" applyAlignment="1">
      <alignment vertical="center"/>
    </xf>
    <xf numFmtId="0" fontId="0" fillId="0" borderId="55" xfId="0" applyBorder="1"/>
    <xf numFmtId="10" fontId="0" fillId="0" borderId="56" xfId="2" applyNumberFormat="1" applyFont="1" applyBorder="1"/>
    <xf numFmtId="10" fontId="0" fillId="0" borderId="59" xfId="2" applyNumberFormat="1" applyFont="1" applyBorder="1"/>
    <xf numFmtId="0" fontId="12" fillId="0" borderId="55" xfId="0" applyFont="1" applyBorder="1"/>
    <xf numFmtId="0" fontId="12" fillId="0" borderId="1" xfId="0" applyFont="1" applyBorder="1"/>
    <xf numFmtId="10" fontId="12" fillId="0" borderId="56" xfId="2" applyNumberFormat="1" applyFont="1" applyBorder="1"/>
    <xf numFmtId="10" fontId="12" fillId="0" borderId="59" xfId="2" applyNumberFormat="1" applyFont="1" applyBorder="1"/>
    <xf numFmtId="4" fontId="12" fillId="0" borderId="1" xfId="0" applyNumberFormat="1" applyFont="1" applyBorder="1"/>
    <xf numFmtId="4" fontId="12" fillId="0" borderId="58" xfId="0" applyNumberFormat="1" applyFont="1" applyBorder="1"/>
    <xf numFmtId="0" fontId="11" fillId="10" borderId="0" xfId="0" applyFont="1" applyFill="1" applyAlignment="1">
      <alignment horizontal="left" vertical="center" indent="1"/>
    </xf>
    <xf numFmtId="0" fontId="11" fillId="10" borderId="0" xfId="0" applyFont="1" applyFill="1" applyAlignment="1">
      <alignment horizontal="center" vertical="center"/>
    </xf>
    <xf numFmtId="9" fontId="11" fillId="10" borderId="0" xfId="2" applyFont="1" applyFill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44" fontId="0" fillId="3" borderId="48" xfId="3" applyFont="1" applyFill="1" applyBorder="1" applyAlignment="1">
      <alignment horizontal="center" vertical="center"/>
    </xf>
    <xf numFmtId="44" fontId="0" fillId="3" borderId="50" xfId="3" applyFont="1" applyFill="1" applyBorder="1" applyAlignment="1">
      <alignment horizontal="center" vertical="center"/>
    </xf>
    <xf numFmtId="44" fontId="1" fillId="3" borderId="0" xfId="3" applyFont="1" applyFill="1" applyBorder="1" applyAlignment="1">
      <alignment vertical="center"/>
    </xf>
    <xf numFmtId="0" fontId="0" fillId="3" borderId="48" xfId="3" applyNumberFormat="1" applyFont="1" applyFill="1" applyBorder="1" applyAlignment="1">
      <alignment horizontal="center" vertical="center"/>
    </xf>
    <xf numFmtId="173" fontId="12" fillId="0" borderId="0" xfId="0" applyNumberFormat="1" applyFont="1"/>
    <xf numFmtId="4" fontId="0" fillId="0" borderId="0" xfId="0" applyNumberFormat="1"/>
    <xf numFmtId="0" fontId="13" fillId="7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44" fontId="12" fillId="0" borderId="1" xfId="0" applyNumberFormat="1" applyFont="1" applyBorder="1"/>
    <xf numFmtId="0" fontId="12" fillId="3" borderId="1" xfId="0" applyFont="1" applyFill="1" applyBorder="1" applyAlignment="1">
      <alignment horizontal="left" vertical="center"/>
    </xf>
    <xf numFmtId="44" fontId="12" fillId="3" borderId="1" xfId="3" applyFont="1" applyFill="1" applyBorder="1" applyAlignment="1">
      <alignment horizontal="center" vertical="center"/>
    </xf>
    <xf numFmtId="44" fontId="14" fillId="0" borderId="1" xfId="0" applyNumberFormat="1" applyFont="1" applyBorder="1"/>
    <xf numFmtId="0" fontId="15" fillId="7" borderId="1" xfId="0" applyFont="1" applyFill="1" applyBorder="1" applyAlignment="1">
      <alignment horizontal="center"/>
    </xf>
    <xf numFmtId="0" fontId="12" fillId="3" borderId="1" xfId="3" applyNumberFormat="1" applyFont="1" applyFill="1" applyBorder="1" applyAlignment="1">
      <alignment horizontal="center" vertical="center"/>
    </xf>
    <xf numFmtId="44" fontId="14" fillId="3" borderId="1" xfId="3" applyFont="1" applyFill="1" applyBorder="1" applyAlignment="1">
      <alignment horizontal="center" vertical="center"/>
    </xf>
    <xf numFmtId="174" fontId="9" fillId="0" borderId="0" xfId="0" applyNumberFormat="1" applyFont="1" applyAlignment="1">
      <alignment horizontal="center" vertical="center"/>
    </xf>
    <xf numFmtId="0" fontId="10" fillId="7" borderId="48" xfId="0" applyFont="1" applyFill="1" applyBorder="1" applyAlignment="1">
      <alignment vertical="center"/>
    </xf>
    <xf numFmtId="0" fontId="1" fillId="3" borderId="63" xfId="0" applyFont="1" applyFill="1" applyBorder="1" applyAlignment="1">
      <alignment horizontal="center" vertical="center"/>
    </xf>
    <xf numFmtId="0" fontId="0" fillId="3" borderId="63" xfId="0" applyFill="1" applyBorder="1" applyAlignment="1">
      <alignment horizontal="left" vertical="center"/>
    </xf>
    <xf numFmtId="44" fontId="0" fillId="3" borderId="63" xfId="3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171" fontId="8" fillId="6" borderId="0" xfId="4" applyNumberFormat="1" applyFont="1" applyFill="1" applyAlignment="1">
      <alignment horizontal="center" vertical="center"/>
    </xf>
    <xf numFmtId="1" fontId="7" fillId="5" borderId="0" xfId="0" applyNumberFormat="1" applyFont="1" applyFill="1" applyAlignment="1">
      <alignment horizontal="center" vertical="center"/>
    </xf>
    <xf numFmtId="0" fontId="16" fillId="0" borderId="47" xfId="4" applyFont="1" applyBorder="1" applyAlignment="1">
      <alignment vertical="center"/>
    </xf>
    <xf numFmtId="4" fontId="9" fillId="3" borderId="0" xfId="0" applyNumberFormat="1" applyFont="1" applyFill="1" applyAlignment="1">
      <alignment horizontal="center" vertical="center"/>
    </xf>
    <xf numFmtId="172" fontId="9" fillId="3" borderId="0" xfId="0" applyNumberFormat="1" applyFont="1" applyFill="1" applyAlignment="1">
      <alignment horizontal="center" vertical="center"/>
    </xf>
    <xf numFmtId="9" fontId="11" fillId="9" borderId="0" xfId="2" applyFont="1" applyFill="1" applyAlignment="1">
      <alignment horizontal="center" vertical="center"/>
    </xf>
    <xf numFmtId="3" fontId="9" fillId="9" borderId="0" xfId="0" applyNumberFormat="1" applyFont="1" applyFill="1" applyAlignment="1">
      <alignment horizontal="center" vertical="center"/>
    </xf>
    <xf numFmtId="2" fontId="1" fillId="4" borderId="6" xfId="0" applyNumberFormat="1" applyFont="1" applyFill="1" applyBorder="1" applyAlignment="1">
      <alignment horizontal="center" vertical="center"/>
    </xf>
    <xf numFmtId="166" fontId="1" fillId="4" borderId="6" xfId="0" applyNumberFormat="1" applyFont="1" applyFill="1" applyBorder="1" applyAlignment="1">
      <alignment horizontal="center" vertical="center"/>
    </xf>
    <xf numFmtId="166" fontId="1" fillId="4" borderId="18" xfId="0" applyNumberFormat="1" applyFont="1" applyFill="1" applyBorder="1" applyAlignment="1">
      <alignment horizontal="center" vertical="center"/>
    </xf>
    <xf numFmtId="0" fontId="10" fillId="11" borderId="0" xfId="0" applyFont="1" applyFill="1"/>
    <xf numFmtId="1" fontId="7" fillId="5" borderId="51" xfId="0" applyNumberFormat="1" applyFont="1" applyFill="1" applyBorder="1" applyAlignment="1">
      <alignment vertical="center"/>
    </xf>
    <xf numFmtId="166" fontId="17" fillId="12" borderId="0" xfId="0" applyNumberFormat="1" applyFont="1" applyFill="1" applyAlignment="1">
      <alignment horizontal="center" vertical="center"/>
    </xf>
    <xf numFmtId="8" fontId="17" fillId="12" borderId="0" xfId="0" applyNumberFormat="1" applyFont="1" applyFill="1" applyAlignment="1">
      <alignment horizontal="centerContinuous" vertical="center"/>
    </xf>
    <xf numFmtId="0" fontId="10" fillId="7" borderId="48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" fontId="7" fillId="5" borderId="5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168" fontId="0" fillId="9" borderId="53" xfId="2" applyNumberFormat="1" applyFont="1" applyFill="1" applyBorder="1" applyAlignment="1">
      <alignment horizontal="center" vertical="center"/>
    </xf>
    <xf numFmtId="168" fontId="0" fillId="9" borderId="54" xfId="2" applyNumberFormat="1" applyFont="1" applyFill="1" applyBorder="1" applyAlignment="1">
      <alignment horizontal="center" vertical="center"/>
    </xf>
    <xf numFmtId="168" fontId="0" fillId="3" borderId="32" xfId="2" applyNumberFormat="1" applyFont="1" applyFill="1" applyBorder="1" applyAlignment="1">
      <alignment horizontal="center" vertical="center"/>
    </xf>
    <xf numFmtId="168" fontId="0" fillId="3" borderId="24" xfId="2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168" fontId="0" fillId="9" borderId="32" xfId="2" applyNumberFormat="1" applyFont="1" applyFill="1" applyBorder="1" applyAlignment="1">
      <alignment horizontal="center" vertical="center"/>
    </xf>
    <xf numFmtId="168" fontId="0" fillId="9" borderId="24" xfId="2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168" fontId="0" fillId="3" borderId="23" xfId="2" applyNumberFormat="1" applyFont="1" applyFill="1" applyBorder="1" applyAlignment="1">
      <alignment horizontal="center" vertical="center"/>
    </xf>
    <xf numFmtId="168" fontId="0" fillId="3" borderId="22" xfId="2" applyNumberFormat="1" applyFont="1" applyFill="1" applyBorder="1" applyAlignment="1">
      <alignment horizontal="center" vertical="center"/>
    </xf>
    <xf numFmtId="171" fontId="8" fillId="6" borderId="0" xfId="4" applyNumberFormat="1" applyFont="1" applyFill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44" fontId="0" fillId="0" borderId="1" xfId="3" applyFont="1" applyBorder="1" applyAlignment="1">
      <alignment horizontal="center" vertical="center"/>
    </xf>
    <xf numFmtId="44" fontId="0" fillId="0" borderId="6" xfId="3" applyFont="1" applyBorder="1" applyAlignment="1">
      <alignment horizontal="center" vertical="center"/>
    </xf>
    <xf numFmtId="168" fontId="0" fillId="4" borderId="32" xfId="2" applyNumberFormat="1" applyFont="1" applyFill="1" applyBorder="1" applyAlignment="1">
      <alignment horizontal="center" vertical="center"/>
    </xf>
    <xf numFmtId="168" fontId="0" fillId="4" borderId="24" xfId="2" applyNumberFormat="1" applyFont="1" applyFill="1" applyBorder="1" applyAlignment="1">
      <alignment horizontal="center" vertical="center"/>
    </xf>
    <xf numFmtId="0" fontId="5" fillId="0" borderId="32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44" fontId="0" fillId="0" borderId="26" xfId="0" applyNumberFormat="1" applyBorder="1" applyAlignment="1">
      <alignment horizontal="center"/>
    </xf>
    <xf numFmtId="44" fontId="0" fillId="0" borderId="27" xfId="0" applyNumberForma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6" xfId="0" applyNumberFormat="1" applyBorder="1" applyAlignment="1">
      <alignment horizontal="center"/>
    </xf>
    <xf numFmtId="44" fontId="0" fillId="0" borderId="46" xfId="0" applyNumberFormat="1" applyBorder="1" applyAlignment="1">
      <alignment horizont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/>
    </xf>
    <xf numFmtId="168" fontId="0" fillId="4" borderId="53" xfId="2" applyNumberFormat="1" applyFont="1" applyFill="1" applyBorder="1" applyAlignment="1">
      <alignment horizontal="center" vertical="center"/>
    </xf>
    <xf numFmtId="168" fontId="0" fillId="4" borderId="54" xfId="2" applyNumberFormat="1" applyFont="1" applyFill="1" applyBorder="1" applyAlignment="1">
      <alignment horizontal="center" vertical="center"/>
    </xf>
    <xf numFmtId="170" fontId="0" fillId="0" borderId="0" xfId="2" applyNumberFormat="1" applyFont="1" applyAlignment="1">
      <alignment horizontal="center"/>
    </xf>
    <xf numFmtId="0" fontId="1" fillId="2" borderId="30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44" fontId="1" fillId="2" borderId="31" xfId="0" applyNumberFormat="1" applyFont="1" applyFill="1" applyBorder="1" applyAlignment="1">
      <alignment horizontal="center"/>
    </xf>
    <xf numFmtId="44" fontId="1" fillId="2" borderId="30" xfId="0" applyNumberFormat="1" applyFont="1" applyFill="1" applyBorder="1" applyAlignment="1">
      <alignment horizontal="center"/>
    </xf>
    <xf numFmtId="44" fontId="1" fillId="2" borderId="38" xfId="0" applyNumberFormat="1" applyFont="1" applyFill="1" applyBorder="1" applyAlignment="1">
      <alignment horizontal="center"/>
    </xf>
    <xf numFmtId="44" fontId="0" fillId="0" borderId="37" xfId="3" applyFont="1" applyBorder="1" applyAlignment="1">
      <alignment horizontal="center" vertical="center"/>
    </xf>
    <xf numFmtId="44" fontId="0" fillId="0" borderId="12" xfId="3" applyFont="1" applyBorder="1" applyAlignment="1">
      <alignment horizontal="center" vertical="center"/>
    </xf>
    <xf numFmtId="44" fontId="0" fillId="0" borderId="13" xfId="3" applyFont="1" applyBorder="1" applyAlignment="1">
      <alignment horizontal="center" vertical="center"/>
    </xf>
    <xf numFmtId="0" fontId="1" fillId="2" borderId="14" xfId="0" applyFont="1" applyFill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168" fontId="0" fillId="4" borderId="23" xfId="2" applyNumberFormat="1" applyFont="1" applyFill="1" applyBorder="1" applyAlignment="1">
      <alignment horizontal="center" vertical="center"/>
    </xf>
    <xf numFmtId="168" fontId="0" fillId="4" borderId="22" xfId="2" applyNumberFormat="1" applyFont="1" applyFill="1" applyBorder="1" applyAlignment="1">
      <alignment horizontal="center" vertical="center"/>
    </xf>
    <xf numFmtId="44" fontId="0" fillId="0" borderId="8" xfId="3" applyFont="1" applyBorder="1" applyAlignment="1">
      <alignment horizontal="center" vertical="center"/>
    </xf>
    <xf numFmtId="44" fontId="0" fillId="0" borderId="9" xfId="3" applyFont="1" applyBorder="1" applyAlignment="1">
      <alignment horizontal="center" vertical="center"/>
    </xf>
    <xf numFmtId="0" fontId="12" fillId="0" borderId="57" xfId="0" applyFont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44" fontId="0" fillId="0" borderId="32" xfId="0" applyNumberFormat="1" applyBorder="1" applyAlignment="1">
      <alignment horizontal="center"/>
    </xf>
    <xf numFmtId="44" fontId="0" fillId="0" borderId="21" xfId="0" applyNumberFormat="1" applyBorder="1" applyAlignment="1">
      <alignment horizontal="center"/>
    </xf>
    <xf numFmtId="44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44" fontId="1" fillId="0" borderId="2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4" fontId="0" fillId="0" borderId="0" xfId="0" applyNumberFormat="1" applyAlignment="1">
      <alignment horizontal="center"/>
    </xf>
    <xf numFmtId="44" fontId="1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44" fontId="0" fillId="0" borderId="3" xfId="3" applyFont="1" applyBorder="1" applyAlignment="1">
      <alignment horizontal="center" vertical="center"/>
    </xf>
    <xf numFmtId="44" fontId="0" fillId="0" borderId="4" xfId="3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169" fontId="0" fillId="0" borderId="0" xfId="2" applyNumberFormat="1" applyFont="1" applyAlignment="1">
      <alignment horizontal="center"/>
    </xf>
    <xf numFmtId="168" fontId="0" fillId="4" borderId="37" xfId="2" applyNumberFormat="1" applyFont="1" applyFill="1" applyBorder="1" applyAlignment="1">
      <alignment horizontal="center" vertical="center"/>
    </xf>
    <xf numFmtId="168" fontId="0" fillId="4" borderId="39" xfId="2" applyNumberFormat="1" applyFont="1" applyFill="1" applyBorder="1" applyAlignment="1">
      <alignment horizontal="center" vertical="center"/>
    </xf>
    <xf numFmtId="44" fontId="0" fillId="0" borderId="32" xfId="3" applyFont="1" applyBorder="1" applyAlignment="1">
      <alignment horizontal="center" vertical="center"/>
    </xf>
    <xf numFmtId="44" fontId="0" fillId="0" borderId="20" xfId="3" applyFont="1" applyBorder="1" applyAlignment="1">
      <alignment horizontal="center" vertical="center"/>
    </xf>
    <xf numFmtId="44" fontId="0" fillId="0" borderId="21" xfId="3" applyFont="1" applyBorder="1" applyAlignment="1">
      <alignment horizontal="center" vertical="center"/>
    </xf>
    <xf numFmtId="3" fontId="1" fillId="3" borderId="4" xfId="1" applyNumberFormat="1" applyFont="1" applyFill="1" applyBorder="1" applyAlignment="1">
      <alignment horizontal="center" vertical="center"/>
    </xf>
    <xf numFmtId="3" fontId="1" fillId="3" borderId="6" xfId="1" applyNumberFormat="1" applyFont="1" applyFill="1" applyBorder="1" applyAlignment="1">
      <alignment horizontal="center" vertical="center" wrapText="1"/>
    </xf>
    <xf numFmtId="2" fontId="1" fillId="3" borderId="6" xfId="0" applyNumberFormat="1" applyFont="1" applyFill="1" applyBorder="1" applyAlignment="1">
      <alignment horizontal="center" vertical="center"/>
    </xf>
    <xf numFmtId="166" fontId="1" fillId="3" borderId="6" xfId="0" applyNumberFormat="1" applyFont="1" applyFill="1" applyBorder="1" applyAlignment="1">
      <alignment horizontal="center" vertical="center"/>
    </xf>
    <xf numFmtId="166" fontId="1" fillId="3" borderId="18" xfId="0" applyNumberFormat="1" applyFont="1" applyFill="1" applyBorder="1" applyAlignment="1">
      <alignment horizontal="center" vertical="center"/>
    </xf>
    <xf numFmtId="10" fontId="1" fillId="3" borderId="4" xfId="2" applyNumberFormat="1" applyFont="1" applyFill="1" applyBorder="1" applyAlignment="1">
      <alignment horizontal="center" vertical="center"/>
    </xf>
    <xf numFmtId="10" fontId="1" fillId="3" borderId="9" xfId="2" applyNumberFormat="1" applyFont="1" applyFill="1" applyBorder="1" applyAlignment="1">
      <alignment horizontal="center" vertical="center"/>
    </xf>
    <xf numFmtId="3" fontId="1" fillId="3" borderId="6" xfId="1" applyNumberFormat="1" applyFont="1" applyFill="1" applyBorder="1" applyAlignment="1">
      <alignment horizontal="center" vertical="center"/>
    </xf>
    <xf numFmtId="3" fontId="1" fillId="3" borderId="6" xfId="0" applyNumberFormat="1" applyFont="1" applyFill="1" applyBorder="1" applyAlignment="1">
      <alignment horizontal="center" vertical="center"/>
    </xf>
    <xf numFmtId="3" fontId="1" fillId="3" borderId="9" xfId="0" applyNumberFormat="1" applyFont="1" applyFill="1" applyBorder="1" applyAlignment="1">
      <alignment horizontal="center" vertical="center"/>
    </xf>
    <xf numFmtId="44" fontId="3" fillId="0" borderId="0" xfId="0" applyNumberFormat="1" applyFont="1"/>
    <xf numFmtId="168" fontId="0" fillId="3" borderId="53" xfId="2" applyNumberFormat="1" applyFont="1" applyFill="1" applyBorder="1" applyAlignment="1">
      <alignment horizontal="center" vertical="center"/>
    </xf>
    <xf numFmtId="168" fontId="0" fillId="3" borderId="54" xfId="2" applyNumberFormat="1" applyFont="1" applyFill="1" applyBorder="1" applyAlignment="1">
      <alignment horizontal="center" vertical="center"/>
    </xf>
  </cellXfs>
  <cellStyles count="5">
    <cellStyle name="Moeda" xfId="3" builtinId="4"/>
    <cellStyle name="Normal" xfId="0" builtinId="0"/>
    <cellStyle name="Normal 5" xfId="4" xr:uid="{00000000-0005-0000-0000-000002000000}"/>
    <cellStyle name="Porcentagem" xfId="2" builtinId="5"/>
    <cellStyle name="Vírgula" xfId="1" builtinId="3"/>
  </cellStyles>
  <dxfs count="6"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1.xml.rels><?xml version="1.0" encoding="UTF-8" standalone="yes"?>
<Relationships xmlns="http://schemas.openxmlformats.org/package/2006/relationships"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_rels/chart102.xml.rels><?xml version="1.0" encoding="UTF-8" standalone="yes"?>
<Relationships xmlns="http://schemas.openxmlformats.org/package/2006/relationships"><Relationship Id="rId2" Type="http://schemas.microsoft.com/office/2011/relationships/chartColorStyle" Target="colors102.xml"/><Relationship Id="rId1" Type="http://schemas.microsoft.com/office/2011/relationships/chartStyle" Target="style102.xml"/></Relationships>
</file>

<file path=xl/charts/_rels/chart103.xml.rels><?xml version="1.0" encoding="UTF-8" standalone="yes"?>
<Relationships xmlns="http://schemas.openxmlformats.org/package/2006/relationships"><Relationship Id="rId2" Type="http://schemas.microsoft.com/office/2011/relationships/chartColorStyle" Target="colors103.xml"/><Relationship Id="rId1" Type="http://schemas.microsoft.com/office/2011/relationships/chartStyle" Target="style103.xml"/></Relationships>
</file>

<file path=xl/charts/_rels/chart104.xml.rels><?xml version="1.0" encoding="UTF-8" standalone="yes"?>
<Relationships xmlns="http://schemas.openxmlformats.org/package/2006/relationships"><Relationship Id="rId2" Type="http://schemas.microsoft.com/office/2011/relationships/chartColorStyle" Target="colors104.xml"/><Relationship Id="rId1" Type="http://schemas.microsoft.com/office/2011/relationships/chartStyle" Target="style104.xml"/></Relationships>
</file>

<file path=xl/charts/_rels/chart105.xml.rels><?xml version="1.0" encoding="UTF-8" standalone="yes"?>
<Relationships xmlns="http://schemas.openxmlformats.org/package/2006/relationships"><Relationship Id="rId2" Type="http://schemas.microsoft.com/office/2011/relationships/chartColorStyle" Target="colors105.xml"/><Relationship Id="rId1" Type="http://schemas.microsoft.com/office/2011/relationships/chartStyle" Target="style105.xml"/></Relationships>
</file>

<file path=xl/charts/_rels/chart106.xml.rels><?xml version="1.0" encoding="UTF-8" standalone="yes"?>
<Relationships xmlns="http://schemas.openxmlformats.org/package/2006/relationships"><Relationship Id="rId2" Type="http://schemas.microsoft.com/office/2011/relationships/chartColorStyle" Target="colors106.xml"/><Relationship Id="rId1" Type="http://schemas.microsoft.com/office/2011/relationships/chartStyle" Target="style106.xml"/></Relationships>
</file>

<file path=xl/charts/_rels/chart107.xml.rels><?xml version="1.0" encoding="UTF-8" standalone="yes"?>
<Relationships xmlns="http://schemas.openxmlformats.org/package/2006/relationships"><Relationship Id="rId2" Type="http://schemas.microsoft.com/office/2011/relationships/chartColorStyle" Target="colors107.xml"/><Relationship Id="rId1" Type="http://schemas.microsoft.com/office/2011/relationships/chartStyle" Target="style107.xml"/></Relationships>
</file>

<file path=xl/charts/_rels/chart108.xml.rels><?xml version="1.0" encoding="UTF-8" standalone="yes"?>
<Relationships xmlns="http://schemas.openxmlformats.org/package/2006/relationships"><Relationship Id="rId2" Type="http://schemas.microsoft.com/office/2011/relationships/chartColorStyle" Target="colors108.xml"/><Relationship Id="rId1" Type="http://schemas.microsoft.com/office/2011/relationships/chartStyle" Target="style108.xml"/></Relationships>
</file>

<file path=xl/charts/_rels/chart109.xml.rels><?xml version="1.0" encoding="UTF-8" standalone="yes"?>
<Relationships xmlns="http://schemas.openxmlformats.org/package/2006/relationships"><Relationship Id="rId2" Type="http://schemas.microsoft.com/office/2011/relationships/chartColorStyle" Target="colors109.xml"/><Relationship Id="rId1" Type="http://schemas.microsoft.com/office/2011/relationships/chartStyle" Target="style109.xml"/></Relationships>
</file>

<file path=xl/charts/_rels/chart110.xml.rels><?xml version="1.0" encoding="UTF-8" standalone="yes"?>
<Relationships xmlns="http://schemas.openxmlformats.org/package/2006/relationships"><Relationship Id="rId2" Type="http://schemas.microsoft.com/office/2011/relationships/chartColorStyle" Target="colors110.xml"/><Relationship Id="rId1" Type="http://schemas.microsoft.com/office/2011/relationships/chartStyle" Target="style110.xml"/></Relationships>
</file>

<file path=xl/charts/_rels/chart111.xml.rels><?xml version="1.0" encoding="UTF-8" standalone="yes"?>
<Relationships xmlns="http://schemas.openxmlformats.org/package/2006/relationships"><Relationship Id="rId2" Type="http://schemas.microsoft.com/office/2011/relationships/chartColorStyle" Target="colors111.xml"/><Relationship Id="rId1" Type="http://schemas.microsoft.com/office/2011/relationships/chartStyle" Target="style111.xml"/></Relationships>
</file>

<file path=xl/charts/_rels/chart112.xml.rels><?xml version="1.0" encoding="UTF-8" standalone="yes"?>
<Relationships xmlns="http://schemas.openxmlformats.org/package/2006/relationships"><Relationship Id="rId2" Type="http://schemas.microsoft.com/office/2011/relationships/chartColorStyle" Target="colors112.xml"/><Relationship Id="rId1" Type="http://schemas.microsoft.com/office/2011/relationships/chartStyle" Target="style112.xml"/></Relationships>
</file>

<file path=xl/charts/_rels/chart113.xml.rels><?xml version="1.0" encoding="UTF-8" standalone="yes"?>
<Relationships xmlns="http://schemas.openxmlformats.org/package/2006/relationships"><Relationship Id="rId2" Type="http://schemas.microsoft.com/office/2011/relationships/chartColorStyle" Target="colors113.xml"/><Relationship Id="rId1" Type="http://schemas.microsoft.com/office/2011/relationships/chartStyle" Target="style113.xml"/></Relationships>
</file>

<file path=xl/charts/_rels/chart114.xml.rels><?xml version="1.0" encoding="UTF-8" standalone="yes"?>
<Relationships xmlns="http://schemas.openxmlformats.org/package/2006/relationships"><Relationship Id="rId2" Type="http://schemas.microsoft.com/office/2011/relationships/chartColorStyle" Target="colors114.xml"/><Relationship Id="rId1" Type="http://schemas.microsoft.com/office/2011/relationships/chartStyle" Target="style114.xml"/></Relationships>
</file>

<file path=xl/charts/_rels/chart115.xml.rels><?xml version="1.0" encoding="UTF-8" standalone="yes"?>
<Relationships xmlns="http://schemas.openxmlformats.org/package/2006/relationships"><Relationship Id="rId2" Type="http://schemas.microsoft.com/office/2011/relationships/chartColorStyle" Target="colors115.xml"/><Relationship Id="rId1" Type="http://schemas.microsoft.com/office/2011/relationships/chartStyle" Target="style115.xml"/></Relationships>
</file>

<file path=xl/charts/_rels/chart116.xml.rels><?xml version="1.0" encoding="UTF-8" standalone="yes"?>
<Relationships xmlns="http://schemas.openxmlformats.org/package/2006/relationships"><Relationship Id="rId2" Type="http://schemas.microsoft.com/office/2011/relationships/chartColorStyle" Target="colors116.xml"/><Relationship Id="rId1" Type="http://schemas.microsoft.com/office/2011/relationships/chartStyle" Target="style116.xml"/></Relationships>
</file>

<file path=xl/charts/_rels/chart117.xml.rels><?xml version="1.0" encoding="UTF-8" standalone="yes"?>
<Relationships xmlns="http://schemas.openxmlformats.org/package/2006/relationships"><Relationship Id="rId2" Type="http://schemas.microsoft.com/office/2011/relationships/chartColorStyle" Target="colors117.xml"/><Relationship Id="rId1" Type="http://schemas.microsoft.com/office/2011/relationships/chartStyle" Target="style117.xml"/></Relationships>
</file>

<file path=xl/charts/_rels/chart118.xml.rels><?xml version="1.0" encoding="UTF-8" standalone="yes"?>
<Relationships xmlns="http://schemas.openxmlformats.org/package/2006/relationships"><Relationship Id="rId2" Type="http://schemas.microsoft.com/office/2011/relationships/chartColorStyle" Target="colors118.xml"/><Relationship Id="rId1" Type="http://schemas.microsoft.com/office/2011/relationships/chartStyle" Target="style118.xml"/></Relationships>
</file>

<file path=xl/charts/_rels/chart119.xml.rels><?xml version="1.0" encoding="UTF-8" standalone="yes"?>
<Relationships xmlns="http://schemas.openxmlformats.org/package/2006/relationships"><Relationship Id="rId2" Type="http://schemas.microsoft.com/office/2011/relationships/chartColorStyle" Target="colors119.xml"/><Relationship Id="rId1" Type="http://schemas.microsoft.com/office/2011/relationships/chartStyle" Target="style119.xml"/></Relationships>
</file>

<file path=xl/charts/_rels/chart120.xml.rels><?xml version="1.0" encoding="UTF-8" standalone="yes"?>
<Relationships xmlns="http://schemas.openxmlformats.org/package/2006/relationships"><Relationship Id="rId2" Type="http://schemas.microsoft.com/office/2011/relationships/chartColorStyle" Target="colors120.xml"/><Relationship Id="rId1" Type="http://schemas.microsoft.com/office/2011/relationships/chartStyle" Target="style120.xml"/></Relationships>
</file>

<file path=xl/charts/_rels/chart121.xml.rels><?xml version="1.0" encoding="UTF-8" standalone="yes"?>
<Relationships xmlns="http://schemas.openxmlformats.org/package/2006/relationships"><Relationship Id="rId2" Type="http://schemas.microsoft.com/office/2011/relationships/chartColorStyle" Target="colors121.xml"/><Relationship Id="rId1" Type="http://schemas.microsoft.com/office/2011/relationships/chartStyle" Target="style121.xml"/></Relationships>
</file>

<file path=xl/charts/_rels/chart122.xml.rels><?xml version="1.0" encoding="UTF-8" standalone="yes"?>
<Relationships xmlns="http://schemas.openxmlformats.org/package/2006/relationships"><Relationship Id="rId2" Type="http://schemas.microsoft.com/office/2011/relationships/chartColorStyle" Target="colors122.xml"/><Relationship Id="rId1" Type="http://schemas.microsoft.com/office/2011/relationships/chartStyle" Target="style122.xml"/></Relationships>
</file>

<file path=xl/charts/_rels/chart123.xml.rels><?xml version="1.0" encoding="UTF-8" standalone="yes"?>
<Relationships xmlns="http://schemas.openxmlformats.org/package/2006/relationships"><Relationship Id="rId2" Type="http://schemas.microsoft.com/office/2011/relationships/chartColorStyle" Target="colors123.xml"/><Relationship Id="rId1" Type="http://schemas.microsoft.com/office/2011/relationships/chartStyle" Target="style123.xml"/></Relationships>
</file>

<file path=xl/charts/_rels/chart124.xml.rels><?xml version="1.0" encoding="UTF-8" standalone="yes"?>
<Relationships xmlns="http://schemas.openxmlformats.org/package/2006/relationships"><Relationship Id="rId2" Type="http://schemas.microsoft.com/office/2011/relationships/chartColorStyle" Target="colors124.xml"/><Relationship Id="rId1" Type="http://schemas.microsoft.com/office/2011/relationships/chartStyle" Target="style124.xml"/></Relationships>
</file>

<file path=xl/charts/_rels/chart125.xml.rels><?xml version="1.0" encoding="UTF-8" standalone="yes"?>
<Relationships xmlns="http://schemas.openxmlformats.org/package/2006/relationships"><Relationship Id="rId2" Type="http://schemas.microsoft.com/office/2011/relationships/chartColorStyle" Target="colors125.xml"/><Relationship Id="rId1" Type="http://schemas.microsoft.com/office/2011/relationships/chartStyle" Target="style125.xml"/></Relationships>
</file>

<file path=xl/charts/_rels/chart126.xml.rels><?xml version="1.0" encoding="UTF-8" standalone="yes"?>
<Relationships xmlns="http://schemas.openxmlformats.org/package/2006/relationships"><Relationship Id="rId2" Type="http://schemas.microsoft.com/office/2011/relationships/chartColorStyle" Target="colors126.xml"/><Relationship Id="rId1" Type="http://schemas.microsoft.com/office/2011/relationships/chartStyle" Target="style126.xml"/></Relationships>
</file>

<file path=xl/charts/_rels/chart127.xml.rels><?xml version="1.0" encoding="UTF-8" standalone="yes"?>
<Relationships xmlns="http://schemas.openxmlformats.org/package/2006/relationships"><Relationship Id="rId2" Type="http://schemas.microsoft.com/office/2011/relationships/chartColorStyle" Target="colors127.xml"/><Relationship Id="rId1" Type="http://schemas.microsoft.com/office/2011/relationships/chartStyle" Target="style127.xml"/></Relationships>
</file>

<file path=xl/charts/_rels/chart128.xml.rels><?xml version="1.0" encoding="UTF-8" standalone="yes"?>
<Relationships xmlns="http://schemas.openxmlformats.org/package/2006/relationships"><Relationship Id="rId2" Type="http://schemas.microsoft.com/office/2011/relationships/chartColorStyle" Target="colors128.xml"/><Relationship Id="rId1" Type="http://schemas.microsoft.com/office/2011/relationships/chartStyle" Target="style128.xml"/></Relationships>
</file>

<file path=xl/charts/_rels/chart129.xml.rels><?xml version="1.0" encoding="UTF-8" standalone="yes"?>
<Relationships xmlns="http://schemas.openxmlformats.org/package/2006/relationships"><Relationship Id="rId2" Type="http://schemas.microsoft.com/office/2011/relationships/chartColorStyle" Target="colors129.xml"/><Relationship Id="rId1" Type="http://schemas.microsoft.com/office/2011/relationships/chartStyle" Target="style129.xml"/></Relationships>
</file>

<file path=xl/charts/_rels/chart130.xml.rels><?xml version="1.0" encoding="UTF-8" standalone="yes"?>
<Relationships xmlns="http://schemas.openxmlformats.org/package/2006/relationships"><Relationship Id="rId2" Type="http://schemas.microsoft.com/office/2011/relationships/chartColorStyle" Target="colors130.xml"/><Relationship Id="rId1" Type="http://schemas.microsoft.com/office/2011/relationships/chartStyle" Target="style130.xml"/></Relationships>
</file>

<file path=xl/charts/_rels/chart131.xml.rels><?xml version="1.0" encoding="UTF-8" standalone="yes"?>
<Relationships xmlns="http://schemas.openxmlformats.org/package/2006/relationships"><Relationship Id="rId2" Type="http://schemas.microsoft.com/office/2011/relationships/chartColorStyle" Target="colors131.xml"/><Relationship Id="rId1" Type="http://schemas.microsoft.com/office/2011/relationships/chartStyle" Target="style131.xml"/></Relationships>
</file>

<file path=xl/charts/_rels/chart132.xml.rels><?xml version="1.0" encoding="UTF-8" standalone="yes"?>
<Relationships xmlns="http://schemas.openxmlformats.org/package/2006/relationships"><Relationship Id="rId2" Type="http://schemas.microsoft.com/office/2011/relationships/chartColorStyle" Target="colors132.xml"/><Relationship Id="rId1" Type="http://schemas.microsoft.com/office/2011/relationships/chartStyle" Target="style13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Índice de Produtividade de Pessoal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645066778588228"/>
          <c:y val="0.17171296296296296"/>
          <c:w val="0.79392302575925278"/>
          <c:h val="0.65175660075432829"/>
        </c:manualLayout>
      </c:layout>
      <c:lineChart>
        <c:grouping val="stacked"/>
        <c:varyColors val="0"/>
        <c:ser>
          <c:idx val="0"/>
          <c:order val="0"/>
          <c:tx>
            <c:strRef>
              <c:f>Resumo!$B$26</c:f>
              <c:strCache>
                <c:ptCount val="1"/>
                <c:pt idx="0">
                  <c:v>Nº Ligações A+E por funcionário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Resumo!$D$26:$AL$26</c:f>
              <c:numCache>
                <c:formatCode>#,##0</c:formatCode>
                <c:ptCount val="35"/>
                <c:pt idx="0">
                  <c:v>310</c:v>
                </c:pt>
                <c:pt idx="1">
                  <c:v>354</c:v>
                </c:pt>
                <c:pt idx="2">
                  <c:v>358</c:v>
                </c:pt>
                <c:pt idx="3">
                  <c:v>390</c:v>
                </c:pt>
                <c:pt idx="4">
                  <c:v>421</c:v>
                </c:pt>
                <c:pt idx="5">
                  <c:v>442</c:v>
                </c:pt>
                <c:pt idx="6">
                  <c:v>462</c:v>
                </c:pt>
                <c:pt idx="7">
                  <c:v>459</c:v>
                </c:pt>
                <c:pt idx="8">
                  <c:v>479</c:v>
                </c:pt>
                <c:pt idx="9">
                  <c:v>492</c:v>
                </c:pt>
                <c:pt idx="10">
                  <c:v>506</c:v>
                </c:pt>
                <c:pt idx="11">
                  <c:v>504</c:v>
                </c:pt>
                <c:pt idx="12">
                  <c:v>503</c:v>
                </c:pt>
                <c:pt idx="13">
                  <c:v>515</c:v>
                </c:pt>
                <c:pt idx="14">
                  <c:v>523</c:v>
                </c:pt>
                <c:pt idx="15">
                  <c:v>530</c:v>
                </c:pt>
                <c:pt idx="16">
                  <c:v>448</c:v>
                </c:pt>
                <c:pt idx="17">
                  <c:v>454</c:v>
                </c:pt>
                <c:pt idx="18">
                  <c:v>449</c:v>
                </c:pt>
                <c:pt idx="19">
                  <c:v>454</c:v>
                </c:pt>
                <c:pt idx="20">
                  <c:v>460</c:v>
                </c:pt>
                <c:pt idx="21">
                  <c:v>459</c:v>
                </c:pt>
                <c:pt idx="22">
                  <c:v>459</c:v>
                </c:pt>
                <c:pt idx="23">
                  <c:v>464</c:v>
                </c:pt>
                <c:pt idx="24">
                  <c:v>468</c:v>
                </c:pt>
                <c:pt idx="25">
                  <c:v>473</c:v>
                </c:pt>
                <c:pt idx="26">
                  <c:v>477</c:v>
                </c:pt>
                <c:pt idx="27">
                  <c:v>481</c:v>
                </c:pt>
                <c:pt idx="28">
                  <c:v>459</c:v>
                </c:pt>
                <c:pt idx="29">
                  <c:v>463</c:v>
                </c:pt>
                <c:pt idx="30">
                  <c:v>467</c:v>
                </c:pt>
                <c:pt idx="31">
                  <c:v>470</c:v>
                </c:pt>
                <c:pt idx="32">
                  <c:v>473</c:v>
                </c:pt>
                <c:pt idx="33">
                  <c:v>476</c:v>
                </c:pt>
                <c:pt idx="34">
                  <c:v>480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DE-487B-B1B9-8CD1E4014C3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747232288"/>
        <c:axId val="-747231744"/>
      </c:lineChart>
      <c:lineChart>
        <c:grouping val="stacked"/>
        <c:varyColors val="0"/>
        <c:ser>
          <c:idx val="1"/>
          <c:order val="1"/>
          <c:tx>
            <c:strRef>
              <c:f>Resumo!$B$25</c:f>
              <c:strCache>
                <c:ptCount val="1"/>
                <c:pt idx="0">
                  <c:v>Nº Total de Funcionários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Resumo!$D$25:$AL$25</c:f>
              <c:numCache>
                <c:formatCode>#,##0</c:formatCode>
                <c:ptCount val="35"/>
                <c:pt idx="0">
                  <c:v>44</c:v>
                </c:pt>
                <c:pt idx="1">
                  <c:v>48</c:v>
                </c:pt>
                <c:pt idx="2">
                  <c:v>53</c:v>
                </c:pt>
                <c:pt idx="3">
                  <c:v>54</c:v>
                </c:pt>
                <c:pt idx="4">
                  <c:v>55</c:v>
                </c:pt>
                <c:pt idx="5">
                  <c:v>57</c:v>
                </c:pt>
                <c:pt idx="6">
                  <c:v>59</c:v>
                </c:pt>
                <c:pt idx="7">
                  <c:v>64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68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84</c:v>
                </c:pt>
                <c:pt idx="17">
                  <c:v>84</c:v>
                </c:pt>
                <c:pt idx="18">
                  <c:v>86</c:v>
                </c:pt>
                <c:pt idx="19">
                  <c:v>86</c:v>
                </c:pt>
                <c:pt idx="20">
                  <c:v>86</c:v>
                </c:pt>
                <c:pt idx="21">
                  <c:v>87</c:v>
                </c:pt>
                <c:pt idx="22">
                  <c:v>88</c:v>
                </c:pt>
                <c:pt idx="23">
                  <c:v>88</c:v>
                </c:pt>
                <c:pt idx="24">
                  <c:v>88</c:v>
                </c:pt>
                <c:pt idx="25">
                  <c:v>88</c:v>
                </c:pt>
                <c:pt idx="26">
                  <c:v>88</c:v>
                </c:pt>
                <c:pt idx="27">
                  <c:v>88</c:v>
                </c:pt>
                <c:pt idx="28">
                  <c:v>93</c:v>
                </c:pt>
                <c:pt idx="29">
                  <c:v>93</c:v>
                </c:pt>
                <c:pt idx="30">
                  <c:v>93</c:v>
                </c:pt>
                <c:pt idx="31">
                  <c:v>93</c:v>
                </c:pt>
                <c:pt idx="32">
                  <c:v>93</c:v>
                </c:pt>
                <c:pt idx="33">
                  <c:v>93</c:v>
                </c:pt>
                <c:pt idx="34">
                  <c:v>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68-4757-AB9A-1DCCB3C169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2227776"/>
        <c:axId val="1212230656"/>
      </c:lineChart>
      <c:catAx>
        <c:axId val="-747232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47231744"/>
        <c:crosses val="autoZero"/>
        <c:auto val="1"/>
        <c:lblAlgn val="ctr"/>
        <c:lblOffset val="100"/>
        <c:noMultiLvlLbl val="0"/>
      </c:catAx>
      <c:valAx>
        <c:axId val="-747231744"/>
        <c:scaling>
          <c:orientation val="minMax"/>
          <c:min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LA+LE/Func Equivalente</a:t>
                </a:r>
              </a:p>
            </c:rich>
          </c:tx>
          <c:layout>
            <c:manualLayout>
              <c:xMode val="edge"/>
              <c:yMode val="edge"/>
              <c:x val="3.0175794932525528E-2"/>
              <c:y val="0.330589480878314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47232288"/>
        <c:crosses val="autoZero"/>
        <c:crossBetween val="between"/>
      </c:valAx>
      <c:valAx>
        <c:axId val="1212230656"/>
        <c:scaling>
          <c:orientation val="minMax"/>
          <c:max val="120"/>
          <c:min val="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Nº de Funcionários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212227776"/>
        <c:crosses val="max"/>
        <c:crossBetween val="between"/>
      </c:valAx>
      <c:catAx>
        <c:axId val="1212227776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extTo"/>
        <c:crossAx val="121223065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Nº de Funcionários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Resumo!$B$18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Resumo!$D$18:$AL$18</c:f>
              <c:numCache>
                <c:formatCode>#,##0</c:formatCode>
                <c:ptCount val="35"/>
                <c:pt idx="0">
                  <c:v>15</c:v>
                </c:pt>
                <c:pt idx="1">
                  <c:v>15</c:v>
                </c:pt>
                <c:pt idx="2">
                  <c:v>19</c:v>
                </c:pt>
                <c:pt idx="3">
                  <c:v>20</c:v>
                </c:pt>
                <c:pt idx="4">
                  <c:v>23</c:v>
                </c:pt>
                <c:pt idx="5">
                  <c:v>23</c:v>
                </c:pt>
                <c:pt idx="6">
                  <c:v>24</c:v>
                </c:pt>
                <c:pt idx="7">
                  <c:v>25</c:v>
                </c:pt>
                <c:pt idx="8">
                  <c:v>27</c:v>
                </c:pt>
                <c:pt idx="9">
                  <c:v>27</c:v>
                </c:pt>
                <c:pt idx="10">
                  <c:v>27</c:v>
                </c:pt>
                <c:pt idx="11">
                  <c:v>27</c:v>
                </c:pt>
                <c:pt idx="12">
                  <c:v>28</c:v>
                </c:pt>
                <c:pt idx="13">
                  <c:v>28</c:v>
                </c:pt>
                <c:pt idx="14">
                  <c:v>28</c:v>
                </c:pt>
                <c:pt idx="15">
                  <c:v>28</c:v>
                </c:pt>
                <c:pt idx="16">
                  <c:v>33</c:v>
                </c:pt>
                <c:pt idx="17">
                  <c:v>33</c:v>
                </c:pt>
                <c:pt idx="18">
                  <c:v>35</c:v>
                </c:pt>
                <c:pt idx="19">
                  <c:v>35</c:v>
                </c:pt>
                <c:pt idx="20">
                  <c:v>35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36</c:v>
                </c:pt>
                <c:pt idx="26">
                  <c:v>36</c:v>
                </c:pt>
                <c:pt idx="27">
                  <c:v>36</c:v>
                </c:pt>
                <c:pt idx="28">
                  <c:v>41</c:v>
                </c:pt>
                <c:pt idx="29">
                  <c:v>41</c:v>
                </c:pt>
                <c:pt idx="30">
                  <c:v>41</c:v>
                </c:pt>
                <c:pt idx="31">
                  <c:v>41</c:v>
                </c:pt>
                <c:pt idx="32">
                  <c:v>41</c:v>
                </c:pt>
                <c:pt idx="33">
                  <c:v>41</c:v>
                </c:pt>
                <c:pt idx="3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30-4ED3-B61C-2DD87DFC4F57}"/>
            </c:ext>
          </c:extLst>
        </c:ser>
        <c:ser>
          <c:idx val="2"/>
          <c:order val="2"/>
          <c:tx>
            <c:strRef>
              <c:f>Resumo!$B$19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Resumo!$D$19:$AL$19</c:f>
              <c:numCache>
                <c:formatCode>#,##0</c:formatCode>
                <c:ptCount val="35"/>
                <c:pt idx="0">
                  <c:v>10</c:v>
                </c:pt>
                <c:pt idx="1">
                  <c:v>13</c:v>
                </c:pt>
                <c:pt idx="2">
                  <c:v>14</c:v>
                </c:pt>
                <c:pt idx="3">
                  <c:v>12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30-4ED3-B61C-2DD87DFC4F57}"/>
            </c:ext>
          </c:extLst>
        </c:ser>
        <c:ser>
          <c:idx val="3"/>
          <c:order val="3"/>
          <c:tx>
            <c:strRef>
              <c:f>Resumo!$B$20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Resumo!$D$20:$AL$20</c:f>
              <c:numCache>
                <c:formatCode>#,##0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30-4ED3-B61C-2DD87DFC4F57}"/>
            </c:ext>
          </c:extLst>
        </c:ser>
        <c:ser>
          <c:idx val="4"/>
          <c:order val="4"/>
          <c:tx>
            <c:strRef>
              <c:f>Resumo!$B$21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Resumo!$D$21:$AL$21</c:f>
              <c:numCache>
                <c:formatCode>#,##0</c:formatCode>
                <c:ptCount val="35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  <c:pt idx="19">
                  <c:v>12</c:v>
                </c:pt>
                <c:pt idx="20">
                  <c:v>12</c:v>
                </c:pt>
                <c:pt idx="21">
                  <c:v>12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13</c:v>
                </c:pt>
                <c:pt idx="29">
                  <c:v>13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30-4ED3-B61C-2DD87DFC4F57}"/>
            </c:ext>
          </c:extLst>
        </c:ser>
        <c:ser>
          <c:idx val="7"/>
          <c:order val="5"/>
          <c:tx>
            <c:strRef>
              <c:f>Resumo!$B$22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Resumo!$D$22:$AL$22</c:f>
              <c:numCache>
                <c:formatCode>#,##0</c:formatCode>
                <c:ptCount val="35"/>
                <c:pt idx="0">
                  <c:v>6</c:v>
                </c:pt>
                <c:pt idx="1">
                  <c:v>7</c:v>
                </c:pt>
                <c:pt idx="2">
                  <c:v>7</c:v>
                </c:pt>
                <c:pt idx="3">
                  <c:v>9</c:v>
                </c:pt>
                <c:pt idx="4">
                  <c:v>9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13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  <c:pt idx="17">
                  <c:v>14</c:v>
                </c:pt>
                <c:pt idx="18">
                  <c:v>14</c:v>
                </c:pt>
                <c:pt idx="19">
                  <c:v>14</c:v>
                </c:pt>
                <c:pt idx="20">
                  <c:v>14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14</c:v>
                </c:pt>
                <c:pt idx="25">
                  <c:v>14</c:v>
                </c:pt>
                <c:pt idx="26">
                  <c:v>14</c:v>
                </c:pt>
                <c:pt idx="27">
                  <c:v>14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130-4ED3-B61C-2DD87DFC4F57}"/>
            </c:ext>
          </c:extLst>
        </c:ser>
        <c:ser>
          <c:idx val="5"/>
          <c:order val="6"/>
          <c:tx>
            <c:strRef>
              <c:f>Resumo!$B$23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Resumo!$D$23:$AL$23</c:f>
              <c:numCache>
                <c:formatCode>#,##0</c:formatCode>
                <c:ptCount val="35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130-4ED3-B61C-2DD87DFC4F57}"/>
            </c:ext>
          </c:extLst>
        </c:ser>
        <c:ser>
          <c:idx val="6"/>
          <c:order val="7"/>
          <c:tx>
            <c:strRef>
              <c:f>Resumo!$B$24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Resumo!$D$24:$AG$24</c:f>
              <c:numCache>
                <c:formatCode>#,##0</c:formatCode>
                <c:ptCount val="3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130-4ED3-B61C-2DD87DFC4F5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727781776"/>
        <c:axId val="-512189760"/>
      </c:barChart>
      <c:lineChart>
        <c:grouping val="standard"/>
        <c:varyColors val="0"/>
        <c:ser>
          <c:idx val="0"/>
          <c:order val="0"/>
          <c:tx>
            <c:strRef>
              <c:f>Resumo!$B$25</c:f>
              <c:strCache>
                <c:ptCount val="1"/>
                <c:pt idx="0">
                  <c:v>Nº Total de Funcionários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Resumo!$D$25:$AL$25</c:f>
              <c:numCache>
                <c:formatCode>#,##0</c:formatCode>
                <c:ptCount val="35"/>
                <c:pt idx="0">
                  <c:v>44</c:v>
                </c:pt>
                <c:pt idx="1">
                  <c:v>48</c:v>
                </c:pt>
                <c:pt idx="2">
                  <c:v>53</c:v>
                </c:pt>
                <c:pt idx="3">
                  <c:v>54</c:v>
                </c:pt>
                <c:pt idx="4">
                  <c:v>55</c:v>
                </c:pt>
                <c:pt idx="5">
                  <c:v>57</c:v>
                </c:pt>
                <c:pt idx="6">
                  <c:v>59</c:v>
                </c:pt>
                <c:pt idx="7">
                  <c:v>64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68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84</c:v>
                </c:pt>
                <c:pt idx="17">
                  <c:v>84</c:v>
                </c:pt>
                <c:pt idx="18">
                  <c:v>86</c:v>
                </c:pt>
                <c:pt idx="19">
                  <c:v>86</c:v>
                </c:pt>
                <c:pt idx="20">
                  <c:v>86</c:v>
                </c:pt>
                <c:pt idx="21">
                  <c:v>87</c:v>
                </c:pt>
                <c:pt idx="22">
                  <c:v>88</c:v>
                </c:pt>
                <c:pt idx="23">
                  <c:v>88</c:v>
                </c:pt>
                <c:pt idx="24">
                  <c:v>88</c:v>
                </c:pt>
                <c:pt idx="25">
                  <c:v>88</c:v>
                </c:pt>
                <c:pt idx="26">
                  <c:v>88</c:v>
                </c:pt>
                <c:pt idx="27">
                  <c:v>88</c:v>
                </c:pt>
                <c:pt idx="28">
                  <c:v>93</c:v>
                </c:pt>
                <c:pt idx="29">
                  <c:v>93</c:v>
                </c:pt>
                <c:pt idx="30">
                  <c:v>93</c:v>
                </c:pt>
                <c:pt idx="31">
                  <c:v>93</c:v>
                </c:pt>
                <c:pt idx="32">
                  <c:v>93</c:v>
                </c:pt>
                <c:pt idx="33">
                  <c:v>93</c:v>
                </c:pt>
                <c:pt idx="34">
                  <c:v>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30-4ED3-B61C-2DD87DFC4F5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727781776"/>
        <c:axId val="-512189760"/>
      </c:lineChart>
      <c:catAx>
        <c:axId val="-727781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9760"/>
        <c:crosses val="autoZero"/>
        <c:auto val="1"/>
        <c:lblAlgn val="ctr"/>
        <c:lblOffset val="100"/>
        <c:noMultiLvlLbl val="0"/>
      </c:catAx>
      <c:valAx>
        <c:axId val="-51218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Funcioários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727781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População Atendida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Resumo!$B$4</c:f>
              <c:strCache>
                <c:ptCount val="1"/>
                <c:pt idx="0">
                  <c:v>População Atendida Água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Resumo!$D$4:$AL$4</c:f>
              <c:numCache>
                <c:formatCode>#,##0</c:formatCode>
                <c:ptCount val="35"/>
                <c:pt idx="0">
                  <c:v>43795</c:v>
                </c:pt>
                <c:pt idx="1">
                  <c:v>44815</c:v>
                </c:pt>
                <c:pt idx="2">
                  <c:v>45828</c:v>
                </c:pt>
                <c:pt idx="3">
                  <c:v>46834</c:v>
                </c:pt>
                <c:pt idx="4">
                  <c:v>47641</c:v>
                </c:pt>
                <c:pt idx="5">
                  <c:v>48147</c:v>
                </c:pt>
                <c:pt idx="6">
                  <c:v>48635</c:v>
                </c:pt>
                <c:pt idx="7">
                  <c:v>49105</c:v>
                </c:pt>
                <c:pt idx="8">
                  <c:v>49558</c:v>
                </c:pt>
                <c:pt idx="9">
                  <c:v>49993</c:v>
                </c:pt>
                <c:pt idx="10">
                  <c:v>50412</c:v>
                </c:pt>
                <c:pt idx="11">
                  <c:v>50814</c:v>
                </c:pt>
                <c:pt idx="12">
                  <c:v>51200</c:v>
                </c:pt>
                <c:pt idx="13">
                  <c:v>51570</c:v>
                </c:pt>
                <c:pt idx="14">
                  <c:v>51925</c:v>
                </c:pt>
                <c:pt idx="15">
                  <c:v>52265</c:v>
                </c:pt>
                <c:pt idx="16">
                  <c:v>52590</c:v>
                </c:pt>
                <c:pt idx="17">
                  <c:v>52902</c:v>
                </c:pt>
                <c:pt idx="18">
                  <c:v>53200</c:v>
                </c:pt>
                <c:pt idx="19">
                  <c:v>53485</c:v>
                </c:pt>
                <c:pt idx="20">
                  <c:v>53758</c:v>
                </c:pt>
                <c:pt idx="21">
                  <c:v>54018</c:v>
                </c:pt>
                <c:pt idx="22">
                  <c:v>54266</c:v>
                </c:pt>
                <c:pt idx="23">
                  <c:v>54503</c:v>
                </c:pt>
                <c:pt idx="24">
                  <c:v>54730</c:v>
                </c:pt>
                <c:pt idx="25">
                  <c:v>54945</c:v>
                </c:pt>
                <c:pt idx="26">
                  <c:v>55151</c:v>
                </c:pt>
                <c:pt idx="27">
                  <c:v>55347</c:v>
                </c:pt>
                <c:pt idx="28">
                  <c:v>55534</c:v>
                </c:pt>
                <c:pt idx="29">
                  <c:v>55712</c:v>
                </c:pt>
                <c:pt idx="30">
                  <c:v>55881</c:v>
                </c:pt>
                <c:pt idx="31">
                  <c:v>56042</c:v>
                </c:pt>
                <c:pt idx="32">
                  <c:v>56196</c:v>
                </c:pt>
                <c:pt idx="33">
                  <c:v>56342</c:v>
                </c:pt>
                <c:pt idx="34">
                  <c:v>56480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2F-4129-94F1-2FC9EB2E64C1}"/>
            </c:ext>
          </c:extLst>
        </c:ser>
        <c:ser>
          <c:idx val="1"/>
          <c:order val="1"/>
          <c:tx>
            <c:strRef>
              <c:f>Resumo!$B$5</c:f>
              <c:strCache>
                <c:ptCount val="1"/>
                <c:pt idx="0">
                  <c:v>População Atendida Esgoto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Resumo!$D$5:$AL$5</c:f>
              <c:numCache>
                <c:formatCode>#,##0</c:formatCode>
                <c:ptCount val="35"/>
                <c:pt idx="0">
                  <c:v>0</c:v>
                </c:pt>
                <c:pt idx="1">
                  <c:v>9202</c:v>
                </c:pt>
                <c:pt idx="2">
                  <c:v>13972</c:v>
                </c:pt>
                <c:pt idx="3">
                  <c:v>18847</c:v>
                </c:pt>
                <c:pt idx="4">
                  <c:v>23821</c:v>
                </c:pt>
                <c:pt idx="5">
                  <c:v>28888</c:v>
                </c:pt>
                <c:pt idx="6">
                  <c:v>34045</c:v>
                </c:pt>
                <c:pt idx="7">
                  <c:v>39284</c:v>
                </c:pt>
                <c:pt idx="8">
                  <c:v>44602</c:v>
                </c:pt>
                <c:pt idx="9">
                  <c:v>45994</c:v>
                </c:pt>
                <c:pt idx="10">
                  <c:v>47387</c:v>
                </c:pt>
                <c:pt idx="11">
                  <c:v>48781</c:v>
                </c:pt>
                <c:pt idx="12">
                  <c:v>50176</c:v>
                </c:pt>
                <c:pt idx="13">
                  <c:v>51570</c:v>
                </c:pt>
                <c:pt idx="14">
                  <c:v>51925</c:v>
                </c:pt>
                <c:pt idx="15">
                  <c:v>52265</c:v>
                </c:pt>
                <c:pt idx="16">
                  <c:v>52590</c:v>
                </c:pt>
                <c:pt idx="17">
                  <c:v>52902</c:v>
                </c:pt>
                <c:pt idx="18">
                  <c:v>53200</c:v>
                </c:pt>
                <c:pt idx="19">
                  <c:v>53485</c:v>
                </c:pt>
                <c:pt idx="20">
                  <c:v>53758</c:v>
                </c:pt>
                <c:pt idx="21">
                  <c:v>54018</c:v>
                </c:pt>
                <c:pt idx="22">
                  <c:v>54266</c:v>
                </c:pt>
                <c:pt idx="23">
                  <c:v>54503</c:v>
                </c:pt>
                <c:pt idx="24">
                  <c:v>54730</c:v>
                </c:pt>
                <c:pt idx="25">
                  <c:v>54945</c:v>
                </c:pt>
                <c:pt idx="26">
                  <c:v>55151</c:v>
                </c:pt>
                <c:pt idx="27">
                  <c:v>55347</c:v>
                </c:pt>
                <c:pt idx="28">
                  <c:v>55534</c:v>
                </c:pt>
                <c:pt idx="29">
                  <c:v>55712</c:v>
                </c:pt>
                <c:pt idx="30">
                  <c:v>55881</c:v>
                </c:pt>
                <c:pt idx="31">
                  <c:v>56042</c:v>
                </c:pt>
                <c:pt idx="32">
                  <c:v>56196</c:v>
                </c:pt>
                <c:pt idx="33">
                  <c:v>56342</c:v>
                </c:pt>
                <c:pt idx="34">
                  <c:v>56480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2F-4129-94F1-2FC9EB2E64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512183776"/>
        <c:axId val="-512183232"/>
      </c:lineChart>
      <c:catAx>
        <c:axId val="-512183776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3232"/>
        <c:crosses val="autoZero"/>
        <c:auto val="1"/>
        <c:lblAlgn val="ctr"/>
        <c:lblOffset val="100"/>
        <c:noMultiLvlLbl val="0"/>
      </c:catAx>
      <c:valAx>
        <c:axId val="-512183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Habitantes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3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Grau de Automação dos Sistemas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0.17171296296296296"/>
          <c:w val="0.83129396325459315"/>
          <c:h val="0.567738772236803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Resumo!$B$10</c:f>
              <c:strCache>
                <c:ptCount val="1"/>
                <c:pt idx="0">
                  <c:v>Grau de automação dos sistemas 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Resumo!$D$10:$AL$10</c:f>
              <c:numCache>
                <c:formatCode>0%</c:formatCode>
                <c:ptCount val="35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48-43E0-9D06-388E2FAA4508}"/>
            </c:ext>
          </c:extLst>
        </c:ser>
        <c:ser>
          <c:idx val="1"/>
          <c:order val="1"/>
          <c:tx>
            <c:strRef>
              <c:f>Resumo!$B$11</c:f>
              <c:strCache>
                <c:ptCount val="1"/>
                <c:pt idx="0">
                  <c:v>Grau de automação dos sistemas 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Resumo!$D$11:$AL$11</c:f>
              <c:numCache>
                <c:formatCode>0%</c:formatCode>
                <c:ptCount val="35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48-43E0-9D06-388E2FAA450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82688"/>
        <c:axId val="-512182144"/>
      </c:barChart>
      <c:catAx>
        <c:axId val="-512182688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2144"/>
        <c:crosses val="autoZero"/>
        <c:auto val="1"/>
        <c:lblAlgn val="ctr"/>
        <c:lblOffset val="100"/>
        <c:noMultiLvlLbl val="0"/>
      </c:catAx>
      <c:valAx>
        <c:axId val="-512182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Porcentagem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2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Economias e Ligações Ativas Água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0.17171296296296296"/>
          <c:w val="0.83129396325459315"/>
          <c:h val="0.567738772236803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Resumo!$B$12</c:f>
              <c:strCache>
                <c:ptCount val="1"/>
                <c:pt idx="0">
                  <c:v>Nº de Economias Água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invertIfNegative val="0"/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Resumo!$D$12:$AL$12</c:f>
              <c:numCache>
                <c:formatCode>#,##0</c:formatCode>
                <c:ptCount val="35"/>
                <c:pt idx="0">
                  <c:v>18054.532943578</c:v>
                </c:pt>
                <c:pt idx="1">
                  <c:v>18656.474280955434</c:v>
                </c:pt>
                <c:pt idx="2">
                  <c:v>19263.513031135699</c:v>
                </c:pt>
                <c:pt idx="3">
                  <c:v>19874.06412749843</c:v>
                </c:pt>
                <c:pt idx="4">
                  <c:v>20408.877964162944</c:v>
                </c:pt>
                <c:pt idx="5">
                  <c:v>20818.83121718714</c:v>
                </c:pt>
                <c:pt idx="6">
                  <c:v>21223.448012917201</c:v>
                </c:pt>
                <c:pt idx="7">
                  <c:v>21623.30872139279</c:v>
                </c:pt>
                <c:pt idx="8">
                  <c:v>22017.015715024689</c:v>
                </c:pt>
                <c:pt idx="9">
                  <c:v>22403.194748111968</c:v>
                </c:pt>
                <c:pt idx="10">
                  <c:v>22785.496120146072</c:v>
                </c:pt>
                <c:pt idx="11">
                  <c:v>23159.595619313262</c:v>
                </c:pt>
                <c:pt idx="12">
                  <c:v>23526.195245757965</c:v>
                </c:pt>
                <c:pt idx="13">
                  <c:v>23887.023717160399</c:v>
                </c:pt>
                <c:pt idx="14">
                  <c:v>24237.83676195889</c:v>
                </c:pt>
                <c:pt idx="15">
                  <c:v>24581.417208064111</c:v>
                </c:pt>
                <c:pt idx="16">
                  <c:v>24917.574877135074</c:v>
                </c:pt>
                <c:pt idx="17">
                  <c:v>25246.146296389066</c:v>
                </c:pt>
                <c:pt idx="18">
                  <c:v>25565.99424148638</c:v>
                </c:pt>
                <c:pt idx="19">
                  <c:v>25878.007125258897</c:v>
                </c:pt>
                <c:pt idx="20">
                  <c:v>26180.098247944901</c:v>
                </c:pt>
                <c:pt idx="21">
                  <c:v>26476.204925161077</c:v>
                </c:pt>
                <c:pt idx="22">
                  <c:v>26762.287510105863</c:v>
                </c:pt>
                <c:pt idx="23">
                  <c:v>27040.328326469567</c:v>
                </c:pt>
                <c:pt idx="24">
                  <c:v>27309.33052825378</c:v>
                </c:pt>
                <c:pt idx="25">
                  <c:v>27570.31690220728</c:v>
                </c:pt>
                <c:pt idx="26">
                  <c:v>27822.328627899238</c:v>
                </c:pt>
                <c:pt idx="27">
                  <c:v>28068.424009607454</c:v>
                </c:pt>
                <c:pt idx="28">
                  <c:v>28303.677193231466</c:v>
                </c:pt>
                <c:pt idx="29">
                  <c:v>28532.176880379982</c:v>
                </c:pt>
                <c:pt idx="30">
                  <c:v>28752.025050658256</c:v>
                </c:pt>
                <c:pt idx="31">
                  <c:v>28964.335702021512</c:v>
                </c:pt>
                <c:pt idx="32">
                  <c:v>29169.233617889797</c:v>
                </c:pt>
                <c:pt idx="33">
                  <c:v>29365.853168559057</c:v>
                </c:pt>
                <c:pt idx="34">
                  <c:v>29555.33715331139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AF-4D3F-913F-B90170A42717}"/>
            </c:ext>
          </c:extLst>
        </c:ser>
        <c:ser>
          <c:idx val="2"/>
          <c:order val="2"/>
          <c:tx>
            <c:strRef>
              <c:f>Resumo!$B$14</c:f>
              <c:strCache>
                <c:ptCount val="1"/>
                <c:pt idx="0">
                  <c:v>Nº de Ligações A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invertIfNegative val="0"/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Resumo!$D$14:$AL$14</c:f>
              <c:numCache>
                <c:formatCode>#,##0</c:formatCode>
                <c:ptCount val="35"/>
                <c:pt idx="0">
                  <c:v>13647.44425039473</c:v>
                </c:pt>
                <c:pt idx="1">
                  <c:v>14101.384820858522</c:v>
                </c:pt>
                <c:pt idx="2">
                  <c:v>14558.943509623472</c:v>
                </c:pt>
                <c:pt idx="3">
                  <c:v>15018.914358680637</c:v>
                </c:pt>
                <c:pt idx="4">
                  <c:v>15421.87037397998</c:v>
                </c:pt>
                <c:pt idx="5">
                  <c:v>15730.27452445744</c:v>
                </c:pt>
                <c:pt idx="6">
                  <c:v>16034.858398967119</c:v>
                </c:pt>
                <c:pt idx="7">
                  <c:v>16335.678051152905</c:v>
                </c:pt>
                <c:pt idx="8">
                  <c:v>16631.863418293153</c:v>
                </c:pt>
                <c:pt idx="9">
                  <c:v>16922.134187526706</c:v>
                </c:pt>
                <c:pt idx="10">
                  <c:v>17209.978534797559</c:v>
                </c:pt>
                <c:pt idx="11">
                  <c:v>17491.42752810369</c:v>
                </c:pt>
                <c:pt idx="12">
                  <c:v>17767.008067569303</c:v>
                </c:pt>
                <c:pt idx="13">
                  <c:v>18038.516960684621</c:v>
                </c:pt>
                <c:pt idx="14">
                  <c:v>18302.007621380697</c:v>
                </c:pt>
                <c:pt idx="15">
                  <c:v>18560.296408482667</c:v>
                </c:pt>
                <c:pt idx="16">
                  <c:v>18813.025479432843</c:v>
                </c:pt>
                <c:pt idx="17">
                  <c:v>19060.082880698832</c:v>
                </c:pt>
                <c:pt idx="18">
                  <c:v>19300.368861944557</c:v>
                </c:pt>
                <c:pt idx="19">
                  <c:v>19534.98819997656</c:v>
                </c:pt>
                <c:pt idx="20">
                  <c:v>19761.91045420547</c:v>
                </c:pt>
                <c:pt idx="21">
                  <c:v>19984.615923196699</c:v>
                </c:pt>
                <c:pt idx="22">
                  <c:v>20199.547661553224</c:v>
                </c:pt>
                <c:pt idx="23">
                  <c:v>20408.469574957722</c:v>
                </c:pt>
                <c:pt idx="24">
                  <c:v>20610.58287103938</c:v>
                </c:pt>
                <c:pt idx="25">
                  <c:v>20806.705771987272</c:v>
                </c:pt>
                <c:pt idx="26">
                  <c:v>20995.842080508257</c:v>
                </c:pt>
                <c:pt idx="27">
                  <c:v>21181.038498679936</c:v>
                </c:pt>
                <c:pt idx="28">
                  <c:v>21357.621435708657</c:v>
                </c:pt>
                <c:pt idx="29">
                  <c:v>21529.362447034182</c:v>
                </c:pt>
                <c:pt idx="30">
                  <c:v>21694.406912528382</c:v>
                </c:pt>
                <c:pt idx="31">
                  <c:v>21854.007596324689</c:v>
                </c:pt>
                <c:pt idx="32">
                  <c:v>22007.843719348963</c:v>
                </c:pt>
                <c:pt idx="33">
                  <c:v>22155.464666957148</c:v>
                </c:pt>
                <c:pt idx="34">
                  <c:v>22297.717012343659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AF-4D3F-913F-B90170A427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12190304"/>
        <c:axId val="-51218812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Resumo!$B$13</c15:sqref>
                        </c15:formulaRef>
                      </c:ext>
                    </c:extLst>
                    <c:strCache>
                      <c:ptCount val="1"/>
                      <c:pt idx="0">
                        <c:v>Nº de Economias Esgoto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 w="25400"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Resumo!$D$3:$AL$3</c15:sqref>
                        </c15:formulaRef>
                      </c:ext>
                    </c:extLst>
                    <c:numCache>
                      <c:formatCode>0</c:formatCode>
                      <c:ptCount val="3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Resumo!$D$13:$AL$13</c15:sqref>
                        </c15:formulaRef>
                      </c:ext>
                    </c:extLst>
                    <c:numCache>
                      <c:formatCode>#,##0</c:formatCode>
                      <c:ptCount val="35"/>
                      <c:pt idx="0">
                        <c:v>0</c:v>
                      </c:pt>
                      <c:pt idx="1">
                        <c:v>3830.8982096417722</c:v>
                      </c:pt>
                      <c:pt idx="2">
                        <c:v>5873.0222655901525</c:v>
                      </c:pt>
                      <c:pt idx="3">
                        <c:v>7997.6113189128491</c:v>
                      </c:pt>
                      <c:pt idx="4">
                        <c:v>10204.438982081472</c:v>
                      </c:pt>
                      <c:pt idx="5">
                        <c:v>12491.298730312285</c:v>
                      </c:pt>
                      <c:pt idx="6">
                        <c:v>14856.41360904204</c:v>
                      </c:pt>
                      <c:pt idx="7">
                        <c:v>17298.646977114233</c:v>
                      </c:pt>
                      <c:pt idx="8">
                        <c:v>19815.314143522224</c:v>
                      </c:pt>
                      <c:pt idx="9">
                        <c:v>20610.939168263008</c:v>
                      </c:pt>
                      <c:pt idx="10">
                        <c:v>21418.366352937304</c:v>
                      </c:pt>
                      <c:pt idx="11">
                        <c:v>22233.211794540734</c:v>
                      </c:pt>
                      <c:pt idx="12">
                        <c:v>23055.671340842808</c:v>
                      </c:pt>
                      <c:pt idx="13">
                        <c:v>23887.023717160399</c:v>
                      </c:pt>
                      <c:pt idx="14">
                        <c:v>24237.83676195889</c:v>
                      </c:pt>
                      <c:pt idx="15">
                        <c:v>24581.417208064111</c:v>
                      </c:pt>
                      <c:pt idx="16">
                        <c:v>24917.574877135074</c:v>
                      </c:pt>
                      <c:pt idx="17">
                        <c:v>25246.146296389066</c:v>
                      </c:pt>
                      <c:pt idx="18">
                        <c:v>25565.99424148638</c:v>
                      </c:pt>
                      <c:pt idx="19">
                        <c:v>25878.007125258897</c:v>
                      </c:pt>
                      <c:pt idx="20">
                        <c:v>26180.098247944901</c:v>
                      </c:pt>
                      <c:pt idx="21">
                        <c:v>26476.204925161077</c:v>
                      </c:pt>
                      <c:pt idx="22">
                        <c:v>26762.287510105863</c:v>
                      </c:pt>
                      <c:pt idx="23">
                        <c:v>27040.328326469567</c:v>
                      </c:pt>
                      <c:pt idx="24">
                        <c:v>27309.33052825378</c:v>
                      </c:pt>
                      <c:pt idx="25">
                        <c:v>27570.31690220728</c:v>
                      </c:pt>
                      <c:pt idx="26">
                        <c:v>27822.328627899238</c:v>
                      </c:pt>
                      <c:pt idx="27">
                        <c:v>28068.424009607454</c:v>
                      </c:pt>
                      <c:pt idx="28">
                        <c:v>28303.677193231466</c:v>
                      </c:pt>
                      <c:pt idx="29">
                        <c:v>28532.176880379982</c:v>
                      </c:pt>
                      <c:pt idx="30">
                        <c:v>28752.025050658256</c:v>
                      </c:pt>
                      <c:pt idx="31">
                        <c:v>28964.335702021512</c:v>
                      </c:pt>
                      <c:pt idx="32">
                        <c:v>29169.233617889797</c:v>
                      </c:pt>
                      <c:pt idx="33">
                        <c:v>29365.853168559057</c:v>
                      </c:pt>
                      <c:pt idx="34">
                        <c:v>29555.33715331139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D2AF-4D3F-913F-B90170A4271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Resumo!$B$15</c15:sqref>
                        </c15:formulaRef>
                      </c:ext>
                    </c:extLst>
                    <c:strCache>
                      <c:ptCount val="1"/>
                      <c:pt idx="0">
                        <c:v>Nº de Ligações E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5400"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Resumo!$D$3:$AL$3</c15:sqref>
                        </c15:formulaRef>
                      </c:ext>
                    </c:extLst>
                    <c:numCache>
                      <c:formatCode>0</c:formatCode>
                      <c:ptCount val="3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Resumo!$D$15:$AL$15</c15:sqref>
                        </c15:formulaRef>
                      </c:ext>
                    </c:extLst>
                    <c:numCache>
                      <c:formatCode>#,##0</c:formatCode>
                      <c:ptCount val="35"/>
                      <c:pt idx="0">
                        <c:v>0</c:v>
                      </c:pt>
                      <c:pt idx="1">
                        <c:v>2895.5615648580133</c:v>
                      </c:pt>
                      <c:pt idx="2">
                        <c:v>4438.7022895193504</c:v>
                      </c:pt>
                      <c:pt idx="3">
                        <c:v>6043.8287157668547</c:v>
                      </c:pt>
                      <c:pt idx="4">
                        <c:v>7710.9351869899901</c:v>
                      </c:pt>
                      <c:pt idx="5">
                        <c:v>9438.1647146744654</c:v>
                      </c:pt>
                      <c:pt idx="6">
                        <c:v>11224.400879276984</c:v>
                      </c:pt>
                      <c:pt idx="7">
                        <c:v>13068.542440922325</c:v>
                      </c:pt>
                      <c:pt idx="8">
                        <c:v>14968.677076463839</c:v>
                      </c:pt>
                      <c:pt idx="9">
                        <c:v>15568.363452524569</c:v>
                      </c:pt>
                      <c:pt idx="10">
                        <c:v>16177.3798227097</c:v>
                      </c:pt>
                      <c:pt idx="11">
                        <c:v>16791.770426979547</c:v>
                      </c:pt>
                      <c:pt idx="12">
                        <c:v>17411.667906217917</c:v>
                      </c:pt>
                      <c:pt idx="13">
                        <c:v>18038.516960684621</c:v>
                      </c:pt>
                      <c:pt idx="14">
                        <c:v>18302.007621380697</c:v>
                      </c:pt>
                      <c:pt idx="15">
                        <c:v>18560.296408482667</c:v>
                      </c:pt>
                      <c:pt idx="16">
                        <c:v>18813.025479432843</c:v>
                      </c:pt>
                      <c:pt idx="17">
                        <c:v>19060.082880698832</c:v>
                      </c:pt>
                      <c:pt idx="18">
                        <c:v>19300.368861944557</c:v>
                      </c:pt>
                      <c:pt idx="19">
                        <c:v>19534.98819997656</c:v>
                      </c:pt>
                      <c:pt idx="20">
                        <c:v>19761.91045420547</c:v>
                      </c:pt>
                      <c:pt idx="21">
                        <c:v>19984.615923196699</c:v>
                      </c:pt>
                      <c:pt idx="22">
                        <c:v>20199.547661553224</c:v>
                      </c:pt>
                      <c:pt idx="23">
                        <c:v>20408.469574957722</c:v>
                      </c:pt>
                      <c:pt idx="24">
                        <c:v>20610.58287103938</c:v>
                      </c:pt>
                      <c:pt idx="25">
                        <c:v>20806.705771987272</c:v>
                      </c:pt>
                      <c:pt idx="26">
                        <c:v>20995.842080508257</c:v>
                      </c:pt>
                      <c:pt idx="27">
                        <c:v>21181.038498679936</c:v>
                      </c:pt>
                      <c:pt idx="28">
                        <c:v>21357.621435708657</c:v>
                      </c:pt>
                      <c:pt idx="29">
                        <c:v>21529.362447034182</c:v>
                      </c:pt>
                      <c:pt idx="30">
                        <c:v>21694.406912528382</c:v>
                      </c:pt>
                      <c:pt idx="31">
                        <c:v>21854.007596324689</c:v>
                      </c:pt>
                      <c:pt idx="32">
                        <c:v>22007.843719348963</c:v>
                      </c:pt>
                      <c:pt idx="33">
                        <c:v>22155.464666957148</c:v>
                      </c:pt>
                      <c:pt idx="34">
                        <c:v>22297.717012343659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AF-4D3F-913F-B90170A42717}"/>
                  </c:ext>
                </c:extLst>
              </c15:ser>
            </c15:filteredBarSeries>
          </c:ext>
        </c:extLst>
      </c:barChart>
      <c:catAx>
        <c:axId val="-512190304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8128"/>
        <c:crosses val="autoZero"/>
        <c:auto val="0"/>
        <c:lblAlgn val="ctr"/>
        <c:lblOffset val="100"/>
        <c:noMultiLvlLbl val="0"/>
      </c:catAx>
      <c:valAx>
        <c:axId val="-512188128"/>
        <c:scaling>
          <c:orientation val="minMax"/>
          <c:max val="4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Unidades Ativas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90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8328083989501311E-2"/>
          <c:y val="0.88773038786818337"/>
          <c:w val="0.29396231450794041"/>
          <c:h val="5.13702225577967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Extensão de rede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0.17171296296296296"/>
          <c:w val="0.83129396325459315"/>
          <c:h val="0.56773877223680369"/>
        </c:manualLayout>
      </c:layout>
      <c:lineChart>
        <c:grouping val="standard"/>
        <c:varyColors val="0"/>
        <c:ser>
          <c:idx val="0"/>
          <c:order val="0"/>
          <c:tx>
            <c:strRef>
              <c:f>Resumo!$B$16</c:f>
              <c:strCache>
                <c:ptCount val="1"/>
                <c:pt idx="0">
                  <c:v>Extensão rede de água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Resumo!$D$16:$AL$16</c:f>
              <c:numCache>
                <c:formatCode>#,##0.000</c:formatCode>
                <c:ptCount val="35"/>
                <c:pt idx="0">
                  <c:v>289.46229255087223</c:v>
                </c:pt>
                <c:pt idx="1">
                  <c:v>299.09037205040926</c:v>
                </c:pt>
                <c:pt idx="2">
                  <c:v>308.79519183911384</c:v>
                </c:pt>
                <c:pt idx="3">
                  <c:v>318.55117354761626</c:v>
                </c:pt>
                <c:pt idx="4">
                  <c:v>327.09787063211536</c:v>
                </c:pt>
                <c:pt idx="5">
                  <c:v>333.63912266374228</c:v>
                </c:pt>
                <c:pt idx="6">
                  <c:v>340.09934664209254</c:v>
                </c:pt>
                <c:pt idx="7">
                  <c:v>346.47973146495309</c:v>
                </c:pt>
                <c:pt idx="8">
                  <c:v>352.76182310199778</c:v>
                </c:pt>
                <c:pt idx="9">
                  <c:v>358.91846611744148</c:v>
                </c:pt>
                <c:pt idx="10">
                  <c:v>365.02364472305629</c:v>
                </c:pt>
                <c:pt idx="11">
                  <c:v>370.9931778710793</c:v>
                </c:pt>
                <c:pt idx="12">
                  <c:v>376.83824111314499</c:v>
                </c:pt>
                <c:pt idx="13">
                  <c:v>382.59694473612086</c:v>
                </c:pt>
                <c:pt idx="14">
                  <c:v>388.18558164948462</c:v>
                </c:pt>
                <c:pt idx="15">
                  <c:v>393.66388682391744</c:v>
                </c:pt>
                <c:pt idx="16">
                  <c:v>399.0242704187707</c:v>
                </c:pt>
                <c:pt idx="17">
                  <c:v>404.26435789962227</c:v>
                </c:pt>
                <c:pt idx="18">
                  <c:v>409.36082356184414</c:v>
                </c:pt>
                <c:pt idx="19">
                  <c:v>414.33709972150291</c:v>
                </c:pt>
                <c:pt idx="20">
                  <c:v>419.15012073369809</c:v>
                </c:pt>
                <c:pt idx="21">
                  <c:v>423.87370373100208</c:v>
                </c:pt>
                <c:pt idx="22">
                  <c:v>428.43240590154397</c:v>
                </c:pt>
                <c:pt idx="23">
                  <c:v>432.86363968485335</c:v>
                </c:pt>
                <c:pt idx="24">
                  <c:v>437.15046269474533</c:v>
                </c:pt>
                <c:pt idx="25">
                  <c:v>441.31022942385016</c:v>
                </c:pt>
                <c:pt idx="26">
                  <c:v>445.32181052758023</c:v>
                </c:pt>
                <c:pt idx="27">
                  <c:v>449.24982655700148</c:v>
                </c:pt>
                <c:pt idx="28">
                  <c:v>452.99515065138064</c:v>
                </c:pt>
                <c:pt idx="29">
                  <c:v>456.63777750159505</c:v>
                </c:pt>
                <c:pt idx="30">
                  <c:v>460.13837061472702</c:v>
                </c:pt>
                <c:pt idx="31">
                  <c:v>463.52350111804668</c:v>
                </c:pt>
                <c:pt idx="32">
                  <c:v>466.7863652873915</c:v>
                </c:pt>
                <c:pt idx="33">
                  <c:v>469.91740558616112</c:v>
                </c:pt>
                <c:pt idx="34">
                  <c:v>472.93457783180901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06-44C8-A628-C66E61ACA958}"/>
            </c:ext>
          </c:extLst>
        </c:ser>
        <c:ser>
          <c:idx val="1"/>
          <c:order val="1"/>
          <c:tx>
            <c:strRef>
              <c:f>Resumo!$B$17</c:f>
              <c:strCache>
                <c:ptCount val="1"/>
                <c:pt idx="0">
                  <c:v>Extensão rede de esgoto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</c:numRef>
          </c:cat>
          <c:val>
            <c:numRef>
              <c:f>Resumo!$D$17:$AL$17</c:f>
              <c:numCache>
                <c:formatCode>#,##0.000</c:formatCode>
                <c:ptCount val="35"/>
                <c:pt idx="0">
                  <c:v>0</c:v>
                </c:pt>
                <c:pt idx="1">
                  <c:v>61.414860790638464</c:v>
                </c:pt>
                <c:pt idx="2">
                  <c:v>94.144875560705415</c:v>
                </c:pt>
                <c:pt idx="3">
                  <c:v>128.18960706141499</c:v>
                </c:pt>
                <c:pt idx="4">
                  <c:v>163.54893531605771</c:v>
                </c:pt>
                <c:pt idx="5">
                  <c:v>200.18347359824543</c:v>
                </c:pt>
                <c:pt idx="6">
                  <c:v>238.06954264946484</c:v>
                </c:pt>
                <c:pt idx="7">
                  <c:v>277.18378517196254</c:v>
                </c:pt>
                <c:pt idx="8">
                  <c:v>317.48564079179801</c:v>
                </c:pt>
                <c:pt idx="9">
                  <c:v>330.20498882804611</c:v>
                </c:pt>
                <c:pt idx="10">
                  <c:v>343.12222603967268</c:v>
                </c:pt>
                <c:pt idx="11">
                  <c:v>356.15345075623623</c:v>
                </c:pt>
                <c:pt idx="12">
                  <c:v>369.30147629088202</c:v>
                </c:pt>
                <c:pt idx="13">
                  <c:v>382.5969447361208</c:v>
                </c:pt>
                <c:pt idx="14">
                  <c:v>388.18558164948456</c:v>
                </c:pt>
                <c:pt idx="15">
                  <c:v>393.66388682391738</c:v>
                </c:pt>
                <c:pt idx="16">
                  <c:v>399.02427041877058</c:v>
                </c:pt>
                <c:pt idx="17">
                  <c:v>404.26435789962221</c:v>
                </c:pt>
                <c:pt idx="18">
                  <c:v>409.36082356184409</c:v>
                </c:pt>
                <c:pt idx="19">
                  <c:v>414.33709972150285</c:v>
                </c:pt>
                <c:pt idx="20">
                  <c:v>419.15012073369803</c:v>
                </c:pt>
                <c:pt idx="21">
                  <c:v>423.87370373100197</c:v>
                </c:pt>
                <c:pt idx="22">
                  <c:v>428.43240590154392</c:v>
                </c:pt>
                <c:pt idx="23">
                  <c:v>432.8636396848533</c:v>
                </c:pt>
                <c:pt idx="24">
                  <c:v>437.15046269474527</c:v>
                </c:pt>
                <c:pt idx="25">
                  <c:v>441.3102294238501</c:v>
                </c:pt>
                <c:pt idx="26">
                  <c:v>445.32181052758017</c:v>
                </c:pt>
                <c:pt idx="27">
                  <c:v>449.24982655700143</c:v>
                </c:pt>
                <c:pt idx="28">
                  <c:v>452.99515065138064</c:v>
                </c:pt>
                <c:pt idx="29">
                  <c:v>456.63777750159505</c:v>
                </c:pt>
                <c:pt idx="30">
                  <c:v>460.13837061472702</c:v>
                </c:pt>
                <c:pt idx="31">
                  <c:v>463.52350111804668</c:v>
                </c:pt>
                <c:pt idx="32">
                  <c:v>466.7863652873915</c:v>
                </c:pt>
                <c:pt idx="33">
                  <c:v>469.91740558616112</c:v>
                </c:pt>
                <c:pt idx="34">
                  <c:v>472.93457783180901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06-44C8-A628-C66E61ACA9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512179424"/>
        <c:axId val="-512180512"/>
      </c:lineChart>
      <c:catAx>
        <c:axId val="-512179424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0512"/>
        <c:crosses val="autoZero"/>
        <c:auto val="1"/>
        <c:lblAlgn val="ctr"/>
        <c:lblOffset val="100"/>
        <c:noMultiLvlLbl val="0"/>
      </c:catAx>
      <c:valAx>
        <c:axId val="-51218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Km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7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Economias e Ligações Ativas Esgoto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0.17171296296296296"/>
          <c:w val="0.83129396325459315"/>
          <c:h val="0.56773877223680369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Resumo!$B$13</c:f>
              <c:strCache>
                <c:ptCount val="1"/>
                <c:pt idx="0">
                  <c:v>Nº de Economias Esgoto</c:v>
                </c:pt>
              </c:strCache>
              <c:extLst xmlns:c15="http://schemas.microsoft.com/office/drawing/2012/chart"/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invertIfNegative val="0"/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  <c:extLst xmlns:c15="http://schemas.microsoft.com/office/drawing/2012/chart"/>
            </c:numRef>
          </c:cat>
          <c:val>
            <c:numRef>
              <c:f>Resumo!$D$13:$AL$13</c:f>
              <c:numCache>
                <c:formatCode>#,##0</c:formatCode>
                <c:ptCount val="35"/>
                <c:pt idx="0">
                  <c:v>0</c:v>
                </c:pt>
                <c:pt idx="1">
                  <c:v>3830.8982096417722</c:v>
                </c:pt>
                <c:pt idx="2">
                  <c:v>5873.0222655901525</c:v>
                </c:pt>
                <c:pt idx="3">
                  <c:v>7997.6113189128491</c:v>
                </c:pt>
                <c:pt idx="4">
                  <c:v>10204.438982081472</c:v>
                </c:pt>
                <c:pt idx="5">
                  <c:v>12491.298730312285</c:v>
                </c:pt>
                <c:pt idx="6">
                  <c:v>14856.41360904204</c:v>
                </c:pt>
                <c:pt idx="7">
                  <c:v>17298.646977114233</c:v>
                </c:pt>
                <c:pt idx="8">
                  <c:v>19815.314143522224</c:v>
                </c:pt>
                <c:pt idx="9">
                  <c:v>20610.939168263008</c:v>
                </c:pt>
                <c:pt idx="10">
                  <c:v>21418.366352937304</c:v>
                </c:pt>
                <c:pt idx="11">
                  <c:v>22233.211794540734</c:v>
                </c:pt>
                <c:pt idx="12">
                  <c:v>23055.671340842808</c:v>
                </c:pt>
                <c:pt idx="13">
                  <c:v>23887.023717160399</c:v>
                </c:pt>
                <c:pt idx="14">
                  <c:v>24237.83676195889</c:v>
                </c:pt>
                <c:pt idx="15">
                  <c:v>24581.417208064111</c:v>
                </c:pt>
                <c:pt idx="16">
                  <c:v>24917.574877135074</c:v>
                </c:pt>
                <c:pt idx="17">
                  <c:v>25246.146296389066</c:v>
                </c:pt>
                <c:pt idx="18">
                  <c:v>25565.99424148638</c:v>
                </c:pt>
                <c:pt idx="19">
                  <c:v>25878.007125258897</c:v>
                </c:pt>
                <c:pt idx="20">
                  <c:v>26180.098247944901</c:v>
                </c:pt>
                <c:pt idx="21">
                  <c:v>26476.204925161077</c:v>
                </c:pt>
                <c:pt idx="22">
                  <c:v>26762.287510105863</c:v>
                </c:pt>
                <c:pt idx="23">
                  <c:v>27040.328326469567</c:v>
                </c:pt>
                <c:pt idx="24">
                  <c:v>27309.33052825378</c:v>
                </c:pt>
                <c:pt idx="25">
                  <c:v>27570.31690220728</c:v>
                </c:pt>
                <c:pt idx="26">
                  <c:v>27822.328627899238</c:v>
                </c:pt>
                <c:pt idx="27">
                  <c:v>28068.424009607454</c:v>
                </c:pt>
                <c:pt idx="28">
                  <c:v>28303.677193231466</c:v>
                </c:pt>
                <c:pt idx="29">
                  <c:v>28532.176880379982</c:v>
                </c:pt>
                <c:pt idx="30">
                  <c:v>28752.025050658256</c:v>
                </c:pt>
                <c:pt idx="31">
                  <c:v>28964.335702021512</c:v>
                </c:pt>
                <c:pt idx="32">
                  <c:v>29169.233617889797</c:v>
                </c:pt>
                <c:pt idx="33">
                  <c:v>29365.853168559057</c:v>
                </c:pt>
                <c:pt idx="34">
                  <c:v>29555.33715331139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965D-4813-9EC1-5FEA497DE0F8}"/>
            </c:ext>
          </c:extLst>
        </c:ser>
        <c:ser>
          <c:idx val="3"/>
          <c:order val="3"/>
          <c:tx>
            <c:strRef>
              <c:f>Resumo!$B$15</c:f>
              <c:strCache>
                <c:ptCount val="1"/>
                <c:pt idx="0">
                  <c:v>Nº de Ligações E</c:v>
                </c:pt>
              </c:strCache>
              <c:extLst xmlns:c15="http://schemas.microsoft.com/office/drawing/2012/chart"/>
            </c:strRef>
          </c:tx>
          <c:spPr>
            <a:solidFill>
              <a:schemeClr val="accent4"/>
            </a:solidFill>
            <a:ln w="25400">
              <a:noFill/>
            </a:ln>
            <a:effectLst/>
          </c:spPr>
          <c:invertIfNegative val="0"/>
          <c:cat>
            <c:numRef>
              <c:f>Resumo!$D$3:$AL$3</c:f>
              <c:numCache>
                <c:formatCode>0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numCache>
              <c:extLst xmlns:c15="http://schemas.microsoft.com/office/drawing/2012/chart"/>
            </c:numRef>
          </c:cat>
          <c:val>
            <c:numRef>
              <c:f>Resumo!$D$15:$AL$15</c:f>
              <c:numCache>
                <c:formatCode>#,##0</c:formatCode>
                <c:ptCount val="35"/>
                <c:pt idx="0">
                  <c:v>0</c:v>
                </c:pt>
                <c:pt idx="1">
                  <c:v>2895.5615648580133</c:v>
                </c:pt>
                <c:pt idx="2">
                  <c:v>4438.7022895193504</c:v>
                </c:pt>
                <c:pt idx="3">
                  <c:v>6043.8287157668547</c:v>
                </c:pt>
                <c:pt idx="4">
                  <c:v>7710.9351869899901</c:v>
                </c:pt>
                <c:pt idx="5">
                  <c:v>9438.1647146744654</c:v>
                </c:pt>
                <c:pt idx="6">
                  <c:v>11224.400879276984</c:v>
                </c:pt>
                <c:pt idx="7">
                  <c:v>13068.542440922325</c:v>
                </c:pt>
                <c:pt idx="8">
                  <c:v>14968.677076463839</c:v>
                </c:pt>
                <c:pt idx="9">
                  <c:v>15568.363452524569</c:v>
                </c:pt>
                <c:pt idx="10">
                  <c:v>16177.3798227097</c:v>
                </c:pt>
                <c:pt idx="11">
                  <c:v>16791.770426979547</c:v>
                </c:pt>
                <c:pt idx="12">
                  <c:v>17411.667906217917</c:v>
                </c:pt>
                <c:pt idx="13">
                  <c:v>18038.516960684621</c:v>
                </c:pt>
                <c:pt idx="14">
                  <c:v>18302.007621380697</c:v>
                </c:pt>
                <c:pt idx="15">
                  <c:v>18560.296408482667</c:v>
                </c:pt>
                <c:pt idx="16">
                  <c:v>18813.025479432843</c:v>
                </c:pt>
                <c:pt idx="17">
                  <c:v>19060.082880698832</c:v>
                </c:pt>
                <c:pt idx="18">
                  <c:v>19300.368861944557</c:v>
                </c:pt>
                <c:pt idx="19">
                  <c:v>19534.98819997656</c:v>
                </c:pt>
                <c:pt idx="20">
                  <c:v>19761.91045420547</c:v>
                </c:pt>
                <c:pt idx="21">
                  <c:v>19984.615923196699</c:v>
                </c:pt>
                <c:pt idx="22">
                  <c:v>20199.547661553224</c:v>
                </c:pt>
                <c:pt idx="23">
                  <c:v>20408.469574957722</c:v>
                </c:pt>
                <c:pt idx="24">
                  <c:v>20610.58287103938</c:v>
                </c:pt>
                <c:pt idx="25">
                  <c:v>20806.705771987272</c:v>
                </c:pt>
                <c:pt idx="26">
                  <c:v>20995.842080508257</c:v>
                </c:pt>
                <c:pt idx="27">
                  <c:v>21181.038498679936</c:v>
                </c:pt>
                <c:pt idx="28">
                  <c:v>21357.621435708657</c:v>
                </c:pt>
                <c:pt idx="29">
                  <c:v>21529.362447034182</c:v>
                </c:pt>
                <c:pt idx="30">
                  <c:v>21694.406912528382</c:v>
                </c:pt>
                <c:pt idx="31">
                  <c:v>21854.007596324689</c:v>
                </c:pt>
                <c:pt idx="32">
                  <c:v>22007.843719348963</c:v>
                </c:pt>
                <c:pt idx="33">
                  <c:v>22155.464666957148</c:v>
                </c:pt>
                <c:pt idx="34">
                  <c:v>22297.717012343659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965D-4813-9EC1-5FEA497DE0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512190304"/>
        <c:axId val="-5121881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Resumo!$B$12</c15:sqref>
                        </c15:formulaRef>
                      </c:ext>
                    </c:extLst>
                    <c:strCache>
                      <c:ptCount val="1"/>
                      <c:pt idx="0">
                        <c:v>Nº de Economias Água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 w="25400"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Resumo!$D$3:$AL$3</c15:sqref>
                        </c15:formulaRef>
                      </c:ext>
                    </c:extLst>
                    <c:numCache>
                      <c:formatCode>0</c:formatCode>
                      <c:ptCount val="3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Resumo!$D$12:$AL$12</c15:sqref>
                        </c15:formulaRef>
                      </c:ext>
                    </c:extLst>
                    <c:numCache>
                      <c:formatCode>#,##0</c:formatCode>
                      <c:ptCount val="35"/>
                      <c:pt idx="0">
                        <c:v>18054.532943578</c:v>
                      </c:pt>
                      <c:pt idx="1">
                        <c:v>18656.474280955434</c:v>
                      </c:pt>
                      <c:pt idx="2">
                        <c:v>19263.513031135699</c:v>
                      </c:pt>
                      <c:pt idx="3">
                        <c:v>19874.06412749843</c:v>
                      </c:pt>
                      <c:pt idx="4">
                        <c:v>20408.877964162944</c:v>
                      </c:pt>
                      <c:pt idx="5">
                        <c:v>20818.83121718714</c:v>
                      </c:pt>
                      <c:pt idx="6">
                        <c:v>21223.448012917201</c:v>
                      </c:pt>
                      <c:pt idx="7">
                        <c:v>21623.30872139279</c:v>
                      </c:pt>
                      <c:pt idx="8">
                        <c:v>22017.015715024689</c:v>
                      </c:pt>
                      <c:pt idx="9">
                        <c:v>22403.194748111968</c:v>
                      </c:pt>
                      <c:pt idx="10">
                        <c:v>22785.496120146072</c:v>
                      </c:pt>
                      <c:pt idx="11">
                        <c:v>23159.595619313262</c:v>
                      </c:pt>
                      <c:pt idx="12">
                        <c:v>23526.195245757965</c:v>
                      </c:pt>
                      <c:pt idx="13">
                        <c:v>23887.023717160399</c:v>
                      </c:pt>
                      <c:pt idx="14">
                        <c:v>24237.83676195889</c:v>
                      </c:pt>
                      <c:pt idx="15">
                        <c:v>24581.417208064111</c:v>
                      </c:pt>
                      <c:pt idx="16">
                        <c:v>24917.574877135074</c:v>
                      </c:pt>
                      <c:pt idx="17">
                        <c:v>25246.146296389066</c:v>
                      </c:pt>
                      <c:pt idx="18">
                        <c:v>25565.99424148638</c:v>
                      </c:pt>
                      <c:pt idx="19">
                        <c:v>25878.007125258897</c:v>
                      </c:pt>
                      <c:pt idx="20">
                        <c:v>26180.098247944901</c:v>
                      </c:pt>
                      <c:pt idx="21">
                        <c:v>26476.204925161077</c:v>
                      </c:pt>
                      <c:pt idx="22">
                        <c:v>26762.287510105863</c:v>
                      </c:pt>
                      <c:pt idx="23">
                        <c:v>27040.328326469567</c:v>
                      </c:pt>
                      <c:pt idx="24">
                        <c:v>27309.33052825378</c:v>
                      </c:pt>
                      <c:pt idx="25">
                        <c:v>27570.31690220728</c:v>
                      </c:pt>
                      <c:pt idx="26">
                        <c:v>27822.328627899238</c:v>
                      </c:pt>
                      <c:pt idx="27">
                        <c:v>28068.424009607454</c:v>
                      </c:pt>
                      <c:pt idx="28">
                        <c:v>28303.677193231466</c:v>
                      </c:pt>
                      <c:pt idx="29">
                        <c:v>28532.176880379982</c:v>
                      </c:pt>
                      <c:pt idx="30">
                        <c:v>28752.025050658256</c:v>
                      </c:pt>
                      <c:pt idx="31">
                        <c:v>28964.335702021512</c:v>
                      </c:pt>
                      <c:pt idx="32">
                        <c:v>29169.233617889797</c:v>
                      </c:pt>
                      <c:pt idx="33">
                        <c:v>29365.853168559057</c:v>
                      </c:pt>
                      <c:pt idx="34">
                        <c:v>29555.33715331139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65D-4813-9EC1-5FEA497DE0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Resumo!$B$14</c15:sqref>
                        </c15:formulaRef>
                      </c:ext>
                    </c:extLst>
                    <c:strCache>
                      <c:ptCount val="1"/>
                      <c:pt idx="0">
                        <c:v>Nº de Ligações A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 w="25400"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Resumo!$D$3:$AL$3</c15:sqref>
                        </c15:formulaRef>
                      </c:ext>
                    </c:extLst>
                    <c:numCache>
                      <c:formatCode>0</c:formatCode>
                      <c:ptCount val="3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Resumo!$D$14:$AL$14</c15:sqref>
                        </c15:formulaRef>
                      </c:ext>
                    </c:extLst>
                    <c:numCache>
                      <c:formatCode>#,##0</c:formatCode>
                      <c:ptCount val="35"/>
                      <c:pt idx="0">
                        <c:v>13647.44425039473</c:v>
                      </c:pt>
                      <c:pt idx="1">
                        <c:v>14101.384820858522</c:v>
                      </c:pt>
                      <c:pt idx="2">
                        <c:v>14558.943509623472</c:v>
                      </c:pt>
                      <c:pt idx="3">
                        <c:v>15018.914358680637</c:v>
                      </c:pt>
                      <c:pt idx="4">
                        <c:v>15421.87037397998</c:v>
                      </c:pt>
                      <c:pt idx="5">
                        <c:v>15730.27452445744</c:v>
                      </c:pt>
                      <c:pt idx="6">
                        <c:v>16034.858398967119</c:v>
                      </c:pt>
                      <c:pt idx="7">
                        <c:v>16335.678051152905</c:v>
                      </c:pt>
                      <c:pt idx="8">
                        <c:v>16631.863418293153</c:v>
                      </c:pt>
                      <c:pt idx="9">
                        <c:v>16922.134187526706</c:v>
                      </c:pt>
                      <c:pt idx="10">
                        <c:v>17209.978534797559</c:v>
                      </c:pt>
                      <c:pt idx="11">
                        <c:v>17491.42752810369</c:v>
                      </c:pt>
                      <c:pt idx="12">
                        <c:v>17767.008067569303</c:v>
                      </c:pt>
                      <c:pt idx="13">
                        <c:v>18038.516960684621</c:v>
                      </c:pt>
                      <c:pt idx="14">
                        <c:v>18302.007621380697</c:v>
                      </c:pt>
                      <c:pt idx="15">
                        <c:v>18560.296408482667</c:v>
                      </c:pt>
                      <c:pt idx="16">
                        <c:v>18813.025479432843</c:v>
                      </c:pt>
                      <c:pt idx="17">
                        <c:v>19060.082880698832</c:v>
                      </c:pt>
                      <c:pt idx="18">
                        <c:v>19300.368861944557</c:v>
                      </c:pt>
                      <c:pt idx="19">
                        <c:v>19534.98819997656</c:v>
                      </c:pt>
                      <c:pt idx="20">
                        <c:v>19761.91045420547</c:v>
                      </c:pt>
                      <c:pt idx="21">
                        <c:v>19984.615923196699</c:v>
                      </c:pt>
                      <c:pt idx="22">
                        <c:v>20199.547661553224</c:v>
                      </c:pt>
                      <c:pt idx="23">
                        <c:v>20408.469574957722</c:v>
                      </c:pt>
                      <c:pt idx="24">
                        <c:v>20610.58287103938</c:v>
                      </c:pt>
                      <c:pt idx="25">
                        <c:v>20806.705771987272</c:v>
                      </c:pt>
                      <c:pt idx="26">
                        <c:v>20995.842080508257</c:v>
                      </c:pt>
                      <c:pt idx="27">
                        <c:v>21181.038498679936</c:v>
                      </c:pt>
                      <c:pt idx="28">
                        <c:v>21357.621435708657</c:v>
                      </c:pt>
                      <c:pt idx="29">
                        <c:v>21529.362447034182</c:v>
                      </c:pt>
                      <c:pt idx="30">
                        <c:v>21694.406912528382</c:v>
                      </c:pt>
                      <c:pt idx="31">
                        <c:v>21854.007596324689</c:v>
                      </c:pt>
                      <c:pt idx="32">
                        <c:v>22007.843719348963</c:v>
                      </c:pt>
                      <c:pt idx="33">
                        <c:v>22155.464666957148</c:v>
                      </c:pt>
                      <c:pt idx="34">
                        <c:v>22297.717012343659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965D-4813-9EC1-5FEA497DE0F8}"/>
                  </c:ext>
                </c:extLst>
              </c15:ser>
            </c15:filteredBarSeries>
          </c:ext>
        </c:extLst>
      </c:barChart>
      <c:catAx>
        <c:axId val="-512190304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Ano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8128"/>
        <c:crosses val="autoZero"/>
        <c:auto val="0"/>
        <c:lblAlgn val="ctr"/>
        <c:lblOffset val="100"/>
        <c:noMultiLvlLbl val="0"/>
      </c:catAx>
      <c:valAx>
        <c:axId val="-512188128"/>
        <c:scaling>
          <c:orientation val="minMax"/>
          <c:max val="4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Unidades Ativas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90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8328083989501311E-2"/>
          <c:y val="0.88773038786818337"/>
          <c:w val="0.29396231450794041"/>
          <c:h val="5.13702225577967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11-44F4-9B57-93495582D395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3D-4CCB-8F85-038727FFDB20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3D-4CCB-8F85-038727FFDB20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3D-4CCB-8F85-038727FFDB20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3D-4CCB-8F85-038727FFDB20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11-44F4-9B57-93495582D395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11-44F4-9B57-93495582D39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87584"/>
        <c:axId val="-512189216"/>
      </c:barChart>
      <c:valAx>
        <c:axId val="-512189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7584"/>
        <c:crosses val="autoZero"/>
        <c:crossBetween val="between"/>
        <c:majorUnit val="1"/>
      </c:valAx>
      <c:catAx>
        <c:axId val="-51218758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92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7B-40EB-B51A-C499C648642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7B-40EB-B51A-C499C648642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7B-40EB-B51A-C499C648642F}"/>
            </c:ext>
          </c:extLst>
        </c:ser>
        <c:ser>
          <c:idx val="3"/>
          <c:order val="3"/>
          <c:tx>
            <c:strRef>
              <c:f>'Ano 2'!$K$72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7B-40EB-B51A-C499C648642F}"/>
            </c:ext>
          </c:extLst>
        </c:ser>
        <c:ser>
          <c:idx val="4"/>
          <c:order val="4"/>
          <c:tx>
            <c:strRef>
              <c:f>'Ano 2'!$K$73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2'!$M$73</c:f>
              <c:numCache>
                <c:formatCode>#,##0_ ;\-#,##0\ 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87B-40EB-B51A-C499C648642F}"/>
            </c:ext>
          </c:extLst>
        </c:ser>
        <c:ser>
          <c:idx val="5"/>
          <c:order val="5"/>
          <c:tx>
            <c:strRef>
              <c:f>'Ano 2'!$K$74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87B-40EB-B51A-C499C648642F}"/>
            </c:ext>
          </c:extLst>
        </c:ser>
        <c:ser>
          <c:idx val="6"/>
          <c:order val="6"/>
          <c:tx>
            <c:strRef>
              <c:f>'Ano 2'!$K$75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87B-40EB-B51A-C499C648642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79968"/>
        <c:axId val="-512178336"/>
      </c:barChart>
      <c:valAx>
        <c:axId val="-512178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79968"/>
        <c:crosses val="autoZero"/>
        <c:crossBetween val="between"/>
        <c:majorUnit val="1"/>
      </c:valAx>
      <c:catAx>
        <c:axId val="-51217996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783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2F-453F-A0A8-8C6C99E4FB44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2F-453F-A0A8-8C6C99E4FB44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2F-453F-A0A8-8C6C99E4FB44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2F-453F-A0A8-8C6C99E4FB44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2F-453F-A0A8-8C6C99E4FB44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F2F-453F-A0A8-8C6C99E4FB44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F2F-453F-A0A8-8C6C99E4FB4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90848"/>
        <c:axId val="-512188672"/>
      </c:barChart>
      <c:valAx>
        <c:axId val="-51218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90848"/>
        <c:crosses val="autoZero"/>
        <c:crossBetween val="between"/>
        <c:majorUnit val="1"/>
      </c:valAx>
      <c:catAx>
        <c:axId val="-51219084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86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01-4782-BD65-8EE7F2973897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01-4782-BD65-8EE7F2973897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01-4782-BD65-8EE7F2973897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301-4782-BD65-8EE7F2973897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301-4782-BD65-8EE7F2973897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301-4782-BD65-8EE7F2973897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301-4782-BD65-8EE7F29738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77792"/>
        <c:axId val="-512184864"/>
      </c:barChart>
      <c:valAx>
        <c:axId val="-512184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77792"/>
        <c:crosses val="autoZero"/>
        <c:crossBetween val="between"/>
        <c:majorUnit val="1"/>
      </c:valAx>
      <c:catAx>
        <c:axId val="-51217779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48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4'!$K$69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4'!$M$69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D0-4017-A8A7-8AF627693FA9}"/>
            </c:ext>
          </c:extLst>
        </c:ser>
        <c:ser>
          <c:idx val="1"/>
          <c:order val="1"/>
          <c:tx>
            <c:strRef>
              <c:f>'Ano 4'!$K$70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4'!$M$70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D0-4017-A8A7-8AF627693FA9}"/>
            </c:ext>
          </c:extLst>
        </c:ser>
        <c:ser>
          <c:idx val="2"/>
          <c:order val="2"/>
          <c:tx>
            <c:strRef>
              <c:f>'Ano 4'!$K$71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D0-4017-A8A7-8AF627693FA9}"/>
            </c:ext>
          </c:extLst>
        </c:ser>
        <c:ser>
          <c:idx val="3"/>
          <c:order val="3"/>
          <c:tx>
            <c:strRef>
              <c:f>'Ano 4'!$K$72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FD0-4017-A8A7-8AF627693FA9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D0-4017-A8A7-8AF627693FA9}"/>
            </c:ext>
          </c:extLst>
        </c:ser>
        <c:ser>
          <c:idx val="5"/>
          <c:order val="5"/>
          <c:tx>
            <c:strRef>
              <c:f>'Ano 4'!$K$74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FD0-4017-A8A7-8AF627693FA9}"/>
            </c:ext>
          </c:extLst>
        </c:ser>
        <c:ser>
          <c:idx val="6"/>
          <c:order val="6"/>
          <c:tx>
            <c:strRef>
              <c:f>'Ano 4'!$K$75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FD0-4017-A8A7-8AF627693FA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91936"/>
        <c:axId val="-512191392"/>
      </c:barChart>
      <c:valAx>
        <c:axId val="-512191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91936"/>
        <c:crosses val="autoZero"/>
        <c:crossBetween val="between"/>
        <c:majorUnit val="1"/>
      </c:valAx>
      <c:catAx>
        <c:axId val="-5121919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91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E5-4F19-B559-44873C0D91F3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E5-4F19-B559-44873C0D91F3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E5-4F19-B559-44873C0D91F3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9E5-4F19-B559-44873C0D91F3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E5-4F19-B559-44873C0D91F3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9E5-4F19-B559-44873C0D91F3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E5-4F19-B559-44873C0D91F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78880"/>
        <c:axId val="-512181056"/>
      </c:barChart>
      <c:valAx>
        <c:axId val="-512181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78880"/>
        <c:crosses val="autoZero"/>
        <c:crossBetween val="between"/>
        <c:majorUnit val="1"/>
      </c:valAx>
      <c:catAx>
        <c:axId val="-51217888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10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5'!$M$69</c:f>
              <c:numCache>
                <c:formatCode>#,##0_ ;\-#,##0\ </c:formatCode>
                <c:ptCount val="1"/>
                <c:pt idx="0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9E-4745-9802-1283CD5F623E}"/>
            </c:ext>
          </c:extLst>
        </c:ser>
        <c:ser>
          <c:idx val="1"/>
          <c:order val="1"/>
          <c:tx>
            <c:strRef>
              <c:f>'Ano 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5'!$M$70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9E-4745-9802-1283CD5F623E}"/>
            </c:ext>
          </c:extLst>
        </c:ser>
        <c:ser>
          <c:idx val="2"/>
          <c:order val="2"/>
          <c:tx>
            <c:strRef>
              <c:f>'Ano 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9E-4745-9802-1283CD5F623E}"/>
            </c:ext>
          </c:extLst>
        </c:ser>
        <c:ser>
          <c:idx val="3"/>
          <c:order val="3"/>
          <c:tx>
            <c:strRef>
              <c:f>'Ano 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5'!$M$72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9E-4745-9802-1283CD5F623E}"/>
            </c:ext>
          </c:extLst>
        </c:ser>
        <c:ser>
          <c:idx val="4"/>
          <c:order val="4"/>
          <c:tx>
            <c:strRef>
              <c:f>'Ano 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5'!$M$73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9E-4745-9802-1283CD5F623E}"/>
            </c:ext>
          </c:extLst>
        </c:ser>
        <c:ser>
          <c:idx val="5"/>
          <c:order val="5"/>
          <c:tx>
            <c:strRef>
              <c:f>'Ano 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9E-4745-9802-1283CD5F623E}"/>
            </c:ext>
          </c:extLst>
        </c:ser>
        <c:ser>
          <c:idx val="6"/>
          <c:order val="6"/>
          <c:tx>
            <c:strRef>
              <c:f>'Ano 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59E-4745-9802-1283CD5F623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93024"/>
        <c:axId val="-512187040"/>
      </c:barChart>
      <c:valAx>
        <c:axId val="-512187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93024"/>
        <c:crosses val="autoZero"/>
        <c:crossBetween val="between"/>
        <c:majorUnit val="1"/>
      </c:valAx>
      <c:catAx>
        <c:axId val="-51219302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70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95-4FD8-88FC-85B343681ECB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95-4FD8-88FC-85B343681ECB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95-4FD8-88FC-85B343681ECB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B95-4FD8-88FC-85B343681ECB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B95-4FD8-88FC-85B343681ECB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B95-4FD8-88FC-85B343681ECB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B95-4FD8-88FC-85B343681EC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85952"/>
        <c:axId val="-512192480"/>
      </c:barChart>
      <c:valAx>
        <c:axId val="-512192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5952"/>
        <c:crosses val="autoZero"/>
        <c:crossBetween val="between"/>
        <c:majorUnit val="1"/>
      </c:valAx>
      <c:catAx>
        <c:axId val="-51218595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92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6'!$K$69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6'!$M$69</c:f>
              <c:numCache>
                <c:formatCode>#,##0_ ;\-#,##0\ </c:formatCode>
                <c:ptCount val="1"/>
                <c:pt idx="0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A3-4D83-BB86-7DBDBC4942CD}"/>
            </c:ext>
          </c:extLst>
        </c:ser>
        <c:ser>
          <c:idx val="1"/>
          <c:order val="1"/>
          <c:tx>
            <c:strRef>
              <c:f>'Ano 6'!$K$70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6'!$M$70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A3-4D83-BB86-7DBDBC4942CD}"/>
            </c:ext>
          </c:extLst>
        </c:ser>
        <c:ser>
          <c:idx val="2"/>
          <c:order val="2"/>
          <c:tx>
            <c:strRef>
              <c:f>'Ano 6'!$K$71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6'!$M$71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A3-4D83-BB86-7DBDBC4942CD}"/>
            </c:ext>
          </c:extLst>
        </c:ser>
        <c:ser>
          <c:idx val="3"/>
          <c:order val="3"/>
          <c:tx>
            <c:strRef>
              <c:f>'Ano 6'!$K$72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6'!$M$72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A3-4D83-BB86-7DBDBC4942CD}"/>
            </c:ext>
          </c:extLst>
        </c:ser>
        <c:ser>
          <c:idx val="4"/>
          <c:order val="4"/>
          <c:tx>
            <c:strRef>
              <c:f>'Ano 6'!$K$73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6'!$M$73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A3-4D83-BB86-7DBDBC4942CD}"/>
            </c:ext>
          </c:extLst>
        </c:ser>
        <c:ser>
          <c:idx val="5"/>
          <c:order val="5"/>
          <c:tx>
            <c:strRef>
              <c:f>'Ano 6'!$K$74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6'!$M$74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8A3-4D83-BB86-7DBDBC4942CD}"/>
            </c:ext>
          </c:extLst>
        </c:ser>
        <c:ser>
          <c:idx val="6"/>
          <c:order val="6"/>
          <c:tx>
            <c:strRef>
              <c:f>'Ano 6'!$K$75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6'!$M$75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8A3-4D83-BB86-7DBDBC4942C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12185408"/>
        <c:axId val="-512186496"/>
      </c:barChart>
      <c:valAx>
        <c:axId val="-512186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5408"/>
        <c:crosses val="autoZero"/>
        <c:crossBetween val="between"/>
        <c:majorUnit val="1"/>
      </c:valAx>
      <c:catAx>
        <c:axId val="-51218540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121864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35-451F-95FF-D23970E094C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35-451F-95FF-D23970E094C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A35-451F-95FF-D23970E094C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A35-451F-95FF-D23970E094C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A35-451F-95FF-D23970E094C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A35-451F-95FF-D23970E094C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A35-451F-95FF-D23970E094C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8000"/>
        <c:axId val="-508223648"/>
      </c:barChart>
      <c:valAx>
        <c:axId val="-508223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8000"/>
        <c:crosses val="autoZero"/>
        <c:crossBetween val="between"/>
        <c:majorUnit val="1"/>
      </c:valAx>
      <c:catAx>
        <c:axId val="-50822800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3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65-4A14-A28C-A4CE3FA77930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65-4A14-A28C-A4CE3FA77930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65-4A14-A28C-A4CE3FA77930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565-4A14-A28C-A4CE3FA77930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565-4A14-A28C-A4CE3FA77930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65-4A14-A28C-A4CE3FA77930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565-4A14-A28C-A4CE3FA7793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0928"/>
        <c:axId val="-508227456"/>
      </c:barChart>
      <c:valAx>
        <c:axId val="-508227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0928"/>
        <c:crosses val="autoZero"/>
        <c:crossBetween val="between"/>
        <c:majorUnit val="1"/>
      </c:valAx>
      <c:catAx>
        <c:axId val="-50822092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7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B1-409A-98AD-C4941BB52EF6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B1-409A-98AD-C4941BB52EF6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B1-409A-98AD-C4941BB52EF6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B1-409A-98AD-C4941BB52EF6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B1-409A-98AD-C4941BB52EF6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6B1-409A-98AD-C4941BB52EF6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6B1-409A-98AD-C4941BB52EF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4192"/>
        <c:axId val="-508222016"/>
      </c:barChart>
      <c:valAx>
        <c:axId val="-50822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4192"/>
        <c:crosses val="autoZero"/>
        <c:crossBetween val="between"/>
        <c:majorUnit val="1"/>
      </c:valAx>
      <c:catAx>
        <c:axId val="-50822419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20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7'!$K$69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7'!$M$69</c:f>
              <c:numCache>
                <c:formatCode>#,##0_ ;\-#,##0\ </c:formatCode>
                <c:ptCount val="1"/>
                <c:pt idx="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B4-4FBB-ABC9-A8341D3BE861}"/>
            </c:ext>
          </c:extLst>
        </c:ser>
        <c:ser>
          <c:idx val="1"/>
          <c:order val="1"/>
          <c:tx>
            <c:strRef>
              <c:f>'Ano 7'!$K$70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7'!$M$70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B4-4FBB-ABC9-A8341D3BE861}"/>
            </c:ext>
          </c:extLst>
        </c:ser>
        <c:ser>
          <c:idx val="2"/>
          <c:order val="2"/>
          <c:tx>
            <c:strRef>
              <c:f>'Ano 7'!$K$71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7'!$M$71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B4-4FBB-ABC9-A8341D3BE861}"/>
            </c:ext>
          </c:extLst>
        </c:ser>
        <c:ser>
          <c:idx val="3"/>
          <c:order val="3"/>
          <c:tx>
            <c:strRef>
              <c:f>'Ano 7'!$K$72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7'!$M$72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B4-4FBB-ABC9-A8341D3BE861}"/>
            </c:ext>
          </c:extLst>
        </c:ser>
        <c:ser>
          <c:idx val="4"/>
          <c:order val="4"/>
          <c:tx>
            <c:strRef>
              <c:f>'Ano 7'!$K$73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7'!$M$73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B4-4FBB-ABC9-A8341D3BE861}"/>
            </c:ext>
          </c:extLst>
        </c:ser>
        <c:ser>
          <c:idx val="5"/>
          <c:order val="5"/>
          <c:tx>
            <c:strRef>
              <c:f>'Ano 7'!$K$74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7'!$M$74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B4-4FBB-ABC9-A8341D3BE861}"/>
            </c:ext>
          </c:extLst>
        </c:ser>
        <c:ser>
          <c:idx val="6"/>
          <c:order val="6"/>
          <c:tx>
            <c:strRef>
              <c:f>'Ano 7'!$K$75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7'!$M$75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4B4-4FBB-ABC9-A8341D3BE86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33440"/>
        <c:axId val="-508223104"/>
      </c:barChart>
      <c:valAx>
        <c:axId val="-508223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3440"/>
        <c:crosses val="autoZero"/>
        <c:crossBetween val="between"/>
        <c:majorUnit val="1"/>
      </c:valAx>
      <c:catAx>
        <c:axId val="-50823344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31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75-44B1-B9A4-867CEA33455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75-44B1-B9A4-867CEA33455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75-44B1-B9A4-867CEA33455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75-44B1-B9A4-867CEA33455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75-44B1-B9A4-867CEA33455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F75-44B1-B9A4-867CEA33455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F75-44B1-B9A4-867CEA3345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30176"/>
        <c:axId val="-508219840"/>
      </c:barChart>
      <c:valAx>
        <c:axId val="-508219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0176"/>
        <c:crosses val="autoZero"/>
        <c:crossBetween val="between"/>
        <c:majorUnit val="1"/>
      </c:valAx>
      <c:catAx>
        <c:axId val="-50823017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19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F7-4CE0-B27A-8879CC27378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F7-4CE0-B27A-8879CC27378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F7-4CE0-B27A-8879CC27378F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F7-4CE0-B27A-8879CC27378F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9F7-4CE0-B27A-8879CC27378F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9F7-4CE0-B27A-8879CC27378F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9F7-4CE0-B27A-8879CC2737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6912"/>
        <c:axId val="-508219296"/>
      </c:barChart>
      <c:valAx>
        <c:axId val="-508219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6912"/>
        <c:crosses val="autoZero"/>
        <c:crossBetween val="between"/>
        <c:majorUnit val="1"/>
      </c:valAx>
      <c:catAx>
        <c:axId val="-50822691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192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66-4274-8274-65518414C213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66-4274-8274-65518414C213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66-4274-8274-65518414C213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66-4274-8274-65518414C213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66-4274-8274-65518414C213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66-4274-8274-65518414C213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66-4274-8274-65518414C2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32896"/>
        <c:axId val="-508226368"/>
      </c:barChart>
      <c:valAx>
        <c:axId val="-50822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2896"/>
        <c:crosses val="autoZero"/>
        <c:crossBetween val="between"/>
        <c:majorUnit val="1"/>
      </c:valAx>
      <c:catAx>
        <c:axId val="-50823289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6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8'!$K$69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8'!$M$69</c:f>
              <c:numCache>
                <c:formatCode>#,##0_ ;\-#,##0\ </c:formatCode>
                <c:ptCount val="1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E7-42D9-A15E-75C9872FC86F}"/>
            </c:ext>
          </c:extLst>
        </c:ser>
        <c:ser>
          <c:idx val="1"/>
          <c:order val="1"/>
          <c:tx>
            <c:strRef>
              <c:f>'Ano 8'!$K$70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8'!$M$70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E7-42D9-A15E-75C9872FC86F}"/>
            </c:ext>
          </c:extLst>
        </c:ser>
        <c:ser>
          <c:idx val="2"/>
          <c:order val="2"/>
          <c:tx>
            <c:strRef>
              <c:f>'Ano 8'!$K$71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8'!$M$71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E7-42D9-A15E-75C9872FC86F}"/>
            </c:ext>
          </c:extLst>
        </c:ser>
        <c:ser>
          <c:idx val="3"/>
          <c:order val="3"/>
          <c:tx>
            <c:strRef>
              <c:f>'Ano 8'!$K$72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8'!$M$72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E7-42D9-A15E-75C9872FC86F}"/>
            </c:ext>
          </c:extLst>
        </c:ser>
        <c:ser>
          <c:idx val="4"/>
          <c:order val="4"/>
          <c:tx>
            <c:strRef>
              <c:f>'Ano 8'!$K$73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8'!$M$73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E7-42D9-A15E-75C9872FC86F}"/>
            </c:ext>
          </c:extLst>
        </c:ser>
        <c:ser>
          <c:idx val="5"/>
          <c:order val="5"/>
          <c:tx>
            <c:strRef>
              <c:f>'Ano 8'!$K$74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8'!$M$74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E7-42D9-A15E-75C9872FC86F}"/>
            </c:ext>
          </c:extLst>
        </c:ser>
        <c:ser>
          <c:idx val="6"/>
          <c:order val="6"/>
          <c:tx>
            <c:strRef>
              <c:f>'Ano 8'!$K$75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8'!$M$75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DE7-42D9-A15E-75C9872FC86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0384"/>
        <c:axId val="-508222560"/>
      </c:barChart>
      <c:valAx>
        <c:axId val="-508222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0384"/>
        <c:crosses val="autoZero"/>
        <c:crossBetween val="between"/>
        <c:majorUnit val="1"/>
      </c:valAx>
      <c:catAx>
        <c:axId val="-50822038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2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6B-466F-B4B1-590EDA47FAF8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6B-466F-B4B1-590EDA47FAF8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6B-466F-B4B1-590EDA47FAF8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6B-466F-B4B1-590EDA47FAF8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6B-466F-B4B1-590EDA47FAF8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6B-466F-B4B1-590EDA47FAF8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E6B-466F-B4B1-590EDA47FAF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31264"/>
        <c:axId val="-508221472"/>
      </c:barChart>
      <c:valAx>
        <c:axId val="-508221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1264"/>
        <c:crosses val="autoZero"/>
        <c:crossBetween val="between"/>
        <c:majorUnit val="1"/>
      </c:valAx>
      <c:catAx>
        <c:axId val="-50823126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14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B9-4399-8741-88C8FB016468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B9-4399-8741-88C8FB016468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B9-4399-8741-88C8FB016468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B9-4399-8741-88C8FB016468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B9-4399-8741-88C8FB016468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6B9-4399-8741-88C8FB016468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6B9-4399-8741-88C8FB01646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32352"/>
        <c:axId val="-508218752"/>
      </c:barChart>
      <c:valAx>
        <c:axId val="-508218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2352"/>
        <c:crosses val="autoZero"/>
        <c:crossBetween val="between"/>
        <c:majorUnit val="1"/>
      </c:valAx>
      <c:catAx>
        <c:axId val="-50823235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187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0C-4B16-8BC9-99C68B9BD009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0C-4B16-8BC9-99C68B9BD009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0C-4B16-8BC9-99C68B9BD009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0C-4B16-8BC9-99C68B9BD009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0C-4B16-8BC9-99C68B9BD009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80C-4B16-8BC9-99C68B9BD009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80C-4B16-8BC9-99C68B9BD00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33984"/>
        <c:axId val="-508225824"/>
      </c:barChart>
      <c:valAx>
        <c:axId val="-508225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3984"/>
        <c:crosses val="autoZero"/>
        <c:crossBetween val="between"/>
        <c:majorUnit val="1"/>
      </c:valAx>
      <c:catAx>
        <c:axId val="-50823398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58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9'!$K$69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9'!$M$69</c:f>
              <c:numCache>
                <c:formatCode>#,##0_ ;\-#,##0\ 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6E-4C29-AD82-8E832153D56C}"/>
            </c:ext>
          </c:extLst>
        </c:ser>
        <c:ser>
          <c:idx val="1"/>
          <c:order val="1"/>
          <c:tx>
            <c:strRef>
              <c:f>'Ano 9'!$K$70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9'!$M$70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6E-4C29-AD82-8E832153D56C}"/>
            </c:ext>
          </c:extLst>
        </c:ser>
        <c:ser>
          <c:idx val="2"/>
          <c:order val="2"/>
          <c:tx>
            <c:strRef>
              <c:f>'Ano 9'!$K$71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9'!$M$71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6E-4C29-AD82-8E832153D56C}"/>
            </c:ext>
          </c:extLst>
        </c:ser>
        <c:ser>
          <c:idx val="3"/>
          <c:order val="3"/>
          <c:tx>
            <c:strRef>
              <c:f>'Ano 9'!$K$72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9'!$M$72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A6E-4C29-AD82-8E832153D56C}"/>
            </c:ext>
          </c:extLst>
        </c:ser>
        <c:ser>
          <c:idx val="4"/>
          <c:order val="4"/>
          <c:tx>
            <c:strRef>
              <c:f>'Ano 9'!$K$73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9'!$M$73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A6E-4C29-AD82-8E832153D56C}"/>
            </c:ext>
          </c:extLst>
        </c:ser>
        <c:ser>
          <c:idx val="5"/>
          <c:order val="5"/>
          <c:tx>
            <c:strRef>
              <c:f>'Ano 9'!$K$74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9'!$M$74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6E-4C29-AD82-8E832153D56C}"/>
            </c:ext>
          </c:extLst>
        </c:ser>
        <c:ser>
          <c:idx val="6"/>
          <c:order val="6"/>
          <c:tx>
            <c:strRef>
              <c:f>'Ano 9'!$K$75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9'!$M$75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A6E-4C29-AD82-8E832153D56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5280"/>
        <c:axId val="-508230720"/>
      </c:barChart>
      <c:valAx>
        <c:axId val="-50823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5280"/>
        <c:crosses val="autoZero"/>
        <c:crossBetween val="between"/>
        <c:majorUnit val="1"/>
      </c:valAx>
      <c:catAx>
        <c:axId val="-50822528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07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2B-4709-9DDC-64D2A84C2148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2B-4709-9DDC-64D2A84C2148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2B-4709-9DDC-64D2A84C2148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52B-4709-9DDC-64D2A84C2148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52B-4709-9DDC-64D2A84C2148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52B-4709-9DDC-64D2A84C2148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52B-4709-9DDC-64D2A84C214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4736"/>
        <c:axId val="-508231808"/>
      </c:barChart>
      <c:valAx>
        <c:axId val="-50823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4736"/>
        <c:crosses val="autoZero"/>
        <c:crossBetween val="between"/>
        <c:majorUnit val="1"/>
      </c:valAx>
      <c:catAx>
        <c:axId val="-5082247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31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0E-4550-856A-2EEB85486815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0E-4550-856A-2EEB85486815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0E-4550-856A-2EEB85486815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0E-4550-856A-2EEB85486815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0E-4550-856A-2EEB85486815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90E-4550-856A-2EEB85486815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90E-4550-856A-2EEB8548681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8229088"/>
        <c:axId val="-508229632"/>
      </c:barChart>
      <c:valAx>
        <c:axId val="-508229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9088"/>
        <c:crosses val="autoZero"/>
        <c:crossBetween val="between"/>
        <c:majorUnit val="1"/>
      </c:valAx>
      <c:catAx>
        <c:axId val="-50822908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96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2A-4EB5-806D-09AB21B345E5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2A-4EB5-806D-09AB21B345E5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2A-4EB5-806D-09AB21B345E5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2A-4EB5-806D-09AB21B345E5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2A-4EB5-806D-09AB21B345E5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12A-4EB5-806D-09AB21B345E5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12A-4EB5-806D-09AB21B345E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0112"/>
        <c:axId val="-508228544"/>
      </c:barChart>
      <c:valAx>
        <c:axId val="-508228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0112"/>
        <c:crosses val="autoZero"/>
        <c:crossBetween val="between"/>
        <c:majorUnit val="1"/>
      </c:valAx>
      <c:catAx>
        <c:axId val="-50500011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8228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10'!$M$69</c:f>
              <c:numCache>
                <c:formatCode>#,##0_ ;\-#,##0\ 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2A-45A7-BA62-B7DEBAF8C752}"/>
            </c:ext>
          </c:extLst>
        </c:ser>
        <c:ser>
          <c:idx val="1"/>
          <c:order val="1"/>
          <c:tx>
            <c:strRef>
              <c:f>'Ano 10'!$K$70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2A-45A7-BA62-B7DEBAF8C752}"/>
            </c:ext>
          </c:extLst>
        </c:ser>
        <c:ser>
          <c:idx val="2"/>
          <c:order val="2"/>
          <c:tx>
            <c:strRef>
              <c:f>'Ano 10'!$K$71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2A-45A7-BA62-B7DEBAF8C752}"/>
            </c:ext>
          </c:extLst>
        </c:ser>
        <c:ser>
          <c:idx val="3"/>
          <c:order val="3"/>
          <c:tx>
            <c:strRef>
              <c:f>'Ano 10'!$K$72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2A-45A7-BA62-B7DEBAF8C752}"/>
            </c:ext>
          </c:extLst>
        </c:ser>
        <c:ser>
          <c:idx val="4"/>
          <c:order val="4"/>
          <c:tx>
            <c:strRef>
              <c:f>'Ano 10'!$K$73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2A-45A7-BA62-B7DEBAF8C752}"/>
            </c:ext>
          </c:extLst>
        </c:ser>
        <c:ser>
          <c:idx val="5"/>
          <c:order val="5"/>
          <c:tx>
            <c:strRef>
              <c:f>'Ano 10'!$K$74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52A-45A7-BA62-B7DEBAF8C752}"/>
            </c:ext>
          </c:extLst>
        </c:ser>
        <c:ser>
          <c:idx val="6"/>
          <c:order val="6"/>
          <c:tx>
            <c:strRef>
              <c:f>'Ano 10'!$K$75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52A-45A7-BA62-B7DEBAF8C75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8272"/>
        <c:axId val="-505001200"/>
      </c:barChart>
      <c:valAx>
        <c:axId val="-505001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8272"/>
        <c:crosses val="autoZero"/>
        <c:crossBetween val="between"/>
        <c:majorUnit val="1"/>
      </c:valAx>
      <c:catAx>
        <c:axId val="-50500827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12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4C-40A6-89A8-A08CC4592DDE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4C-40A6-89A8-A08CC4592DDE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4C-40A6-89A8-A08CC4592DDE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F4C-40A6-89A8-A08CC4592DDE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4C-40A6-89A8-A08CC4592DDE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F4C-40A6-89A8-A08CC4592DDE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F4C-40A6-89A8-A08CC4592DD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4464"/>
        <c:axId val="-504998480"/>
      </c:barChart>
      <c:valAx>
        <c:axId val="-50499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4464"/>
        <c:crosses val="autoZero"/>
        <c:crossBetween val="between"/>
        <c:majorUnit val="1"/>
      </c:valAx>
      <c:catAx>
        <c:axId val="-50500446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4998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9C-4886-BE4D-6F07368DDE29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9C-4886-BE4D-6F07368DDE29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9C-4886-BE4D-6F07368DDE29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9C-4886-BE4D-6F07368DDE29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29C-4886-BE4D-6F07368DDE29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29C-4886-BE4D-6F07368DDE29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9C-4886-BE4D-6F07368DDE2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2832"/>
        <c:axId val="-505012080"/>
      </c:barChart>
      <c:valAx>
        <c:axId val="-505012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2832"/>
        <c:crosses val="autoZero"/>
        <c:crossBetween val="between"/>
        <c:majorUnit val="1"/>
      </c:valAx>
      <c:catAx>
        <c:axId val="-50500283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120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5C-45BD-955D-473844C182CA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5C-45BD-955D-473844C182CA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5C-45BD-955D-473844C182CA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35C-45BD-955D-473844C182CA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35C-45BD-955D-473844C182CA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35C-45BD-955D-473844C182CA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35C-45BD-955D-473844C182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11536"/>
        <c:axId val="-505000656"/>
      </c:barChart>
      <c:valAx>
        <c:axId val="-50500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11536"/>
        <c:crosses val="autoZero"/>
        <c:crossBetween val="between"/>
        <c:majorUnit val="1"/>
      </c:valAx>
      <c:catAx>
        <c:axId val="-5050115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0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10'!$M$69</c:f>
              <c:numCache>
                <c:formatCode>#,##0_ ;\-#,##0\ 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0E-4476-8FC9-6B93E349CEAE}"/>
            </c:ext>
          </c:extLst>
        </c:ser>
        <c:ser>
          <c:idx val="1"/>
          <c:order val="1"/>
          <c:tx>
            <c:strRef>
              <c:f>'Ano 10'!$K$70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0E-4476-8FC9-6B93E349CEAE}"/>
            </c:ext>
          </c:extLst>
        </c:ser>
        <c:ser>
          <c:idx val="2"/>
          <c:order val="2"/>
          <c:tx>
            <c:strRef>
              <c:f>'Ano 10'!$K$71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0E-4476-8FC9-6B93E349CEAE}"/>
            </c:ext>
          </c:extLst>
        </c:ser>
        <c:ser>
          <c:idx val="3"/>
          <c:order val="3"/>
          <c:tx>
            <c:strRef>
              <c:f>'Ano 10'!$K$72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0E-4476-8FC9-6B93E349CEAE}"/>
            </c:ext>
          </c:extLst>
        </c:ser>
        <c:ser>
          <c:idx val="4"/>
          <c:order val="4"/>
          <c:tx>
            <c:strRef>
              <c:f>'Ano 10'!$K$73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0E-4476-8FC9-6B93E349CEAE}"/>
            </c:ext>
          </c:extLst>
        </c:ser>
        <c:ser>
          <c:idx val="5"/>
          <c:order val="5"/>
          <c:tx>
            <c:strRef>
              <c:f>'Ano 10'!$K$74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0E-4476-8FC9-6B93E349CEAE}"/>
            </c:ext>
          </c:extLst>
        </c:ser>
        <c:ser>
          <c:idx val="6"/>
          <c:order val="6"/>
          <c:tx>
            <c:strRef>
              <c:f>'Ano 10'!$K$75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0E-4476-8FC9-6B93E349CEA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7184"/>
        <c:axId val="-505010992"/>
      </c:barChart>
      <c:valAx>
        <c:axId val="-505010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7184"/>
        <c:crosses val="autoZero"/>
        <c:crossBetween val="between"/>
        <c:majorUnit val="1"/>
      </c:valAx>
      <c:catAx>
        <c:axId val="-50500718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109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C4-4B18-B873-1979BC4550DE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C4-4B18-B873-1979BC4550DE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C4-4B18-B873-1979BC4550DE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6C4-4B18-B873-1979BC4550DE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C4-4B18-B873-1979BC4550DE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6C4-4B18-B873-1979BC4550DE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6C4-4B18-B873-1979BC4550D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8816"/>
        <c:axId val="-505009904"/>
      </c:barChart>
      <c:valAx>
        <c:axId val="-505009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8816"/>
        <c:crosses val="autoZero"/>
        <c:crossBetween val="between"/>
        <c:majorUnit val="1"/>
      </c:valAx>
      <c:catAx>
        <c:axId val="-50500881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99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F8-4718-955E-41FED4D87D38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F8-4718-955E-41FED4D87D38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F8-4718-955E-41FED4D87D38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9F8-4718-955E-41FED4D87D38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F8-4718-955E-41FED4D87D38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9F8-4718-955E-41FED4D87D38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F8-4718-955E-41FED4D87D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10448"/>
        <c:axId val="-504999568"/>
      </c:barChart>
      <c:valAx>
        <c:axId val="-504999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10448"/>
        <c:crosses val="autoZero"/>
        <c:crossBetween val="between"/>
        <c:majorUnit val="1"/>
      </c:valAx>
      <c:catAx>
        <c:axId val="-50501044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49995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E7-4238-BE50-F9C5EE4E15B2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E7-4238-BE50-F9C5EE4E15B2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E7-4238-BE50-F9C5EE4E15B2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DE7-4238-BE50-F9C5EE4E15B2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DE7-4238-BE50-F9C5EE4E15B2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DE7-4238-BE50-F9C5EE4E15B2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DE7-4238-BE50-F9C5EE4E15B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4999024"/>
        <c:axId val="-505003920"/>
      </c:barChart>
      <c:valAx>
        <c:axId val="-505003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4999024"/>
        <c:crosses val="autoZero"/>
        <c:crossBetween val="between"/>
        <c:majorUnit val="1"/>
      </c:valAx>
      <c:catAx>
        <c:axId val="-50499902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39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10'!$M$69</c:f>
              <c:numCache>
                <c:formatCode>#,##0_ ;\-#,##0\ 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22-4921-A7DE-13D2B17DEE24}"/>
            </c:ext>
          </c:extLst>
        </c:ser>
        <c:ser>
          <c:idx val="1"/>
          <c:order val="1"/>
          <c:tx>
            <c:strRef>
              <c:f>'Ano 10'!$K$70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22-4921-A7DE-13D2B17DEE24}"/>
            </c:ext>
          </c:extLst>
        </c:ser>
        <c:ser>
          <c:idx val="2"/>
          <c:order val="2"/>
          <c:tx>
            <c:strRef>
              <c:f>'Ano 10'!$K$71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22-4921-A7DE-13D2B17DEE24}"/>
            </c:ext>
          </c:extLst>
        </c:ser>
        <c:ser>
          <c:idx val="3"/>
          <c:order val="3"/>
          <c:tx>
            <c:strRef>
              <c:f>'Ano 10'!$K$72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C22-4921-A7DE-13D2B17DEE24}"/>
            </c:ext>
          </c:extLst>
        </c:ser>
        <c:ser>
          <c:idx val="4"/>
          <c:order val="4"/>
          <c:tx>
            <c:strRef>
              <c:f>'Ano 10'!$K$73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22-4921-A7DE-13D2B17DEE24}"/>
            </c:ext>
          </c:extLst>
        </c:ser>
        <c:ser>
          <c:idx val="5"/>
          <c:order val="5"/>
          <c:tx>
            <c:strRef>
              <c:f>'Ano 10'!$K$74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C22-4921-A7DE-13D2B17DEE24}"/>
            </c:ext>
          </c:extLst>
        </c:ser>
        <c:ser>
          <c:idx val="6"/>
          <c:order val="6"/>
          <c:tx>
            <c:strRef>
              <c:f>'Ano 10'!$K$75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C22-4921-A7DE-13D2B17DEE2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5552"/>
        <c:axId val="-505006640"/>
      </c:barChart>
      <c:valAx>
        <c:axId val="-505006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5552"/>
        <c:crosses val="autoZero"/>
        <c:crossBetween val="between"/>
        <c:majorUnit val="1"/>
      </c:valAx>
      <c:catAx>
        <c:axId val="-50500555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66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37-45AE-B014-62008DF3DD7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37-45AE-B014-62008DF3DD7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37-45AE-B014-62008DF3DD7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F37-45AE-B014-62008DF3DD7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F37-45AE-B014-62008DF3DD7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F37-45AE-B014-62008DF3DD7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37-45AE-B014-62008DF3DD7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5008"/>
        <c:axId val="-505009360"/>
      </c:barChart>
      <c:valAx>
        <c:axId val="-505009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5008"/>
        <c:crosses val="autoZero"/>
        <c:crossBetween val="between"/>
        <c:majorUnit val="1"/>
      </c:valAx>
      <c:catAx>
        <c:axId val="-50500500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93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1E-4B66-A7C5-B1C015ADBB1B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1E-4B66-A7C5-B1C015ADBB1B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1E-4B66-A7C5-B1C015ADBB1B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91E-4B66-A7C5-B1C015ADBB1B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1E-4B66-A7C5-B1C015ADBB1B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91E-4B66-A7C5-B1C015ADBB1B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91E-4B66-A7C5-B1C015ADBB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6096"/>
        <c:axId val="-505007728"/>
      </c:barChart>
      <c:valAx>
        <c:axId val="-505007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6096"/>
        <c:crosses val="autoZero"/>
        <c:crossBetween val="between"/>
        <c:majorUnit val="1"/>
      </c:valAx>
      <c:catAx>
        <c:axId val="-50500609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AC-45F2-9BA6-193991F67464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AC-45F2-9BA6-193991F67464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AC-45F2-9BA6-193991F67464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AC-45F2-9BA6-193991F67464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AC-45F2-9BA6-193991F67464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8AC-45F2-9BA6-193991F67464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8AC-45F2-9BA6-193991F6746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4997936"/>
        <c:axId val="-505003376"/>
      </c:barChart>
      <c:valAx>
        <c:axId val="-505003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4997936"/>
        <c:crosses val="autoZero"/>
        <c:crossBetween val="between"/>
        <c:majorUnit val="1"/>
      </c:valAx>
      <c:catAx>
        <c:axId val="-5049979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3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10'!$M$69</c:f>
              <c:numCache>
                <c:formatCode>#,##0_ ;\-#,##0\ 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95-48E6-8416-A6C923959C13}"/>
            </c:ext>
          </c:extLst>
        </c:ser>
        <c:ser>
          <c:idx val="1"/>
          <c:order val="1"/>
          <c:tx>
            <c:strRef>
              <c:f>'Ano 10'!$K$70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95-48E6-8416-A6C923959C13}"/>
            </c:ext>
          </c:extLst>
        </c:ser>
        <c:ser>
          <c:idx val="2"/>
          <c:order val="2"/>
          <c:tx>
            <c:strRef>
              <c:f>'Ano 10'!$K$71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95-48E6-8416-A6C923959C13}"/>
            </c:ext>
          </c:extLst>
        </c:ser>
        <c:ser>
          <c:idx val="3"/>
          <c:order val="3"/>
          <c:tx>
            <c:strRef>
              <c:f>'Ano 10'!$K$72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95-48E6-8416-A6C923959C13}"/>
            </c:ext>
          </c:extLst>
        </c:ser>
        <c:ser>
          <c:idx val="4"/>
          <c:order val="4"/>
          <c:tx>
            <c:strRef>
              <c:f>'Ano 10'!$K$73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95-48E6-8416-A6C923959C13}"/>
            </c:ext>
          </c:extLst>
        </c:ser>
        <c:ser>
          <c:idx val="5"/>
          <c:order val="5"/>
          <c:tx>
            <c:strRef>
              <c:f>'Ano 10'!$K$74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295-48E6-8416-A6C923959C13}"/>
            </c:ext>
          </c:extLst>
        </c:ser>
        <c:ser>
          <c:idx val="6"/>
          <c:order val="6"/>
          <c:tx>
            <c:strRef>
              <c:f>'Ano 10'!$K$75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295-48E6-8416-A6C923959C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5001744"/>
        <c:axId val="-505002288"/>
      </c:barChart>
      <c:valAx>
        <c:axId val="-505002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1744"/>
        <c:crosses val="autoZero"/>
        <c:crossBetween val="between"/>
        <c:majorUnit val="1"/>
      </c:valAx>
      <c:catAx>
        <c:axId val="-50500174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50022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1A-4716-9048-C6DCD9A09982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1A-4716-9048-C6DCD9A09982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1A-4716-9048-C6DCD9A09982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1A-4716-9048-C6DCD9A09982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51A-4716-9048-C6DCD9A09982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51A-4716-9048-C6DCD9A09982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51A-4716-9048-C6DCD9A0998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4996848"/>
        <c:axId val="-504997392"/>
      </c:barChart>
      <c:valAx>
        <c:axId val="-50499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4996848"/>
        <c:crosses val="autoZero"/>
        <c:crossBetween val="between"/>
        <c:majorUnit val="1"/>
      </c:valAx>
      <c:catAx>
        <c:axId val="-50499684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4997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23-44EC-A23A-C49DA6EB13F1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23-44EC-A23A-C49DA6EB13F1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23-44EC-A23A-C49DA6EB13F1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D23-44EC-A23A-C49DA6EB13F1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23-44EC-A23A-C49DA6EB13F1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D23-44EC-A23A-C49DA6EB13F1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D23-44EC-A23A-C49DA6EB13F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9952"/>
        <c:axId val="-509572672"/>
      </c:barChart>
      <c:valAx>
        <c:axId val="-509572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9952"/>
        <c:crosses val="autoZero"/>
        <c:crossBetween val="between"/>
        <c:majorUnit val="1"/>
      </c:valAx>
      <c:catAx>
        <c:axId val="-50956995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726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5E-48FB-A85C-4E89C8D149BB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5E-48FB-A85C-4E89C8D149BB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5E-48FB-A85C-4E89C8D149BB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15E-48FB-A85C-4E89C8D149BB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15E-48FB-A85C-4E89C8D149BB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15E-48FB-A85C-4E89C8D149BB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15E-48FB-A85C-4E89C8D149B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73760"/>
        <c:axId val="-509566688"/>
      </c:barChart>
      <c:valAx>
        <c:axId val="-509566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73760"/>
        <c:crosses val="autoZero"/>
        <c:crossBetween val="between"/>
        <c:majorUnit val="1"/>
      </c:valAx>
      <c:catAx>
        <c:axId val="-50957376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66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10'!$M$69</c:f>
              <c:numCache>
                <c:formatCode>#,##0_ ;\-#,##0\ 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4-4EAB-BA9F-326456963383}"/>
            </c:ext>
          </c:extLst>
        </c:ser>
        <c:ser>
          <c:idx val="1"/>
          <c:order val="1"/>
          <c:tx>
            <c:strRef>
              <c:f>'Ano 10'!$K$70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4-4EAB-BA9F-326456963383}"/>
            </c:ext>
          </c:extLst>
        </c:ser>
        <c:ser>
          <c:idx val="2"/>
          <c:order val="2"/>
          <c:tx>
            <c:strRef>
              <c:f>'Ano 10'!$K$71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4-4EAB-BA9F-326456963383}"/>
            </c:ext>
          </c:extLst>
        </c:ser>
        <c:ser>
          <c:idx val="3"/>
          <c:order val="3"/>
          <c:tx>
            <c:strRef>
              <c:f>'Ano 10'!$K$72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4-4EAB-BA9F-326456963383}"/>
            </c:ext>
          </c:extLst>
        </c:ser>
        <c:ser>
          <c:idx val="4"/>
          <c:order val="4"/>
          <c:tx>
            <c:strRef>
              <c:f>'Ano 10'!$K$73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10'!$M$73</c:f>
              <c:numCache>
                <c:formatCode>#,##0_ ;\-#,##0\ 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4-4EAB-BA9F-326456963383}"/>
            </c:ext>
          </c:extLst>
        </c:ser>
        <c:ser>
          <c:idx val="5"/>
          <c:order val="5"/>
          <c:tx>
            <c:strRef>
              <c:f>'Ano 10'!$K$74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4-4EAB-BA9F-326456963383}"/>
            </c:ext>
          </c:extLst>
        </c:ser>
        <c:ser>
          <c:idx val="6"/>
          <c:order val="6"/>
          <c:tx>
            <c:strRef>
              <c:f>'Ano 10'!$K$75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4-4EAB-BA9F-32645696338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6144"/>
        <c:axId val="-509571040"/>
      </c:barChart>
      <c:valAx>
        <c:axId val="-50957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6144"/>
        <c:crosses val="autoZero"/>
        <c:crossBetween val="between"/>
        <c:majorUnit val="1"/>
      </c:valAx>
      <c:catAx>
        <c:axId val="-50956614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710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C2-45D9-AC62-AC4AB129F26B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C2-45D9-AC62-AC4AB129F26B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C2-45D9-AC62-AC4AB129F26B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9C2-45D9-AC62-AC4AB129F26B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9C2-45D9-AC62-AC4AB129F26B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9C2-45D9-AC62-AC4AB129F26B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9C2-45D9-AC62-AC4AB129F26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72128"/>
        <c:axId val="-509563424"/>
      </c:barChart>
      <c:valAx>
        <c:axId val="-509563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72128"/>
        <c:crosses val="autoZero"/>
        <c:crossBetween val="between"/>
        <c:majorUnit val="1"/>
      </c:valAx>
      <c:catAx>
        <c:axId val="-50957212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3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81-4252-98E0-6013A6F8313B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81-4252-98E0-6013A6F8313B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81-4252-98E0-6013A6F8313B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E81-4252-98E0-6013A6F8313B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E81-4252-98E0-6013A6F8313B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E81-4252-98E0-6013A6F8313B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E81-4252-98E0-6013A6F8313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3968"/>
        <c:axId val="-509568864"/>
      </c:barChart>
      <c:valAx>
        <c:axId val="-509568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3968"/>
        <c:crosses val="autoZero"/>
        <c:crossBetween val="between"/>
        <c:majorUnit val="1"/>
      </c:valAx>
      <c:catAx>
        <c:axId val="-50956396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88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5B-4718-B0C0-C587E5D35E02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5B-4718-B0C0-C587E5D35E02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5B-4718-B0C0-C587E5D35E02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5B-4718-B0C0-C587E5D35E02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5B-4718-B0C0-C587E5D35E02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E5B-4718-B0C0-C587E5D35E02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E5B-4718-B0C0-C587E5D35E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2336"/>
        <c:axId val="-509571584"/>
      </c:barChart>
      <c:valAx>
        <c:axId val="-509571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2336"/>
        <c:crosses val="autoZero"/>
        <c:crossBetween val="between"/>
        <c:majorUnit val="1"/>
      </c:valAx>
      <c:catAx>
        <c:axId val="-5095623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71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15'!$M$69</c:f>
              <c:numCache>
                <c:formatCode>#,##0_ ;\-#,##0\ 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D4-45D2-ACB4-41B92D7B5960}"/>
            </c:ext>
          </c:extLst>
        </c:ser>
        <c:ser>
          <c:idx val="1"/>
          <c:order val="1"/>
          <c:tx>
            <c:strRef>
              <c:f>'Ano 15'!$K$70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D4-45D2-ACB4-41B92D7B5960}"/>
            </c:ext>
          </c:extLst>
        </c:ser>
        <c:ser>
          <c:idx val="2"/>
          <c:order val="2"/>
          <c:tx>
            <c:strRef>
              <c:f>'Ano 15'!$K$71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AD4-45D2-ACB4-41B92D7B5960}"/>
            </c:ext>
          </c:extLst>
        </c:ser>
        <c:ser>
          <c:idx val="3"/>
          <c:order val="3"/>
          <c:tx>
            <c:strRef>
              <c:f>'Ano 15'!$K$72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AD4-45D2-ACB4-41B92D7B5960}"/>
            </c:ext>
          </c:extLst>
        </c:ser>
        <c:ser>
          <c:idx val="4"/>
          <c:order val="4"/>
          <c:tx>
            <c:strRef>
              <c:f>'Ano 15'!$K$73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AD4-45D2-ACB4-41B92D7B5960}"/>
            </c:ext>
          </c:extLst>
        </c:ser>
        <c:ser>
          <c:idx val="5"/>
          <c:order val="5"/>
          <c:tx>
            <c:strRef>
              <c:f>'Ano 15'!$K$74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AD4-45D2-ACB4-41B92D7B5960}"/>
            </c:ext>
          </c:extLst>
        </c:ser>
        <c:ser>
          <c:idx val="6"/>
          <c:order val="6"/>
          <c:tx>
            <c:strRef>
              <c:f>'Ano 15'!$K$75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AD4-45D2-ACB4-41B92D7B596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5600"/>
        <c:axId val="-509573216"/>
      </c:barChart>
      <c:valAx>
        <c:axId val="-509573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5600"/>
        <c:crosses val="autoZero"/>
        <c:crossBetween val="between"/>
        <c:majorUnit val="1"/>
      </c:valAx>
      <c:catAx>
        <c:axId val="-50956560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732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46-48A7-B8B5-E48F45731750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46-48A7-B8B5-E48F45731750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46-48A7-B8B5-E48F45731750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C46-48A7-B8B5-E48F45731750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46-48A7-B8B5-E48F45731750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C46-48A7-B8B5-E48F45731750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C46-48A7-B8B5-E48F457317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4512"/>
        <c:axId val="-509565056"/>
      </c:barChart>
      <c:valAx>
        <c:axId val="-509565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4512"/>
        <c:crosses val="autoZero"/>
        <c:crossBetween val="between"/>
        <c:majorUnit val="1"/>
      </c:valAx>
      <c:catAx>
        <c:axId val="-50956451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50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56-40BC-8C67-678E8AD3A612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56-40BC-8C67-678E8AD3A612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56-40BC-8C67-678E8AD3A612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56-40BC-8C67-678E8AD3A612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56-40BC-8C67-678E8AD3A612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56-40BC-8C67-678E8AD3A612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456-40BC-8C67-678E8AD3A61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0704"/>
        <c:axId val="-509570496"/>
      </c:barChart>
      <c:valAx>
        <c:axId val="-509570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0704"/>
        <c:crosses val="autoZero"/>
        <c:crossBetween val="between"/>
        <c:majorUnit val="1"/>
      </c:valAx>
      <c:catAx>
        <c:axId val="-50956070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704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DF-47DC-9FC7-FAC3C56C27B6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DF-47DC-9FC7-FAC3C56C27B6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DF-47DC-9FC7-FAC3C56C27B6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DDF-47DC-9FC7-FAC3C56C27B6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DF-47DC-9FC7-FAC3C56C27B6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DDF-47DC-9FC7-FAC3C56C27B6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DDF-47DC-9FC7-FAC3C56C27B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1792"/>
        <c:axId val="-509562880"/>
      </c:barChart>
      <c:valAx>
        <c:axId val="-509562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1792"/>
        <c:crosses val="autoZero"/>
        <c:crossBetween val="between"/>
        <c:majorUnit val="1"/>
      </c:valAx>
      <c:catAx>
        <c:axId val="-50956179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28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15'!$M$69</c:f>
              <c:numCache>
                <c:formatCode>#,##0_ ;\-#,##0\ 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85-494B-894C-C88E19AECC48}"/>
            </c:ext>
          </c:extLst>
        </c:ser>
        <c:ser>
          <c:idx val="1"/>
          <c:order val="1"/>
          <c:tx>
            <c:strRef>
              <c:f>'Ano 15'!$K$70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85-494B-894C-C88E19AECC48}"/>
            </c:ext>
          </c:extLst>
        </c:ser>
        <c:ser>
          <c:idx val="2"/>
          <c:order val="2"/>
          <c:tx>
            <c:strRef>
              <c:f>'Ano 15'!$K$71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85-494B-894C-C88E19AECC48}"/>
            </c:ext>
          </c:extLst>
        </c:ser>
        <c:ser>
          <c:idx val="3"/>
          <c:order val="3"/>
          <c:tx>
            <c:strRef>
              <c:f>'Ano 15'!$K$72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A85-494B-894C-C88E19AECC48}"/>
            </c:ext>
          </c:extLst>
        </c:ser>
        <c:ser>
          <c:idx val="4"/>
          <c:order val="4"/>
          <c:tx>
            <c:strRef>
              <c:f>'Ano 15'!$K$73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A85-494B-894C-C88E19AECC48}"/>
            </c:ext>
          </c:extLst>
        </c:ser>
        <c:ser>
          <c:idx val="5"/>
          <c:order val="5"/>
          <c:tx>
            <c:strRef>
              <c:f>'Ano 15'!$K$74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A85-494B-894C-C88E19AECC48}"/>
            </c:ext>
          </c:extLst>
        </c:ser>
        <c:ser>
          <c:idx val="6"/>
          <c:order val="6"/>
          <c:tx>
            <c:strRef>
              <c:f>'Ano 15'!$K$75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A85-494B-894C-C88E19AECC4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9408"/>
        <c:axId val="-509568320"/>
      </c:barChart>
      <c:valAx>
        <c:axId val="-50956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9408"/>
        <c:crosses val="autoZero"/>
        <c:crossBetween val="between"/>
        <c:majorUnit val="1"/>
      </c:valAx>
      <c:catAx>
        <c:axId val="-50956940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8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16-4710-9AB2-1F9F57E86222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16-4710-9AB2-1F9F57E86222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16-4710-9AB2-1F9F57E86222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16-4710-9AB2-1F9F57E86222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16-4710-9AB2-1F9F57E86222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316-4710-9AB2-1F9F57E86222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316-4710-9AB2-1F9F57E8622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0160"/>
        <c:axId val="-509567776"/>
      </c:barChart>
      <c:valAx>
        <c:axId val="-509567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0160"/>
        <c:crosses val="autoZero"/>
        <c:crossBetween val="between"/>
        <c:majorUnit val="1"/>
      </c:valAx>
      <c:catAx>
        <c:axId val="-50956016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77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8-4141-9476-10F27330C3CD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8-4141-9476-10F27330C3CD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8-4141-9476-10F27330C3CD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B8-4141-9476-10F27330C3CD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8-4141-9476-10F27330C3CD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8-4141-9476-10F27330C3CD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FB8-4141-9476-10F27330C3C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59616"/>
        <c:axId val="-509559072"/>
      </c:barChart>
      <c:valAx>
        <c:axId val="-509559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59616"/>
        <c:crosses val="autoZero"/>
        <c:crossBetween val="between"/>
        <c:majorUnit val="1"/>
      </c:valAx>
      <c:catAx>
        <c:axId val="-50955961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5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B2-44D2-A19E-B859B8F2C927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B2-44D2-A19E-B859B8F2C927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B2-44D2-A19E-B859B8F2C927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B2-44D2-A19E-B859B8F2C927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B2-44D2-A19E-B859B8F2C927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4B2-44D2-A19E-B859B8F2C927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4B2-44D2-A19E-B859B8F2C9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509561248"/>
        <c:axId val="-509567232"/>
      </c:barChart>
      <c:valAx>
        <c:axId val="-509567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1248"/>
        <c:crosses val="autoZero"/>
        <c:crossBetween val="between"/>
        <c:majorUnit val="1"/>
      </c:valAx>
      <c:catAx>
        <c:axId val="-50956124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672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15'!$M$69</c:f>
              <c:numCache>
                <c:formatCode>#,##0_ ;\-#,##0\ 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DE-48D2-BCA4-DAB0D08F7A1F}"/>
            </c:ext>
          </c:extLst>
        </c:ser>
        <c:ser>
          <c:idx val="1"/>
          <c:order val="1"/>
          <c:tx>
            <c:strRef>
              <c:f>'Ano 15'!$K$70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DE-48D2-BCA4-DAB0D08F7A1F}"/>
            </c:ext>
          </c:extLst>
        </c:ser>
        <c:ser>
          <c:idx val="2"/>
          <c:order val="2"/>
          <c:tx>
            <c:strRef>
              <c:f>'Ano 15'!$K$71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DE-48D2-BCA4-DAB0D08F7A1F}"/>
            </c:ext>
          </c:extLst>
        </c:ser>
        <c:ser>
          <c:idx val="3"/>
          <c:order val="3"/>
          <c:tx>
            <c:strRef>
              <c:f>'Ano 15'!$K$72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DE-48D2-BCA4-DAB0D08F7A1F}"/>
            </c:ext>
          </c:extLst>
        </c:ser>
        <c:ser>
          <c:idx val="4"/>
          <c:order val="4"/>
          <c:tx>
            <c:strRef>
              <c:f>'Ano 15'!$K$73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ADE-48D2-BCA4-DAB0D08F7A1F}"/>
            </c:ext>
          </c:extLst>
        </c:ser>
        <c:ser>
          <c:idx val="5"/>
          <c:order val="5"/>
          <c:tx>
            <c:strRef>
              <c:f>'Ano 15'!$K$74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ADE-48D2-BCA4-DAB0D08F7A1F}"/>
            </c:ext>
          </c:extLst>
        </c:ser>
        <c:ser>
          <c:idx val="6"/>
          <c:order val="6"/>
          <c:tx>
            <c:strRef>
              <c:f>'Ano 15'!$K$75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ADE-48D2-BCA4-DAB0D08F7A1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8348304"/>
        <c:axId val="-509558528"/>
      </c:barChart>
      <c:valAx>
        <c:axId val="-509558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8304"/>
        <c:crosses val="autoZero"/>
        <c:crossBetween val="between"/>
        <c:majorUnit val="1"/>
      </c:valAx>
      <c:catAx>
        <c:axId val="-44834830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5095585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7A-4E58-B51D-E1E780D6D52B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7A-4E58-B51D-E1E780D6D52B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7A-4E58-B51D-E1E780D6D52B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7A-4E58-B51D-E1E780D6D52B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7A-4E58-B51D-E1E780D6D52B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F7A-4E58-B51D-E1E780D6D52B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F7A-4E58-B51D-E1E780D6D5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8346128"/>
        <c:axId val="-448346672"/>
      </c:barChart>
      <c:valAx>
        <c:axId val="-448346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6128"/>
        <c:crosses val="autoZero"/>
        <c:crossBetween val="between"/>
        <c:majorUnit val="1"/>
      </c:valAx>
      <c:catAx>
        <c:axId val="-44834612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66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62-46ED-98EA-B147D7663C67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62-46ED-98EA-B147D7663C67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62-46ED-98EA-B147D7663C67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62-46ED-98EA-B147D7663C67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462-46ED-98EA-B147D7663C67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462-46ED-98EA-B147D7663C67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462-46ED-98EA-B147D7663C6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8345584"/>
        <c:axId val="-448349392"/>
      </c:barChart>
      <c:valAx>
        <c:axId val="-448349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5584"/>
        <c:crosses val="autoZero"/>
        <c:crossBetween val="between"/>
        <c:majorUnit val="1"/>
      </c:valAx>
      <c:catAx>
        <c:axId val="-44834558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90-4F22-B27F-BDD7160A3079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90-4F22-B27F-BDD7160A3079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90-4F22-B27F-BDD7160A3079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E90-4F22-B27F-BDD7160A3079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90-4F22-B27F-BDD7160A3079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E90-4F22-B27F-BDD7160A3079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E90-4F22-B27F-BDD7160A307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8345040"/>
        <c:axId val="-448347760"/>
      </c:barChart>
      <c:valAx>
        <c:axId val="-448347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5040"/>
        <c:crosses val="autoZero"/>
        <c:crossBetween val="between"/>
        <c:majorUnit val="1"/>
      </c:valAx>
      <c:catAx>
        <c:axId val="-44834504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77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15'!$M$69</c:f>
              <c:numCache>
                <c:formatCode>#,##0_ ;\-#,##0\ 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9C-4FE8-AEF1-3EB227A3D416}"/>
            </c:ext>
          </c:extLst>
        </c:ser>
        <c:ser>
          <c:idx val="1"/>
          <c:order val="1"/>
          <c:tx>
            <c:strRef>
              <c:f>'Ano 15'!$K$70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9C-4FE8-AEF1-3EB227A3D416}"/>
            </c:ext>
          </c:extLst>
        </c:ser>
        <c:ser>
          <c:idx val="2"/>
          <c:order val="2"/>
          <c:tx>
            <c:strRef>
              <c:f>'Ano 15'!$K$71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9C-4FE8-AEF1-3EB227A3D416}"/>
            </c:ext>
          </c:extLst>
        </c:ser>
        <c:ser>
          <c:idx val="3"/>
          <c:order val="3"/>
          <c:tx>
            <c:strRef>
              <c:f>'Ano 15'!$K$72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9C-4FE8-AEF1-3EB227A3D416}"/>
            </c:ext>
          </c:extLst>
        </c:ser>
        <c:ser>
          <c:idx val="4"/>
          <c:order val="4"/>
          <c:tx>
            <c:strRef>
              <c:f>'Ano 15'!$K$73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9C-4FE8-AEF1-3EB227A3D416}"/>
            </c:ext>
          </c:extLst>
        </c:ser>
        <c:ser>
          <c:idx val="5"/>
          <c:order val="5"/>
          <c:tx>
            <c:strRef>
              <c:f>'Ano 15'!$K$74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9C-4FE8-AEF1-3EB227A3D416}"/>
            </c:ext>
          </c:extLst>
        </c:ser>
        <c:ser>
          <c:idx val="6"/>
          <c:order val="6"/>
          <c:tx>
            <c:strRef>
              <c:f>'Ano 15'!$K$75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99C-4FE8-AEF1-3EB227A3D41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8351568"/>
        <c:axId val="-448352112"/>
      </c:barChart>
      <c:valAx>
        <c:axId val="-448352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51568"/>
        <c:crosses val="autoZero"/>
        <c:crossBetween val="between"/>
        <c:majorUnit val="1"/>
      </c:valAx>
      <c:catAx>
        <c:axId val="-44835156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521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D9-4C5D-BCB9-A73FC1F690E1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D9-4C5D-BCB9-A73FC1F690E1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D9-4C5D-BCB9-A73FC1F690E1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3D9-4C5D-BCB9-A73FC1F690E1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3D9-4C5D-BCB9-A73FC1F690E1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3D9-4C5D-BCB9-A73FC1F690E1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3D9-4C5D-BCB9-A73FC1F690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8351024"/>
        <c:axId val="-448347216"/>
      </c:barChart>
      <c:valAx>
        <c:axId val="-448347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51024"/>
        <c:crosses val="autoZero"/>
        <c:crossBetween val="between"/>
        <c:majorUnit val="1"/>
      </c:valAx>
      <c:catAx>
        <c:axId val="-44835102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72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43-42FD-ABDE-BA783B1A223B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43-42FD-ABDE-BA783B1A223B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43-42FD-ABDE-BA783B1A223B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43-42FD-ABDE-BA783B1A223B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43-42FD-ABDE-BA783B1A223B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F43-42FD-ABDE-BA783B1A223B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F43-42FD-ABDE-BA783B1A223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8348848"/>
        <c:axId val="-448350480"/>
      </c:barChart>
      <c:valAx>
        <c:axId val="-448350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8848"/>
        <c:crosses val="autoZero"/>
        <c:crossBetween val="between"/>
        <c:majorUnit val="1"/>
      </c:valAx>
      <c:catAx>
        <c:axId val="-44834884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50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41-4E7C-899F-CCDA4EBC7CB9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41-4E7C-899F-CCDA4EBC7CB9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41-4E7C-899F-CCDA4EBC7CB9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41-4E7C-899F-CCDA4EBC7CB9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41-4E7C-899F-CCDA4EBC7CB9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41-4E7C-899F-CCDA4EBC7CB9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941-4E7C-899F-CCDA4EBC7CB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67456"/>
        <c:axId val="-448349936"/>
      </c:barChart>
      <c:valAx>
        <c:axId val="-448349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67456"/>
        <c:crosses val="autoZero"/>
        <c:crossBetween val="between"/>
        <c:majorUnit val="1"/>
      </c:valAx>
      <c:catAx>
        <c:axId val="-44276745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8349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15'!$M$69</c:f>
              <c:numCache>
                <c:formatCode>#,##0_ ;\-#,##0\ 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82-4EE6-8BCD-05C85F9F91A9}"/>
            </c:ext>
          </c:extLst>
        </c:ser>
        <c:ser>
          <c:idx val="1"/>
          <c:order val="1"/>
          <c:tx>
            <c:strRef>
              <c:f>'Ano 15'!$K$70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82-4EE6-8BCD-05C85F9F91A9}"/>
            </c:ext>
          </c:extLst>
        </c:ser>
        <c:ser>
          <c:idx val="2"/>
          <c:order val="2"/>
          <c:tx>
            <c:strRef>
              <c:f>'Ano 15'!$K$71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82-4EE6-8BCD-05C85F9F91A9}"/>
            </c:ext>
          </c:extLst>
        </c:ser>
        <c:ser>
          <c:idx val="3"/>
          <c:order val="3"/>
          <c:tx>
            <c:strRef>
              <c:f>'Ano 15'!$K$72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15'!$M$72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82-4EE6-8BCD-05C85F9F91A9}"/>
            </c:ext>
          </c:extLst>
        </c:ser>
        <c:ser>
          <c:idx val="4"/>
          <c:order val="4"/>
          <c:tx>
            <c:strRef>
              <c:f>'Ano 15'!$K$73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82-4EE6-8BCD-05C85F9F91A9}"/>
            </c:ext>
          </c:extLst>
        </c:ser>
        <c:ser>
          <c:idx val="5"/>
          <c:order val="5"/>
          <c:tx>
            <c:strRef>
              <c:f>'Ano 15'!$K$74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382-4EE6-8BCD-05C85F9F91A9}"/>
            </c:ext>
          </c:extLst>
        </c:ser>
        <c:ser>
          <c:idx val="6"/>
          <c:order val="6"/>
          <c:tx>
            <c:strRef>
              <c:f>'Ano 15'!$K$75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382-4EE6-8BCD-05C85F9F91A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68544"/>
        <c:axId val="-442766912"/>
      </c:barChart>
      <c:valAx>
        <c:axId val="-442766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68544"/>
        <c:crosses val="autoZero"/>
        <c:crossBetween val="between"/>
        <c:majorUnit val="1"/>
      </c:valAx>
      <c:catAx>
        <c:axId val="-44276854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66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92-4BF2-B6F8-EECD8399D804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F92-4BF2-B6F8-EECD8399D804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F92-4BF2-B6F8-EECD8399D804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F92-4BF2-B6F8-EECD8399D804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F92-4BF2-B6F8-EECD8399D804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F92-4BF2-B6F8-EECD8399D804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F92-4BF2-B6F8-EECD8399D80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0720"/>
        <c:axId val="-442780512"/>
      </c:barChart>
      <c:valAx>
        <c:axId val="-442780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0720"/>
        <c:crosses val="autoZero"/>
        <c:crossBetween val="between"/>
        <c:majorUnit val="1"/>
      </c:valAx>
      <c:catAx>
        <c:axId val="-44277072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805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B3-4505-BD54-207A8402F6DE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B3-4505-BD54-207A8402F6DE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B3-4505-BD54-207A8402F6DE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B3-4505-BD54-207A8402F6DE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B3-4505-BD54-207A8402F6DE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B3-4505-BD54-207A8402F6DE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B3-4505-BD54-207A8402F6D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8880"/>
        <c:axId val="-442779424"/>
      </c:barChart>
      <c:valAx>
        <c:axId val="-442779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8880"/>
        <c:crosses val="autoZero"/>
        <c:crossBetween val="between"/>
        <c:majorUnit val="1"/>
      </c:valAx>
      <c:catAx>
        <c:axId val="-44277888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9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C4-4F09-A879-35A5E7194DE6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C4-4F09-A879-35A5E7194DE6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AC4-4F09-A879-35A5E7194DE6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AC4-4F09-A879-35A5E7194DE6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AC4-4F09-A879-35A5E7194DE6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AC4-4F09-A879-35A5E7194DE6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AC4-4F09-A879-35A5E7194DE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5072"/>
        <c:axId val="-442766368"/>
      </c:barChart>
      <c:valAx>
        <c:axId val="-44276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5072"/>
        <c:crosses val="autoZero"/>
        <c:crossBetween val="between"/>
        <c:majorUnit val="1"/>
      </c:valAx>
      <c:catAx>
        <c:axId val="-44277507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66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29-4F68-A9F6-C1069958D6D9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29-4F68-A9F6-C1069958D6D9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29-4F68-A9F6-C1069958D6D9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29-4F68-A9F6-C1069958D6D9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29-4F68-A9F6-C1069958D6D9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829-4F68-A9F6-C1069958D6D9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829-4F68-A9F6-C1069958D6D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8336"/>
        <c:axId val="-442781600"/>
      </c:barChart>
      <c:valAx>
        <c:axId val="-442781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8336"/>
        <c:crosses val="autoZero"/>
        <c:crossBetween val="between"/>
        <c:majorUnit val="1"/>
      </c:valAx>
      <c:catAx>
        <c:axId val="-4427783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816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8D-4F49-A329-CB236BC03556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8D-4F49-A329-CB236BC03556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8D-4F49-A329-CB236BC03556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8D-4F49-A329-CB236BC03556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8D-4F49-A329-CB236BC03556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78D-4F49-A329-CB236BC03556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78D-4F49-A329-CB236BC0355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3440"/>
        <c:axId val="-442768000"/>
      </c:barChart>
      <c:valAx>
        <c:axId val="-442768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3440"/>
        <c:crosses val="autoZero"/>
        <c:crossBetween val="between"/>
        <c:majorUnit val="1"/>
      </c:valAx>
      <c:catAx>
        <c:axId val="-44277344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680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B5-4C91-9AF9-7EA14D8AAB82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B5-4C91-9AF9-7EA14D8AAB82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B5-4C91-9AF9-7EA14D8AAB82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B5-4C91-9AF9-7EA14D8AAB82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B5-4C91-9AF9-7EA14D8AAB82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B5-4C91-9AF9-7EA14D8AAB82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DB5-4C91-9AF9-7EA14D8AAB8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7248"/>
        <c:axId val="-442777792"/>
      </c:barChart>
      <c:valAx>
        <c:axId val="-442777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7248"/>
        <c:crosses val="autoZero"/>
        <c:crossBetween val="between"/>
        <c:majorUnit val="1"/>
      </c:valAx>
      <c:catAx>
        <c:axId val="-44277724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77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42-4EC3-98B7-80AA96365E1B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42-4EC3-98B7-80AA96365E1B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42-4EC3-98B7-80AA96365E1B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42-4EC3-98B7-80AA96365E1B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642-4EC3-98B7-80AA96365E1B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642-4EC3-98B7-80AA96365E1B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642-4EC3-98B7-80AA96365E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9968"/>
        <c:axId val="-442770176"/>
      </c:barChart>
      <c:valAx>
        <c:axId val="-44277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9968"/>
        <c:crosses val="autoZero"/>
        <c:crossBetween val="between"/>
        <c:majorUnit val="1"/>
      </c:valAx>
      <c:catAx>
        <c:axId val="-44277996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01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E4-4432-A074-7DEAB219B4D3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E4-4432-A074-7DEAB219B4D3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E4-4432-A074-7DEAB219B4D3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8E4-4432-A074-7DEAB219B4D3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E4-4432-A074-7DEAB219B4D3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8E4-4432-A074-7DEAB219B4D3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8E4-4432-A074-7DEAB219B4D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81056"/>
        <c:axId val="-442772896"/>
      </c:barChart>
      <c:valAx>
        <c:axId val="-442772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81056"/>
        <c:crosses val="autoZero"/>
        <c:crossBetween val="between"/>
        <c:majorUnit val="1"/>
      </c:valAx>
      <c:catAx>
        <c:axId val="-44278105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2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65-4B1F-8D43-A604E99BDA33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65-4B1F-8D43-A604E99BDA33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65-4B1F-8D43-A604E99BDA33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65-4B1F-8D43-A604E99BDA33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165-4B1F-8D43-A604E99BDA33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165-4B1F-8D43-A604E99BDA33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165-4B1F-8D43-A604E99BDA3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1808"/>
        <c:axId val="-442774528"/>
      </c:barChart>
      <c:valAx>
        <c:axId val="-442774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1808"/>
        <c:crosses val="autoZero"/>
        <c:crossBetween val="between"/>
        <c:majorUnit val="1"/>
      </c:valAx>
      <c:catAx>
        <c:axId val="-44277180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45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67-47C2-BEEE-350A06B456F7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67-47C2-BEEE-350A06B456F7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67-47C2-BEEE-350A06B456F7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67-47C2-BEEE-350A06B456F7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67-47C2-BEEE-350A06B456F7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67-47C2-BEEE-350A06B456F7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E67-47C2-BEEE-350A06B456F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6704"/>
        <c:axId val="-442769088"/>
      </c:barChart>
      <c:valAx>
        <c:axId val="-442769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6704"/>
        <c:crosses val="autoZero"/>
        <c:crossBetween val="between"/>
        <c:majorUnit val="1"/>
      </c:valAx>
      <c:catAx>
        <c:axId val="-44277670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690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69-4477-98B4-8DB38CA2049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69-4477-98B4-8DB38CA2049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69-4477-98B4-8DB38CA2049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069-4477-98B4-8DB38CA2049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069-4477-98B4-8DB38CA2049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69-4477-98B4-8DB38CA2049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069-4477-98B4-8DB38CA2049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3984"/>
        <c:axId val="-442776160"/>
      </c:barChart>
      <c:valAx>
        <c:axId val="-442776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3984"/>
        <c:crosses val="autoZero"/>
        <c:crossBetween val="between"/>
        <c:majorUnit val="1"/>
      </c:valAx>
      <c:catAx>
        <c:axId val="-44277398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6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21-4757-884B-540AEE7C9360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21-4757-884B-540AEE7C9360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21-4757-884B-540AEE7C9360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D21-4757-884B-540AEE7C9360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D21-4757-884B-540AEE7C9360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D21-4757-884B-540AEE7C9360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D21-4757-884B-540AEE7C936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69632"/>
        <c:axId val="-442775616"/>
      </c:barChart>
      <c:valAx>
        <c:axId val="-442775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69632"/>
        <c:crosses val="autoZero"/>
        <c:crossBetween val="between"/>
        <c:majorUnit val="1"/>
      </c:valAx>
      <c:catAx>
        <c:axId val="-44276963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56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C3-4AD3-86BC-362D99588E58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C3-4AD3-86BC-362D99588E58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C3-4AD3-86BC-362D99588E58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C3-4AD3-86BC-362D99588E58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C3-4AD3-86BC-362D99588E58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6C3-4AD3-86BC-362D99588E58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6C3-4AD3-86BC-362D99588E5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42771264"/>
        <c:axId val="-442772352"/>
      </c:barChart>
      <c:valAx>
        <c:axId val="-442772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1264"/>
        <c:crosses val="autoZero"/>
        <c:crossBetween val="between"/>
        <c:majorUnit val="1"/>
      </c:valAx>
      <c:catAx>
        <c:axId val="-44277126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42772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7B-4915-978A-90E812836BA4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7B-4915-978A-90E812836BA4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7B-4915-978A-90E812836BA4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7B-4915-978A-90E812836BA4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77B-4915-978A-90E812836BA4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77B-4915-978A-90E812836BA4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77B-4915-978A-90E812836BA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5856"/>
        <c:axId val="-439773008"/>
      </c:barChart>
      <c:valAx>
        <c:axId val="-439773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5856"/>
        <c:crosses val="autoZero"/>
        <c:crossBetween val="between"/>
        <c:majorUnit val="1"/>
      </c:valAx>
      <c:catAx>
        <c:axId val="-43979585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30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D2-428A-B321-5319C725DD2D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D2-428A-B321-5319C725DD2D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D2-428A-B321-5319C725DD2D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D2-428A-B321-5319C725DD2D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D2-428A-B321-5319C725DD2D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CD2-428A-B321-5319C725DD2D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CD2-428A-B321-5319C725DD2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3888"/>
        <c:axId val="-439775184"/>
      </c:barChart>
      <c:valAx>
        <c:axId val="-439775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3888"/>
        <c:crosses val="autoZero"/>
        <c:crossBetween val="between"/>
        <c:majorUnit val="1"/>
      </c:valAx>
      <c:catAx>
        <c:axId val="-43978388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51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CD-44FA-8F6F-DDA5348A4AD9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CD-44FA-8F6F-DDA5348A4AD9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CD-44FA-8F6F-DDA5348A4AD9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CD-44FA-8F6F-DDA5348A4AD9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CD-44FA-8F6F-DDA5348A4AD9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CD-44FA-8F6F-DDA5348A4AD9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CD-44FA-8F6F-DDA5348A4AD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4640"/>
        <c:axId val="-439783344"/>
      </c:barChart>
      <c:valAx>
        <c:axId val="-439783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4640"/>
        <c:crosses val="autoZero"/>
        <c:crossBetween val="between"/>
        <c:majorUnit val="1"/>
      </c:valAx>
      <c:catAx>
        <c:axId val="-43977464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3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17-4BB7-BD64-9A4DF595E238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17-4BB7-BD64-9A4DF595E238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17-4BB7-BD64-9A4DF595E238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617-4BB7-BD64-9A4DF595E238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17-4BB7-BD64-9A4DF595E238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617-4BB7-BD64-9A4DF595E238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617-4BB7-BD64-9A4DF595E2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5312"/>
        <c:axId val="-439782800"/>
      </c:barChart>
      <c:valAx>
        <c:axId val="-439782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5312"/>
        <c:crosses val="autoZero"/>
        <c:crossBetween val="between"/>
        <c:majorUnit val="1"/>
      </c:valAx>
      <c:catAx>
        <c:axId val="-43979531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28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AA-49C8-BDF4-6F195EF2A7FC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AA-49C8-BDF4-6F195EF2A7FC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7AA-49C8-BDF4-6F195EF2A7FC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7AA-49C8-BDF4-6F195EF2A7FC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7AA-49C8-BDF4-6F195EF2A7FC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7AA-49C8-BDF4-6F195EF2A7FC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7AA-49C8-BDF4-6F195EF2A7F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1504"/>
        <c:axId val="-439782256"/>
      </c:barChart>
      <c:valAx>
        <c:axId val="-439782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1504"/>
        <c:crosses val="autoZero"/>
        <c:crossBetween val="between"/>
        <c:majorUnit val="1"/>
      </c:valAx>
      <c:catAx>
        <c:axId val="-43979150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22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85-427A-897C-3B78661E15F2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85-427A-897C-3B78661E15F2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85-427A-897C-3B78661E15F2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985-427A-897C-3B78661E15F2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985-427A-897C-3B78661E15F2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985-427A-897C-3B78661E15F2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985-427A-897C-3B78661E15F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6400"/>
        <c:axId val="-439780624"/>
      </c:barChart>
      <c:valAx>
        <c:axId val="-439780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6400"/>
        <c:crosses val="autoZero"/>
        <c:crossBetween val="between"/>
        <c:majorUnit val="1"/>
      </c:valAx>
      <c:catAx>
        <c:axId val="-43979640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06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3B-45C1-8861-59DA2F774C0F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3B-45C1-8861-59DA2F774C0F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3B-45C1-8861-59DA2F774C0F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C3B-45C1-8861-59DA2F774C0F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C3B-45C1-8861-59DA2F774C0F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C3B-45C1-8861-59DA2F774C0F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C3B-45C1-8861-59DA2F774C0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8784"/>
        <c:axId val="-439781168"/>
      </c:barChart>
      <c:valAx>
        <c:axId val="-439781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8784"/>
        <c:crosses val="autoZero"/>
        <c:crossBetween val="between"/>
        <c:majorUnit val="1"/>
      </c:valAx>
      <c:catAx>
        <c:axId val="-43978878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11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55-49AE-8200-1A15FC0479D7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55-49AE-8200-1A15FC0479D7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55-49AE-8200-1A15FC0479D7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55-49AE-8200-1A15FC0479D7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55-49AE-8200-1A15FC0479D7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155-49AE-8200-1A15FC0479D7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155-49AE-8200-1A15FC0479D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6064"/>
        <c:axId val="-439784976"/>
      </c:barChart>
      <c:valAx>
        <c:axId val="-439784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6064"/>
        <c:crosses val="autoZero"/>
        <c:crossBetween val="between"/>
        <c:majorUnit val="1"/>
      </c:valAx>
      <c:catAx>
        <c:axId val="-43978606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49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2D-406A-8ED2-269B6565FE38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2D-406A-8ED2-269B6565FE38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2D-406A-8ED2-269B6565FE38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2D-406A-8ED2-269B6565FE38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2D-406A-8ED2-269B6565FE38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2D-406A-8ED2-269B6565FE38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52D-406A-8ED2-269B6565FE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4432"/>
        <c:axId val="-439785520"/>
      </c:barChart>
      <c:valAx>
        <c:axId val="-439785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4432"/>
        <c:crosses val="autoZero"/>
        <c:crossBetween val="between"/>
        <c:majorUnit val="1"/>
      </c:valAx>
      <c:catAx>
        <c:axId val="-43978443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55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93-4212-A21B-1C5445AE64C3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93-4212-A21B-1C5445AE64C3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93-4212-A21B-1C5445AE64C3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B93-4212-A21B-1C5445AE64C3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93-4212-A21B-1C5445AE64C3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93-4212-A21B-1C5445AE64C3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B93-4212-A21B-1C5445AE64C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0080"/>
        <c:axId val="-439781712"/>
      </c:barChart>
      <c:valAx>
        <c:axId val="-439781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0080"/>
        <c:crosses val="autoZero"/>
        <c:crossBetween val="between"/>
        <c:majorUnit val="1"/>
      </c:valAx>
      <c:catAx>
        <c:axId val="-43978008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17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25'!$M$69</c:f>
              <c:numCache>
                <c:formatCode>#,##0_ ;\-#,##0\ </c:formatCode>
                <c:ptCount val="1"/>
                <c:pt idx="0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C7-4F3C-882D-6F119687E5B6}"/>
            </c:ext>
          </c:extLst>
        </c:ser>
        <c:ser>
          <c:idx val="1"/>
          <c:order val="1"/>
          <c:tx>
            <c:strRef>
              <c:f>'Ano 25'!$K$70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25'!$M$70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C7-4F3C-882D-6F119687E5B6}"/>
            </c:ext>
          </c:extLst>
        </c:ser>
        <c:ser>
          <c:idx val="2"/>
          <c:order val="2"/>
          <c:tx>
            <c:strRef>
              <c:f>'Ano 25'!$K$71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C7-4F3C-882D-6F119687E5B6}"/>
            </c:ext>
          </c:extLst>
        </c:ser>
        <c:ser>
          <c:idx val="3"/>
          <c:order val="3"/>
          <c:tx>
            <c:strRef>
              <c:f>'Ano 25'!$K$72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25'!$M$72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C7-4F3C-882D-6F119687E5B6}"/>
            </c:ext>
          </c:extLst>
        </c:ser>
        <c:ser>
          <c:idx val="4"/>
          <c:order val="4"/>
          <c:tx>
            <c:strRef>
              <c:f>'Ano 25'!$K$73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25'!$M$73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DC7-4F3C-882D-6F119687E5B6}"/>
            </c:ext>
          </c:extLst>
        </c:ser>
        <c:ser>
          <c:idx val="5"/>
          <c:order val="5"/>
          <c:tx>
            <c:strRef>
              <c:f>'Ano 25'!$K$74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DC7-4F3C-882D-6F119687E5B6}"/>
            </c:ext>
          </c:extLst>
        </c:ser>
        <c:ser>
          <c:idx val="6"/>
          <c:order val="6"/>
          <c:tx>
            <c:strRef>
              <c:f>'Ano 25'!$K$75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DC7-4F3C-882D-6F119687E5B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9536"/>
        <c:axId val="-439799120"/>
      </c:barChart>
      <c:valAx>
        <c:axId val="-43979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9536"/>
        <c:crosses val="autoZero"/>
        <c:crossBetween val="between"/>
        <c:majorUnit val="1"/>
      </c:valAx>
      <c:catAx>
        <c:axId val="-4397795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91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D2-42D3-A02E-37F7981B17AA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D2-42D3-A02E-37F7981B17AA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D2-42D3-A02E-37F7981B17AA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D2-42D3-A02E-37F7981B17AA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9D2-42D3-A02E-37F7981B17AA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9D2-42D3-A02E-37F7981B17AA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9D2-42D3-A02E-37F7981B17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9872"/>
        <c:axId val="-439777904"/>
      </c:barChart>
      <c:valAx>
        <c:axId val="-439777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9872"/>
        <c:crosses val="autoZero"/>
        <c:crossBetween val="between"/>
        <c:majorUnit val="1"/>
      </c:valAx>
      <c:catAx>
        <c:axId val="-43978987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79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B-4CAE-97C5-082A77C3BB26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B-4CAE-97C5-082A77C3BB26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B-4CAE-97C5-082A77C3BB26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B-4CAE-97C5-082A77C3BB26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B-4CAE-97C5-082A77C3BB26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B-4CAE-97C5-082A77C3BB26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B-4CAE-97C5-082A77C3BB2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8448"/>
        <c:axId val="-439788240"/>
      </c:barChart>
      <c:valAx>
        <c:axId val="-439788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8448"/>
        <c:crosses val="autoZero"/>
        <c:crossBetween val="between"/>
        <c:majorUnit val="1"/>
      </c:valAx>
      <c:catAx>
        <c:axId val="-43977844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82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B-4955-AB05-10D69C0599A2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B-4955-AB05-10D69C0599A2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EB-4955-AB05-10D69C0599A2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EB-4955-AB05-10D69C0599A2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EB-4955-AB05-10D69C0599A2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EB-4955-AB05-10D69C0599A2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EB-4955-AB05-10D69C0599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6816"/>
        <c:axId val="-439777360"/>
      </c:barChart>
      <c:valAx>
        <c:axId val="-439777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6816"/>
        <c:crosses val="autoZero"/>
        <c:crossBetween val="between"/>
        <c:majorUnit val="1"/>
      </c:valAx>
      <c:catAx>
        <c:axId val="-43977681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73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E8-4C2A-B71F-0134B7E3AB13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E8-4C2A-B71F-0134B7E3AB13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E8-4C2A-B71F-0134B7E3AB13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5E8-4C2A-B71F-0134B7E3AB13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5E8-4C2A-B71F-0134B7E3AB13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5E8-4C2A-B71F-0134B7E3AB13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5E8-4C2A-B71F-0134B7E3AB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6272"/>
        <c:axId val="-439778992"/>
      </c:barChart>
      <c:valAx>
        <c:axId val="-439778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6272"/>
        <c:crosses val="autoZero"/>
        <c:crossBetween val="between"/>
        <c:majorUnit val="1"/>
      </c:valAx>
      <c:catAx>
        <c:axId val="-43977627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89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D8-4C09-85F2-4B027B6DB419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D8-4C09-85F2-4B027B6DB419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D8-4C09-85F2-4B027B6DB419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D8-4C09-85F2-4B027B6DB419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D8-4C09-85F2-4B027B6DB419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6D8-4C09-85F2-4B027B6DB419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6D8-4C09-85F2-4B027B6DB41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4096"/>
        <c:axId val="-439775728"/>
      </c:barChart>
      <c:valAx>
        <c:axId val="-439775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4096"/>
        <c:crosses val="autoZero"/>
        <c:crossBetween val="between"/>
        <c:majorUnit val="1"/>
      </c:valAx>
      <c:catAx>
        <c:axId val="-43977409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5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5E-49E4-B365-747629B88BCD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5E-49E4-B365-747629B88BCD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5E-49E4-B365-747629B88BCD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5E-49E4-B365-747629B88BCD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5E-49E4-B365-747629B88BCD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5E-49E4-B365-747629B88BCD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5E-49E4-B365-747629B88BC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3552"/>
        <c:axId val="-439799664"/>
      </c:barChart>
      <c:valAx>
        <c:axId val="-439799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3552"/>
        <c:crosses val="autoZero"/>
        <c:crossBetween val="between"/>
        <c:majorUnit val="1"/>
      </c:valAx>
      <c:catAx>
        <c:axId val="-43977355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9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D8-40C1-AECB-97FF3067329B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D8-40C1-AECB-97FF3067329B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D8-40C1-AECB-97FF3067329B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D8-40C1-AECB-97FF3067329B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D8-40C1-AECB-97FF3067329B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BD8-40C1-AECB-97FF3067329B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BD8-40C1-AECB-97FF306732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3136"/>
        <c:axId val="-439772464"/>
      </c:barChart>
      <c:valAx>
        <c:axId val="-439772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3136"/>
        <c:crosses val="autoZero"/>
        <c:crossBetween val="between"/>
        <c:majorUnit val="1"/>
      </c:valAx>
      <c:catAx>
        <c:axId val="-43979313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24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0A-475B-8932-F7CA08649499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0A-475B-8932-F7CA08649499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0A-475B-8932-F7CA08649499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0A-475B-8932-F7CA08649499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0A-475B-8932-F7CA08649499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E0A-475B-8932-F7CA08649499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E0A-475B-8932-F7CA0864949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1920"/>
        <c:axId val="-439792048"/>
      </c:barChart>
      <c:valAx>
        <c:axId val="-439792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1920"/>
        <c:crosses val="autoZero"/>
        <c:crossBetween val="between"/>
        <c:majorUnit val="1"/>
      </c:valAx>
      <c:catAx>
        <c:axId val="-43977192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20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25-4F70-807C-FFE1CA6688F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25-4F70-807C-FFE1CA6688F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25-4F70-807C-FFE1CA6688F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C25-4F70-807C-FFE1CA6688F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C25-4F70-807C-FFE1CA6688F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C25-4F70-807C-FFE1CA6688F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C25-4F70-807C-FFE1CA6688F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0832"/>
        <c:axId val="-439771376"/>
      </c:barChart>
      <c:valAx>
        <c:axId val="-43977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0832"/>
        <c:crosses val="autoZero"/>
        <c:crossBetween val="between"/>
        <c:majorUnit val="1"/>
      </c:valAx>
      <c:catAx>
        <c:axId val="-43977083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1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CD-4A47-B218-45F0480E25AA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CD-4A47-B218-45F0480E25AA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CD-4A47-B218-45F0480E25AA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CD-4A47-B218-45F0480E25AA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CD-4A47-B218-45F0480E25AA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1CD-4A47-B218-45F0480E25AA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1CD-4A47-B218-45F0480E25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70288"/>
        <c:axId val="-439794768"/>
      </c:barChart>
      <c:valAx>
        <c:axId val="-439794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70288"/>
        <c:crosses val="autoZero"/>
        <c:crossBetween val="between"/>
        <c:majorUnit val="1"/>
      </c:valAx>
      <c:catAx>
        <c:axId val="-43977028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4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6F-4001-B057-97CD925F9EB9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6F-4001-B057-97CD925F9EB9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6F-4001-B057-97CD925F9EB9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86F-4001-B057-97CD925F9EB9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86F-4001-B057-97CD925F9EB9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86F-4001-B057-97CD925F9EB9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86F-4001-B057-97CD925F9EB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8576"/>
        <c:axId val="-439793680"/>
      </c:barChart>
      <c:valAx>
        <c:axId val="-439793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8576"/>
        <c:crosses val="autoZero"/>
        <c:crossBetween val="between"/>
        <c:majorUnit val="1"/>
      </c:valAx>
      <c:catAx>
        <c:axId val="-43979857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36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6-46FF-A057-60F34E534364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B6-46FF-A057-60F34E534364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B6-46FF-A057-60F34E534364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AB6-46FF-A057-60F34E534364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B6-46FF-A057-60F34E534364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AB6-46FF-A057-60F34E534364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AB6-46FF-A057-60F34E53436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8032"/>
        <c:axId val="-439769744"/>
      </c:barChart>
      <c:valAx>
        <c:axId val="-439769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8032"/>
        <c:crosses val="autoZero"/>
        <c:crossBetween val="between"/>
        <c:majorUnit val="1"/>
      </c:valAx>
      <c:catAx>
        <c:axId val="-43979803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697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68-40DE-8F99-A8D12CF93854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68-40DE-8F99-A8D12CF93854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68-40DE-8F99-A8D12CF93854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768-40DE-8F99-A8D12CF93854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768-40DE-8F99-A8D12CF93854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768-40DE-8F99-A8D12CF93854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768-40DE-8F99-A8D12CF9385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0960"/>
        <c:axId val="-439797488"/>
      </c:barChart>
      <c:valAx>
        <c:axId val="-439797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0960"/>
        <c:crosses val="autoZero"/>
        <c:crossBetween val="between"/>
        <c:majorUnit val="1"/>
      </c:valAx>
      <c:catAx>
        <c:axId val="-43979096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74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3D-4A0C-B314-03C5A9C9F6B3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3D-4A0C-B314-03C5A9C9F6B3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3D-4A0C-B314-03C5A9C9F6B3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A3D-4A0C-B314-03C5A9C9F6B3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3D-4A0C-B314-03C5A9C9F6B3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A3D-4A0C-B314-03C5A9C9F6B3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A3D-4A0C-B314-03C5A9C9F6B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6944"/>
        <c:axId val="-439792592"/>
      </c:barChart>
      <c:valAx>
        <c:axId val="-439792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6944"/>
        <c:crosses val="autoZero"/>
        <c:crossBetween val="between"/>
        <c:majorUnit val="1"/>
      </c:valAx>
      <c:catAx>
        <c:axId val="-43979694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2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C9-4FA9-923E-FAA348424B7A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C9-4FA9-923E-FAA348424B7A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C9-4FA9-923E-FAA348424B7A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C9-4FA9-923E-FAA348424B7A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C9-4FA9-923E-FAA348424B7A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3C9-4FA9-923E-FAA348424B7A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3C9-4FA9-923E-FAA348424B7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94224"/>
        <c:axId val="-439790416"/>
      </c:barChart>
      <c:valAx>
        <c:axId val="-439790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4224"/>
        <c:crosses val="autoZero"/>
        <c:crossBetween val="between"/>
        <c:majorUnit val="1"/>
      </c:valAx>
      <c:catAx>
        <c:axId val="-43979422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904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20'!$M$69</c:f>
              <c:numCache>
                <c:formatCode>#,##0_ ;\-#,##0\ 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A-43C1-85C4-45E6C632BB3F}"/>
            </c:ext>
          </c:extLst>
        </c:ser>
        <c:ser>
          <c:idx val="1"/>
          <c:order val="1"/>
          <c:tx>
            <c:strRef>
              <c:f>'Ano 20'!$K$70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1A-43C1-85C4-45E6C632BB3F}"/>
            </c:ext>
          </c:extLst>
        </c:ser>
        <c:ser>
          <c:idx val="2"/>
          <c:order val="2"/>
          <c:tx>
            <c:strRef>
              <c:f>'Ano 20'!$K$71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1A-43C1-85C4-45E6C632BB3F}"/>
            </c:ext>
          </c:extLst>
        </c:ser>
        <c:ser>
          <c:idx val="3"/>
          <c:order val="3"/>
          <c:tx>
            <c:strRef>
              <c:f>'Ano 20'!$K$72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20'!$M$72</c:f>
              <c:numCache>
                <c:formatCode>#,##0_ ;\-#,##0\ 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1A-43C1-85C4-45E6C632BB3F}"/>
            </c:ext>
          </c:extLst>
        </c:ser>
        <c:ser>
          <c:idx val="4"/>
          <c:order val="4"/>
          <c:tx>
            <c:strRef>
              <c:f>'Ano 20'!$K$73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1A-43C1-85C4-45E6C632BB3F}"/>
            </c:ext>
          </c:extLst>
        </c:ser>
        <c:ser>
          <c:idx val="5"/>
          <c:order val="5"/>
          <c:tx>
            <c:strRef>
              <c:f>'Ano 20'!$K$74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61A-43C1-85C4-45E6C632BB3F}"/>
            </c:ext>
          </c:extLst>
        </c:ser>
        <c:ser>
          <c:idx val="6"/>
          <c:order val="6"/>
          <c:tx>
            <c:strRef>
              <c:f>'Ano 20'!$K$75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61A-43C1-85C4-45E6C632BB3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7696"/>
        <c:axId val="-439768112"/>
      </c:barChart>
      <c:valAx>
        <c:axId val="-439768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7696"/>
        <c:crosses val="autoZero"/>
        <c:crossBetween val="between"/>
        <c:majorUnit val="1"/>
      </c:valAx>
      <c:catAx>
        <c:axId val="-43978769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681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0-45F6-A025-D274B6427AA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0-45F6-A025-D274B6427AA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50-45F6-A025-D274B6427AA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50-45F6-A025-D274B6427AA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50-45F6-A025-D274B6427AA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50-45F6-A025-D274B6427AA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50-45F6-A025-D274B6427AA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87152"/>
        <c:axId val="-439789328"/>
      </c:barChart>
      <c:valAx>
        <c:axId val="-439789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7152"/>
        <c:crosses val="autoZero"/>
        <c:crossBetween val="between"/>
        <c:majorUnit val="1"/>
      </c:valAx>
      <c:catAx>
        <c:axId val="-43978715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9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4E-423B-9D92-62510059E48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4E-423B-9D92-62510059E48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4E-423B-9D92-62510059E48F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4E-423B-9D92-62510059E48F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4E-423B-9D92-62510059E48F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4E-423B-9D92-62510059E48F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4E-423B-9D92-62510059E4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69200"/>
        <c:axId val="-439786608"/>
      </c:barChart>
      <c:valAx>
        <c:axId val="-439786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69200"/>
        <c:crosses val="autoZero"/>
        <c:crossBetween val="between"/>
        <c:majorUnit val="1"/>
      </c:valAx>
      <c:catAx>
        <c:axId val="-43976920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866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3D-420E-B53A-B695A8E3A8EF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3D-420E-B53A-B695A8E3A8EF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3D-420E-B53A-B695A8E3A8EF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3D-420E-B53A-B695A8E3A8EF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3D-420E-B53A-B695A8E3A8EF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3D-420E-B53A-B695A8E3A8EF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3D-420E-B53A-B695A8E3A8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9767568"/>
        <c:axId val="-439768656"/>
      </c:barChart>
      <c:valAx>
        <c:axId val="-439768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67568"/>
        <c:crosses val="autoZero"/>
        <c:crossBetween val="between"/>
        <c:majorUnit val="1"/>
      </c:valAx>
      <c:catAx>
        <c:axId val="-43976756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9768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30'!$K$69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30'!$M$69</c:f>
              <c:numCache>
                <c:formatCode>#,##0_ ;\-#,##0\ 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B-410E-BA85-8FB4681232BF}"/>
            </c:ext>
          </c:extLst>
        </c:ser>
        <c:ser>
          <c:idx val="1"/>
          <c:order val="1"/>
          <c:tx>
            <c:strRef>
              <c:f>'Ano 30'!$K$70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30'!$M$70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B-410E-BA85-8FB4681232BF}"/>
            </c:ext>
          </c:extLst>
        </c:ser>
        <c:ser>
          <c:idx val="2"/>
          <c:order val="2"/>
          <c:tx>
            <c:strRef>
              <c:f>'Ano 30'!$K$71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30'!$M$71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B-410E-BA85-8FB4681232BF}"/>
            </c:ext>
          </c:extLst>
        </c:ser>
        <c:ser>
          <c:idx val="3"/>
          <c:order val="3"/>
          <c:tx>
            <c:strRef>
              <c:f>'Ano 30'!$K$72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30'!$M$72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B-410E-BA85-8FB4681232BF}"/>
            </c:ext>
          </c:extLst>
        </c:ser>
        <c:ser>
          <c:idx val="4"/>
          <c:order val="4"/>
          <c:tx>
            <c:strRef>
              <c:f>'Ano 30'!$K$73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30'!$M$73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EB-410E-BA85-8FB4681232BF}"/>
            </c:ext>
          </c:extLst>
        </c:ser>
        <c:ser>
          <c:idx val="5"/>
          <c:order val="5"/>
          <c:tx>
            <c:strRef>
              <c:f>'Ano 30'!$K$74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30'!$M$74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EB-410E-BA85-8FB4681232BF}"/>
            </c:ext>
          </c:extLst>
        </c:ser>
        <c:ser>
          <c:idx val="6"/>
          <c:order val="6"/>
          <c:tx>
            <c:strRef>
              <c:f>'Ano 30'!$K$75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30'!$M$75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EB-410E-BA85-8FB4681232B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13632"/>
        <c:axId val="-431321248"/>
      </c:barChart>
      <c:valAx>
        <c:axId val="-431321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3632"/>
        <c:crosses val="autoZero"/>
        <c:crossBetween val="between"/>
        <c:majorUnit val="1"/>
      </c:valAx>
      <c:catAx>
        <c:axId val="-43131363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212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0-45F6-A025-D274B6427AA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0-45F6-A025-D274B6427AA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50-45F6-A025-D274B6427AA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50-45F6-A025-D274B6427AA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50-45F6-A025-D274B6427AA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50-45F6-A025-D274B6427AA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50-45F6-A025-D274B6427AA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6560"/>
        <c:axId val="-431307104"/>
      </c:barChart>
      <c:valAx>
        <c:axId val="-431307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6560"/>
        <c:crosses val="autoZero"/>
        <c:crossBetween val="between"/>
        <c:majorUnit val="1"/>
      </c:valAx>
      <c:catAx>
        <c:axId val="-43130656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71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4E-423B-9D92-62510059E48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4E-423B-9D92-62510059E48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4E-423B-9D92-62510059E48F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4E-423B-9D92-62510059E48F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4E-423B-9D92-62510059E48F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4E-423B-9D92-62510059E48F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4E-423B-9D92-62510059E4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294592"/>
        <c:axId val="-431308736"/>
      </c:barChart>
      <c:valAx>
        <c:axId val="-43130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4592"/>
        <c:crosses val="autoZero"/>
        <c:crossBetween val="between"/>
        <c:majorUnit val="1"/>
      </c:valAx>
      <c:catAx>
        <c:axId val="-43129459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8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3D-420E-B53A-B695A8E3A8EF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3D-420E-B53A-B695A8E3A8EF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3D-420E-B53A-B695A8E3A8EF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3D-420E-B53A-B695A8E3A8EF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3D-420E-B53A-B695A8E3A8EF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3D-420E-B53A-B695A8E3A8EF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3D-420E-B53A-B695A8E3A8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13088"/>
        <c:axId val="-431314176"/>
      </c:barChart>
      <c:valAx>
        <c:axId val="-431314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3088"/>
        <c:crosses val="autoZero"/>
        <c:crossBetween val="between"/>
        <c:majorUnit val="1"/>
      </c:valAx>
      <c:catAx>
        <c:axId val="-43131308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41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31'!$K$69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31'!$M$69</c:f>
              <c:numCache>
                <c:formatCode>#,##0_ ;\-#,##0\ 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B-410E-BA85-8FB4681232BF}"/>
            </c:ext>
          </c:extLst>
        </c:ser>
        <c:ser>
          <c:idx val="1"/>
          <c:order val="1"/>
          <c:tx>
            <c:strRef>
              <c:f>'Ano 31'!$K$70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31'!$M$70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B-410E-BA85-8FB4681232BF}"/>
            </c:ext>
          </c:extLst>
        </c:ser>
        <c:ser>
          <c:idx val="2"/>
          <c:order val="2"/>
          <c:tx>
            <c:strRef>
              <c:f>'Ano 31'!$K$71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B-410E-BA85-8FB4681232BF}"/>
            </c:ext>
          </c:extLst>
        </c:ser>
        <c:ser>
          <c:idx val="3"/>
          <c:order val="3"/>
          <c:tx>
            <c:strRef>
              <c:f>'Ano 31'!$K$72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31'!$M$72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B-410E-BA85-8FB4681232BF}"/>
            </c:ext>
          </c:extLst>
        </c:ser>
        <c:ser>
          <c:idx val="4"/>
          <c:order val="4"/>
          <c:tx>
            <c:strRef>
              <c:f>'Ano 31'!$K$73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31'!$M$73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EB-410E-BA85-8FB4681232BF}"/>
            </c:ext>
          </c:extLst>
        </c:ser>
        <c:ser>
          <c:idx val="5"/>
          <c:order val="5"/>
          <c:tx>
            <c:strRef>
              <c:f>'Ano 31'!$K$74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EB-410E-BA85-8FB4681232BF}"/>
            </c:ext>
          </c:extLst>
        </c:ser>
        <c:ser>
          <c:idx val="6"/>
          <c:order val="6"/>
          <c:tx>
            <c:strRef>
              <c:f>'Ano 31'!$K$75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EB-410E-BA85-8FB4681232B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8192"/>
        <c:axId val="-431311456"/>
      </c:barChart>
      <c:valAx>
        <c:axId val="-431311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8192"/>
        <c:crosses val="autoZero"/>
        <c:crossBetween val="between"/>
        <c:majorUnit val="1"/>
      </c:valAx>
      <c:catAx>
        <c:axId val="-43130819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1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0-45F6-A025-D274B6427AA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0-45F6-A025-D274B6427AA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50-45F6-A025-D274B6427AA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50-45F6-A025-D274B6427AA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50-45F6-A025-D274B6427AA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50-45F6-A025-D274B6427AA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50-45F6-A025-D274B6427AA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25056"/>
        <c:axId val="-431302752"/>
      </c:barChart>
      <c:valAx>
        <c:axId val="-431302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25056"/>
        <c:crosses val="autoZero"/>
        <c:crossBetween val="between"/>
        <c:majorUnit val="1"/>
      </c:valAx>
      <c:catAx>
        <c:axId val="-43132505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27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4E-423B-9D92-62510059E48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4E-423B-9D92-62510059E48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4E-423B-9D92-62510059E48F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4E-423B-9D92-62510059E48F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4E-423B-9D92-62510059E48F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4E-423B-9D92-62510059E48F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4E-423B-9D92-62510059E4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15264"/>
        <c:axId val="-431323968"/>
      </c:barChart>
      <c:valAx>
        <c:axId val="-431323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5264"/>
        <c:crosses val="autoZero"/>
        <c:crossBetween val="between"/>
        <c:majorUnit val="1"/>
      </c:valAx>
      <c:catAx>
        <c:axId val="-43131526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23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3D-420E-B53A-B695A8E3A8EF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3D-420E-B53A-B695A8E3A8EF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3D-420E-B53A-B695A8E3A8EF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3D-420E-B53A-B695A8E3A8EF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3D-420E-B53A-B695A8E3A8EF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3D-420E-B53A-B695A8E3A8EF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3D-420E-B53A-B695A8E3A8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0032"/>
        <c:axId val="-431314720"/>
      </c:barChart>
      <c:valAx>
        <c:axId val="-431314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0032"/>
        <c:crosses val="autoZero"/>
        <c:crossBetween val="between"/>
        <c:majorUnit val="1"/>
      </c:valAx>
      <c:catAx>
        <c:axId val="-43130003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47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32'!$K$69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32'!$M$69</c:f>
              <c:numCache>
                <c:formatCode>#,##0_ ;\-#,##0\ 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B-410E-BA85-8FB4681232BF}"/>
            </c:ext>
          </c:extLst>
        </c:ser>
        <c:ser>
          <c:idx val="1"/>
          <c:order val="1"/>
          <c:tx>
            <c:strRef>
              <c:f>'Ano 32'!$K$70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32'!$M$70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B-410E-BA85-8FB4681232BF}"/>
            </c:ext>
          </c:extLst>
        </c:ser>
        <c:ser>
          <c:idx val="2"/>
          <c:order val="2"/>
          <c:tx>
            <c:strRef>
              <c:f>'Ano 32'!$K$71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B-410E-BA85-8FB4681232BF}"/>
            </c:ext>
          </c:extLst>
        </c:ser>
        <c:ser>
          <c:idx val="3"/>
          <c:order val="3"/>
          <c:tx>
            <c:strRef>
              <c:f>'Ano 32'!$K$72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32'!$M$72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B-410E-BA85-8FB4681232BF}"/>
            </c:ext>
          </c:extLst>
        </c:ser>
        <c:ser>
          <c:idx val="4"/>
          <c:order val="4"/>
          <c:tx>
            <c:strRef>
              <c:f>'Ano 32'!$K$73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32'!$M$73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EB-410E-BA85-8FB4681232BF}"/>
            </c:ext>
          </c:extLst>
        </c:ser>
        <c:ser>
          <c:idx val="5"/>
          <c:order val="5"/>
          <c:tx>
            <c:strRef>
              <c:f>'Ano 32'!$K$74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32'!$M$74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EB-410E-BA85-8FB4681232BF}"/>
            </c:ext>
          </c:extLst>
        </c:ser>
        <c:ser>
          <c:idx val="6"/>
          <c:order val="6"/>
          <c:tx>
            <c:strRef>
              <c:f>'Ano 32'!$K$75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32'!$M$75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EB-410E-BA85-8FB4681232B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1120"/>
        <c:axId val="-431309280"/>
      </c:barChart>
      <c:valAx>
        <c:axId val="-43130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1120"/>
        <c:crosses val="autoZero"/>
        <c:crossBetween val="between"/>
        <c:majorUnit val="1"/>
      </c:valAx>
      <c:catAx>
        <c:axId val="-43130112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92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0-45F6-A025-D274B6427AA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0-45F6-A025-D274B6427AA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50-45F6-A025-D274B6427AA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50-45F6-A025-D274B6427AA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50-45F6-A025-D274B6427AA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50-45F6-A025-D274B6427AA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50-45F6-A025-D274B6427AA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298944"/>
        <c:axId val="-431299488"/>
      </c:barChart>
      <c:valAx>
        <c:axId val="-431299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8944"/>
        <c:crosses val="autoZero"/>
        <c:crossBetween val="between"/>
        <c:majorUnit val="1"/>
      </c:valAx>
      <c:catAx>
        <c:axId val="-43129894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94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4E-423B-9D92-62510059E48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4E-423B-9D92-62510059E48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4E-423B-9D92-62510059E48F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4E-423B-9D92-62510059E48F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4E-423B-9D92-62510059E48F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4E-423B-9D92-62510059E48F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4E-423B-9D92-62510059E4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9824"/>
        <c:axId val="-431298400"/>
      </c:barChart>
      <c:valAx>
        <c:axId val="-431298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9824"/>
        <c:crosses val="autoZero"/>
        <c:crossBetween val="between"/>
        <c:majorUnit val="1"/>
      </c:valAx>
      <c:catAx>
        <c:axId val="-43130982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84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3D-420E-B53A-B695A8E3A8EF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3D-420E-B53A-B695A8E3A8EF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3D-420E-B53A-B695A8E3A8EF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3D-420E-B53A-B695A8E3A8EF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3D-420E-B53A-B695A8E3A8EF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3D-420E-B53A-B695A8E3A8EF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3D-420E-B53A-B695A8E3A8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292960"/>
        <c:axId val="-431307648"/>
      </c:barChart>
      <c:valAx>
        <c:axId val="-431307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2960"/>
        <c:crosses val="autoZero"/>
        <c:crossBetween val="between"/>
        <c:majorUnit val="1"/>
      </c:valAx>
      <c:catAx>
        <c:axId val="-431292960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7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33'!$K$69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33'!$M$69</c:f>
              <c:numCache>
                <c:formatCode>#,##0_ ;\-#,##0\ 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B-410E-BA85-8FB4681232BF}"/>
            </c:ext>
          </c:extLst>
        </c:ser>
        <c:ser>
          <c:idx val="1"/>
          <c:order val="1"/>
          <c:tx>
            <c:strRef>
              <c:f>'Ano 33'!$K$70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33'!$M$70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B-410E-BA85-8FB4681232BF}"/>
            </c:ext>
          </c:extLst>
        </c:ser>
        <c:ser>
          <c:idx val="2"/>
          <c:order val="2"/>
          <c:tx>
            <c:strRef>
              <c:f>'Ano 33'!$K$71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33'!$M$71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B-410E-BA85-8FB4681232BF}"/>
            </c:ext>
          </c:extLst>
        </c:ser>
        <c:ser>
          <c:idx val="3"/>
          <c:order val="3"/>
          <c:tx>
            <c:strRef>
              <c:f>'Ano 33'!$K$72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33'!$M$72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B-410E-BA85-8FB4681232BF}"/>
            </c:ext>
          </c:extLst>
        </c:ser>
        <c:ser>
          <c:idx val="4"/>
          <c:order val="4"/>
          <c:tx>
            <c:strRef>
              <c:f>'Ano 33'!$K$73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33'!$M$73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EB-410E-BA85-8FB4681232BF}"/>
            </c:ext>
          </c:extLst>
        </c:ser>
        <c:ser>
          <c:idx val="5"/>
          <c:order val="5"/>
          <c:tx>
            <c:strRef>
              <c:f>'Ano 33'!$K$74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EB-410E-BA85-8FB4681232BF}"/>
            </c:ext>
          </c:extLst>
        </c:ser>
        <c:ser>
          <c:idx val="6"/>
          <c:order val="6"/>
          <c:tx>
            <c:strRef>
              <c:f>'Ano 33'!$K$75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EB-410E-BA85-8FB4681232B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18528"/>
        <c:axId val="-431306016"/>
      </c:barChart>
      <c:valAx>
        <c:axId val="-431306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8528"/>
        <c:crosses val="autoZero"/>
        <c:crossBetween val="between"/>
        <c:majorUnit val="1"/>
      </c:valAx>
      <c:catAx>
        <c:axId val="-43131852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60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0-45F6-A025-D274B6427AA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0-45F6-A025-D274B6427AA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50-45F6-A025-D274B6427AA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50-45F6-A025-D274B6427AA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50-45F6-A025-D274B6427AA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50-45F6-A025-D274B6427AA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50-45F6-A025-D274B6427AA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5472"/>
        <c:axId val="-431297312"/>
      </c:barChart>
      <c:valAx>
        <c:axId val="-43129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5472"/>
        <c:crosses val="autoZero"/>
        <c:crossBetween val="between"/>
        <c:majorUnit val="1"/>
      </c:valAx>
      <c:catAx>
        <c:axId val="-43130547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73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4E-423B-9D92-62510059E48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4E-423B-9D92-62510059E48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4E-423B-9D92-62510059E48F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4E-423B-9D92-62510059E48F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4E-423B-9D92-62510059E48F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4E-423B-9D92-62510059E48F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4E-423B-9D92-62510059E4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12544"/>
        <c:axId val="-431300576"/>
      </c:barChart>
      <c:valAx>
        <c:axId val="-43130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2544"/>
        <c:crosses val="autoZero"/>
        <c:crossBetween val="between"/>
        <c:majorUnit val="1"/>
      </c:valAx>
      <c:catAx>
        <c:axId val="-43131254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05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3D-420E-B53A-B695A8E3A8EF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3D-420E-B53A-B695A8E3A8EF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3D-420E-B53A-B695A8E3A8EF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3D-420E-B53A-B695A8E3A8EF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3D-420E-B53A-B695A8E3A8EF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3D-420E-B53A-B695A8E3A8EF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3D-420E-B53A-B695A8E3A8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10912"/>
        <c:axId val="-431304384"/>
      </c:barChart>
      <c:valAx>
        <c:axId val="-431304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0912"/>
        <c:crosses val="autoZero"/>
        <c:crossBetween val="between"/>
        <c:majorUnit val="1"/>
      </c:valAx>
      <c:catAx>
        <c:axId val="-431310912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43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34'!$K$69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34'!$M$69</c:f>
              <c:numCache>
                <c:formatCode>#,##0_ ;\-#,##0\ 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B-410E-BA85-8FB4681232BF}"/>
            </c:ext>
          </c:extLst>
        </c:ser>
        <c:ser>
          <c:idx val="1"/>
          <c:order val="1"/>
          <c:tx>
            <c:strRef>
              <c:f>'Ano 34'!$K$70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34'!$M$70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B-410E-BA85-8FB4681232BF}"/>
            </c:ext>
          </c:extLst>
        </c:ser>
        <c:ser>
          <c:idx val="2"/>
          <c:order val="2"/>
          <c:tx>
            <c:strRef>
              <c:f>'Ano 34'!$K$71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34'!$M$71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B-410E-BA85-8FB4681232BF}"/>
            </c:ext>
          </c:extLst>
        </c:ser>
        <c:ser>
          <c:idx val="3"/>
          <c:order val="3"/>
          <c:tx>
            <c:strRef>
              <c:f>'Ano 34'!$K$72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34'!$M$72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B-410E-BA85-8FB4681232BF}"/>
            </c:ext>
          </c:extLst>
        </c:ser>
        <c:ser>
          <c:idx val="4"/>
          <c:order val="4"/>
          <c:tx>
            <c:strRef>
              <c:f>'Ano 34'!$K$73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34'!$M$73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EB-410E-BA85-8FB4681232BF}"/>
            </c:ext>
          </c:extLst>
        </c:ser>
        <c:ser>
          <c:idx val="5"/>
          <c:order val="5"/>
          <c:tx>
            <c:strRef>
              <c:f>'Ano 34'!$K$74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34'!$M$74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EB-410E-BA85-8FB4681232BF}"/>
            </c:ext>
          </c:extLst>
        </c:ser>
        <c:ser>
          <c:idx val="6"/>
          <c:order val="6"/>
          <c:tx>
            <c:strRef>
              <c:f>'Ano 34'!$K$75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34'!$M$75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EB-410E-BA85-8FB4681232B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4928"/>
        <c:axId val="-431297856"/>
      </c:barChart>
      <c:valAx>
        <c:axId val="-431297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4928"/>
        <c:crosses val="autoZero"/>
        <c:crossBetween val="between"/>
        <c:majorUnit val="1"/>
      </c:valAx>
      <c:catAx>
        <c:axId val="-43130492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78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0-45F6-A025-D274B6427AAC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0-45F6-A025-D274B6427AAC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50-45F6-A025-D274B6427AAC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50-45F6-A025-D274B6427AAC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50-45F6-A025-D274B6427AAC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50-45F6-A025-D274B6427AAC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50-45F6-A025-D274B6427AA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15808"/>
        <c:axId val="-431302208"/>
      </c:barChart>
      <c:valAx>
        <c:axId val="-431302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15808"/>
        <c:crosses val="autoZero"/>
        <c:crossBetween val="between"/>
        <c:majorUnit val="1"/>
      </c:valAx>
      <c:catAx>
        <c:axId val="-43131580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22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2'!$K$69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2'!$M$69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4E-423B-9D92-62510059E48F}"/>
            </c:ext>
          </c:extLst>
        </c:ser>
        <c:ser>
          <c:idx val="1"/>
          <c:order val="1"/>
          <c:tx>
            <c:strRef>
              <c:f>'Ano 2'!$K$70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2'!$M$70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4E-423B-9D92-62510059E48F}"/>
            </c:ext>
          </c:extLst>
        </c:ser>
        <c:ser>
          <c:idx val="2"/>
          <c:order val="2"/>
          <c:tx>
            <c:strRef>
              <c:f>'Ano 2'!$K$71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2'!$M$71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4E-423B-9D92-62510059E48F}"/>
            </c:ext>
          </c:extLst>
        </c:ser>
        <c:ser>
          <c:idx val="3"/>
          <c:order val="3"/>
          <c:tx>
            <c:strRef>
              <c:f>'Ano 3'!$K$72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4E-423B-9D92-62510059E48F}"/>
            </c:ext>
          </c:extLst>
        </c:ser>
        <c:ser>
          <c:idx val="4"/>
          <c:order val="4"/>
          <c:tx>
            <c:strRef>
              <c:f>'Ano 4'!$K$73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4'!$M$73</c:f>
              <c:numCache>
                <c:formatCode>#,##0_ ;\-#,##0\ 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4E-423B-9D92-62510059E48F}"/>
            </c:ext>
          </c:extLst>
        </c:ser>
        <c:ser>
          <c:idx val="5"/>
          <c:order val="5"/>
          <c:tx>
            <c:strRef>
              <c:f>'Ano 3'!$K$74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4E-423B-9D92-62510059E48F}"/>
            </c:ext>
          </c:extLst>
        </c:ser>
        <c:ser>
          <c:idx val="6"/>
          <c:order val="6"/>
          <c:tx>
            <c:strRef>
              <c:f>'Ano 3'!$K$75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B4E-423B-9D92-62510059E4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03296"/>
        <c:axId val="-431303840"/>
      </c:barChart>
      <c:valAx>
        <c:axId val="-431303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3296"/>
        <c:crosses val="autoZero"/>
        <c:crossBetween val="between"/>
        <c:majorUnit val="1"/>
      </c:valAx>
      <c:catAx>
        <c:axId val="-431303296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3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1'!$K$69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1'!$M$69</c:f>
              <c:numCache>
                <c:formatCode>#,##0_ ;\-#,##0\ 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3D-420E-B53A-B695A8E3A8EF}"/>
            </c:ext>
          </c:extLst>
        </c:ser>
        <c:ser>
          <c:idx val="1"/>
          <c:order val="1"/>
          <c:tx>
            <c:strRef>
              <c:f>'Ano 1'!$K$70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1'!$M$70</c:f>
              <c:numCache>
                <c:formatCode>#,##0_ ;\-#,##0\ 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3D-420E-B53A-B695A8E3A8EF}"/>
            </c:ext>
          </c:extLst>
        </c:ser>
        <c:ser>
          <c:idx val="2"/>
          <c:order val="2"/>
          <c:tx>
            <c:strRef>
              <c:f>'Ano 1'!$K$71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3D-420E-B53A-B695A8E3A8EF}"/>
            </c:ext>
          </c:extLst>
        </c:ser>
        <c:ser>
          <c:idx val="3"/>
          <c:order val="3"/>
          <c:tx>
            <c:strRef>
              <c:f>'Ano 1'!$K$72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1'!$M$72</c:f>
              <c:numCache>
                <c:formatCode>#,##0_ ;\-#,##0\ 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3D-420E-B53A-B695A8E3A8EF}"/>
            </c:ext>
          </c:extLst>
        </c:ser>
        <c:ser>
          <c:idx val="4"/>
          <c:order val="4"/>
          <c:tx>
            <c:strRef>
              <c:f>'Ano 1'!$K$73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1'!$M$73</c:f>
              <c:numCache>
                <c:formatCode>#,##0_ ;\-#,##0\ 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3D-420E-B53A-B695A8E3A8EF}"/>
            </c:ext>
          </c:extLst>
        </c:ser>
        <c:ser>
          <c:idx val="5"/>
          <c:order val="5"/>
          <c:tx>
            <c:strRef>
              <c:f>'Ano 1'!$K$74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3D-420E-B53A-B695A8E3A8EF}"/>
            </c:ext>
          </c:extLst>
        </c:ser>
        <c:ser>
          <c:idx val="6"/>
          <c:order val="6"/>
          <c:tx>
            <c:strRef>
              <c:f>'Ano 1'!$K$75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1'!$M$75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3D-420E-B53A-B695A8E3A8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320704"/>
        <c:axId val="-431294048"/>
      </c:barChart>
      <c:valAx>
        <c:axId val="-4312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20704"/>
        <c:crosses val="autoZero"/>
        <c:crossBetween val="between"/>
        <c:majorUnit val="1"/>
      </c:valAx>
      <c:catAx>
        <c:axId val="-431320704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40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Funcionários por área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'Ano 35'!$K$69</c:f>
              <c:strCache>
                <c:ptCount val="1"/>
                <c:pt idx="0">
                  <c:v>Nº de Func. da Manutenção A+E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'Ano 35'!$M$69</c:f>
              <c:numCache>
                <c:formatCode>#,##0_ ;\-#,##0\ </c:formatCode>
                <c:ptCount val="1"/>
                <c:pt idx="0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B-410E-BA85-8FB4681232BF}"/>
            </c:ext>
          </c:extLst>
        </c:ser>
        <c:ser>
          <c:idx val="1"/>
          <c:order val="1"/>
          <c:tx>
            <c:strRef>
              <c:f>'Ano 35'!$K$70</c:f>
              <c:strCache>
                <c:ptCount val="1"/>
                <c:pt idx="0">
                  <c:v>Nº de Func. da Operação A+E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35'!$M$70</c:f>
              <c:numCache>
                <c:formatCode>#,##0_ ;\-#,##0\ 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B-410E-BA85-8FB4681232BF}"/>
            </c:ext>
          </c:extLst>
        </c:ser>
        <c:ser>
          <c:idx val="2"/>
          <c:order val="2"/>
          <c:tx>
            <c:strRef>
              <c:f>'Ano 35'!$K$71</c:f>
              <c:strCache>
                <c:ptCount val="1"/>
                <c:pt idx="0">
                  <c:v>Nº de Func. do Planejamento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35'!$M$71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B-410E-BA85-8FB4681232BF}"/>
            </c:ext>
          </c:extLst>
        </c:ser>
        <c:ser>
          <c:idx val="3"/>
          <c:order val="3"/>
          <c:tx>
            <c:strRef>
              <c:f>'Ano 35'!$K$72</c:f>
              <c:strCache>
                <c:ptCount val="1"/>
                <c:pt idx="0">
                  <c:v>Nº de Func. do Comercial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35'!$M$72</c:f>
              <c:numCache>
                <c:formatCode>#,##0_ ;\-#,##0\ 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B-410E-BA85-8FB4681232BF}"/>
            </c:ext>
          </c:extLst>
        </c:ser>
        <c:ser>
          <c:idx val="4"/>
          <c:order val="4"/>
          <c:tx>
            <c:strRef>
              <c:f>'Ano 35'!$K$73</c:f>
              <c:strCache>
                <c:ptCount val="1"/>
                <c:pt idx="0">
                  <c:v>Nº de Func. da Administração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35'!$M$73</c:f>
              <c:numCache>
                <c:formatCode>#,##0_ ;\-#,##0\ 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EB-410E-BA85-8FB4681232BF}"/>
            </c:ext>
          </c:extLst>
        </c:ser>
        <c:ser>
          <c:idx val="5"/>
          <c:order val="5"/>
          <c:tx>
            <c:strRef>
              <c:f>'Ano 35'!$K$74</c:f>
              <c:strCache>
                <c:ptCount val="1"/>
                <c:pt idx="0">
                  <c:v>Nº de Func Cargos Tático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35'!$M$74</c:f>
              <c:numCache>
                <c:formatCode>#,##0_ ;\-#,##0\ 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EB-410E-BA85-8FB4681232BF}"/>
            </c:ext>
          </c:extLst>
        </c:ser>
        <c:ser>
          <c:idx val="6"/>
          <c:order val="6"/>
          <c:tx>
            <c:strRef>
              <c:f>'Ano 35'!$K$75</c:f>
              <c:strCache>
                <c:ptCount val="1"/>
                <c:pt idx="0">
                  <c:v>Nº de Func Cargos Executivo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'Ano 1'!$L$76</c:f>
              <c:numCache>
                <c:formatCode>General</c:formatCode>
                <c:ptCount val="1"/>
              </c:numCache>
            </c:numRef>
          </c:cat>
          <c:val>
            <c:numRef>
              <c:f>'Ano 35'!$M$75</c:f>
              <c:numCache>
                <c:formatCode>#,##0_ ;\-#,##0\ 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EB-410E-BA85-8FB4681232B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431296768"/>
        <c:axId val="-431301664"/>
      </c:barChart>
      <c:valAx>
        <c:axId val="-431301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;\-#,##0\ 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296768"/>
        <c:crosses val="autoZero"/>
        <c:crossBetween val="between"/>
        <c:majorUnit val="1"/>
      </c:valAx>
      <c:catAx>
        <c:axId val="-431296768"/>
        <c:scaling>
          <c:orientation val="minMax"/>
        </c:scaling>
        <c:delete val="0"/>
        <c:axPos val="l"/>
        <c:numFmt formatCode="General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-431301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2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3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3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3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4" Type="http://schemas.openxmlformats.org/officeDocument/2006/relationships/chart" Target="../charts/chart20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4" Type="http://schemas.openxmlformats.org/officeDocument/2006/relationships/chart" Target="../charts/chart2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chart" Target="../charts/chart28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4" Type="http://schemas.openxmlformats.org/officeDocument/2006/relationships/chart" Target="../charts/chart32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chart" Target="../charts/chart33.xml"/><Relationship Id="rId4" Type="http://schemas.openxmlformats.org/officeDocument/2006/relationships/chart" Target="../charts/chart36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9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4" Type="http://schemas.openxmlformats.org/officeDocument/2006/relationships/chart" Target="../charts/chart40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4" Type="http://schemas.openxmlformats.org/officeDocument/2006/relationships/chart" Target="../charts/chart44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7.xml"/><Relationship Id="rId2" Type="http://schemas.openxmlformats.org/officeDocument/2006/relationships/chart" Target="../charts/chart46.xml"/><Relationship Id="rId1" Type="http://schemas.openxmlformats.org/officeDocument/2006/relationships/chart" Target="../charts/chart45.xml"/><Relationship Id="rId4" Type="http://schemas.openxmlformats.org/officeDocument/2006/relationships/chart" Target="../charts/chart48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1.xml"/><Relationship Id="rId2" Type="http://schemas.openxmlformats.org/officeDocument/2006/relationships/chart" Target="../charts/chart50.xml"/><Relationship Id="rId1" Type="http://schemas.openxmlformats.org/officeDocument/2006/relationships/chart" Target="../charts/chart49.xml"/><Relationship Id="rId4" Type="http://schemas.openxmlformats.org/officeDocument/2006/relationships/chart" Target="../charts/chart52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5.xml"/><Relationship Id="rId2" Type="http://schemas.openxmlformats.org/officeDocument/2006/relationships/chart" Target="../charts/chart54.xml"/><Relationship Id="rId1" Type="http://schemas.openxmlformats.org/officeDocument/2006/relationships/chart" Target="../charts/chart53.xml"/><Relationship Id="rId4" Type="http://schemas.openxmlformats.org/officeDocument/2006/relationships/chart" Target="../charts/chart5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chart" Target="../charts/chart58.xml"/><Relationship Id="rId1" Type="http://schemas.openxmlformats.org/officeDocument/2006/relationships/chart" Target="../charts/chart57.xml"/><Relationship Id="rId4" Type="http://schemas.openxmlformats.org/officeDocument/2006/relationships/chart" Target="../charts/chart60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3.xml"/><Relationship Id="rId2" Type="http://schemas.openxmlformats.org/officeDocument/2006/relationships/chart" Target="../charts/chart62.xml"/><Relationship Id="rId1" Type="http://schemas.openxmlformats.org/officeDocument/2006/relationships/chart" Target="../charts/chart61.xml"/><Relationship Id="rId4" Type="http://schemas.openxmlformats.org/officeDocument/2006/relationships/chart" Target="../charts/chart64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7.xml"/><Relationship Id="rId2" Type="http://schemas.openxmlformats.org/officeDocument/2006/relationships/chart" Target="../charts/chart66.xml"/><Relationship Id="rId1" Type="http://schemas.openxmlformats.org/officeDocument/2006/relationships/chart" Target="../charts/chart65.xml"/><Relationship Id="rId4" Type="http://schemas.openxmlformats.org/officeDocument/2006/relationships/chart" Target="../charts/chart68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chart" Target="../charts/chart70.xml"/><Relationship Id="rId1" Type="http://schemas.openxmlformats.org/officeDocument/2006/relationships/chart" Target="../charts/chart69.xml"/><Relationship Id="rId4" Type="http://schemas.openxmlformats.org/officeDocument/2006/relationships/chart" Target="../charts/chart72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5.xml"/><Relationship Id="rId2" Type="http://schemas.openxmlformats.org/officeDocument/2006/relationships/chart" Target="../charts/chart74.xml"/><Relationship Id="rId1" Type="http://schemas.openxmlformats.org/officeDocument/2006/relationships/chart" Target="../charts/chart73.xml"/><Relationship Id="rId4" Type="http://schemas.openxmlformats.org/officeDocument/2006/relationships/chart" Target="../charts/chart76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4" Type="http://schemas.openxmlformats.org/officeDocument/2006/relationships/chart" Target="../charts/chart80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3.xml"/><Relationship Id="rId2" Type="http://schemas.openxmlformats.org/officeDocument/2006/relationships/chart" Target="../charts/chart82.xml"/><Relationship Id="rId1" Type="http://schemas.openxmlformats.org/officeDocument/2006/relationships/chart" Target="../charts/chart81.xml"/><Relationship Id="rId4" Type="http://schemas.openxmlformats.org/officeDocument/2006/relationships/chart" Target="../charts/chart84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7.xml"/><Relationship Id="rId2" Type="http://schemas.openxmlformats.org/officeDocument/2006/relationships/chart" Target="../charts/chart86.xml"/><Relationship Id="rId1" Type="http://schemas.openxmlformats.org/officeDocument/2006/relationships/chart" Target="../charts/chart85.xml"/><Relationship Id="rId4" Type="http://schemas.openxmlformats.org/officeDocument/2006/relationships/chart" Target="../charts/chart88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1.xml"/><Relationship Id="rId2" Type="http://schemas.openxmlformats.org/officeDocument/2006/relationships/chart" Target="../charts/chart90.xml"/><Relationship Id="rId1" Type="http://schemas.openxmlformats.org/officeDocument/2006/relationships/chart" Target="../charts/chart89.xml"/><Relationship Id="rId4" Type="http://schemas.openxmlformats.org/officeDocument/2006/relationships/chart" Target="../charts/chart92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5.xml"/><Relationship Id="rId2" Type="http://schemas.openxmlformats.org/officeDocument/2006/relationships/chart" Target="../charts/chart94.xml"/><Relationship Id="rId1" Type="http://schemas.openxmlformats.org/officeDocument/2006/relationships/chart" Target="../charts/chart93.xml"/><Relationship Id="rId4" Type="http://schemas.openxmlformats.org/officeDocument/2006/relationships/chart" Target="../charts/chart96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9.xml"/><Relationship Id="rId2" Type="http://schemas.openxmlformats.org/officeDocument/2006/relationships/chart" Target="../charts/chart98.xml"/><Relationship Id="rId1" Type="http://schemas.openxmlformats.org/officeDocument/2006/relationships/chart" Target="../charts/chart97.xml"/><Relationship Id="rId4" Type="http://schemas.openxmlformats.org/officeDocument/2006/relationships/chart" Target="../charts/chart100.xml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3.xml"/><Relationship Id="rId2" Type="http://schemas.openxmlformats.org/officeDocument/2006/relationships/chart" Target="../charts/chart102.xml"/><Relationship Id="rId1" Type="http://schemas.openxmlformats.org/officeDocument/2006/relationships/chart" Target="../charts/chart101.xml"/><Relationship Id="rId4" Type="http://schemas.openxmlformats.org/officeDocument/2006/relationships/chart" Target="../charts/chart104.xml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7.xml"/><Relationship Id="rId2" Type="http://schemas.openxmlformats.org/officeDocument/2006/relationships/chart" Target="../charts/chart106.xml"/><Relationship Id="rId1" Type="http://schemas.openxmlformats.org/officeDocument/2006/relationships/chart" Target="../charts/chart105.xml"/><Relationship Id="rId4" Type="http://schemas.openxmlformats.org/officeDocument/2006/relationships/chart" Target="../charts/chart108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1.xml"/><Relationship Id="rId2" Type="http://schemas.openxmlformats.org/officeDocument/2006/relationships/chart" Target="../charts/chart110.xml"/><Relationship Id="rId1" Type="http://schemas.openxmlformats.org/officeDocument/2006/relationships/chart" Target="../charts/chart109.xml"/><Relationship Id="rId4" Type="http://schemas.openxmlformats.org/officeDocument/2006/relationships/chart" Target="../charts/chart112.xml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5.xml"/><Relationship Id="rId2" Type="http://schemas.openxmlformats.org/officeDocument/2006/relationships/chart" Target="../charts/chart114.xml"/><Relationship Id="rId1" Type="http://schemas.openxmlformats.org/officeDocument/2006/relationships/chart" Target="../charts/chart113.xml"/><Relationship Id="rId4" Type="http://schemas.openxmlformats.org/officeDocument/2006/relationships/chart" Target="../charts/chart116.xml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9.xml"/><Relationship Id="rId2" Type="http://schemas.openxmlformats.org/officeDocument/2006/relationships/chart" Target="../charts/chart118.xml"/><Relationship Id="rId1" Type="http://schemas.openxmlformats.org/officeDocument/2006/relationships/chart" Target="../charts/chart117.xml"/><Relationship Id="rId4" Type="http://schemas.openxmlformats.org/officeDocument/2006/relationships/chart" Target="../charts/chart120.xml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3.xml"/><Relationship Id="rId2" Type="http://schemas.openxmlformats.org/officeDocument/2006/relationships/chart" Target="../charts/chart122.xml"/><Relationship Id="rId1" Type="http://schemas.openxmlformats.org/officeDocument/2006/relationships/chart" Target="../charts/chart121.xml"/><Relationship Id="rId4" Type="http://schemas.openxmlformats.org/officeDocument/2006/relationships/chart" Target="../charts/chart124.xml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7.xml"/><Relationship Id="rId2" Type="http://schemas.openxmlformats.org/officeDocument/2006/relationships/chart" Target="../charts/chart126.xml"/><Relationship Id="rId1" Type="http://schemas.openxmlformats.org/officeDocument/2006/relationships/chart" Target="../charts/chart125.xml"/><Relationship Id="rId4" Type="http://schemas.openxmlformats.org/officeDocument/2006/relationships/chart" Target="../charts/chart128.xml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1.xml"/><Relationship Id="rId2" Type="http://schemas.openxmlformats.org/officeDocument/2006/relationships/chart" Target="../charts/chart130.xml"/><Relationship Id="rId1" Type="http://schemas.openxmlformats.org/officeDocument/2006/relationships/chart" Target="../charts/chart129.xml"/><Relationship Id="rId4" Type="http://schemas.openxmlformats.org/officeDocument/2006/relationships/chart" Target="../charts/chart13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92076</xdr:colOff>
      <xdr:row>99</xdr:row>
      <xdr:rowOff>35451</xdr:rowOff>
    </xdr:from>
    <xdr:to>
      <xdr:col>6</xdr:col>
      <xdr:colOff>624418</xdr:colOff>
      <xdr:row>119</xdr:row>
      <xdr:rowOff>155570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52</xdr:row>
      <xdr:rowOff>180975</xdr:rowOff>
    </xdr:from>
    <xdr:to>
      <xdr:col>9</xdr:col>
      <xdr:colOff>246530</xdr:colOff>
      <xdr:row>75</xdr:row>
      <xdr:rowOff>66675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358588</xdr:colOff>
      <xdr:row>52</xdr:row>
      <xdr:rowOff>188258</xdr:rowOff>
    </xdr:from>
    <xdr:to>
      <xdr:col>20</xdr:col>
      <xdr:colOff>188327</xdr:colOff>
      <xdr:row>75</xdr:row>
      <xdr:rowOff>45383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313266</xdr:colOff>
      <xdr:row>99</xdr:row>
      <xdr:rowOff>10581</xdr:rowOff>
    </xdr:from>
    <xdr:to>
      <xdr:col>21</xdr:col>
      <xdr:colOff>437092</xdr:colOff>
      <xdr:row>119</xdr:row>
      <xdr:rowOff>130700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</xdr:colOff>
      <xdr:row>76</xdr:row>
      <xdr:rowOff>0</xdr:rowOff>
    </xdr:from>
    <xdr:to>
      <xdr:col>9</xdr:col>
      <xdr:colOff>235324</xdr:colOff>
      <xdr:row>97</xdr:row>
      <xdr:rowOff>171450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15876</xdr:colOff>
      <xdr:row>99</xdr:row>
      <xdr:rowOff>10581</xdr:rowOff>
    </xdr:from>
    <xdr:to>
      <xdr:col>14</xdr:col>
      <xdr:colOff>179916</xdr:colOff>
      <xdr:row>119</xdr:row>
      <xdr:rowOff>143933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391584</xdr:colOff>
      <xdr:row>76</xdr:row>
      <xdr:rowOff>0</xdr:rowOff>
    </xdr:from>
    <xdr:to>
      <xdr:col>20</xdr:col>
      <xdr:colOff>267073</xdr:colOff>
      <xdr:row>97</xdr:row>
      <xdr:rowOff>171450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A64DC26-9770-43E8-B315-A23489E216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141</xdr:row>
      <xdr:rowOff>23812</xdr:rowOff>
    </xdr:from>
    <xdr:to>
      <xdr:col>31</xdr:col>
      <xdr:colOff>100489</xdr:colOff>
      <xdr:row>151</xdr:row>
      <xdr:rowOff>187642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2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41633" y="16859250"/>
          <a:ext cx="4352925" cy="2066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151</xdr:row>
      <xdr:rowOff>142875</xdr:rowOff>
    </xdr:from>
    <xdr:to>
      <xdr:col>31</xdr:col>
      <xdr:colOff>89534</xdr:colOff>
      <xdr:row>173</xdr:row>
      <xdr:rowOff>71438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48813" y="30730031"/>
          <a:ext cx="4336255" cy="4119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56</xdr:row>
      <xdr:rowOff>35717</xdr:rowOff>
    </xdr:from>
    <xdr:to>
      <xdr:col>24</xdr:col>
      <xdr:colOff>11907</xdr:colOff>
      <xdr:row>78</xdr:row>
      <xdr:rowOff>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H99"/>
  <sheetViews>
    <sheetView topLeftCell="AV1" zoomScaleNormal="100" workbookViewId="0">
      <selection activeCell="AV1" sqref="AV1"/>
    </sheetView>
  </sheetViews>
  <sheetFormatPr defaultRowHeight="15" x14ac:dyDescent="0.25"/>
  <cols>
    <col min="2" max="2" width="50.28515625" customWidth="1"/>
    <col min="3" max="3" width="8" customWidth="1"/>
    <col min="4" max="38" width="11.7109375" customWidth="1"/>
    <col min="41" max="41" width="8.7109375" customWidth="1"/>
    <col min="42" max="42" width="41.42578125" customWidth="1"/>
    <col min="43" max="43" width="15.7109375" customWidth="1"/>
    <col min="44" max="44" width="8.7109375" customWidth="1"/>
    <col min="45" max="45" width="42.42578125" customWidth="1"/>
    <col min="46" max="46" width="15.7109375" customWidth="1"/>
    <col min="47" max="47" width="8.7109375" customWidth="1"/>
    <col min="48" max="48" width="42.42578125" customWidth="1"/>
    <col min="49" max="49" width="15.7109375" customWidth="1"/>
    <col min="52" max="52" width="8.7109375" customWidth="1"/>
    <col min="53" max="53" width="41.42578125" customWidth="1"/>
    <col min="54" max="54" width="15.7109375" customWidth="1"/>
    <col min="55" max="55" width="8.7109375" customWidth="1"/>
    <col min="56" max="56" width="42.42578125" customWidth="1"/>
    <col min="57" max="57" width="15.7109375" customWidth="1"/>
    <col min="58" max="58" width="8.7109375" customWidth="1"/>
    <col min="59" max="59" width="42.42578125" customWidth="1"/>
    <col min="60" max="60" width="15.7109375" customWidth="1"/>
  </cols>
  <sheetData>
    <row r="1" spans="2:60" ht="26.25" thickBot="1" x14ac:dyDescent="0.3">
      <c r="B1" s="149" t="s">
        <v>203</v>
      </c>
      <c r="C1" s="155"/>
      <c r="BA1" s="253" t="s">
        <v>284</v>
      </c>
      <c r="BB1" s="253"/>
      <c r="BC1" s="253"/>
      <c r="BD1" s="252">
        <v>1.0973999999999999</v>
      </c>
    </row>
    <row r="3" spans="2:60" x14ac:dyDescent="0.25">
      <c r="B3" s="255" t="s">
        <v>185</v>
      </c>
      <c r="C3" s="255" t="s">
        <v>186</v>
      </c>
      <c r="D3" s="256" t="s">
        <v>189</v>
      </c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41"/>
      <c r="AI3" s="241"/>
      <c r="AJ3" s="241"/>
      <c r="AK3" s="241"/>
      <c r="AL3" s="241"/>
      <c r="AO3" s="254" t="s">
        <v>141</v>
      </c>
      <c r="AP3" s="254"/>
      <c r="AQ3" s="254"/>
      <c r="AR3" s="254"/>
      <c r="AS3" s="254"/>
      <c r="AT3" s="254"/>
      <c r="AU3" s="254"/>
      <c r="AV3" s="254"/>
      <c r="AW3" s="254"/>
      <c r="AZ3" s="254" t="s">
        <v>141</v>
      </c>
      <c r="BA3" s="254"/>
      <c r="BB3" s="254"/>
      <c r="BC3" s="254"/>
      <c r="BD3" s="254"/>
      <c r="BE3" s="254"/>
      <c r="BF3" s="254"/>
      <c r="BG3" s="254"/>
      <c r="BH3" s="254"/>
    </row>
    <row r="4" spans="2:60" x14ac:dyDescent="0.25">
      <c r="B4" s="255"/>
      <c r="C4" s="255"/>
      <c r="D4" s="158">
        <v>1</v>
      </c>
      <c r="E4" s="158">
        <v>2</v>
      </c>
      <c r="F4" s="158">
        <v>3</v>
      </c>
      <c r="G4" s="158">
        <v>4</v>
      </c>
      <c r="H4" s="158">
        <v>5</v>
      </c>
      <c r="I4" s="158">
        <v>6</v>
      </c>
      <c r="J4" s="158">
        <v>7</v>
      </c>
      <c r="K4" s="158">
        <v>8</v>
      </c>
      <c r="L4" s="158">
        <v>9</v>
      </c>
      <c r="M4" s="158">
        <v>10</v>
      </c>
      <c r="N4" s="158">
        <v>11</v>
      </c>
      <c r="O4" s="158">
        <v>12</v>
      </c>
      <c r="P4" s="158">
        <v>13</v>
      </c>
      <c r="Q4" s="158">
        <v>14</v>
      </c>
      <c r="R4" s="158">
        <v>15</v>
      </c>
      <c r="S4" s="158">
        <v>16</v>
      </c>
      <c r="T4" s="158">
        <v>17</v>
      </c>
      <c r="U4" s="158">
        <v>18</v>
      </c>
      <c r="V4" s="158">
        <v>19</v>
      </c>
      <c r="W4" s="158">
        <v>20</v>
      </c>
      <c r="X4" s="158">
        <v>21</v>
      </c>
      <c r="Y4" s="158">
        <v>22</v>
      </c>
      <c r="Z4" s="158">
        <v>23</v>
      </c>
      <c r="AA4" s="158">
        <v>24</v>
      </c>
      <c r="AB4" s="158">
        <v>25</v>
      </c>
      <c r="AC4" s="158">
        <v>26</v>
      </c>
      <c r="AD4" s="158">
        <v>27</v>
      </c>
      <c r="AE4" s="158">
        <v>28</v>
      </c>
      <c r="AF4" s="158">
        <v>29</v>
      </c>
      <c r="AG4" s="158">
        <v>30</v>
      </c>
      <c r="AH4" s="158">
        <v>31</v>
      </c>
      <c r="AI4" s="158">
        <v>32</v>
      </c>
      <c r="AJ4" s="158">
        <v>33</v>
      </c>
      <c r="AK4" s="158">
        <v>34</v>
      </c>
      <c r="AL4" s="158">
        <v>35</v>
      </c>
      <c r="AO4" s="254" t="s">
        <v>0</v>
      </c>
      <c r="AP4" s="254"/>
      <c r="AQ4" s="254"/>
      <c r="AR4" s="254"/>
      <c r="AS4" s="254"/>
      <c r="AT4" s="254" t="s">
        <v>3</v>
      </c>
      <c r="AU4" s="254"/>
      <c r="AV4" s="254"/>
      <c r="AW4" s="254"/>
      <c r="AZ4" s="254" t="s">
        <v>0</v>
      </c>
      <c r="BA4" s="254"/>
      <c r="BB4" s="254"/>
      <c r="BC4" s="254"/>
      <c r="BD4" s="254"/>
      <c r="BE4" s="254" t="s">
        <v>3</v>
      </c>
      <c r="BF4" s="254"/>
      <c r="BG4" s="254"/>
      <c r="BH4" s="254"/>
    </row>
    <row r="5" spans="2:60" x14ac:dyDescent="0.25">
      <c r="B5" s="150" t="s">
        <v>174</v>
      </c>
      <c r="C5" s="151"/>
      <c r="D5" s="218">
        <v>1</v>
      </c>
      <c r="AO5" s="159"/>
      <c r="AP5" s="159"/>
      <c r="AQ5" s="159"/>
      <c r="AR5" s="159"/>
      <c r="AS5" s="159"/>
      <c r="AT5" s="159"/>
      <c r="AU5" s="159"/>
      <c r="AV5" s="159"/>
      <c r="AW5" s="159"/>
      <c r="AZ5" s="159"/>
      <c r="BA5" s="159"/>
      <c r="BB5" s="159"/>
      <c r="BC5" s="159"/>
      <c r="BD5" s="159"/>
      <c r="BE5" s="159"/>
      <c r="BF5" s="159"/>
      <c r="BG5" s="159"/>
      <c r="BH5" s="159"/>
    </row>
    <row r="6" spans="2:60" x14ac:dyDescent="0.25">
      <c r="B6" s="150" t="s">
        <v>172</v>
      </c>
      <c r="C6" s="151" t="s">
        <v>190</v>
      </c>
      <c r="D6" s="246">
        <v>43795</v>
      </c>
      <c r="E6" s="246">
        <v>44815</v>
      </c>
      <c r="F6" s="246">
        <v>45828</v>
      </c>
      <c r="G6" s="246">
        <v>46834</v>
      </c>
      <c r="H6" s="246">
        <v>47641</v>
      </c>
      <c r="I6" s="246">
        <v>48147</v>
      </c>
      <c r="J6" s="246">
        <v>48635</v>
      </c>
      <c r="K6" s="246">
        <v>49105</v>
      </c>
      <c r="L6" s="246">
        <v>49558</v>
      </c>
      <c r="M6" s="246">
        <v>49993</v>
      </c>
      <c r="N6" s="246">
        <v>50412</v>
      </c>
      <c r="O6" s="246">
        <v>50814</v>
      </c>
      <c r="P6" s="246">
        <v>51200</v>
      </c>
      <c r="Q6" s="246">
        <v>51570</v>
      </c>
      <c r="R6" s="246">
        <v>51925</v>
      </c>
      <c r="S6" s="246">
        <v>52265</v>
      </c>
      <c r="T6" s="246">
        <v>52590</v>
      </c>
      <c r="U6" s="246">
        <v>52902</v>
      </c>
      <c r="V6" s="246">
        <v>53200</v>
      </c>
      <c r="W6" s="246">
        <v>53485</v>
      </c>
      <c r="X6" s="246">
        <v>53758</v>
      </c>
      <c r="Y6" s="246">
        <v>54018</v>
      </c>
      <c r="Z6" s="246">
        <v>54266</v>
      </c>
      <c r="AA6" s="246">
        <v>54503</v>
      </c>
      <c r="AB6" s="246">
        <v>54730</v>
      </c>
      <c r="AC6" s="246">
        <v>54945</v>
      </c>
      <c r="AD6" s="246">
        <v>55151</v>
      </c>
      <c r="AE6" s="246">
        <v>55347</v>
      </c>
      <c r="AF6" s="246">
        <v>55534</v>
      </c>
      <c r="AG6" s="246">
        <v>55712</v>
      </c>
      <c r="AH6" s="246">
        <v>55881</v>
      </c>
      <c r="AI6" s="246">
        <v>56042</v>
      </c>
      <c r="AJ6" s="246">
        <v>56196</v>
      </c>
      <c r="AK6" s="246">
        <v>56342</v>
      </c>
      <c r="AL6" s="246">
        <v>56480</v>
      </c>
      <c r="AO6" s="159" t="s">
        <v>148</v>
      </c>
      <c r="AP6" s="159" t="s">
        <v>1</v>
      </c>
      <c r="AQ6" s="159" t="s">
        <v>45</v>
      </c>
      <c r="AR6" s="159" t="s">
        <v>148</v>
      </c>
      <c r="AS6" s="159" t="s">
        <v>1</v>
      </c>
      <c r="AT6" s="159" t="s">
        <v>45</v>
      </c>
      <c r="AU6" s="159" t="s">
        <v>148</v>
      </c>
      <c r="AV6" s="159" t="s">
        <v>1</v>
      </c>
      <c r="AW6" s="159" t="s">
        <v>45</v>
      </c>
      <c r="AZ6" s="159" t="s">
        <v>148</v>
      </c>
      <c r="BA6" s="159" t="s">
        <v>1</v>
      </c>
      <c r="BB6" s="159" t="s">
        <v>45</v>
      </c>
      <c r="BC6" s="159" t="s">
        <v>148</v>
      </c>
      <c r="BD6" s="159" t="s">
        <v>1</v>
      </c>
      <c r="BE6" s="159" t="s">
        <v>45</v>
      </c>
      <c r="BF6" s="159" t="s">
        <v>148</v>
      </c>
      <c r="BG6" s="159" t="s">
        <v>1</v>
      </c>
      <c r="BH6" s="159" t="s">
        <v>45</v>
      </c>
    </row>
    <row r="7" spans="2:60" x14ac:dyDescent="0.25">
      <c r="B7" s="150" t="s">
        <v>173</v>
      </c>
      <c r="C7" s="151" t="s">
        <v>190</v>
      </c>
      <c r="D7" s="246">
        <v>0</v>
      </c>
      <c r="E7" s="246">
        <v>9202</v>
      </c>
      <c r="F7" s="246">
        <v>13972</v>
      </c>
      <c r="G7" s="246">
        <v>18847</v>
      </c>
      <c r="H7" s="246">
        <v>23821</v>
      </c>
      <c r="I7" s="246">
        <v>28888</v>
      </c>
      <c r="J7" s="246">
        <v>34045</v>
      </c>
      <c r="K7" s="246">
        <v>39284</v>
      </c>
      <c r="L7" s="246">
        <v>44602</v>
      </c>
      <c r="M7" s="246">
        <v>45994</v>
      </c>
      <c r="N7" s="246">
        <v>47387</v>
      </c>
      <c r="O7" s="246">
        <v>48781</v>
      </c>
      <c r="P7" s="246">
        <v>50176</v>
      </c>
      <c r="Q7" s="246">
        <v>51570</v>
      </c>
      <c r="R7" s="246">
        <v>51925</v>
      </c>
      <c r="S7" s="246">
        <v>52265</v>
      </c>
      <c r="T7" s="246">
        <v>52590</v>
      </c>
      <c r="U7" s="246">
        <v>52902</v>
      </c>
      <c r="V7" s="246">
        <v>53200</v>
      </c>
      <c r="W7" s="246">
        <v>53485</v>
      </c>
      <c r="X7" s="246">
        <v>53758</v>
      </c>
      <c r="Y7" s="246">
        <v>54018</v>
      </c>
      <c r="Z7" s="246">
        <v>54266</v>
      </c>
      <c r="AA7" s="246">
        <v>54503</v>
      </c>
      <c r="AB7" s="246">
        <v>54730</v>
      </c>
      <c r="AC7" s="246">
        <v>54945</v>
      </c>
      <c r="AD7" s="246">
        <v>55151</v>
      </c>
      <c r="AE7" s="246">
        <v>55347</v>
      </c>
      <c r="AF7" s="246">
        <v>55534</v>
      </c>
      <c r="AG7" s="246">
        <v>55712</v>
      </c>
      <c r="AH7" s="246">
        <v>55881</v>
      </c>
      <c r="AI7" s="246">
        <v>56042</v>
      </c>
      <c r="AJ7" s="246">
        <v>56196</v>
      </c>
      <c r="AK7" s="246">
        <v>56342</v>
      </c>
      <c r="AL7" s="246">
        <v>56480</v>
      </c>
      <c r="AO7" s="160" t="s">
        <v>149</v>
      </c>
      <c r="AP7" s="161" t="s">
        <v>102</v>
      </c>
      <c r="AQ7" s="219">
        <f>TRUNC(BB7*$BD$1,2)</f>
        <v>2280.2800000000002</v>
      </c>
      <c r="AR7" s="160" t="s">
        <v>149</v>
      </c>
      <c r="AS7" s="161" t="s">
        <v>144</v>
      </c>
      <c r="AT7" s="219">
        <f>TRUNC(BE7*$BD$1,2)</f>
        <v>3797.55</v>
      </c>
      <c r="AU7" s="160" t="s">
        <v>153</v>
      </c>
      <c r="AV7" s="161" t="s">
        <v>91</v>
      </c>
      <c r="AW7" s="219">
        <f>TRUNC(BH7*$BD$1,2)</f>
        <v>1876.82</v>
      </c>
      <c r="AZ7" s="160" t="s">
        <v>149</v>
      </c>
      <c r="BA7" s="161" t="s">
        <v>102</v>
      </c>
      <c r="BB7" s="162">
        <v>2077.9</v>
      </c>
      <c r="BC7" s="160" t="s">
        <v>149</v>
      </c>
      <c r="BD7" s="161" t="s">
        <v>144</v>
      </c>
      <c r="BE7" s="162">
        <v>3460.5</v>
      </c>
      <c r="BF7" s="160" t="s">
        <v>153</v>
      </c>
      <c r="BG7" s="161" t="s">
        <v>91</v>
      </c>
      <c r="BH7" s="162">
        <v>1710.25</v>
      </c>
    </row>
    <row r="8" spans="2:60" x14ac:dyDescent="0.25">
      <c r="B8" s="150" t="s">
        <v>10</v>
      </c>
      <c r="C8" s="151"/>
      <c r="D8" s="243">
        <v>21.21</v>
      </c>
      <c r="E8" s="243">
        <v>21.21</v>
      </c>
      <c r="F8" s="243">
        <v>21.21</v>
      </c>
      <c r="G8" s="243">
        <v>21.21</v>
      </c>
      <c r="H8" s="243">
        <v>21.210000000000004</v>
      </c>
      <c r="I8" s="243">
        <v>21.210000000000004</v>
      </c>
      <c r="J8" s="243">
        <v>21.210000000000004</v>
      </c>
      <c r="K8" s="243">
        <v>21.210000000000004</v>
      </c>
      <c r="L8" s="243">
        <v>21.210000000000004</v>
      </c>
      <c r="M8" s="243">
        <v>21.210000000000004</v>
      </c>
      <c r="N8" s="243">
        <v>21.210000000000004</v>
      </c>
      <c r="O8" s="243">
        <v>21.210000000000008</v>
      </c>
      <c r="P8" s="243">
        <v>21.210000000000004</v>
      </c>
      <c r="Q8" s="243">
        <v>21.210000000000008</v>
      </c>
      <c r="R8" s="243">
        <v>21.210000000000004</v>
      </c>
      <c r="S8" s="243">
        <v>21.210000000000004</v>
      </c>
      <c r="T8" s="243">
        <v>21.210000000000008</v>
      </c>
      <c r="U8" s="243">
        <v>21.210000000000004</v>
      </c>
      <c r="V8" s="243">
        <v>21.210000000000008</v>
      </c>
      <c r="W8" s="243">
        <v>21.210000000000008</v>
      </c>
      <c r="X8" s="243">
        <v>21.210000000000008</v>
      </c>
      <c r="Y8" s="243">
        <v>21.210000000000004</v>
      </c>
      <c r="Z8" s="243">
        <v>21.210000000000008</v>
      </c>
      <c r="AA8" s="243">
        <v>21.210000000000008</v>
      </c>
      <c r="AB8" s="243">
        <v>21.210000000000008</v>
      </c>
      <c r="AC8" s="243">
        <v>21.210000000000004</v>
      </c>
      <c r="AD8" s="243">
        <v>21.210000000000004</v>
      </c>
      <c r="AE8" s="243">
        <v>21.210000000000004</v>
      </c>
      <c r="AF8" s="243">
        <v>21.210000000000004</v>
      </c>
      <c r="AG8" s="243">
        <v>21.210000000000004</v>
      </c>
      <c r="AH8" s="243">
        <v>21.210000000000004</v>
      </c>
      <c r="AI8" s="243">
        <v>21.210000000000004</v>
      </c>
      <c r="AJ8" s="243">
        <v>21.210000000000004</v>
      </c>
      <c r="AK8" s="243">
        <v>21.210000000000004</v>
      </c>
      <c r="AL8" s="243">
        <v>21.210000000000004</v>
      </c>
      <c r="AO8" s="160"/>
      <c r="AP8" s="161"/>
      <c r="AQ8" s="219"/>
      <c r="AR8" s="160"/>
      <c r="AS8" s="161"/>
      <c r="AT8" s="219"/>
      <c r="AU8" s="160"/>
      <c r="AV8" s="161"/>
      <c r="AW8" s="219"/>
      <c r="AZ8" s="160"/>
      <c r="BA8" s="161"/>
      <c r="BB8" s="162"/>
      <c r="BC8" s="160"/>
      <c r="BD8" s="161"/>
      <c r="BE8" s="162"/>
      <c r="BF8" s="160"/>
      <c r="BG8" s="161"/>
      <c r="BH8" s="162"/>
    </row>
    <row r="9" spans="2:60" x14ac:dyDescent="0.25">
      <c r="B9" s="150" t="s">
        <v>10</v>
      </c>
      <c r="C9" s="151"/>
      <c r="D9" s="243">
        <v>0</v>
      </c>
      <c r="E9" s="243">
        <v>21.21</v>
      </c>
      <c r="F9" s="243">
        <v>21.21</v>
      </c>
      <c r="G9" s="243">
        <v>21.21</v>
      </c>
      <c r="H9" s="243">
        <v>21.21</v>
      </c>
      <c r="I9" s="243">
        <v>21.21</v>
      </c>
      <c r="J9" s="243">
        <v>21.21</v>
      </c>
      <c r="K9" s="243">
        <v>21.21</v>
      </c>
      <c r="L9" s="243">
        <v>21.21</v>
      </c>
      <c r="M9" s="243">
        <v>21.209999999999997</v>
      </c>
      <c r="N9" s="243">
        <v>21.21</v>
      </c>
      <c r="O9" s="243">
        <v>21.21</v>
      </c>
      <c r="P9" s="243">
        <v>21.21</v>
      </c>
      <c r="Q9" s="243">
        <v>21.21</v>
      </c>
      <c r="R9" s="243">
        <v>21.21</v>
      </c>
      <c r="S9" s="243">
        <v>21.21</v>
      </c>
      <c r="T9" s="243">
        <v>21.21</v>
      </c>
      <c r="U9" s="243">
        <v>21.21</v>
      </c>
      <c r="V9" s="243">
        <v>21.21</v>
      </c>
      <c r="W9" s="243">
        <v>21.21</v>
      </c>
      <c r="X9" s="243">
        <v>21.21</v>
      </c>
      <c r="Y9" s="243">
        <v>21.21</v>
      </c>
      <c r="Z9" s="243">
        <v>21.21</v>
      </c>
      <c r="AA9" s="243">
        <v>21.21</v>
      </c>
      <c r="AB9" s="243">
        <v>21.21</v>
      </c>
      <c r="AC9" s="243">
        <v>21.21</v>
      </c>
      <c r="AD9" s="243">
        <v>21.21</v>
      </c>
      <c r="AE9" s="243">
        <v>21.21</v>
      </c>
      <c r="AF9" s="243">
        <v>21.21</v>
      </c>
      <c r="AG9" s="243">
        <v>21.21</v>
      </c>
      <c r="AH9" s="243">
        <v>21.21</v>
      </c>
      <c r="AI9" s="243">
        <v>21.21</v>
      </c>
      <c r="AJ9" s="243">
        <v>21.21</v>
      </c>
      <c r="AK9" s="243">
        <v>21.21</v>
      </c>
      <c r="AL9" s="243">
        <v>21.21</v>
      </c>
      <c r="AO9" s="160"/>
      <c r="AP9" s="161"/>
      <c r="AQ9" s="219"/>
      <c r="AR9" s="160"/>
      <c r="AS9" s="161"/>
      <c r="AT9" s="219"/>
      <c r="AU9" s="160"/>
      <c r="AV9" s="161"/>
      <c r="AW9" s="219"/>
      <c r="AZ9" s="160"/>
      <c r="BA9" s="161"/>
      <c r="BB9" s="162"/>
      <c r="BC9" s="160"/>
      <c r="BD9" s="161"/>
      <c r="BE9" s="162"/>
      <c r="BF9" s="160"/>
      <c r="BG9" s="161"/>
      <c r="BH9" s="162"/>
    </row>
    <row r="10" spans="2:60" x14ac:dyDescent="0.25">
      <c r="B10" s="150" t="s">
        <v>60</v>
      </c>
      <c r="C10" s="151"/>
      <c r="D10" s="244">
        <v>1.3229241030279939</v>
      </c>
      <c r="E10" s="244">
        <v>1.3230225950530889</v>
      </c>
      <c r="F10" s="244">
        <v>1.3231378463343237</v>
      </c>
      <c r="G10" s="244">
        <v>1.3232460182939054</v>
      </c>
      <c r="H10" s="244">
        <v>1.3233498723694128</v>
      </c>
      <c r="I10" s="244">
        <v>1.3234659831121187</v>
      </c>
      <c r="J10" s="244">
        <v>1.3235788108651088</v>
      </c>
      <c r="K10" s="244">
        <v>1.3236845126015813</v>
      </c>
      <c r="L10" s="244">
        <v>1.3237837758895576</v>
      </c>
      <c r="M10" s="244">
        <v>1.3238782880055873</v>
      </c>
      <c r="N10" s="244">
        <v>1.3239686018156127</v>
      </c>
      <c r="O10" s="244">
        <v>1.3240526317763555</v>
      </c>
      <c r="P10" s="244">
        <v>1.324149238538044</v>
      </c>
      <c r="Q10" s="244">
        <v>1.3242232589975516</v>
      </c>
      <c r="R10" s="244">
        <v>1.3243266675096268</v>
      </c>
      <c r="S10" s="244">
        <v>1.324407295299312</v>
      </c>
      <c r="T10" s="244">
        <v>1.324466665396214</v>
      </c>
      <c r="U10" s="244">
        <v>1.3245383278622753</v>
      </c>
      <c r="V10" s="244">
        <v>1.3246224258863193</v>
      </c>
      <c r="W10" s="244">
        <v>1.324700422664701</v>
      </c>
      <c r="X10" s="244">
        <v>1.3247743826535872</v>
      </c>
      <c r="Y10" s="244">
        <v>1.3248293100509081</v>
      </c>
      <c r="Z10" s="244">
        <v>1.3248953866944169</v>
      </c>
      <c r="AA10" s="244">
        <v>1.3249574591958111</v>
      </c>
      <c r="AB10" s="244">
        <v>1.3250149546535646</v>
      </c>
      <c r="AC10" s="244">
        <v>1.3250856746336042</v>
      </c>
      <c r="AD10" s="244">
        <v>1.3251363925948305</v>
      </c>
      <c r="AE10" s="244">
        <v>1.3251687278007684</v>
      </c>
      <c r="AF10" s="244">
        <v>1.3252273037502742</v>
      </c>
      <c r="AG10" s="244">
        <v>1.3252837492931022</v>
      </c>
      <c r="AH10" s="244">
        <v>1.3253221010566296</v>
      </c>
      <c r="AI10" s="244">
        <v>1.3253704205413326</v>
      </c>
      <c r="AJ10" s="244">
        <v>1.3254182260960861</v>
      </c>
      <c r="AK10" s="244">
        <v>1.3254475003782522</v>
      </c>
      <c r="AL10" s="244">
        <v>1.3254894793005445</v>
      </c>
      <c r="AO10" s="160"/>
      <c r="AP10" s="161"/>
      <c r="AQ10" s="219"/>
      <c r="AR10" s="160"/>
      <c r="AS10" s="161"/>
      <c r="AT10" s="219"/>
      <c r="AU10" s="160"/>
      <c r="AV10" s="161"/>
      <c r="AW10" s="219"/>
      <c r="AZ10" s="160"/>
      <c r="BA10" s="161"/>
      <c r="BB10" s="162"/>
      <c r="BC10" s="160"/>
      <c r="BD10" s="161"/>
      <c r="BE10" s="162"/>
      <c r="BF10" s="160"/>
      <c r="BG10" s="161"/>
      <c r="BH10" s="162"/>
    </row>
    <row r="11" spans="2:60" x14ac:dyDescent="0.25">
      <c r="B11" s="150" t="s">
        <v>61</v>
      </c>
      <c r="C11" s="151"/>
      <c r="D11" s="244">
        <v>0</v>
      </c>
      <c r="E11" s="244">
        <v>1.3230225950530887</v>
      </c>
      <c r="F11" s="244">
        <v>1.3231378463343235</v>
      </c>
      <c r="G11" s="244">
        <v>1.3232460182939052</v>
      </c>
      <c r="H11" s="244">
        <v>1.3233498723694128</v>
      </c>
      <c r="I11" s="244">
        <v>1.3234659831121185</v>
      </c>
      <c r="J11" s="244">
        <v>1.3235788108651088</v>
      </c>
      <c r="K11" s="244">
        <v>1.3236845126015813</v>
      </c>
      <c r="L11" s="244">
        <v>1.3237837758895581</v>
      </c>
      <c r="M11" s="244">
        <v>1.3238782880055873</v>
      </c>
      <c r="N11" s="244">
        <v>1.3239686018156132</v>
      </c>
      <c r="O11" s="244">
        <v>1.3240526317763555</v>
      </c>
      <c r="P11" s="244">
        <v>1.324149238538044</v>
      </c>
      <c r="Q11" s="244">
        <v>1.3242232589975516</v>
      </c>
      <c r="R11" s="244">
        <v>1.3243266675096268</v>
      </c>
      <c r="S11" s="244">
        <v>1.324407295299312</v>
      </c>
      <c r="T11" s="244">
        <v>1.324466665396214</v>
      </c>
      <c r="U11" s="244">
        <v>1.3245383278622753</v>
      </c>
      <c r="V11" s="244">
        <v>1.3246224258863193</v>
      </c>
      <c r="W11" s="244">
        <v>1.324700422664701</v>
      </c>
      <c r="X11" s="244">
        <v>1.3247743826535872</v>
      </c>
      <c r="Y11" s="244">
        <v>1.3248293100509081</v>
      </c>
      <c r="Z11" s="244">
        <v>1.3248953866944169</v>
      </c>
      <c r="AA11" s="244">
        <v>1.3249574591958111</v>
      </c>
      <c r="AB11" s="244">
        <v>1.3250149546535646</v>
      </c>
      <c r="AC11" s="244">
        <v>1.3250856746336042</v>
      </c>
      <c r="AD11" s="244">
        <v>1.3251363925948305</v>
      </c>
      <c r="AE11" s="244">
        <v>1.3251687278007684</v>
      </c>
      <c r="AF11" s="244">
        <v>1.3252273037502742</v>
      </c>
      <c r="AG11" s="244">
        <v>1.3252837492931022</v>
      </c>
      <c r="AH11" s="244">
        <v>1.3253221010566296</v>
      </c>
      <c r="AI11" s="244">
        <v>1.3253704205413326</v>
      </c>
      <c r="AJ11" s="244">
        <v>1.3254182260960861</v>
      </c>
      <c r="AK11" s="244">
        <v>1.3254475003782522</v>
      </c>
      <c r="AL11" s="244">
        <v>1.3254894793005445</v>
      </c>
      <c r="AO11" s="160"/>
      <c r="AP11" s="161"/>
      <c r="AQ11" s="219"/>
      <c r="AR11" s="160"/>
      <c r="AS11" s="161"/>
      <c r="AT11" s="219"/>
      <c r="AU11" s="160"/>
      <c r="AV11" s="161"/>
      <c r="AW11" s="219"/>
      <c r="AZ11" s="160"/>
      <c r="BA11" s="161"/>
      <c r="BB11" s="162"/>
      <c r="BC11" s="160"/>
      <c r="BD11" s="161"/>
      <c r="BE11" s="162"/>
      <c r="BF11" s="160"/>
      <c r="BG11" s="161"/>
      <c r="BH11" s="162"/>
    </row>
    <row r="12" spans="2:60" x14ac:dyDescent="0.25">
      <c r="B12" s="215" t="s">
        <v>39</v>
      </c>
      <c r="C12" s="216" t="s">
        <v>193</v>
      </c>
      <c r="D12" s="245">
        <v>0</v>
      </c>
      <c r="E12" s="245">
        <v>0.25</v>
      </c>
      <c r="F12" s="245">
        <v>0.5</v>
      </c>
      <c r="G12" s="245">
        <v>0.75</v>
      </c>
      <c r="H12" s="245">
        <v>1</v>
      </c>
      <c r="I12" s="245">
        <v>1</v>
      </c>
      <c r="J12" s="245">
        <v>1</v>
      </c>
      <c r="K12" s="245">
        <v>1</v>
      </c>
      <c r="L12" s="245">
        <v>1</v>
      </c>
      <c r="M12" s="245">
        <v>1</v>
      </c>
      <c r="N12" s="245">
        <v>1</v>
      </c>
      <c r="O12" s="245">
        <v>1</v>
      </c>
      <c r="P12" s="245">
        <v>1</v>
      </c>
      <c r="Q12" s="245">
        <v>1</v>
      </c>
      <c r="R12" s="245">
        <v>1</v>
      </c>
      <c r="S12" s="245">
        <v>1</v>
      </c>
      <c r="T12" s="245">
        <v>1</v>
      </c>
      <c r="U12" s="245">
        <v>1</v>
      </c>
      <c r="V12" s="245">
        <v>1</v>
      </c>
      <c r="W12" s="245">
        <v>1</v>
      </c>
      <c r="X12" s="245">
        <v>1</v>
      </c>
      <c r="Y12" s="245">
        <v>1</v>
      </c>
      <c r="Z12" s="245">
        <v>1</v>
      </c>
      <c r="AA12" s="245">
        <v>1</v>
      </c>
      <c r="AB12" s="245">
        <v>1</v>
      </c>
      <c r="AC12" s="245">
        <v>1</v>
      </c>
      <c r="AD12" s="245">
        <v>1</v>
      </c>
      <c r="AE12" s="245">
        <v>1</v>
      </c>
      <c r="AF12" s="245">
        <v>1</v>
      </c>
      <c r="AG12" s="245">
        <v>1</v>
      </c>
      <c r="AH12" s="245">
        <v>1</v>
      </c>
      <c r="AI12" s="245">
        <v>1</v>
      </c>
      <c r="AJ12" s="245">
        <v>1</v>
      </c>
      <c r="AK12" s="245">
        <v>1</v>
      </c>
      <c r="AL12" s="245">
        <v>1</v>
      </c>
      <c r="AO12" s="160" t="s">
        <v>149</v>
      </c>
      <c r="AP12" s="161" t="s">
        <v>107</v>
      </c>
      <c r="AQ12" s="219">
        <f>TRUNC(BB12*$BD$1,2)</f>
        <v>2454.44</v>
      </c>
      <c r="AR12" s="160" t="s">
        <v>149</v>
      </c>
      <c r="AS12" s="161" t="s">
        <v>78</v>
      </c>
      <c r="AT12" s="219">
        <f t="shared" ref="AT12:AT19" si="0">TRUNC(BE12*$BD$1,2)</f>
        <v>3685.61</v>
      </c>
      <c r="AU12" s="160" t="s">
        <v>153</v>
      </c>
      <c r="AV12" s="161" t="s">
        <v>80</v>
      </c>
      <c r="AW12" s="219">
        <f t="shared" ref="AW12:AW19" si="1">TRUNC(BH12*$BD$1,2)</f>
        <v>2681.22</v>
      </c>
      <c r="AZ12" s="160" t="s">
        <v>149</v>
      </c>
      <c r="BA12" s="161" t="s">
        <v>107</v>
      </c>
      <c r="BB12" s="162">
        <v>2236.6</v>
      </c>
      <c r="BC12" s="160" t="s">
        <v>149</v>
      </c>
      <c r="BD12" s="161" t="s">
        <v>78</v>
      </c>
      <c r="BE12" s="162">
        <v>3358.5</v>
      </c>
      <c r="BF12" s="160" t="s">
        <v>153</v>
      </c>
      <c r="BG12" s="161" t="s">
        <v>80</v>
      </c>
      <c r="BH12" s="162">
        <v>2443.25</v>
      </c>
    </row>
    <row r="13" spans="2:60" x14ac:dyDescent="0.25">
      <c r="B13" s="215" t="s">
        <v>40</v>
      </c>
      <c r="C13" s="216" t="s">
        <v>193</v>
      </c>
      <c r="D13" s="245">
        <v>0</v>
      </c>
      <c r="E13" s="245">
        <v>0.25</v>
      </c>
      <c r="F13" s="245">
        <v>0.5</v>
      </c>
      <c r="G13" s="245">
        <v>0.75</v>
      </c>
      <c r="H13" s="245">
        <v>1</v>
      </c>
      <c r="I13" s="245">
        <v>1</v>
      </c>
      <c r="J13" s="245">
        <v>1</v>
      </c>
      <c r="K13" s="245">
        <v>1</v>
      </c>
      <c r="L13" s="245">
        <v>1</v>
      </c>
      <c r="M13" s="245">
        <v>1</v>
      </c>
      <c r="N13" s="245">
        <v>1</v>
      </c>
      <c r="O13" s="245">
        <v>1</v>
      </c>
      <c r="P13" s="245">
        <v>1</v>
      </c>
      <c r="Q13" s="245">
        <v>1</v>
      </c>
      <c r="R13" s="245">
        <v>1</v>
      </c>
      <c r="S13" s="245">
        <v>1</v>
      </c>
      <c r="T13" s="245">
        <v>1</v>
      </c>
      <c r="U13" s="245">
        <v>1</v>
      </c>
      <c r="V13" s="245">
        <v>1</v>
      </c>
      <c r="W13" s="245">
        <v>1</v>
      </c>
      <c r="X13" s="245">
        <v>1</v>
      </c>
      <c r="Y13" s="245">
        <v>1</v>
      </c>
      <c r="Z13" s="245">
        <v>1</v>
      </c>
      <c r="AA13" s="245">
        <v>1</v>
      </c>
      <c r="AB13" s="245">
        <v>1</v>
      </c>
      <c r="AC13" s="245">
        <v>1</v>
      </c>
      <c r="AD13" s="245">
        <v>1</v>
      </c>
      <c r="AE13" s="245">
        <v>1</v>
      </c>
      <c r="AF13" s="245">
        <v>1</v>
      </c>
      <c r="AG13" s="245">
        <v>1</v>
      </c>
      <c r="AH13" s="245">
        <v>1</v>
      </c>
      <c r="AI13" s="245">
        <v>1</v>
      </c>
      <c r="AJ13" s="245">
        <v>1</v>
      </c>
      <c r="AK13" s="245">
        <v>1</v>
      </c>
      <c r="AL13" s="245">
        <v>1</v>
      </c>
      <c r="AO13" s="160" t="s">
        <v>149</v>
      </c>
      <c r="AP13" s="161" t="s">
        <v>108</v>
      </c>
      <c r="AQ13" s="219">
        <f t="shared" ref="AQ12:AQ19" si="2">TRUNC(BB13*$BD$1,2)</f>
        <v>2444.56</v>
      </c>
      <c r="AR13" s="160" t="s">
        <v>149</v>
      </c>
      <c r="AS13" s="161" t="s">
        <v>79</v>
      </c>
      <c r="AT13" s="219">
        <f t="shared" si="0"/>
        <v>3942.95</v>
      </c>
      <c r="AU13" s="160" t="s">
        <v>153</v>
      </c>
      <c r="AV13" s="161" t="s">
        <v>84</v>
      </c>
      <c r="AW13" s="219">
        <f t="shared" si="1"/>
        <v>4172.58</v>
      </c>
      <c r="AZ13" s="160" t="s">
        <v>149</v>
      </c>
      <c r="BA13" s="161" t="s">
        <v>108</v>
      </c>
      <c r="BB13" s="162">
        <v>2227.6000000000004</v>
      </c>
      <c r="BC13" s="160" t="s">
        <v>149</v>
      </c>
      <c r="BD13" s="161" t="s">
        <v>79</v>
      </c>
      <c r="BE13" s="162">
        <v>3593</v>
      </c>
      <c r="BF13" s="160" t="s">
        <v>153</v>
      </c>
      <c r="BG13" s="161" t="s">
        <v>84</v>
      </c>
      <c r="BH13" s="162">
        <v>3802.25</v>
      </c>
    </row>
    <row r="14" spans="2:60" x14ac:dyDescent="0.25">
      <c r="B14" s="150" t="s">
        <v>11</v>
      </c>
      <c r="C14" s="151" t="s">
        <v>194</v>
      </c>
      <c r="D14" s="246">
        <v>18054.532943578</v>
      </c>
      <c r="E14" s="246">
        <v>18656.474280955434</v>
      </c>
      <c r="F14" s="246">
        <v>19263.513031135699</v>
      </c>
      <c r="G14" s="246">
        <v>19874.06412749843</v>
      </c>
      <c r="H14" s="246">
        <v>20408.877964162944</v>
      </c>
      <c r="I14" s="246">
        <v>20818.83121718714</v>
      </c>
      <c r="J14" s="246">
        <v>21223.448012917201</v>
      </c>
      <c r="K14" s="246">
        <v>21623.30872139279</v>
      </c>
      <c r="L14" s="246">
        <v>22017.015715024689</v>
      </c>
      <c r="M14" s="246">
        <v>22403.194748111968</v>
      </c>
      <c r="N14" s="246">
        <v>22785.496120146072</v>
      </c>
      <c r="O14" s="246">
        <v>23159.595619313262</v>
      </c>
      <c r="P14" s="246">
        <v>23526.195245757965</v>
      </c>
      <c r="Q14" s="246">
        <v>23887.023717160399</v>
      </c>
      <c r="R14" s="246">
        <v>24237.83676195889</v>
      </c>
      <c r="S14" s="246">
        <v>24581.417208064111</v>
      </c>
      <c r="T14" s="246">
        <v>24917.574877135074</v>
      </c>
      <c r="U14" s="246">
        <v>25246.146296389066</v>
      </c>
      <c r="V14" s="246">
        <v>25565.99424148638</v>
      </c>
      <c r="W14" s="246">
        <v>25878.007125258897</v>
      </c>
      <c r="X14" s="246">
        <v>26180.098247944901</v>
      </c>
      <c r="Y14" s="246">
        <v>26476.204925161077</v>
      </c>
      <c r="Z14" s="246">
        <v>26762.287510105863</v>
      </c>
      <c r="AA14" s="246">
        <v>27040.328326469567</v>
      </c>
      <c r="AB14" s="246">
        <v>27309.33052825378</v>
      </c>
      <c r="AC14" s="246">
        <v>27570.31690220728</v>
      </c>
      <c r="AD14" s="246">
        <v>27822.328627899238</v>
      </c>
      <c r="AE14" s="246">
        <v>28068.424009607454</v>
      </c>
      <c r="AF14" s="246">
        <v>28303.677193231466</v>
      </c>
      <c r="AG14" s="246">
        <v>28532.176880379982</v>
      </c>
      <c r="AH14" s="246">
        <v>28752.025050658256</v>
      </c>
      <c r="AI14" s="246">
        <v>28964.335702021512</v>
      </c>
      <c r="AJ14" s="246">
        <v>29169.233617889797</v>
      </c>
      <c r="AK14" s="246">
        <v>29365.853168559057</v>
      </c>
      <c r="AL14" s="246">
        <v>29555.33715331139</v>
      </c>
      <c r="AO14" s="160" t="s">
        <v>150</v>
      </c>
      <c r="AP14" s="161" t="s">
        <v>114</v>
      </c>
      <c r="AQ14" s="219">
        <f t="shared" si="2"/>
        <v>2539.58</v>
      </c>
      <c r="AR14" s="160" t="s">
        <v>149</v>
      </c>
      <c r="AS14" s="161" t="s">
        <v>72</v>
      </c>
      <c r="AT14" s="219">
        <f t="shared" si="0"/>
        <v>4042.27</v>
      </c>
      <c r="AU14" s="160" t="s">
        <v>153</v>
      </c>
      <c r="AV14" s="161" t="s">
        <v>88</v>
      </c>
      <c r="AW14" s="219">
        <f t="shared" si="1"/>
        <v>7892.5</v>
      </c>
      <c r="AZ14" s="160" t="s">
        <v>150</v>
      </c>
      <c r="BA14" s="161" t="s">
        <v>114</v>
      </c>
      <c r="BB14" s="162">
        <v>2314.1799999999998</v>
      </c>
      <c r="BC14" s="160" t="s">
        <v>149</v>
      </c>
      <c r="BD14" s="161" t="s">
        <v>72</v>
      </c>
      <c r="BE14" s="162">
        <v>3683.5</v>
      </c>
      <c r="BF14" s="160" t="s">
        <v>153</v>
      </c>
      <c r="BG14" s="161" t="s">
        <v>88</v>
      </c>
      <c r="BH14" s="162">
        <v>7192</v>
      </c>
    </row>
    <row r="15" spans="2:60" x14ac:dyDescent="0.25">
      <c r="B15" s="150" t="s">
        <v>12</v>
      </c>
      <c r="C15" s="151" t="s">
        <v>194</v>
      </c>
      <c r="D15" s="246">
        <v>0</v>
      </c>
      <c r="E15" s="246">
        <v>3830.8982096417722</v>
      </c>
      <c r="F15" s="246">
        <v>5873.0222655901525</v>
      </c>
      <c r="G15" s="246">
        <v>7997.6113189128491</v>
      </c>
      <c r="H15" s="246">
        <v>10204.438982081472</v>
      </c>
      <c r="I15" s="246">
        <v>12491.298730312285</v>
      </c>
      <c r="J15" s="246">
        <v>14856.41360904204</v>
      </c>
      <c r="K15" s="246">
        <v>17298.646977114233</v>
      </c>
      <c r="L15" s="246">
        <v>19815.314143522224</v>
      </c>
      <c r="M15" s="246">
        <v>20610.939168263008</v>
      </c>
      <c r="N15" s="246">
        <v>21418.366352937304</v>
      </c>
      <c r="O15" s="246">
        <v>22233.211794540734</v>
      </c>
      <c r="P15" s="246">
        <v>23055.671340842808</v>
      </c>
      <c r="Q15" s="246">
        <v>23887.023717160399</v>
      </c>
      <c r="R15" s="246">
        <v>24237.83676195889</v>
      </c>
      <c r="S15" s="246">
        <v>24581.417208064111</v>
      </c>
      <c r="T15" s="246">
        <v>24917.574877135074</v>
      </c>
      <c r="U15" s="246">
        <v>25246.146296389066</v>
      </c>
      <c r="V15" s="246">
        <v>25565.99424148638</v>
      </c>
      <c r="W15" s="246">
        <v>25878.007125258897</v>
      </c>
      <c r="X15" s="246">
        <v>26180.098247944901</v>
      </c>
      <c r="Y15" s="246">
        <v>26476.204925161077</v>
      </c>
      <c r="Z15" s="246">
        <v>26762.287510105863</v>
      </c>
      <c r="AA15" s="246">
        <v>27040.328326469567</v>
      </c>
      <c r="AB15" s="246">
        <v>27309.33052825378</v>
      </c>
      <c r="AC15" s="246">
        <v>27570.31690220728</v>
      </c>
      <c r="AD15" s="246">
        <v>27822.328627899238</v>
      </c>
      <c r="AE15" s="246">
        <v>28068.424009607454</v>
      </c>
      <c r="AF15" s="246">
        <v>28303.677193231466</v>
      </c>
      <c r="AG15" s="246">
        <v>28532.176880379982</v>
      </c>
      <c r="AH15" s="246">
        <v>28752.025050658256</v>
      </c>
      <c r="AI15" s="246">
        <v>28964.335702021512</v>
      </c>
      <c r="AJ15" s="246">
        <v>29169.233617889797</v>
      </c>
      <c r="AK15" s="246">
        <v>29365.853168559057</v>
      </c>
      <c r="AL15" s="246">
        <v>29555.33715331139</v>
      </c>
      <c r="AO15" s="160" t="s">
        <v>151</v>
      </c>
      <c r="AP15" s="161" t="s">
        <v>109</v>
      </c>
      <c r="AQ15" s="219">
        <f t="shared" si="2"/>
        <v>4126.4399999999996</v>
      </c>
      <c r="AR15" s="160" t="s">
        <v>153</v>
      </c>
      <c r="AS15" s="161" t="s">
        <v>62</v>
      </c>
      <c r="AT15" s="219">
        <f t="shared" si="0"/>
        <v>4813.1899999999996</v>
      </c>
      <c r="AU15" s="160" t="s">
        <v>149</v>
      </c>
      <c r="AV15" s="161" t="s">
        <v>145</v>
      </c>
      <c r="AW15" s="219">
        <f t="shared" si="1"/>
        <v>4657.63</v>
      </c>
      <c r="AZ15" s="160" t="s">
        <v>151</v>
      </c>
      <c r="BA15" s="161" t="s">
        <v>109</v>
      </c>
      <c r="BB15" s="162">
        <v>3760.2000000000003</v>
      </c>
      <c r="BC15" s="160" t="s">
        <v>153</v>
      </c>
      <c r="BD15" s="161" t="s">
        <v>62</v>
      </c>
      <c r="BE15" s="162">
        <v>4386</v>
      </c>
      <c r="BF15" s="160" t="s">
        <v>149</v>
      </c>
      <c r="BG15" s="161" t="s">
        <v>145</v>
      </c>
      <c r="BH15" s="162">
        <v>4244.25</v>
      </c>
    </row>
    <row r="16" spans="2:60" x14ac:dyDescent="0.25">
      <c r="B16" s="150" t="s">
        <v>8</v>
      </c>
      <c r="C16" s="151" t="s">
        <v>194</v>
      </c>
      <c r="D16" s="246">
        <v>13647.44425039473</v>
      </c>
      <c r="E16" s="246">
        <v>14101.384820858522</v>
      </c>
      <c r="F16" s="246">
        <v>14558.943509623472</v>
      </c>
      <c r="G16" s="246">
        <v>15018.914358680637</v>
      </c>
      <c r="H16" s="246">
        <v>15421.87037397998</v>
      </c>
      <c r="I16" s="246">
        <v>15730.27452445744</v>
      </c>
      <c r="J16" s="246">
        <v>16034.858398967119</v>
      </c>
      <c r="K16" s="246">
        <v>16335.678051152905</v>
      </c>
      <c r="L16" s="246">
        <v>16631.863418293153</v>
      </c>
      <c r="M16" s="246">
        <v>16922.134187526706</v>
      </c>
      <c r="N16" s="246">
        <v>17209.978534797559</v>
      </c>
      <c r="O16" s="246">
        <v>17491.42752810369</v>
      </c>
      <c r="P16" s="246">
        <v>17767.008067569303</v>
      </c>
      <c r="Q16" s="246">
        <v>18038.516960684621</v>
      </c>
      <c r="R16" s="246">
        <v>18302.007621380697</v>
      </c>
      <c r="S16" s="246">
        <v>18560.296408482667</v>
      </c>
      <c r="T16" s="246">
        <v>18813.025479432843</v>
      </c>
      <c r="U16" s="246">
        <v>19060.082880698832</v>
      </c>
      <c r="V16" s="246">
        <v>19300.368861944557</v>
      </c>
      <c r="W16" s="246">
        <v>19534.98819997656</v>
      </c>
      <c r="X16" s="246">
        <v>19761.91045420547</v>
      </c>
      <c r="Y16" s="246">
        <v>19984.615923196699</v>
      </c>
      <c r="Z16" s="246">
        <v>20199.547661553224</v>
      </c>
      <c r="AA16" s="246">
        <v>20408.469574957722</v>
      </c>
      <c r="AB16" s="246">
        <v>20610.58287103938</v>
      </c>
      <c r="AC16" s="246">
        <v>20806.705771987272</v>
      </c>
      <c r="AD16" s="246">
        <v>20995.842080508257</v>
      </c>
      <c r="AE16" s="246">
        <v>21181.038498679936</v>
      </c>
      <c r="AF16" s="246">
        <v>21357.621435708657</v>
      </c>
      <c r="AG16" s="246">
        <v>21529.362447034182</v>
      </c>
      <c r="AH16" s="246">
        <v>21694.406912528382</v>
      </c>
      <c r="AI16" s="246">
        <v>21854.007596324689</v>
      </c>
      <c r="AJ16" s="246">
        <v>22007.843719348963</v>
      </c>
      <c r="AK16" s="246">
        <v>22155.464666957148</v>
      </c>
      <c r="AL16" s="246">
        <v>22297.717012343659</v>
      </c>
      <c r="AO16" s="160" t="s">
        <v>150</v>
      </c>
      <c r="AP16" s="161" t="s">
        <v>110</v>
      </c>
      <c r="AQ16" s="219">
        <f t="shared" si="2"/>
        <v>2857.51</v>
      </c>
      <c r="AR16" s="160" t="s">
        <v>149</v>
      </c>
      <c r="AS16" s="161" t="s">
        <v>71</v>
      </c>
      <c r="AT16" s="219">
        <f t="shared" si="0"/>
        <v>6713.01</v>
      </c>
      <c r="AU16" s="160" t="s">
        <v>153</v>
      </c>
      <c r="AV16" s="161" t="s">
        <v>89</v>
      </c>
      <c r="AW16" s="219">
        <f t="shared" si="1"/>
        <v>4086.16</v>
      </c>
      <c r="AZ16" s="160" t="s">
        <v>150</v>
      </c>
      <c r="BA16" s="161" t="s">
        <v>110</v>
      </c>
      <c r="BB16" s="162">
        <v>2603.9</v>
      </c>
      <c r="BC16" s="160" t="s">
        <v>149</v>
      </c>
      <c r="BD16" s="161" t="s">
        <v>71</v>
      </c>
      <c r="BE16" s="162">
        <v>6117.2000000000007</v>
      </c>
      <c r="BF16" s="160" t="s">
        <v>153</v>
      </c>
      <c r="BG16" s="161" t="s">
        <v>89</v>
      </c>
      <c r="BH16" s="162">
        <v>3723.5</v>
      </c>
    </row>
    <row r="17" spans="2:60" x14ac:dyDescent="0.25">
      <c r="B17" s="150" t="s">
        <v>9</v>
      </c>
      <c r="C17" s="151" t="s">
        <v>194</v>
      </c>
      <c r="D17" s="246">
        <v>0</v>
      </c>
      <c r="E17" s="246">
        <v>2895.5615648580133</v>
      </c>
      <c r="F17" s="246">
        <v>4438.7022895193504</v>
      </c>
      <c r="G17" s="246">
        <v>6043.8287157668547</v>
      </c>
      <c r="H17" s="246">
        <v>7710.9351869899901</v>
      </c>
      <c r="I17" s="246">
        <v>9438.1647146744654</v>
      </c>
      <c r="J17" s="246">
        <v>11224.400879276984</v>
      </c>
      <c r="K17" s="246">
        <v>13068.542440922325</v>
      </c>
      <c r="L17" s="246">
        <v>14968.677076463839</v>
      </c>
      <c r="M17" s="246">
        <v>15568.363452524569</v>
      </c>
      <c r="N17" s="246">
        <v>16177.3798227097</v>
      </c>
      <c r="O17" s="246">
        <v>16791.770426979547</v>
      </c>
      <c r="P17" s="246">
        <v>17411.667906217917</v>
      </c>
      <c r="Q17" s="246">
        <v>18038.516960684621</v>
      </c>
      <c r="R17" s="246">
        <v>18302.007621380697</v>
      </c>
      <c r="S17" s="246">
        <v>18560.296408482667</v>
      </c>
      <c r="T17" s="246">
        <v>18813.025479432843</v>
      </c>
      <c r="U17" s="246">
        <v>19060.082880698832</v>
      </c>
      <c r="V17" s="246">
        <v>19300.368861944557</v>
      </c>
      <c r="W17" s="246">
        <v>19534.98819997656</v>
      </c>
      <c r="X17" s="246">
        <v>19761.91045420547</v>
      </c>
      <c r="Y17" s="246">
        <v>19984.615923196699</v>
      </c>
      <c r="Z17" s="246">
        <v>20199.547661553224</v>
      </c>
      <c r="AA17" s="246">
        <v>20408.469574957722</v>
      </c>
      <c r="AB17" s="246">
        <v>20610.58287103938</v>
      </c>
      <c r="AC17" s="246">
        <v>20806.705771987272</v>
      </c>
      <c r="AD17" s="246">
        <v>20995.842080508257</v>
      </c>
      <c r="AE17" s="246">
        <v>21181.038498679936</v>
      </c>
      <c r="AF17" s="246">
        <v>21357.621435708657</v>
      </c>
      <c r="AG17" s="246">
        <v>21529.362447034182</v>
      </c>
      <c r="AH17" s="246">
        <v>21694.406912528382</v>
      </c>
      <c r="AI17" s="246">
        <v>21854.007596324689</v>
      </c>
      <c r="AJ17" s="246">
        <v>22007.843719348963</v>
      </c>
      <c r="AK17" s="246">
        <v>22155.464666957148</v>
      </c>
      <c r="AL17" s="246">
        <v>22297.717012343659</v>
      </c>
      <c r="AO17" s="160" t="s">
        <v>149</v>
      </c>
      <c r="AP17" s="161" t="s">
        <v>111</v>
      </c>
      <c r="AQ17" s="219">
        <f t="shared" si="2"/>
        <v>2270.7399999999998</v>
      </c>
      <c r="AR17" s="160" t="s">
        <v>150</v>
      </c>
      <c r="AS17" s="161" t="s">
        <v>63</v>
      </c>
      <c r="AT17" s="219">
        <f t="shared" si="0"/>
        <v>9683.34</v>
      </c>
      <c r="AU17" s="160" t="s">
        <v>149</v>
      </c>
      <c r="AV17" s="161" t="s">
        <v>90</v>
      </c>
      <c r="AW17" s="219">
        <f t="shared" si="1"/>
        <v>6875.48</v>
      </c>
      <c r="AZ17" s="160" t="s">
        <v>149</v>
      </c>
      <c r="BA17" s="161" t="s">
        <v>111</v>
      </c>
      <c r="BB17" s="162">
        <v>2069.1999999999998</v>
      </c>
      <c r="BC17" s="160" t="s">
        <v>150</v>
      </c>
      <c r="BD17" s="161" t="s">
        <v>63</v>
      </c>
      <c r="BE17" s="162">
        <v>8823.9</v>
      </c>
      <c r="BF17" s="160" t="s">
        <v>149</v>
      </c>
      <c r="BG17" s="161" t="s">
        <v>90</v>
      </c>
      <c r="BH17" s="162">
        <v>6265.25</v>
      </c>
    </row>
    <row r="18" spans="2:60" x14ac:dyDescent="0.25">
      <c r="B18" s="150" t="s">
        <v>198</v>
      </c>
      <c r="C18" s="151" t="s">
        <v>200</v>
      </c>
      <c r="D18" s="246">
        <v>289462.29255087225</v>
      </c>
      <c r="E18" s="246">
        <v>299090.37205040926</v>
      </c>
      <c r="F18" s="246">
        <v>308795.19183911383</v>
      </c>
      <c r="G18" s="246">
        <v>318551.17354761629</v>
      </c>
      <c r="H18" s="246">
        <v>327097.87063211534</v>
      </c>
      <c r="I18" s="246">
        <v>333639.12266374228</v>
      </c>
      <c r="J18" s="246">
        <v>340099.34664209257</v>
      </c>
      <c r="K18" s="246">
        <v>346479.7314649531</v>
      </c>
      <c r="L18" s="246">
        <v>352761.82310199778</v>
      </c>
      <c r="M18" s="246">
        <v>358918.46611744148</v>
      </c>
      <c r="N18" s="246">
        <v>365023.64472305629</v>
      </c>
      <c r="O18" s="246">
        <v>370993.1778710793</v>
      </c>
      <c r="P18" s="246">
        <v>376838.24111314496</v>
      </c>
      <c r="Q18" s="246">
        <v>382596.94473612087</v>
      </c>
      <c r="R18" s="246">
        <v>388185.58164948464</v>
      </c>
      <c r="S18" s="246">
        <v>393663.88682391745</v>
      </c>
      <c r="T18" s="246">
        <v>399024.27041877067</v>
      </c>
      <c r="U18" s="246">
        <v>404264.35789962229</v>
      </c>
      <c r="V18" s="246">
        <v>409360.82356184412</v>
      </c>
      <c r="W18" s="246">
        <v>414337.09972150292</v>
      </c>
      <c r="X18" s="246">
        <v>419150.12073369807</v>
      </c>
      <c r="Y18" s="246">
        <v>423873.70373100205</v>
      </c>
      <c r="Z18" s="246">
        <v>428432.40590154397</v>
      </c>
      <c r="AA18" s="246">
        <v>432863.63968485338</v>
      </c>
      <c r="AB18" s="246">
        <v>437150.46269474534</v>
      </c>
      <c r="AC18" s="246">
        <v>441310.22942385013</v>
      </c>
      <c r="AD18" s="246">
        <v>445321.81052758021</v>
      </c>
      <c r="AE18" s="246">
        <v>449249.82655700151</v>
      </c>
      <c r="AF18" s="246">
        <v>452995.15065138065</v>
      </c>
      <c r="AG18" s="246">
        <v>456637.77750159503</v>
      </c>
      <c r="AH18" s="246">
        <v>460138.37061472703</v>
      </c>
      <c r="AI18" s="246">
        <v>463523.5011180467</v>
      </c>
      <c r="AJ18" s="246">
        <v>466786.36528739153</v>
      </c>
      <c r="AK18" s="246">
        <v>469917.40558616113</v>
      </c>
      <c r="AL18" s="246">
        <v>472934.577831809</v>
      </c>
      <c r="AO18" s="160" t="s">
        <v>149</v>
      </c>
      <c r="AP18" s="161" t="s">
        <v>112</v>
      </c>
      <c r="AQ18" s="219">
        <f t="shared" si="2"/>
        <v>2270.7399999999998</v>
      </c>
      <c r="AR18" s="160" t="s">
        <v>150</v>
      </c>
      <c r="AS18" s="161" t="s">
        <v>65</v>
      </c>
      <c r="AT18" s="219">
        <f t="shared" si="0"/>
        <v>11356.16</v>
      </c>
      <c r="AU18" s="160" t="s">
        <v>149</v>
      </c>
      <c r="AV18" s="161" t="s">
        <v>92</v>
      </c>
      <c r="AW18" s="219">
        <f t="shared" si="1"/>
        <v>6500.17</v>
      </c>
      <c r="AZ18" s="160" t="s">
        <v>149</v>
      </c>
      <c r="BA18" s="161" t="s">
        <v>112</v>
      </c>
      <c r="BB18" s="162">
        <v>2069.1999999999998</v>
      </c>
      <c r="BC18" s="160" t="s">
        <v>150</v>
      </c>
      <c r="BD18" s="161" t="s">
        <v>65</v>
      </c>
      <c r="BE18" s="162">
        <v>10348.25</v>
      </c>
      <c r="BF18" s="160" t="s">
        <v>149</v>
      </c>
      <c r="BG18" s="161" t="s">
        <v>92</v>
      </c>
      <c r="BH18" s="162">
        <v>5923.25</v>
      </c>
    </row>
    <row r="19" spans="2:60" x14ac:dyDescent="0.25">
      <c r="B19" s="150" t="s">
        <v>199</v>
      </c>
      <c r="C19" s="151" t="s">
        <v>200</v>
      </c>
      <c r="D19" s="246">
        <v>0</v>
      </c>
      <c r="E19" s="246">
        <v>61414.860790638464</v>
      </c>
      <c r="F19" s="246">
        <v>94144.875560705419</v>
      </c>
      <c r="G19" s="246">
        <v>128189.60706141499</v>
      </c>
      <c r="H19" s="246">
        <v>163548.9353160577</v>
      </c>
      <c r="I19" s="246">
        <v>200183.47359824541</v>
      </c>
      <c r="J19" s="246">
        <v>238069.54264946483</v>
      </c>
      <c r="K19" s="246">
        <v>277183.78517196252</v>
      </c>
      <c r="L19" s="246">
        <v>317485.64079179801</v>
      </c>
      <c r="M19" s="246">
        <v>330204.98882804613</v>
      </c>
      <c r="N19" s="246">
        <v>343122.22603967268</v>
      </c>
      <c r="O19" s="246">
        <v>356153.45075623621</v>
      </c>
      <c r="P19" s="246">
        <v>369301.47629088204</v>
      </c>
      <c r="Q19" s="246">
        <v>382596.94473612081</v>
      </c>
      <c r="R19" s="246">
        <v>388185.58164948458</v>
      </c>
      <c r="S19" s="246">
        <v>393663.88682391739</v>
      </c>
      <c r="T19" s="246">
        <v>399024.27041877061</v>
      </c>
      <c r="U19" s="246">
        <v>404264.35789962223</v>
      </c>
      <c r="V19" s="246">
        <v>409360.82356184407</v>
      </c>
      <c r="W19" s="246">
        <v>414337.09972150286</v>
      </c>
      <c r="X19" s="246">
        <v>419150.12073369802</v>
      </c>
      <c r="Y19" s="246">
        <v>423873.703731002</v>
      </c>
      <c r="Z19" s="246">
        <v>428432.40590154391</v>
      </c>
      <c r="AA19" s="246">
        <v>432863.63968485332</v>
      </c>
      <c r="AB19" s="246">
        <v>437150.46269474528</v>
      </c>
      <c r="AC19" s="246">
        <v>441310.22942385008</v>
      </c>
      <c r="AD19" s="246">
        <v>445321.81052758015</v>
      </c>
      <c r="AE19" s="246">
        <v>449249.82655700145</v>
      </c>
      <c r="AF19" s="246">
        <v>452995.15065138065</v>
      </c>
      <c r="AG19" s="246">
        <v>456637.77750159503</v>
      </c>
      <c r="AH19" s="246">
        <v>460138.37061472703</v>
      </c>
      <c r="AI19" s="246">
        <v>463523.5011180467</v>
      </c>
      <c r="AJ19" s="246">
        <v>466786.36528739153</v>
      </c>
      <c r="AK19" s="246">
        <v>469917.40558616113</v>
      </c>
      <c r="AL19" s="246">
        <v>472934.577831809</v>
      </c>
      <c r="AO19" s="160" t="s">
        <v>149</v>
      </c>
      <c r="AP19" s="161" t="s">
        <v>113</v>
      </c>
      <c r="AQ19" s="219">
        <f t="shared" si="2"/>
        <v>2270.7399999999998</v>
      </c>
      <c r="AR19" s="160" t="s">
        <v>150</v>
      </c>
      <c r="AS19" s="161" t="s">
        <v>64</v>
      </c>
      <c r="AT19" s="219">
        <f t="shared" si="0"/>
        <v>7879.82</v>
      </c>
      <c r="AU19" s="160" t="s">
        <v>152</v>
      </c>
      <c r="AV19" s="161" t="s">
        <v>81</v>
      </c>
      <c r="AW19" s="219">
        <f t="shared" si="1"/>
        <v>3989.87</v>
      </c>
      <c r="AZ19" s="160" t="s">
        <v>149</v>
      </c>
      <c r="BA19" s="161" t="s">
        <v>113</v>
      </c>
      <c r="BB19" s="162">
        <v>2069.1999999999998</v>
      </c>
      <c r="BC19" s="160" t="s">
        <v>150</v>
      </c>
      <c r="BD19" s="161" t="s">
        <v>64</v>
      </c>
      <c r="BE19" s="162">
        <v>7180.4500000000007</v>
      </c>
      <c r="BF19" s="160" t="s">
        <v>152</v>
      </c>
      <c r="BG19" s="161" t="s">
        <v>81</v>
      </c>
      <c r="BH19" s="162">
        <v>3635.75</v>
      </c>
    </row>
    <row r="20" spans="2:60" x14ac:dyDescent="0.25">
      <c r="B20" s="150"/>
      <c r="C20" s="151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  <c r="AI20" s="246"/>
      <c r="AJ20" s="246"/>
      <c r="AK20" s="246"/>
      <c r="AL20" s="246"/>
      <c r="AO20" s="160"/>
      <c r="AP20" s="161"/>
      <c r="AQ20" s="219"/>
      <c r="AR20" s="160"/>
      <c r="AS20" s="161"/>
      <c r="AT20" s="219"/>
      <c r="AU20" s="160"/>
      <c r="AV20" s="161"/>
      <c r="AW20" s="219"/>
      <c r="AZ20" s="160"/>
      <c r="BA20" s="161"/>
      <c r="BB20" s="162"/>
      <c r="BC20" s="160"/>
      <c r="BD20" s="161"/>
      <c r="BE20" s="162"/>
      <c r="BF20" s="160"/>
      <c r="BG20" s="161"/>
      <c r="BH20" s="162"/>
    </row>
    <row r="21" spans="2:60" x14ac:dyDescent="0.25">
      <c r="B21" s="150"/>
      <c r="C21" s="151"/>
      <c r="D21" s="151"/>
      <c r="E21" s="152"/>
      <c r="F21" s="152"/>
      <c r="G21" s="152"/>
      <c r="H21" s="152"/>
      <c r="I21" s="253" t="s">
        <v>284</v>
      </c>
      <c r="J21" s="253"/>
      <c r="K21" s="253"/>
      <c r="L21" s="252">
        <v>1.0973999999999999</v>
      </c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O21" s="160" t="s">
        <v>149</v>
      </c>
      <c r="AP21" s="161" t="s">
        <v>142</v>
      </c>
      <c r="AQ21" s="219">
        <f>TRUNC(BB21*$BD$1,2)</f>
        <v>2270.7399999999998</v>
      </c>
      <c r="AR21" s="160" t="s">
        <v>150</v>
      </c>
      <c r="AS21" s="161" t="s">
        <v>147</v>
      </c>
      <c r="AT21" s="219">
        <f>TRUNC(BE21*$BD$1,2)</f>
        <v>11550.24</v>
      </c>
      <c r="AU21" s="160" t="s">
        <v>150</v>
      </c>
      <c r="AV21" s="161" t="s">
        <v>93</v>
      </c>
      <c r="AW21" s="219">
        <f t="shared" ref="AW21:AW26" si="3">TRUNC(BH21*$BD$1,2)</f>
        <v>9147.26</v>
      </c>
      <c r="AZ21" s="160" t="s">
        <v>149</v>
      </c>
      <c r="BA21" s="161" t="s">
        <v>142</v>
      </c>
      <c r="BB21" s="162">
        <v>2069.1999999999998</v>
      </c>
      <c r="BC21" s="160" t="s">
        <v>150</v>
      </c>
      <c r="BD21" s="161" t="s">
        <v>147</v>
      </c>
      <c r="BE21" s="162">
        <v>10525.1</v>
      </c>
      <c r="BF21" s="160" t="s">
        <v>150</v>
      </c>
      <c r="BG21" s="161" t="s">
        <v>93</v>
      </c>
      <c r="BH21" s="162">
        <v>8335.4000000000015</v>
      </c>
    </row>
    <row r="22" spans="2:60" x14ac:dyDescent="0.25">
      <c r="B22" s="225" t="s">
        <v>279</v>
      </c>
      <c r="C22" s="225" t="s">
        <v>204</v>
      </c>
      <c r="D22" s="225" t="s">
        <v>251</v>
      </c>
      <c r="E22" s="225" t="s">
        <v>266</v>
      </c>
      <c r="F22" s="225" t="s">
        <v>267</v>
      </c>
      <c r="G22" s="225" t="s">
        <v>261</v>
      </c>
      <c r="H22" s="152"/>
      <c r="I22" s="225" t="s">
        <v>251</v>
      </c>
      <c r="J22" s="225" t="s">
        <v>266</v>
      </c>
      <c r="K22" s="225" t="s">
        <v>267</v>
      </c>
      <c r="L22" s="225" t="s">
        <v>261</v>
      </c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O22" s="160" t="s">
        <v>153</v>
      </c>
      <c r="AP22" s="161" t="s">
        <v>115</v>
      </c>
      <c r="AQ22" s="219">
        <f t="shared" ref="AQ21:AQ26" si="4">TRUNC(BB22*$BD$1,2)</f>
        <v>2306.9499999999998</v>
      </c>
      <c r="AR22" s="160" t="s">
        <v>150</v>
      </c>
      <c r="AS22" s="161" t="s">
        <v>66</v>
      </c>
      <c r="AT22" s="219">
        <f t="shared" ref="AT21:AT26" si="5">TRUNC(BE22*$BD$1,2)</f>
        <v>11205.77</v>
      </c>
      <c r="AU22" s="160" t="s">
        <v>149</v>
      </c>
      <c r="AV22" s="161" t="s">
        <v>82</v>
      </c>
      <c r="AW22" s="219">
        <f t="shared" si="3"/>
        <v>6337.04</v>
      </c>
      <c r="AZ22" s="160" t="s">
        <v>153</v>
      </c>
      <c r="BA22" s="161" t="s">
        <v>115</v>
      </c>
      <c r="BB22" s="162">
        <v>2102.1999999999998</v>
      </c>
      <c r="BC22" s="160" t="s">
        <v>150</v>
      </c>
      <c r="BD22" s="161" t="s">
        <v>66</v>
      </c>
      <c r="BE22" s="162">
        <v>10211.199999999999</v>
      </c>
      <c r="BF22" s="160" t="s">
        <v>149</v>
      </c>
      <c r="BG22" s="161" t="s">
        <v>82</v>
      </c>
      <c r="BH22" s="162">
        <v>5774.6</v>
      </c>
    </row>
    <row r="23" spans="2:60" x14ac:dyDescent="0.25">
      <c r="B23" s="228" t="s">
        <v>13</v>
      </c>
      <c r="C23" s="229" t="s">
        <v>268</v>
      </c>
      <c r="D23" s="230">
        <f>TRUNC(I23*$L$21,2)</f>
        <v>18758.02</v>
      </c>
      <c r="E23" s="226">
        <f t="shared" ref="E23:G23" si="6">TRUNC(J23*$L$21,2)</f>
        <v>12937.24</v>
      </c>
      <c r="F23" s="226">
        <f t="shared" si="6"/>
        <v>45786.82</v>
      </c>
      <c r="G23" s="230">
        <f t="shared" si="6"/>
        <v>18758.02</v>
      </c>
      <c r="H23" s="152"/>
      <c r="I23" s="230">
        <v>17093.150000000001</v>
      </c>
      <c r="J23" s="226">
        <v>11789</v>
      </c>
      <c r="K23" s="226">
        <v>41723</v>
      </c>
      <c r="L23" s="230">
        <v>17093.150000000001</v>
      </c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O23" s="160" t="s">
        <v>152</v>
      </c>
      <c r="AP23" s="161" t="s">
        <v>101</v>
      </c>
      <c r="AQ23" s="219">
        <f t="shared" si="4"/>
        <v>1712.93</v>
      </c>
      <c r="AR23" s="160" t="s">
        <v>150</v>
      </c>
      <c r="AS23" s="161" t="s">
        <v>67</v>
      </c>
      <c r="AT23" s="219">
        <f t="shared" si="5"/>
        <v>9799.94</v>
      </c>
      <c r="AU23" s="160" t="s">
        <v>150</v>
      </c>
      <c r="AV23" s="161" t="s">
        <v>83</v>
      </c>
      <c r="AW23" s="219">
        <f t="shared" si="3"/>
        <v>9138.48</v>
      </c>
      <c r="AZ23" s="160" t="s">
        <v>152</v>
      </c>
      <c r="BA23" s="161" t="s">
        <v>101</v>
      </c>
      <c r="BB23" s="162">
        <v>1560.9</v>
      </c>
      <c r="BC23" s="160" t="s">
        <v>150</v>
      </c>
      <c r="BD23" s="161" t="s">
        <v>67</v>
      </c>
      <c r="BE23" s="162">
        <v>8930.15</v>
      </c>
      <c r="BF23" s="160" t="s">
        <v>150</v>
      </c>
      <c r="BG23" s="161" t="s">
        <v>83</v>
      </c>
      <c r="BH23" s="162">
        <v>8327.4</v>
      </c>
    </row>
    <row r="24" spans="2:60" ht="15.75" thickBot="1" x14ac:dyDescent="0.3">
      <c r="B24" s="228" t="s">
        <v>128</v>
      </c>
      <c r="C24" s="229" t="s">
        <v>274</v>
      </c>
      <c r="D24" s="230">
        <f t="shared" ref="D24:D29" si="7">TRUNC(I24*$L$21,2)</f>
        <v>15006.41</v>
      </c>
      <c r="E24" s="226">
        <f t="shared" ref="E24:E29" si="8">TRUNC(J24*$L$21,2)</f>
        <v>7035.43</v>
      </c>
      <c r="F24" s="226">
        <f t="shared" ref="F24:F29" si="9">TRUNC(K24*$L$21,2)</f>
        <v>18544.96</v>
      </c>
      <c r="G24" s="230">
        <f t="shared" ref="G24:G29" si="10">TRUNC(L24*$L$21,2)</f>
        <v>14631.72</v>
      </c>
      <c r="H24" s="152"/>
      <c r="I24" s="230">
        <v>13674.516689288888</v>
      </c>
      <c r="J24" s="226">
        <v>6411</v>
      </c>
      <c r="K24" s="226">
        <v>16899</v>
      </c>
      <c r="L24" s="230">
        <f>(J24*0.34+K24*0.66)</f>
        <v>13333.08</v>
      </c>
      <c r="O24" s="25" t="s">
        <v>4</v>
      </c>
      <c r="P24" s="82" t="s">
        <v>1</v>
      </c>
      <c r="Q24" s="83"/>
      <c r="R24" s="82" t="s">
        <v>49</v>
      </c>
      <c r="S24" s="83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O24" s="160" t="s">
        <v>150</v>
      </c>
      <c r="AP24" s="161" t="s">
        <v>116</v>
      </c>
      <c r="AQ24" s="219">
        <f t="shared" si="4"/>
        <v>3016.31</v>
      </c>
      <c r="AR24" s="160" t="s">
        <v>150</v>
      </c>
      <c r="AS24" s="161" t="s">
        <v>68</v>
      </c>
      <c r="AT24" s="219">
        <f t="shared" si="5"/>
        <v>9768.34</v>
      </c>
      <c r="AU24" s="160" t="s">
        <v>149</v>
      </c>
      <c r="AV24" s="161" t="s">
        <v>85</v>
      </c>
      <c r="AW24" s="219">
        <f t="shared" si="3"/>
        <v>5318</v>
      </c>
      <c r="AZ24" s="160" t="s">
        <v>150</v>
      </c>
      <c r="BA24" s="161" t="s">
        <v>116</v>
      </c>
      <c r="BB24" s="162">
        <v>2748.6000000000004</v>
      </c>
      <c r="BC24" s="160" t="s">
        <v>150</v>
      </c>
      <c r="BD24" s="161" t="s">
        <v>68</v>
      </c>
      <c r="BE24" s="162">
        <v>8901.35</v>
      </c>
      <c r="BF24" s="160" t="s">
        <v>149</v>
      </c>
      <c r="BG24" s="161" t="s">
        <v>85</v>
      </c>
      <c r="BH24" s="162">
        <v>4846</v>
      </c>
    </row>
    <row r="25" spans="2:60" ht="15.75" thickTop="1" x14ac:dyDescent="0.25">
      <c r="B25" s="228" t="s">
        <v>129</v>
      </c>
      <c r="C25" s="229" t="s">
        <v>272</v>
      </c>
      <c r="D25" s="230">
        <f t="shared" si="7"/>
        <v>15006.41</v>
      </c>
      <c r="E25" s="226">
        <f t="shared" si="8"/>
        <v>12028.6</v>
      </c>
      <c r="F25" s="226">
        <f t="shared" si="9"/>
        <v>39657.839999999997</v>
      </c>
      <c r="G25" s="230">
        <f t="shared" si="10"/>
        <v>15108.78</v>
      </c>
      <c r="H25" s="152"/>
      <c r="I25" s="230">
        <v>13674.516689288888</v>
      </c>
      <c r="J25" s="226">
        <v>10961</v>
      </c>
      <c r="K25" s="226">
        <v>36138</v>
      </c>
      <c r="L25" s="230">
        <f>(J25*0.9+K25*0.108)</f>
        <v>13767.804</v>
      </c>
      <c r="O25" s="108">
        <v>1</v>
      </c>
      <c r="P25" s="257" t="s">
        <v>159</v>
      </c>
      <c r="Q25" s="258"/>
      <c r="R25" s="259">
        <v>1.4104300000000001</v>
      </c>
      <c r="S25" s="260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O25" s="160" t="s">
        <v>150</v>
      </c>
      <c r="AP25" s="161" t="s">
        <v>117</v>
      </c>
      <c r="AQ25" s="219">
        <f t="shared" si="4"/>
        <v>2689.5</v>
      </c>
      <c r="AR25" s="160" t="s">
        <v>150</v>
      </c>
      <c r="AS25" s="161" t="s">
        <v>69</v>
      </c>
      <c r="AT25" s="219">
        <f t="shared" si="5"/>
        <v>11353.37</v>
      </c>
      <c r="AU25" s="160" t="s">
        <v>153</v>
      </c>
      <c r="AV25" s="161" t="s">
        <v>86</v>
      </c>
      <c r="AW25" s="219">
        <f t="shared" si="3"/>
        <v>4397.28</v>
      </c>
      <c r="AZ25" s="160" t="s">
        <v>150</v>
      </c>
      <c r="BA25" s="161" t="s">
        <v>117</v>
      </c>
      <c r="BB25" s="162">
        <v>2450.8000000000002</v>
      </c>
      <c r="BC25" s="160" t="s">
        <v>150</v>
      </c>
      <c r="BD25" s="161" t="s">
        <v>69</v>
      </c>
      <c r="BE25" s="162">
        <v>10345.699999999999</v>
      </c>
      <c r="BF25" s="160" t="s">
        <v>153</v>
      </c>
      <c r="BG25" s="161" t="s">
        <v>86</v>
      </c>
      <c r="BH25" s="162">
        <v>4007</v>
      </c>
    </row>
    <row r="26" spans="2:60" x14ac:dyDescent="0.25">
      <c r="B26" s="228" t="s">
        <v>130</v>
      </c>
      <c r="C26" s="229" t="s">
        <v>275</v>
      </c>
      <c r="D26" s="230">
        <f t="shared" si="7"/>
        <v>15006.41</v>
      </c>
      <c r="E26" s="226">
        <f t="shared" si="8"/>
        <v>11190.18</v>
      </c>
      <c r="F26" s="226">
        <f t="shared" si="9"/>
        <v>40147.279999999999</v>
      </c>
      <c r="G26" s="230">
        <f t="shared" si="10"/>
        <v>15244.18</v>
      </c>
      <c r="H26" s="152"/>
      <c r="I26" s="230">
        <v>13674.516689288888</v>
      </c>
      <c r="J26" s="226">
        <v>10197</v>
      </c>
      <c r="K26" s="226">
        <v>36584</v>
      </c>
      <c r="L26" s="230">
        <f>(J26*0.86+K26*0.14)</f>
        <v>13891.18</v>
      </c>
      <c r="O26" s="108">
        <f>O25+1</f>
        <v>2</v>
      </c>
      <c r="P26" s="110" t="s">
        <v>158</v>
      </c>
      <c r="Q26" s="111"/>
      <c r="R26" s="261">
        <f>R25</f>
        <v>1.4104300000000001</v>
      </c>
      <c r="S26" s="26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  <c r="AO26" s="168" t="s">
        <v>149</v>
      </c>
      <c r="AP26" s="169" t="s">
        <v>73</v>
      </c>
      <c r="AQ26" s="220">
        <f t="shared" si="4"/>
        <v>2441.0500000000002</v>
      </c>
      <c r="AR26" s="168" t="s">
        <v>150</v>
      </c>
      <c r="AS26" s="169" t="s">
        <v>70</v>
      </c>
      <c r="AT26" s="220">
        <f t="shared" si="5"/>
        <v>9809.1</v>
      </c>
      <c r="AU26" s="168" t="s">
        <v>149</v>
      </c>
      <c r="AV26" s="169" t="s">
        <v>263</v>
      </c>
      <c r="AW26" s="220">
        <f t="shared" si="3"/>
        <v>3469.15</v>
      </c>
      <c r="AZ26" s="168" t="s">
        <v>149</v>
      </c>
      <c r="BA26" s="169" t="s">
        <v>73</v>
      </c>
      <c r="BB26" s="170">
        <v>2224.4</v>
      </c>
      <c r="BC26" s="168" t="s">
        <v>150</v>
      </c>
      <c r="BD26" s="169" t="s">
        <v>70</v>
      </c>
      <c r="BE26" s="170">
        <v>8938.5</v>
      </c>
      <c r="BF26" s="168" t="s">
        <v>149</v>
      </c>
      <c r="BG26" s="169" t="s">
        <v>263</v>
      </c>
      <c r="BH26" s="170">
        <v>3161.25</v>
      </c>
    </row>
    <row r="27" spans="2:60" x14ac:dyDescent="0.25">
      <c r="B27" s="228" t="s">
        <v>278</v>
      </c>
      <c r="C27" s="229" t="s">
        <v>270</v>
      </c>
      <c r="D27" s="230">
        <f t="shared" si="7"/>
        <v>12192.7</v>
      </c>
      <c r="E27" s="226">
        <f t="shared" si="8"/>
        <v>4526.7700000000004</v>
      </c>
      <c r="F27" s="226">
        <f t="shared" si="9"/>
        <v>18697.5</v>
      </c>
      <c r="G27" s="227">
        <f t="shared" si="10"/>
        <v>11385.79</v>
      </c>
      <c r="H27" s="152"/>
      <c r="I27" s="230">
        <v>11110.54</v>
      </c>
      <c r="J27" s="226">
        <v>4125</v>
      </c>
      <c r="K27" s="226">
        <v>17038</v>
      </c>
      <c r="L27" s="227">
        <f t="shared" ref="L27" si="11">(J27*0.45+K27*0.5)</f>
        <v>10375.25</v>
      </c>
      <c r="O27" s="108">
        <f t="shared" ref="O27:O39" si="12">O26+1</f>
        <v>3</v>
      </c>
      <c r="P27" s="263" t="s">
        <v>160</v>
      </c>
      <c r="Q27" s="264"/>
      <c r="R27" s="261">
        <f t="shared" ref="R27:R30" si="13">R26</f>
        <v>1.4104300000000001</v>
      </c>
      <c r="S27" s="26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  <c r="AK27" s="152"/>
      <c r="AL27" s="152"/>
      <c r="AO27" s="171"/>
      <c r="AP27" s="171"/>
      <c r="AQ27" s="171"/>
      <c r="AR27" s="171"/>
      <c r="AS27" s="171"/>
      <c r="AT27" s="171"/>
      <c r="AU27" s="171"/>
      <c r="AV27" s="171"/>
      <c r="AW27" s="171"/>
      <c r="AZ27" s="171"/>
      <c r="BA27" s="171"/>
      <c r="BB27" s="171"/>
      <c r="BC27" s="171"/>
      <c r="BD27" s="171"/>
      <c r="BE27" s="171"/>
      <c r="BF27" s="171"/>
      <c r="BG27" s="171"/>
      <c r="BH27" s="171"/>
    </row>
    <row r="28" spans="2:60" x14ac:dyDescent="0.25">
      <c r="B28" s="228" t="s">
        <v>17</v>
      </c>
      <c r="C28" s="229" t="s">
        <v>277</v>
      </c>
      <c r="D28" s="230">
        <f t="shared" si="7"/>
        <v>5526.72</v>
      </c>
      <c r="E28" s="226">
        <f t="shared" si="8"/>
        <v>2533.89</v>
      </c>
      <c r="F28" s="226">
        <f t="shared" si="9"/>
        <v>6274.93</v>
      </c>
      <c r="G28" s="227">
        <f t="shared" si="10"/>
        <v>5526.72</v>
      </c>
      <c r="H28" s="152"/>
      <c r="I28" s="230">
        <v>5036.2</v>
      </c>
      <c r="J28" s="226">
        <v>2309</v>
      </c>
      <c r="K28" s="226">
        <v>5718</v>
      </c>
      <c r="L28" s="227">
        <f>(J28*0.2+K28*0.8)</f>
        <v>5036.2000000000007</v>
      </c>
      <c r="O28" s="108">
        <f t="shared" si="12"/>
        <v>4</v>
      </c>
      <c r="P28" s="112" t="s">
        <v>161</v>
      </c>
      <c r="Q28" s="86"/>
      <c r="R28" s="261">
        <f t="shared" si="13"/>
        <v>1.4104300000000001</v>
      </c>
      <c r="S28" s="26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O28" s="236"/>
      <c r="AP28" s="237"/>
      <c r="AQ28" s="237"/>
      <c r="AR28" s="236"/>
      <c r="AS28" s="237"/>
      <c r="AT28" s="238"/>
      <c r="AU28" s="236"/>
      <c r="AV28" s="237"/>
      <c r="AW28" s="238"/>
      <c r="AZ28" s="236"/>
      <c r="BA28" s="237"/>
      <c r="BB28" s="237"/>
      <c r="BC28" s="236"/>
      <c r="BD28" s="237"/>
      <c r="BE28" s="238"/>
      <c r="BF28" s="236"/>
      <c r="BG28" s="237"/>
      <c r="BH28" s="238"/>
    </row>
    <row r="29" spans="2:60" x14ac:dyDescent="0.25">
      <c r="B29" s="228" t="s">
        <v>16</v>
      </c>
      <c r="C29" s="229" t="s">
        <v>276</v>
      </c>
      <c r="D29" s="230">
        <f t="shared" si="7"/>
        <v>5707.57</v>
      </c>
      <c r="E29" s="226">
        <f t="shared" si="8"/>
        <v>5707.57</v>
      </c>
      <c r="F29" s="226">
        <f t="shared" si="9"/>
        <v>13377.3</v>
      </c>
      <c r="G29" s="230">
        <f t="shared" si="10"/>
        <v>6781.33</v>
      </c>
      <c r="H29" s="152"/>
      <c r="I29" s="230">
        <v>5201</v>
      </c>
      <c r="J29" s="226">
        <v>5201</v>
      </c>
      <c r="K29" s="226">
        <v>12190</v>
      </c>
      <c r="L29" s="230">
        <f>(J29*0.86+K29*0.14)</f>
        <v>6179.46</v>
      </c>
      <c r="O29" s="108">
        <f t="shared" si="12"/>
        <v>5</v>
      </c>
      <c r="P29" s="263" t="s">
        <v>52</v>
      </c>
      <c r="Q29" s="264"/>
      <c r="R29" s="261">
        <f t="shared" si="13"/>
        <v>1.4104300000000001</v>
      </c>
      <c r="S29" s="26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O29" s="254" t="s">
        <v>201</v>
      </c>
      <c r="AP29" s="254"/>
      <c r="AQ29" s="254"/>
      <c r="AR29" s="254"/>
      <c r="AS29" s="254"/>
      <c r="AT29" s="254"/>
      <c r="AU29" s="254"/>
      <c r="AV29" s="254"/>
      <c r="AW29" s="254"/>
      <c r="AZ29" s="254" t="s">
        <v>201</v>
      </c>
      <c r="BA29" s="254"/>
      <c r="BB29" s="254"/>
      <c r="BC29" s="254"/>
      <c r="BD29" s="254"/>
      <c r="BE29" s="254"/>
      <c r="BF29" s="254"/>
      <c r="BG29" s="254"/>
      <c r="BH29" s="254"/>
    </row>
    <row r="30" spans="2:60" x14ac:dyDescent="0.25">
      <c r="H30" s="152"/>
      <c r="O30" s="108">
        <f t="shared" si="12"/>
        <v>6</v>
      </c>
      <c r="P30" s="112" t="s">
        <v>53</v>
      </c>
      <c r="Q30" s="86"/>
      <c r="R30" s="261">
        <f t="shared" si="13"/>
        <v>1.4104300000000001</v>
      </c>
      <c r="S30" s="26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O30" s="164" t="s">
        <v>4</v>
      </c>
      <c r="AP30" s="164" t="s">
        <v>1</v>
      </c>
      <c r="AQ30" s="164" t="s">
        <v>45</v>
      </c>
      <c r="AR30" s="164" t="s">
        <v>4</v>
      </c>
      <c r="AS30" s="164" t="s">
        <v>1</v>
      </c>
      <c r="AT30" s="164" t="s">
        <v>45</v>
      </c>
      <c r="AU30" s="164" t="s">
        <v>4</v>
      </c>
      <c r="AV30" s="164" t="s">
        <v>1</v>
      </c>
      <c r="AW30" s="164" t="s">
        <v>45</v>
      </c>
      <c r="AZ30" s="164" t="s">
        <v>4</v>
      </c>
      <c r="BA30" s="164" t="s">
        <v>1</v>
      </c>
      <c r="BB30" s="164" t="s">
        <v>45</v>
      </c>
      <c r="BC30" s="164" t="s">
        <v>4</v>
      </c>
      <c r="BD30" s="164" t="s">
        <v>1</v>
      </c>
      <c r="BE30" s="164" t="s">
        <v>45</v>
      </c>
      <c r="BF30" s="164" t="s">
        <v>4</v>
      </c>
      <c r="BG30" s="164" t="s">
        <v>1</v>
      </c>
      <c r="BH30" s="164" t="s">
        <v>45</v>
      </c>
    </row>
    <row r="31" spans="2:60" x14ac:dyDescent="0.25">
      <c r="B31" s="225" t="s">
        <v>280</v>
      </c>
      <c r="C31" s="225" t="s">
        <v>204</v>
      </c>
      <c r="D31" s="225" t="s">
        <v>251</v>
      </c>
      <c r="E31" s="225" t="s">
        <v>266</v>
      </c>
      <c r="F31" s="225" t="s">
        <v>267</v>
      </c>
      <c r="G31" s="225" t="s">
        <v>261</v>
      </c>
      <c r="H31" s="152"/>
      <c r="I31" s="225" t="s">
        <v>251</v>
      </c>
      <c r="J31" s="225" t="s">
        <v>266</v>
      </c>
      <c r="K31" s="225" t="s">
        <v>267</v>
      </c>
      <c r="L31" s="225" t="s">
        <v>261</v>
      </c>
      <c r="O31" s="108">
        <f t="shared" si="12"/>
        <v>7</v>
      </c>
      <c r="P31" s="263" t="s">
        <v>30</v>
      </c>
      <c r="Q31" s="264"/>
      <c r="R31" s="265">
        <v>0.875</v>
      </c>
      <c r="S31" s="266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O31" s="165">
        <v>1</v>
      </c>
      <c r="AP31" s="166" t="s">
        <v>13</v>
      </c>
      <c r="AQ31" s="221">
        <f>TRUNC(BB31*$BD$1,2)</f>
        <v>18758.009999999998</v>
      </c>
      <c r="AR31" s="165">
        <f>AO34+1</f>
        <v>5</v>
      </c>
      <c r="AS31" s="166" t="s">
        <v>46</v>
      </c>
      <c r="AT31" s="221">
        <f>AQ31*0.6</f>
        <v>11254.805999999999</v>
      </c>
      <c r="AU31" s="165">
        <f>AR34+1</f>
        <v>9</v>
      </c>
      <c r="AV31" s="166" t="s">
        <v>25</v>
      </c>
      <c r="AW31" s="221">
        <f>AQ31*0.065</f>
        <v>1219.2706499999999</v>
      </c>
      <c r="AZ31" s="165">
        <v>1</v>
      </c>
      <c r="BA31" s="166" t="s">
        <v>13</v>
      </c>
      <c r="BB31" s="167">
        <v>17093.145861611109</v>
      </c>
      <c r="BC31" s="165">
        <f>AZ34+1</f>
        <v>5</v>
      </c>
      <c r="BD31" s="166" t="s">
        <v>46</v>
      </c>
      <c r="BE31" s="221">
        <f>BB31*0.6</f>
        <v>10255.887516966664</v>
      </c>
      <c r="BF31" s="165">
        <f>BC34+1</f>
        <v>9</v>
      </c>
      <c r="BG31" s="166" t="s">
        <v>25</v>
      </c>
      <c r="BH31" s="221">
        <f>BB31*0.065</f>
        <v>1111.054481004722</v>
      </c>
    </row>
    <row r="32" spans="2:60" x14ac:dyDescent="0.25">
      <c r="B32" s="228" t="s">
        <v>273</v>
      </c>
      <c r="C32" s="229"/>
      <c r="D32" s="230"/>
      <c r="E32" s="226"/>
      <c r="F32" s="226"/>
      <c r="G32" s="227"/>
      <c r="I32" s="230"/>
      <c r="J32" s="226"/>
      <c r="K32" s="226"/>
      <c r="L32" s="227"/>
      <c r="O32" s="108">
        <f t="shared" si="12"/>
        <v>8</v>
      </c>
      <c r="P32" s="263" t="s">
        <v>31</v>
      </c>
      <c r="Q32" s="264"/>
      <c r="R32" s="261">
        <f>R31</f>
        <v>0.875</v>
      </c>
      <c r="S32" s="262"/>
      <c r="AO32" s="165">
        <f>AO31+1</f>
        <v>2</v>
      </c>
      <c r="AP32" s="166" t="s">
        <v>97</v>
      </c>
      <c r="AQ32" s="221">
        <f>$AQ$31*0.8</f>
        <v>15006.407999999999</v>
      </c>
      <c r="AR32" s="165">
        <f>AR31+1</f>
        <v>6</v>
      </c>
      <c r="AS32" s="166" t="s">
        <v>17</v>
      </c>
      <c r="AT32" s="221">
        <f>AQ31*0.45</f>
        <v>8441.1044999999995</v>
      </c>
      <c r="AU32" s="165">
        <f>AU31+1</f>
        <v>10</v>
      </c>
      <c r="AV32" s="166" t="s">
        <v>26</v>
      </c>
      <c r="AW32" s="221">
        <f>AQ31*0.065</f>
        <v>1219.2706499999999</v>
      </c>
      <c r="AZ32" s="165">
        <f>AZ31+1</f>
        <v>2</v>
      </c>
      <c r="BA32" s="166" t="s">
        <v>97</v>
      </c>
      <c r="BB32" s="221">
        <f>$AQ$31*0.8</f>
        <v>15006.407999999999</v>
      </c>
      <c r="BC32" s="165">
        <f>BC31+1</f>
        <v>6</v>
      </c>
      <c r="BD32" s="166" t="s">
        <v>17</v>
      </c>
      <c r="BE32" s="221">
        <f>BB31*0.45</f>
        <v>7691.9156377249992</v>
      </c>
      <c r="BF32" s="165">
        <f>BF31+1</f>
        <v>10</v>
      </c>
      <c r="BG32" s="166" t="s">
        <v>26</v>
      </c>
      <c r="BH32" s="221">
        <f>BB31*0.065</f>
        <v>1111.054481004722</v>
      </c>
    </row>
    <row r="33" spans="2:60" x14ac:dyDescent="0.25">
      <c r="B33" s="228" t="s">
        <v>134</v>
      </c>
      <c r="C33" s="229" t="s">
        <v>269</v>
      </c>
      <c r="D33" s="230">
        <f t="shared" ref="D33:D38" si="14">TRUNC(I33*$L$21,2)</f>
        <v>12192.7</v>
      </c>
      <c r="E33" s="226">
        <f t="shared" ref="E33:E38" si="15">TRUNC(J33*$L$21,2)</f>
        <v>4443.37</v>
      </c>
      <c r="F33" s="226">
        <f t="shared" ref="F33:F38" si="16">TRUNC(K33*$L$21,2)</f>
        <v>15366.89</v>
      </c>
      <c r="G33" s="227">
        <f t="shared" ref="G33:G38" si="17">TRUNC(L33*$L$21,2)</f>
        <v>11543.66</v>
      </c>
      <c r="I33" s="230">
        <v>11110.54</v>
      </c>
      <c r="J33" s="226">
        <v>4049</v>
      </c>
      <c r="K33" s="226">
        <v>14003</v>
      </c>
      <c r="L33" s="227">
        <f>(J33*0.35+K33*0.65)</f>
        <v>10519.1</v>
      </c>
      <c r="O33" s="108">
        <f t="shared" si="12"/>
        <v>9</v>
      </c>
      <c r="P33" s="263" t="s">
        <v>32</v>
      </c>
      <c r="Q33" s="264"/>
      <c r="R33" s="261">
        <f t="shared" ref="R33:R39" si="18">R32</f>
        <v>0.875</v>
      </c>
      <c r="S33" s="262"/>
      <c r="AO33" s="165">
        <f>AO32+1</f>
        <v>3</v>
      </c>
      <c r="AP33" s="166" t="s">
        <v>98</v>
      </c>
      <c r="AQ33" s="221">
        <f>AQ31*0.65</f>
        <v>12192.7065</v>
      </c>
      <c r="AR33" s="165">
        <f>AR32+1</f>
        <v>7</v>
      </c>
      <c r="AS33" s="166" t="s">
        <v>24</v>
      </c>
      <c r="AT33" s="221">
        <f>AQ31*0.1</f>
        <v>1875.8009999999999</v>
      </c>
      <c r="AU33" s="165">
        <f>AU32+1</f>
        <v>11</v>
      </c>
      <c r="AV33" s="166" t="s">
        <v>27</v>
      </c>
      <c r="AW33" s="221">
        <f>AQ31*0.065</f>
        <v>1219.2706499999999</v>
      </c>
      <c r="AZ33" s="165">
        <f>AZ32+1</f>
        <v>3</v>
      </c>
      <c r="BA33" s="166" t="s">
        <v>98</v>
      </c>
      <c r="BB33" s="221">
        <f>BB31*0.65</f>
        <v>11110.54481004722</v>
      </c>
      <c r="BC33" s="165">
        <f>BC32+1</f>
        <v>7</v>
      </c>
      <c r="BD33" s="166" t="s">
        <v>24</v>
      </c>
      <c r="BE33" s="221">
        <f>BB31*0.1</f>
        <v>1709.314586161111</v>
      </c>
      <c r="BF33" s="165">
        <f>BF32+1</f>
        <v>11</v>
      </c>
      <c r="BG33" s="166" t="s">
        <v>27</v>
      </c>
      <c r="BH33" s="221">
        <f>BB31*0.065</f>
        <v>1111.054481004722</v>
      </c>
    </row>
    <row r="34" spans="2:60" x14ac:dyDescent="0.25">
      <c r="B34" s="228" t="s">
        <v>135</v>
      </c>
      <c r="C34" s="229" t="s">
        <v>270</v>
      </c>
      <c r="D34" s="230">
        <f t="shared" si="14"/>
        <v>12192.7</v>
      </c>
      <c r="E34" s="226">
        <f t="shared" si="15"/>
        <v>4526.7700000000004</v>
      </c>
      <c r="F34" s="226">
        <f t="shared" si="16"/>
        <v>18697.5</v>
      </c>
      <c r="G34" s="227">
        <f t="shared" si="17"/>
        <v>11385.79</v>
      </c>
      <c r="I34" s="230">
        <v>11110.54</v>
      </c>
      <c r="J34" s="226">
        <v>4125</v>
      </c>
      <c r="K34" s="226">
        <v>17038</v>
      </c>
      <c r="L34" s="227">
        <f>(J34*0.45+K34*0.5)</f>
        <v>10375.25</v>
      </c>
      <c r="O34" s="108">
        <f t="shared" si="12"/>
        <v>10</v>
      </c>
      <c r="P34" s="263" t="s">
        <v>54</v>
      </c>
      <c r="Q34" s="264"/>
      <c r="R34" s="261">
        <f t="shared" si="18"/>
        <v>0.875</v>
      </c>
      <c r="S34" s="262"/>
      <c r="AO34" s="165">
        <f>AO33+1</f>
        <v>4</v>
      </c>
      <c r="AP34" s="166" t="s">
        <v>140</v>
      </c>
      <c r="AQ34" s="221">
        <f>AQ31*0.6</f>
        <v>11254.805999999999</v>
      </c>
      <c r="AR34" s="165">
        <f>AR33+1</f>
        <v>8</v>
      </c>
      <c r="AS34" s="166" t="s">
        <v>154</v>
      </c>
      <c r="AT34" s="221">
        <f>AQ31*0.1</f>
        <v>1875.8009999999999</v>
      </c>
      <c r="AU34" s="165">
        <f>AU33+1</f>
        <v>12</v>
      </c>
      <c r="AV34" s="166" t="s">
        <v>28</v>
      </c>
      <c r="AW34" s="221">
        <f>AQ31*0.03495726</f>
        <v>655.72863265259991</v>
      </c>
      <c r="AZ34" s="165">
        <f>AZ33+1</f>
        <v>4</v>
      </c>
      <c r="BA34" s="166" t="s">
        <v>140</v>
      </c>
      <c r="BB34" s="221">
        <f>BB31*0.6</f>
        <v>10255.887516966664</v>
      </c>
      <c r="BC34" s="165">
        <f>BC33+1</f>
        <v>8</v>
      </c>
      <c r="BD34" s="166" t="s">
        <v>154</v>
      </c>
      <c r="BE34" s="221">
        <f>BB31*0.1</f>
        <v>1709.314586161111</v>
      </c>
      <c r="BF34" s="165">
        <f>BF33+1</f>
        <v>12</v>
      </c>
      <c r="BG34" s="166" t="s">
        <v>28</v>
      </c>
      <c r="BH34" s="221">
        <f>BB31*0.03495726</f>
        <v>597.52954410226346</v>
      </c>
    </row>
    <row r="35" spans="2:60" x14ac:dyDescent="0.25">
      <c r="B35" s="228" t="s">
        <v>136</v>
      </c>
      <c r="C35" s="229" t="s">
        <v>271</v>
      </c>
      <c r="D35" s="230">
        <f t="shared" si="14"/>
        <v>12192.7</v>
      </c>
      <c r="E35" s="226">
        <f t="shared" si="15"/>
        <v>8558.6200000000008</v>
      </c>
      <c r="F35" s="226">
        <f t="shared" si="16"/>
        <v>22203.69</v>
      </c>
      <c r="G35" s="227">
        <f t="shared" si="17"/>
        <v>13001.34</v>
      </c>
      <c r="I35" s="230">
        <v>11110.54</v>
      </c>
      <c r="J35" s="226">
        <v>7799</v>
      </c>
      <c r="K35" s="226">
        <v>20233</v>
      </c>
      <c r="L35" s="227">
        <f>(J35*0.65+K35*0.335)</f>
        <v>11847.405000000001</v>
      </c>
      <c r="O35" s="108">
        <f t="shared" si="12"/>
        <v>11</v>
      </c>
      <c r="P35" s="263" t="s">
        <v>24</v>
      </c>
      <c r="Q35" s="264"/>
      <c r="R35" s="261">
        <f t="shared" si="18"/>
        <v>0.875</v>
      </c>
      <c r="S35" s="262"/>
      <c r="AO35" s="174"/>
      <c r="AP35" s="174"/>
      <c r="AQ35" s="174"/>
      <c r="AR35" s="174"/>
      <c r="AS35" s="174"/>
      <c r="AT35" s="174"/>
      <c r="AU35" s="174"/>
      <c r="AV35" s="174"/>
      <c r="AW35" s="174"/>
      <c r="AZ35" s="174"/>
      <c r="BA35" s="174"/>
      <c r="BB35" s="174"/>
      <c r="BC35" s="174"/>
      <c r="BD35" s="174"/>
      <c r="BE35" s="174"/>
      <c r="BF35" s="174"/>
      <c r="BG35" s="174"/>
      <c r="BH35" s="174"/>
    </row>
    <row r="36" spans="2:60" x14ac:dyDescent="0.25">
      <c r="B36" s="228" t="s">
        <v>137</v>
      </c>
      <c r="C36" s="229" t="s">
        <v>270</v>
      </c>
      <c r="D36" s="230">
        <f t="shared" si="14"/>
        <v>12192.7</v>
      </c>
      <c r="E36" s="226">
        <f t="shared" si="15"/>
        <v>4526.7700000000004</v>
      </c>
      <c r="F36" s="226">
        <f t="shared" si="16"/>
        <v>18697.5</v>
      </c>
      <c r="G36" s="227">
        <f t="shared" si="17"/>
        <v>11385.79</v>
      </c>
      <c r="I36" s="230">
        <v>11110.54</v>
      </c>
      <c r="J36" s="226">
        <v>4125</v>
      </c>
      <c r="K36" s="226">
        <v>17038</v>
      </c>
      <c r="L36" s="227">
        <f t="shared" ref="L36:L38" si="19">(J36*0.45+K36*0.5)</f>
        <v>10375.25</v>
      </c>
      <c r="O36" s="108">
        <f t="shared" si="12"/>
        <v>12</v>
      </c>
      <c r="P36" s="263" t="s">
        <v>18</v>
      </c>
      <c r="Q36" s="264"/>
      <c r="R36" s="261">
        <f t="shared" si="18"/>
        <v>0.875</v>
      </c>
      <c r="S36" s="262"/>
      <c r="AO36" s="160"/>
      <c r="AP36" s="161"/>
      <c r="AQ36" s="219"/>
      <c r="AR36" s="160"/>
      <c r="AS36" s="161"/>
      <c r="AT36" s="219"/>
      <c r="AU36" s="160"/>
      <c r="AV36" s="161"/>
      <c r="AW36" s="219"/>
    </row>
    <row r="37" spans="2:60" x14ac:dyDescent="0.25">
      <c r="B37" s="228" t="s">
        <v>138</v>
      </c>
      <c r="C37" s="229" t="s">
        <v>270</v>
      </c>
      <c r="D37" s="230">
        <f t="shared" si="14"/>
        <v>12192.7</v>
      </c>
      <c r="E37" s="226">
        <f t="shared" si="15"/>
        <v>4526.7700000000004</v>
      </c>
      <c r="F37" s="226">
        <f t="shared" si="16"/>
        <v>18697.5</v>
      </c>
      <c r="G37" s="227">
        <f t="shared" si="17"/>
        <v>11385.79</v>
      </c>
      <c r="I37" s="230">
        <v>11110.54</v>
      </c>
      <c r="J37" s="226">
        <v>4125</v>
      </c>
      <c r="K37" s="226">
        <v>17038</v>
      </c>
      <c r="L37" s="227">
        <f t="shared" si="19"/>
        <v>10375.25</v>
      </c>
      <c r="O37" s="108">
        <f t="shared" si="12"/>
        <v>13</v>
      </c>
      <c r="P37" s="263" t="s">
        <v>162</v>
      </c>
      <c r="Q37" s="264"/>
      <c r="R37" s="261">
        <f t="shared" si="18"/>
        <v>0.875</v>
      </c>
      <c r="S37" s="262"/>
      <c r="AO37" s="235" t="s">
        <v>265</v>
      </c>
      <c r="AP37" s="235"/>
      <c r="AQ37" s="235"/>
      <c r="AR37" s="235"/>
      <c r="AS37" s="235"/>
      <c r="AT37" s="235"/>
      <c r="AU37" s="235"/>
      <c r="AV37" s="235"/>
      <c r="AW37" s="235"/>
    </row>
    <row r="38" spans="2:60" x14ac:dyDescent="0.25">
      <c r="B38" s="228" t="s">
        <v>139</v>
      </c>
      <c r="C38" s="229" t="s">
        <v>270</v>
      </c>
      <c r="D38" s="230">
        <f t="shared" si="14"/>
        <v>12192.7</v>
      </c>
      <c r="E38" s="226">
        <f t="shared" si="15"/>
        <v>4526.7700000000004</v>
      </c>
      <c r="F38" s="226">
        <f t="shared" si="16"/>
        <v>18697.5</v>
      </c>
      <c r="G38" s="227">
        <f t="shared" si="17"/>
        <v>11385.79</v>
      </c>
      <c r="I38" s="230">
        <v>11110.54</v>
      </c>
      <c r="J38" s="226">
        <v>4125</v>
      </c>
      <c r="K38" s="226">
        <v>17038</v>
      </c>
      <c r="L38" s="227">
        <f t="shared" si="19"/>
        <v>10375.25</v>
      </c>
      <c r="O38" s="108">
        <f t="shared" si="12"/>
        <v>14</v>
      </c>
      <c r="P38" s="263" t="s">
        <v>163</v>
      </c>
      <c r="Q38" s="264"/>
      <c r="R38" s="261">
        <f t="shared" si="18"/>
        <v>0.875</v>
      </c>
      <c r="S38" s="262"/>
      <c r="AO38" s="254" t="s">
        <v>0</v>
      </c>
      <c r="AP38" s="254"/>
      <c r="AQ38" s="254"/>
      <c r="AR38" s="254"/>
      <c r="AS38" s="254"/>
      <c r="AT38" s="254" t="s">
        <v>3</v>
      </c>
      <c r="AU38" s="254"/>
      <c r="AV38" s="254"/>
      <c r="AW38" s="254"/>
    </row>
    <row r="39" spans="2:60" ht="15.75" thickBot="1" x14ac:dyDescent="0.3">
      <c r="O39" s="108">
        <f t="shared" si="12"/>
        <v>15</v>
      </c>
      <c r="P39" s="267" t="s">
        <v>100</v>
      </c>
      <c r="Q39" s="268"/>
      <c r="R39" s="269">
        <f t="shared" si="18"/>
        <v>0.875</v>
      </c>
      <c r="S39" s="270"/>
      <c r="AO39" s="159" t="s">
        <v>148</v>
      </c>
      <c r="AP39" s="159" t="s">
        <v>1</v>
      </c>
      <c r="AQ39" s="159" t="s">
        <v>204</v>
      </c>
      <c r="AR39" s="159" t="s">
        <v>148</v>
      </c>
      <c r="AS39" s="159" t="s">
        <v>1</v>
      </c>
      <c r="AT39" s="159" t="s">
        <v>204</v>
      </c>
      <c r="AU39" s="159" t="s">
        <v>148</v>
      </c>
      <c r="AV39" s="159" t="s">
        <v>1</v>
      </c>
      <c r="AW39" s="159" t="s">
        <v>204</v>
      </c>
    </row>
    <row r="40" spans="2:60" ht="15.75" thickTop="1" x14ac:dyDescent="0.25">
      <c r="B40" s="225" t="s">
        <v>281</v>
      </c>
      <c r="C40" s="225" t="s">
        <v>204</v>
      </c>
      <c r="D40" s="225" t="s">
        <v>251</v>
      </c>
      <c r="E40" s="225" t="s">
        <v>266</v>
      </c>
      <c r="F40" s="225" t="s">
        <v>267</v>
      </c>
      <c r="G40" s="225" t="s">
        <v>261</v>
      </c>
      <c r="I40" s="225" t="s">
        <v>251</v>
      </c>
      <c r="J40" s="225" t="s">
        <v>266</v>
      </c>
      <c r="K40" s="225" t="s">
        <v>267</v>
      </c>
      <c r="L40" s="225" t="s">
        <v>261</v>
      </c>
      <c r="AO40" s="160" t="s">
        <v>149</v>
      </c>
      <c r="AP40" s="161" t="s">
        <v>102</v>
      </c>
      <c r="AQ40" s="219" t="s">
        <v>227</v>
      </c>
      <c r="AR40" s="160" t="s">
        <v>149</v>
      </c>
      <c r="AS40" s="161" t="s">
        <v>144</v>
      </c>
      <c r="AT40" s="219" t="s">
        <v>231</v>
      </c>
      <c r="AU40" s="160" t="s">
        <v>153</v>
      </c>
      <c r="AV40" s="161" t="s">
        <v>91</v>
      </c>
      <c r="AW40" s="219" t="s">
        <v>234</v>
      </c>
    </row>
    <row r="41" spans="2:60" x14ac:dyDescent="0.25">
      <c r="B41" s="228" t="s">
        <v>102</v>
      </c>
      <c r="C41" s="229" t="s">
        <v>227</v>
      </c>
      <c r="D41" s="230">
        <f t="shared" ref="D41:D59" si="20">TRUNC(I41*$L$21,2)</f>
        <v>2280.2800000000002</v>
      </c>
      <c r="E41" s="226">
        <f t="shared" ref="E41:E59" si="21">TRUNC(J41*$L$21,2)</f>
        <v>1933.61</v>
      </c>
      <c r="F41" s="226">
        <f t="shared" ref="F41:F59" si="22">TRUNC(K41*$L$21,2)</f>
        <v>3217.57</v>
      </c>
      <c r="G41" s="227">
        <f t="shared" ref="G41:G59" si="23">TRUNC(L41*$L$21,2)</f>
        <v>2280.2800000000002</v>
      </c>
      <c r="H41" s="223">
        <f>D41-G41</f>
        <v>0</v>
      </c>
      <c r="I41" s="230">
        <v>2077.9</v>
      </c>
      <c r="J41" s="226">
        <v>1762</v>
      </c>
      <c r="K41" s="226">
        <v>2932</v>
      </c>
      <c r="L41" s="227">
        <f>(J41*0.73+K41*0.27)</f>
        <v>2077.9</v>
      </c>
      <c r="AO41" s="160" t="s">
        <v>150</v>
      </c>
      <c r="AP41" s="161" t="s">
        <v>105</v>
      </c>
      <c r="AQ41" s="219" t="s">
        <v>217</v>
      </c>
      <c r="AR41" s="160" t="s">
        <v>149</v>
      </c>
      <c r="AS41" s="161" t="s">
        <v>74</v>
      </c>
      <c r="AT41" s="222">
        <v>3121</v>
      </c>
      <c r="AU41" s="160" t="s">
        <v>152</v>
      </c>
      <c r="AV41" s="161" t="s">
        <v>118</v>
      </c>
      <c r="AW41" s="219" t="s">
        <v>235</v>
      </c>
    </row>
    <row r="42" spans="2:60" x14ac:dyDescent="0.25">
      <c r="B42" s="228" t="s">
        <v>105</v>
      </c>
      <c r="C42" s="229" t="s">
        <v>224</v>
      </c>
      <c r="D42" s="230">
        <f t="shared" si="20"/>
        <v>5243.15</v>
      </c>
      <c r="E42" s="226">
        <f t="shared" si="21"/>
        <v>3754.2</v>
      </c>
      <c r="F42" s="226">
        <f t="shared" si="22"/>
        <v>7476.58</v>
      </c>
      <c r="G42" s="227">
        <f t="shared" si="23"/>
        <v>5243.15</v>
      </c>
      <c r="H42" s="223">
        <f t="shared" ref="H42:H99" si="24">D42-G42</f>
        <v>0</v>
      </c>
      <c r="I42" s="230">
        <v>4777.8</v>
      </c>
      <c r="J42" s="226">
        <v>3421</v>
      </c>
      <c r="K42" s="226">
        <v>6813</v>
      </c>
      <c r="L42" s="227">
        <f t="shared" ref="L42" si="25">(J42*0.6+K42*0.4)</f>
        <v>4777.8</v>
      </c>
      <c r="AO42" s="160" t="s">
        <v>149</v>
      </c>
      <c r="AP42" s="161" t="s">
        <v>104</v>
      </c>
      <c r="AQ42" s="219" t="s">
        <v>218</v>
      </c>
      <c r="AR42" s="160" t="s">
        <v>149</v>
      </c>
      <c r="AS42" s="161" t="s">
        <v>75</v>
      </c>
      <c r="AT42" s="222">
        <v>3132</v>
      </c>
      <c r="AU42" s="160" t="s">
        <v>153</v>
      </c>
      <c r="AV42" s="161" t="s">
        <v>120</v>
      </c>
      <c r="AW42" s="219" t="s">
        <v>236</v>
      </c>
    </row>
    <row r="43" spans="2:60" x14ac:dyDescent="0.25">
      <c r="B43" s="228" t="s">
        <v>104</v>
      </c>
      <c r="C43" s="229" t="s">
        <v>218</v>
      </c>
      <c r="D43" s="230">
        <f t="shared" si="20"/>
        <v>2833.48</v>
      </c>
      <c r="E43" s="226">
        <f t="shared" si="21"/>
        <v>2381.35</v>
      </c>
      <c r="F43" s="226">
        <f t="shared" si="22"/>
        <v>4189.87</v>
      </c>
      <c r="G43" s="227">
        <f t="shared" si="23"/>
        <v>2833.48</v>
      </c>
      <c r="H43" s="223">
        <f t="shared" si="24"/>
        <v>0</v>
      </c>
      <c r="I43" s="230">
        <v>2582</v>
      </c>
      <c r="J43" s="226">
        <v>2170</v>
      </c>
      <c r="K43" s="226">
        <v>3818</v>
      </c>
      <c r="L43" s="227">
        <f>(J43*0.75+K43*0.25)</f>
        <v>2582</v>
      </c>
      <c r="AO43" s="160" t="s">
        <v>150</v>
      </c>
      <c r="AP43" s="161" t="s">
        <v>103</v>
      </c>
      <c r="AQ43" s="219" t="s">
        <v>219</v>
      </c>
      <c r="AR43" s="160" t="s">
        <v>149</v>
      </c>
      <c r="AS43" s="161" t="s">
        <v>76</v>
      </c>
      <c r="AT43" s="222">
        <v>3132</v>
      </c>
      <c r="AU43" s="160" t="s">
        <v>153</v>
      </c>
      <c r="AV43" s="161" t="s">
        <v>119</v>
      </c>
      <c r="AW43" s="219" t="s">
        <v>237</v>
      </c>
    </row>
    <row r="44" spans="2:60" x14ac:dyDescent="0.25">
      <c r="B44" s="228" t="s">
        <v>103</v>
      </c>
      <c r="C44" s="229" t="s">
        <v>219</v>
      </c>
      <c r="D44" s="230">
        <f t="shared" si="20"/>
        <v>2651.04</v>
      </c>
      <c r="E44" s="226">
        <f t="shared" si="21"/>
        <v>2542.67</v>
      </c>
      <c r="F44" s="226">
        <f t="shared" si="22"/>
        <v>4710.04</v>
      </c>
      <c r="G44" s="227">
        <f t="shared" si="23"/>
        <v>2651.04</v>
      </c>
      <c r="H44" s="223">
        <f t="shared" si="24"/>
        <v>0</v>
      </c>
      <c r="I44" s="230">
        <v>2415.75</v>
      </c>
      <c r="J44" s="226">
        <v>2317</v>
      </c>
      <c r="K44" s="226">
        <v>4292</v>
      </c>
      <c r="L44" s="227">
        <f>(J44*0.95+K44*0.05)</f>
        <v>2415.75</v>
      </c>
      <c r="AO44" s="160" t="s">
        <v>149</v>
      </c>
      <c r="AP44" s="161" t="s">
        <v>106</v>
      </c>
      <c r="AQ44" s="219" t="s">
        <v>220</v>
      </c>
      <c r="AR44" s="160" t="s">
        <v>149</v>
      </c>
      <c r="AS44" s="161" t="s">
        <v>77</v>
      </c>
      <c r="AT44" s="222">
        <v>3003</v>
      </c>
      <c r="AU44" s="160" t="s">
        <v>149</v>
      </c>
      <c r="AV44" s="161" t="s">
        <v>121</v>
      </c>
      <c r="AW44" s="219" t="s">
        <v>238</v>
      </c>
    </row>
    <row r="45" spans="2:60" x14ac:dyDescent="0.25">
      <c r="B45" s="228" t="s">
        <v>106</v>
      </c>
      <c r="C45" s="229" t="s">
        <v>220</v>
      </c>
      <c r="D45" s="230">
        <f t="shared" si="20"/>
        <v>2265.8000000000002</v>
      </c>
      <c r="E45" s="226">
        <f t="shared" si="21"/>
        <v>2105.91</v>
      </c>
      <c r="F45" s="226">
        <f t="shared" si="22"/>
        <v>3704.82</v>
      </c>
      <c r="G45" s="227">
        <f t="shared" si="23"/>
        <v>2265.8000000000002</v>
      </c>
      <c r="H45" s="223">
        <f t="shared" si="24"/>
        <v>0</v>
      </c>
      <c r="I45" s="230">
        <v>2064.7000000000003</v>
      </c>
      <c r="J45" s="226">
        <v>1919</v>
      </c>
      <c r="K45" s="226">
        <v>3376</v>
      </c>
      <c r="L45" s="227">
        <f>(J45*0.9+K45*0.1)</f>
        <v>2064.7000000000003</v>
      </c>
      <c r="AO45" s="160" t="s">
        <v>149</v>
      </c>
      <c r="AP45" s="161" t="s">
        <v>107</v>
      </c>
      <c r="AQ45" s="219" t="s">
        <v>221</v>
      </c>
      <c r="AR45" s="160" t="s">
        <v>149</v>
      </c>
      <c r="AS45" s="161" t="s">
        <v>78</v>
      </c>
      <c r="AT45" s="222" t="s">
        <v>232</v>
      </c>
      <c r="AU45" s="160" t="s">
        <v>153</v>
      </c>
      <c r="AV45" s="161" t="s">
        <v>80</v>
      </c>
      <c r="AW45" s="222">
        <v>4110</v>
      </c>
    </row>
    <row r="46" spans="2:60" x14ac:dyDescent="0.25">
      <c r="B46" s="228" t="s">
        <v>107</v>
      </c>
      <c r="C46" s="229" t="s">
        <v>221</v>
      </c>
      <c r="D46" s="230">
        <f t="shared" si="20"/>
        <v>2454.44</v>
      </c>
      <c r="E46" s="226">
        <f t="shared" si="21"/>
        <v>2247.4699999999998</v>
      </c>
      <c r="F46" s="226">
        <f t="shared" si="22"/>
        <v>4317.17</v>
      </c>
      <c r="G46" s="227">
        <f t="shared" si="23"/>
        <v>2454.44</v>
      </c>
      <c r="H46" s="223">
        <f t="shared" si="24"/>
        <v>0</v>
      </c>
      <c r="I46" s="230">
        <v>2236.6</v>
      </c>
      <c r="J46" s="226">
        <v>2048</v>
      </c>
      <c r="K46" s="226">
        <v>3934</v>
      </c>
      <c r="L46" s="227">
        <f>(J46*0.9+K46*0.1)</f>
        <v>2236.6</v>
      </c>
      <c r="AO46" s="160" t="s">
        <v>149</v>
      </c>
      <c r="AP46" s="161" t="s">
        <v>108</v>
      </c>
      <c r="AQ46" s="219" t="s">
        <v>222</v>
      </c>
      <c r="AR46" s="160" t="s">
        <v>149</v>
      </c>
      <c r="AS46" s="161" t="s">
        <v>79</v>
      </c>
      <c r="AT46" s="222" t="s">
        <v>233</v>
      </c>
      <c r="AU46" s="160" t="s">
        <v>153</v>
      </c>
      <c r="AV46" s="161" t="s">
        <v>84</v>
      </c>
      <c r="AW46" s="222">
        <v>3121</v>
      </c>
    </row>
    <row r="47" spans="2:60" x14ac:dyDescent="0.25">
      <c r="B47" s="228" t="s">
        <v>108</v>
      </c>
      <c r="C47" s="229" t="s">
        <v>222</v>
      </c>
      <c r="D47" s="230">
        <f t="shared" si="20"/>
        <v>2444.56</v>
      </c>
      <c r="E47" s="226">
        <f t="shared" si="21"/>
        <v>2297.9499999999998</v>
      </c>
      <c r="F47" s="226">
        <f t="shared" si="22"/>
        <v>3764.08</v>
      </c>
      <c r="G47" s="227">
        <f t="shared" si="23"/>
        <v>2444.56</v>
      </c>
      <c r="H47" s="223">
        <f t="shared" si="24"/>
        <v>0</v>
      </c>
      <c r="I47" s="230">
        <v>2227.6000000000004</v>
      </c>
      <c r="J47" s="226">
        <v>2094</v>
      </c>
      <c r="K47" s="226">
        <v>3430</v>
      </c>
      <c r="L47" s="227">
        <f>(J47*0.9+K47*0.1)</f>
        <v>2227.6000000000004</v>
      </c>
      <c r="AO47" s="160" t="s">
        <v>150</v>
      </c>
      <c r="AP47" s="161" t="s">
        <v>114</v>
      </c>
      <c r="AQ47" s="219" t="s">
        <v>223</v>
      </c>
      <c r="AR47" s="160" t="s">
        <v>149</v>
      </c>
      <c r="AS47" s="161" t="s">
        <v>72</v>
      </c>
      <c r="AT47" s="222" t="s">
        <v>225</v>
      </c>
      <c r="AU47" s="160" t="s">
        <v>153</v>
      </c>
      <c r="AV47" s="161" t="s">
        <v>88</v>
      </c>
      <c r="AW47" s="219" t="s">
        <v>240</v>
      </c>
    </row>
    <row r="48" spans="2:60" x14ac:dyDescent="0.25">
      <c r="B48" s="228" t="s">
        <v>114</v>
      </c>
      <c r="C48" s="229" t="s">
        <v>223</v>
      </c>
      <c r="D48" s="230">
        <f t="shared" si="20"/>
        <v>2539.58</v>
      </c>
      <c r="E48" s="226">
        <f t="shared" si="21"/>
        <v>2353.92</v>
      </c>
      <c r="F48" s="226">
        <f t="shared" si="22"/>
        <v>4041.72</v>
      </c>
      <c r="G48" s="227">
        <f t="shared" si="23"/>
        <v>2539.58</v>
      </c>
      <c r="H48" s="223">
        <f t="shared" si="24"/>
        <v>0</v>
      </c>
      <c r="I48" s="230">
        <v>2314.1799999999998</v>
      </c>
      <c r="J48" s="226">
        <v>2145</v>
      </c>
      <c r="K48" s="226">
        <v>3683</v>
      </c>
      <c r="L48" s="227">
        <f>(J48*0.89+K48*0.11)</f>
        <v>2314.1799999999998</v>
      </c>
      <c r="AO48" s="160" t="s">
        <v>151</v>
      </c>
      <c r="AP48" s="161" t="s">
        <v>109</v>
      </c>
      <c r="AQ48" s="219" t="s">
        <v>224</v>
      </c>
      <c r="AR48" s="160" t="s">
        <v>153</v>
      </c>
      <c r="AS48" s="161" t="s">
        <v>62</v>
      </c>
      <c r="AT48" s="219" t="s">
        <v>208</v>
      </c>
      <c r="AU48" s="160" t="s">
        <v>149</v>
      </c>
      <c r="AV48" s="161" t="s">
        <v>145</v>
      </c>
      <c r="AW48" s="222">
        <v>3511</v>
      </c>
    </row>
    <row r="49" spans="2:50" x14ac:dyDescent="0.25">
      <c r="B49" s="228" t="s">
        <v>109</v>
      </c>
      <c r="C49" s="229" t="s">
        <v>224</v>
      </c>
      <c r="D49" s="230">
        <f t="shared" si="20"/>
        <v>4126.4399999999996</v>
      </c>
      <c r="E49" s="226">
        <f t="shared" si="21"/>
        <v>3754.2</v>
      </c>
      <c r="F49" s="226">
        <f t="shared" si="22"/>
        <v>7476.58</v>
      </c>
      <c r="G49" s="227">
        <f t="shared" si="23"/>
        <v>4126.4399999999996</v>
      </c>
      <c r="H49" s="223">
        <f t="shared" si="24"/>
        <v>0</v>
      </c>
      <c r="I49" s="230">
        <v>3760.2000000000003</v>
      </c>
      <c r="J49" s="226">
        <v>3421</v>
      </c>
      <c r="K49" s="226">
        <v>6813</v>
      </c>
      <c r="L49" s="227">
        <f>(J49*0.9+K49*0.1)</f>
        <v>3760.2000000000003</v>
      </c>
      <c r="AO49" s="160" t="s">
        <v>150</v>
      </c>
      <c r="AP49" s="161" t="s">
        <v>110</v>
      </c>
      <c r="AQ49" s="219" t="s">
        <v>225</v>
      </c>
      <c r="AR49" s="160" t="s">
        <v>149</v>
      </c>
      <c r="AS49" s="161" t="s">
        <v>71</v>
      </c>
      <c r="AT49" s="219" t="s">
        <v>209</v>
      </c>
      <c r="AU49" s="160" t="s">
        <v>153</v>
      </c>
      <c r="AV49" s="161" t="s">
        <v>89</v>
      </c>
      <c r="AW49" s="219" t="s">
        <v>241</v>
      </c>
    </row>
    <row r="50" spans="2:50" x14ac:dyDescent="0.25">
      <c r="B50" s="228" t="s">
        <v>110</v>
      </c>
      <c r="C50" s="229" t="s">
        <v>225</v>
      </c>
      <c r="D50" s="230">
        <f t="shared" si="20"/>
        <v>2857.51</v>
      </c>
      <c r="E50" s="226">
        <f t="shared" si="21"/>
        <v>2561.33</v>
      </c>
      <c r="F50" s="226">
        <f t="shared" si="22"/>
        <v>5523.21</v>
      </c>
      <c r="G50" s="227">
        <f t="shared" si="23"/>
        <v>2857.51</v>
      </c>
      <c r="H50" s="223">
        <f t="shared" si="24"/>
        <v>0</v>
      </c>
      <c r="I50" s="230">
        <v>2603.9</v>
      </c>
      <c r="J50" s="226">
        <v>2334</v>
      </c>
      <c r="K50" s="226">
        <v>5033</v>
      </c>
      <c r="L50" s="227">
        <f>(J50*0.9+K50*0.1)</f>
        <v>2603.9</v>
      </c>
      <c r="AO50" s="160" t="s">
        <v>149</v>
      </c>
      <c r="AP50" s="161" t="s">
        <v>111</v>
      </c>
      <c r="AQ50" s="219" t="s">
        <v>226</v>
      </c>
      <c r="AR50" s="160" t="s">
        <v>150</v>
      </c>
      <c r="AS50" s="161" t="s">
        <v>63</v>
      </c>
      <c r="AT50" s="219" t="s">
        <v>210</v>
      </c>
      <c r="AU50" s="160" t="s">
        <v>149</v>
      </c>
      <c r="AV50" s="161" t="s">
        <v>90</v>
      </c>
      <c r="AW50" s="219" t="s">
        <v>242</v>
      </c>
    </row>
    <row r="51" spans="2:50" x14ac:dyDescent="0.25">
      <c r="B51" s="228" t="s">
        <v>111</v>
      </c>
      <c r="C51" s="229" t="s">
        <v>226</v>
      </c>
      <c r="D51" s="230">
        <f t="shared" si="20"/>
        <v>2270.7399999999998</v>
      </c>
      <c r="E51" s="226">
        <f t="shared" si="21"/>
        <v>1736.08</v>
      </c>
      <c r="F51" s="226">
        <f t="shared" si="22"/>
        <v>3072.72</v>
      </c>
      <c r="G51" s="227">
        <f t="shared" si="23"/>
        <v>2270.7399999999998</v>
      </c>
      <c r="H51" s="223">
        <f t="shared" si="24"/>
        <v>0</v>
      </c>
      <c r="I51" s="230">
        <v>2069.1999999999998</v>
      </c>
      <c r="J51" s="226">
        <v>1582</v>
      </c>
      <c r="K51" s="226">
        <v>2800</v>
      </c>
      <c r="L51" s="227">
        <f t="shared" ref="L51:L54" si="26">(J51*0.6+K51*0.4)</f>
        <v>2069.1999999999998</v>
      </c>
      <c r="AO51" s="160" t="s">
        <v>149</v>
      </c>
      <c r="AP51" s="161" t="s">
        <v>112</v>
      </c>
      <c r="AQ51" s="219" t="s">
        <v>226</v>
      </c>
      <c r="AR51" s="160" t="s">
        <v>150</v>
      </c>
      <c r="AS51" s="161" t="s">
        <v>65</v>
      </c>
      <c r="AT51" s="219" t="s">
        <v>205</v>
      </c>
      <c r="AU51" s="160" t="s">
        <v>149</v>
      </c>
      <c r="AV51" s="161" t="s">
        <v>92</v>
      </c>
      <c r="AW51" s="219" t="s">
        <v>243</v>
      </c>
    </row>
    <row r="52" spans="2:50" x14ac:dyDescent="0.25">
      <c r="B52" s="228" t="s">
        <v>112</v>
      </c>
      <c r="C52" s="229" t="s">
        <v>226</v>
      </c>
      <c r="D52" s="230">
        <f t="shared" si="20"/>
        <v>2270.7399999999998</v>
      </c>
      <c r="E52" s="226">
        <f t="shared" si="21"/>
        <v>1736.08</v>
      </c>
      <c r="F52" s="226">
        <f t="shared" si="22"/>
        <v>3072.72</v>
      </c>
      <c r="G52" s="227">
        <f t="shared" si="23"/>
        <v>2270.7399999999998</v>
      </c>
      <c r="H52" s="223">
        <f t="shared" si="24"/>
        <v>0</v>
      </c>
      <c r="I52" s="230">
        <v>2069.1999999999998</v>
      </c>
      <c r="J52" s="226">
        <v>1582</v>
      </c>
      <c r="K52" s="226">
        <v>2800</v>
      </c>
      <c r="L52" s="227">
        <f t="shared" si="26"/>
        <v>2069.1999999999998</v>
      </c>
      <c r="AO52" s="160" t="s">
        <v>149</v>
      </c>
      <c r="AP52" s="161" t="s">
        <v>113</v>
      </c>
      <c r="AQ52" s="219" t="s">
        <v>226</v>
      </c>
      <c r="AR52" s="160" t="s">
        <v>150</v>
      </c>
      <c r="AS52" s="161" t="s">
        <v>64</v>
      </c>
      <c r="AT52" s="219" t="s">
        <v>206</v>
      </c>
      <c r="AU52" s="160" t="s">
        <v>152</v>
      </c>
      <c r="AV52" s="161" t="s">
        <v>81</v>
      </c>
      <c r="AW52" s="219" t="s">
        <v>244</v>
      </c>
    </row>
    <row r="53" spans="2:50" x14ac:dyDescent="0.25">
      <c r="B53" s="228" t="s">
        <v>113</v>
      </c>
      <c r="C53" s="229" t="s">
        <v>226</v>
      </c>
      <c r="D53" s="230">
        <f t="shared" si="20"/>
        <v>2270.7399999999998</v>
      </c>
      <c r="E53" s="226">
        <f t="shared" si="21"/>
        <v>1736.08</v>
      </c>
      <c r="F53" s="226">
        <f t="shared" si="22"/>
        <v>3072.72</v>
      </c>
      <c r="G53" s="227">
        <f t="shared" si="23"/>
        <v>2270.7399999999998</v>
      </c>
      <c r="H53" s="223">
        <f t="shared" si="24"/>
        <v>0</v>
      </c>
      <c r="I53" s="230">
        <v>2069.1999999999998</v>
      </c>
      <c r="J53" s="226">
        <v>1582</v>
      </c>
      <c r="K53" s="226">
        <v>2800</v>
      </c>
      <c r="L53" s="227">
        <f t="shared" si="26"/>
        <v>2069.1999999999998</v>
      </c>
      <c r="AO53" s="160" t="s">
        <v>149</v>
      </c>
      <c r="AP53" s="161" t="s">
        <v>142</v>
      </c>
      <c r="AQ53" s="219" t="s">
        <v>226</v>
      </c>
      <c r="AR53" s="160" t="s">
        <v>150</v>
      </c>
      <c r="AS53" s="161" t="s">
        <v>147</v>
      </c>
      <c r="AT53" s="219" t="s">
        <v>207</v>
      </c>
      <c r="AU53" s="160" t="s">
        <v>150</v>
      </c>
      <c r="AV53" s="161" t="s">
        <v>93</v>
      </c>
      <c r="AW53" s="219" t="s">
        <v>245</v>
      </c>
    </row>
    <row r="54" spans="2:50" x14ac:dyDescent="0.25">
      <c r="B54" s="228" t="s">
        <v>142</v>
      </c>
      <c r="C54" s="229" t="s">
        <v>226</v>
      </c>
      <c r="D54" s="230">
        <f t="shared" si="20"/>
        <v>2270.7399999999998</v>
      </c>
      <c r="E54" s="226">
        <f t="shared" si="21"/>
        <v>1736.08</v>
      </c>
      <c r="F54" s="226">
        <f t="shared" si="22"/>
        <v>3072.72</v>
      </c>
      <c r="G54" s="227">
        <f t="shared" si="23"/>
        <v>2270.7399999999998</v>
      </c>
      <c r="H54" s="223">
        <f t="shared" si="24"/>
        <v>0</v>
      </c>
      <c r="I54" s="230">
        <v>2069.1999999999998</v>
      </c>
      <c r="J54" s="226">
        <v>1582</v>
      </c>
      <c r="K54" s="226">
        <v>2800</v>
      </c>
      <c r="L54" s="227">
        <f t="shared" si="26"/>
        <v>2069.1999999999998</v>
      </c>
      <c r="AO54" s="160" t="s">
        <v>153</v>
      </c>
      <c r="AP54" s="161" t="s">
        <v>115</v>
      </c>
      <c r="AQ54" s="219" t="s">
        <v>216</v>
      </c>
      <c r="AR54" s="160" t="s">
        <v>150</v>
      </c>
      <c r="AS54" s="161" t="s">
        <v>66</v>
      </c>
      <c r="AT54" s="219" t="s">
        <v>211</v>
      </c>
      <c r="AU54" s="160" t="s">
        <v>149</v>
      </c>
      <c r="AV54" s="161" t="s">
        <v>82</v>
      </c>
      <c r="AW54" s="219" t="s">
        <v>246</v>
      </c>
    </row>
    <row r="55" spans="2:50" x14ac:dyDescent="0.25">
      <c r="B55" s="228" t="s">
        <v>115</v>
      </c>
      <c r="C55" s="229" t="s">
        <v>216</v>
      </c>
      <c r="D55" s="230">
        <f t="shared" si="20"/>
        <v>2306.9499999999998</v>
      </c>
      <c r="E55" s="226">
        <f t="shared" si="21"/>
        <v>2178.33</v>
      </c>
      <c r="F55" s="226">
        <f t="shared" si="22"/>
        <v>3464.49</v>
      </c>
      <c r="G55" s="227">
        <f t="shared" si="23"/>
        <v>2306.9499999999998</v>
      </c>
      <c r="H55" s="223">
        <f t="shared" si="24"/>
        <v>0</v>
      </c>
      <c r="I55" s="230">
        <v>2102.1999999999998</v>
      </c>
      <c r="J55" s="226">
        <v>1985</v>
      </c>
      <c r="K55" s="226">
        <v>3157</v>
      </c>
      <c r="L55" s="227">
        <f t="shared" ref="L55:L57" si="27">(J55*0.9+K55*0.1)</f>
        <v>2102.1999999999998</v>
      </c>
      <c r="AO55" s="160" t="s">
        <v>152</v>
      </c>
      <c r="AP55" s="161" t="s">
        <v>101</v>
      </c>
      <c r="AQ55" s="219" t="s">
        <v>228</v>
      </c>
      <c r="AR55" s="160" t="s">
        <v>150</v>
      </c>
      <c r="AS55" s="161" t="s">
        <v>67</v>
      </c>
      <c r="AT55" s="219" t="s">
        <v>212</v>
      </c>
      <c r="AU55" s="160" t="s">
        <v>150</v>
      </c>
      <c r="AV55" s="161" t="s">
        <v>83</v>
      </c>
      <c r="AW55" s="219" t="s">
        <v>247</v>
      </c>
    </row>
    <row r="56" spans="2:50" x14ac:dyDescent="0.25">
      <c r="B56" s="228" t="s">
        <v>101</v>
      </c>
      <c r="C56" s="229" t="s">
        <v>228</v>
      </c>
      <c r="D56" s="230">
        <f t="shared" si="20"/>
        <v>1712.93</v>
      </c>
      <c r="E56" s="226">
        <f t="shared" si="21"/>
        <v>1608.78</v>
      </c>
      <c r="F56" s="226">
        <f t="shared" si="22"/>
        <v>2650.22</v>
      </c>
      <c r="G56" s="227">
        <f t="shared" si="23"/>
        <v>1712.93</v>
      </c>
      <c r="H56" s="223">
        <f t="shared" si="24"/>
        <v>0</v>
      </c>
      <c r="I56" s="230">
        <v>1560.9</v>
      </c>
      <c r="J56" s="226">
        <v>1466</v>
      </c>
      <c r="K56" s="226">
        <v>2415</v>
      </c>
      <c r="L56" s="227">
        <f t="shared" si="27"/>
        <v>1560.9</v>
      </c>
      <c r="AO56" s="160" t="s">
        <v>150</v>
      </c>
      <c r="AP56" s="161" t="s">
        <v>116</v>
      </c>
      <c r="AQ56" s="219" t="s">
        <v>229</v>
      </c>
      <c r="AR56" s="160" t="s">
        <v>150</v>
      </c>
      <c r="AS56" s="161" t="s">
        <v>68</v>
      </c>
      <c r="AT56" s="219" t="s">
        <v>213</v>
      </c>
      <c r="AU56" s="160" t="s">
        <v>149</v>
      </c>
      <c r="AV56" s="161" t="s">
        <v>85</v>
      </c>
      <c r="AW56" s="219" t="s">
        <v>248</v>
      </c>
    </row>
    <row r="57" spans="2:50" x14ac:dyDescent="0.25">
      <c r="B57" s="228" t="s">
        <v>116</v>
      </c>
      <c r="C57" s="229" t="s">
        <v>229</v>
      </c>
      <c r="D57" s="230">
        <f t="shared" si="20"/>
        <v>3016.31</v>
      </c>
      <c r="E57" s="226">
        <f t="shared" si="21"/>
        <v>2783</v>
      </c>
      <c r="F57" s="226">
        <f t="shared" si="22"/>
        <v>5116.07</v>
      </c>
      <c r="G57" s="227">
        <f t="shared" si="23"/>
        <v>3016.31</v>
      </c>
      <c r="H57" s="223">
        <f t="shared" si="24"/>
        <v>0</v>
      </c>
      <c r="I57" s="230">
        <v>2748.6000000000004</v>
      </c>
      <c r="J57" s="226">
        <v>2536</v>
      </c>
      <c r="K57" s="226">
        <v>4662</v>
      </c>
      <c r="L57" s="227">
        <f t="shared" si="27"/>
        <v>2748.6000000000004</v>
      </c>
      <c r="AO57" s="160" t="s">
        <v>150</v>
      </c>
      <c r="AP57" s="161" t="s">
        <v>117</v>
      </c>
      <c r="AQ57" s="219" t="s">
        <v>230</v>
      </c>
      <c r="AR57" s="160" t="s">
        <v>150</v>
      </c>
      <c r="AS57" s="161" t="s">
        <v>69</v>
      </c>
      <c r="AT57" s="219" t="s">
        <v>214</v>
      </c>
      <c r="AU57" s="160" t="s">
        <v>153</v>
      </c>
      <c r="AV57" s="161" t="s">
        <v>86</v>
      </c>
      <c r="AW57" s="219" t="s">
        <v>249</v>
      </c>
    </row>
    <row r="58" spans="2:50" x14ac:dyDescent="0.25">
      <c r="B58" s="228" t="s">
        <v>117</v>
      </c>
      <c r="C58" s="229" t="s">
        <v>230</v>
      </c>
      <c r="D58" s="230">
        <f t="shared" si="20"/>
        <v>2689.5</v>
      </c>
      <c r="E58" s="226">
        <f t="shared" si="21"/>
        <v>2034.57</v>
      </c>
      <c r="F58" s="226">
        <f t="shared" si="22"/>
        <v>3671.9</v>
      </c>
      <c r="G58" s="227">
        <f t="shared" si="23"/>
        <v>2689.5</v>
      </c>
      <c r="H58" s="223">
        <f t="shared" si="24"/>
        <v>0</v>
      </c>
      <c r="I58" s="230">
        <v>2450.8000000000002</v>
      </c>
      <c r="J58" s="226">
        <v>1854</v>
      </c>
      <c r="K58" s="226">
        <v>3346</v>
      </c>
      <c r="L58" s="227">
        <f t="shared" ref="L58:L59" si="28">(J58*0.6+K58*0.4)</f>
        <v>2450.8000000000002</v>
      </c>
      <c r="AO58" s="168" t="s">
        <v>149</v>
      </c>
      <c r="AP58" s="169" t="s">
        <v>73</v>
      </c>
      <c r="AQ58" s="220" t="s">
        <v>220</v>
      </c>
      <c r="AR58" s="168" t="s">
        <v>150</v>
      </c>
      <c r="AS58" s="169" t="s">
        <v>70</v>
      </c>
      <c r="AT58" s="220" t="s">
        <v>215</v>
      </c>
      <c r="AU58" s="168" t="s">
        <v>149</v>
      </c>
      <c r="AV58" s="169" t="s">
        <v>87</v>
      </c>
      <c r="AW58" s="219" t="s">
        <v>250</v>
      </c>
    </row>
    <row r="59" spans="2:50" x14ac:dyDescent="0.25">
      <c r="B59" s="228" t="s">
        <v>73</v>
      </c>
      <c r="C59" s="229" t="s">
        <v>220</v>
      </c>
      <c r="D59" s="230">
        <f t="shared" si="20"/>
        <v>2441.0500000000002</v>
      </c>
      <c r="E59" s="226">
        <f t="shared" si="21"/>
        <v>1874.35</v>
      </c>
      <c r="F59" s="226">
        <f t="shared" si="22"/>
        <v>3291.1</v>
      </c>
      <c r="G59" s="227">
        <f t="shared" si="23"/>
        <v>2441.0500000000002</v>
      </c>
      <c r="H59" s="223">
        <f t="shared" si="24"/>
        <v>0</v>
      </c>
      <c r="I59" s="230">
        <v>2224.4</v>
      </c>
      <c r="J59" s="226">
        <v>1708</v>
      </c>
      <c r="K59" s="226">
        <v>2999</v>
      </c>
      <c r="L59" s="227">
        <f t="shared" si="28"/>
        <v>2224.4</v>
      </c>
      <c r="AO59" s="171"/>
      <c r="AP59" s="171"/>
      <c r="AQ59" s="171"/>
      <c r="AR59" s="171"/>
      <c r="AS59" s="171"/>
      <c r="AT59" s="171"/>
      <c r="AU59" s="171"/>
      <c r="AV59" s="171"/>
      <c r="AW59" s="171"/>
      <c r="AX59" t="s">
        <v>239</v>
      </c>
    </row>
    <row r="60" spans="2:50" hidden="1" x14ac:dyDescent="0.25">
      <c r="B60" s="231" t="s">
        <v>282</v>
      </c>
      <c r="C60" s="231" t="s">
        <v>204</v>
      </c>
      <c r="D60" s="231" t="s">
        <v>251</v>
      </c>
      <c r="E60" s="231" t="s">
        <v>253</v>
      </c>
      <c r="F60" s="231" t="s">
        <v>252</v>
      </c>
      <c r="G60" s="231" t="s">
        <v>261</v>
      </c>
      <c r="H60" s="223"/>
      <c r="I60" s="231" t="s">
        <v>251</v>
      </c>
      <c r="J60" s="231" t="s">
        <v>253</v>
      </c>
      <c r="K60" s="231" t="s">
        <v>252</v>
      </c>
      <c r="L60" s="231" t="s">
        <v>261</v>
      </c>
      <c r="AO60" s="236"/>
      <c r="AP60" s="237"/>
      <c r="AQ60" s="238"/>
      <c r="AR60" s="236"/>
      <c r="AS60" s="237"/>
      <c r="AT60" s="238"/>
      <c r="AU60" s="236"/>
      <c r="AV60" s="237"/>
      <c r="AW60" s="238"/>
    </row>
    <row r="61" spans="2:50" x14ac:dyDescent="0.25">
      <c r="B61" s="228" t="s">
        <v>144</v>
      </c>
      <c r="C61" s="229" t="s">
        <v>231</v>
      </c>
      <c r="D61" s="230">
        <f t="shared" ref="D61:D79" si="29">TRUNC(I61*$L$21,2)</f>
        <v>3797.55</v>
      </c>
      <c r="E61" s="226">
        <f t="shared" ref="E61:E79" si="30">TRUNC(J61*$L$21,2)</f>
        <v>2510.85</v>
      </c>
      <c r="F61" s="226">
        <f t="shared" ref="F61:F79" si="31">TRUNC(K61*$L$21,2)</f>
        <v>5084.25</v>
      </c>
      <c r="G61" s="227">
        <f t="shared" ref="G61:G79" si="32">TRUNC(L61*$L$21,2)</f>
        <v>3797.55</v>
      </c>
      <c r="H61" s="223">
        <f t="shared" si="24"/>
        <v>0</v>
      </c>
      <c r="I61" s="230">
        <v>3460.5</v>
      </c>
      <c r="J61" s="226">
        <v>2288</v>
      </c>
      <c r="K61" s="226">
        <v>4633</v>
      </c>
      <c r="L61" s="227">
        <f>(J61*0.5+K61*0.5)</f>
        <v>3460.5</v>
      </c>
    </row>
    <row r="62" spans="2:50" x14ac:dyDescent="0.25">
      <c r="B62" s="228" t="s">
        <v>74</v>
      </c>
      <c r="C62" s="232" t="s">
        <v>254</v>
      </c>
      <c r="D62" s="230">
        <f t="shared" si="29"/>
        <v>4172.58</v>
      </c>
      <c r="E62" s="226">
        <f t="shared" si="30"/>
        <v>3251.59</v>
      </c>
      <c r="F62" s="226">
        <f t="shared" si="31"/>
        <v>6935.56</v>
      </c>
      <c r="G62" s="227">
        <f t="shared" si="32"/>
        <v>4172.58</v>
      </c>
      <c r="H62" s="223">
        <f t="shared" si="24"/>
        <v>0</v>
      </c>
      <c r="I62" s="230">
        <v>3802.25</v>
      </c>
      <c r="J62" s="226">
        <v>2963</v>
      </c>
      <c r="K62" s="226">
        <v>6320</v>
      </c>
      <c r="L62" s="227">
        <f>(J62*0.75+K62*0.25)</f>
        <v>3802.25</v>
      </c>
    </row>
    <row r="63" spans="2:50" x14ac:dyDescent="0.25">
      <c r="B63" s="228" t="s">
        <v>75</v>
      </c>
      <c r="C63" s="232" t="s">
        <v>255</v>
      </c>
      <c r="D63" s="230">
        <f t="shared" si="29"/>
        <v>3651.04</v>
      </c>
      <c r="E63" s="226">
        <f t="shared" si="30"/>
        <v>2362.6999999999998</v>
      </c>
      <c r="F63" s="226">
        <f t="shared" si="31"/>
        <v>4939.3900000000003</v>
      </c>
      <c r="G63" s="227">
        <f t="shared" si="32"/>
        <v>3651.04</v>
      </c>
      <c r="H63" s="223">
        <f t="shared" si="24"/>
        <v>0</v>
      </c>
      <c r="I63" s="230">
        <v>3327</v>
      </c>
      <c r="J63" s="226">
        <v>2153</v>
      </c>
      <c r="K63" s="226">
        <v>4501</v>
      </c>
      <c r="L63" s="227">
        <f t="shared" ref="L63:L64" si="33">(J63*0.5+K63*0.5)</f>
        <v>3327</v>
      </c>
    </row>
    <row r="64" spans="2:50" x14ac:dyDescent="0.25">
      <c r="B64" s="228" t="s">
        <v>76</v>
      </c>
      <c r="C64" s="232" t="s">
        <v>255</v>
      </c>
      <c r="D64" s="230">
        <f t="shared" si="29"/>
        <v>3651.04</v>
      </c>
      <c r="E64" s="226">
        <f t="shared" si="30"/>
        <v>2362.6999999999998</v>
      </c>
      <c r="F64" s="226">
        <f t="shared" si="31"/>
        <v>4939.3900000000003</v>
      </c>
      <c r="G64" s="227">
        <f t="shared" si="32"/>
        <v>3651.04</v>
      </c>
      <c r="H64" s="223">
        <f t="shared" si="24"/>
        <v>0</v>
      </c>
      <c r="I64" s="230">
        <v>3327</v>
      </c>
      <c r="J64" s="226">
        <v>2153</v>
      </c>
      <c r="K64" s="226">
        <v>4501</v>
      </c>
      <c r="L64" s="227">
        <f t="shared" si="33"/>
        <v>3327</v>
      </c>
    </row>
    <row r="65" spans="2:48" x14ac:dyDescent="0.25">
      <c r="B65" s="228" t="s">
        <v>77</v>
      </c>
      <c r="C65" s="232" t="s">
        <v>256</v>
      </c>
      <c r="D65" s="230">
        <f t="shared" si="29"/>
        <v>3872.17</v>
      </c>
      <c r="E65" s="226">
        <f t="shared" si="30"/>
        <v>3094.66</v>
      </c>
      <c r="F65" s="226">
        <f t="shared" si="31"/>
        <v>6204.69</v>
      </c>
      <c r="G65" s="227">
        <f t="shared" si="32"/>
        <v>3872.17</v>
      </c>
      <c r="H65" s="223">
        <f t="shared" si="24"/>
        <v>0</v>
      </c>
      <c r="I65" s="230">
        <v>3528.5</v>
      </c>
      <c r="J65" s="226">
        <v>2820</v>
      </c>
      <c r="K65" s="226">
        <v>5654</v>
      </c>
      <c r="L65" s="227">
        <f>(J65*0.75+K65*0.25)</f>
        <v>3528.5</v>
      </c>
    </row>
    <row r="66" spans="2:48" x14ac:dyDescent="0.25">
      <c r="B66" s="228" t="s">
        <v>78</v>
      </c>
      <c r="C66" s="229" t="s">
        <v>209</v>
      </c>
      <c r="D66" s="230">
        <f t="shared" si="29"/>
        <v>3685.61</v>
      </c>
      <c r="E66" s="226">
        <f t="shared" si="30"/>
        <v>2902.62</v>
      </c>
      <c r="F66" s="226">
        <f t="shared" si="31"/>
        <v>6034.6</v>
      </c>
      <c r="G66" s="227">
        <f t="shared" si="32"/>
        <v>3685.61</v>
      </c>
      <c r="H66" s="223">
        <f t="shared" si="24"/>
        <v>0</v>
      </c>
      <c r="I66" s="230">
        <v>3358.5</v>
      </c>
      <c r="J66" s="226">
        <v>2645</v>
      </c>
      <c r="K66" s="226">
        <v>5499</v>
      </c>
      <c r="L66" s="227">
        <f>(J66*0.75+K66*0.25)</f>
        <v>3358.5</v>
      </c>
    </row>
    <row r="67" spans="2:48" x14ac:dyDescent="0.25">
      <c r="B67" s="228" t="s">
        <v>79</v>
      </c>
      <c r="C67" s="232" t="s">
        <v>233</v>
      </c>
      <c r="D67" s="230">
        <f t="shared" si="29"/>
        <v>3942.95</v>
      </c>
      <c r="E67" s="226">
        <f t="shared" si="30"/>
        <v>2493.29</v>
      </c>
      <c r="F67" s="226">
        <f t="shared" si="31"/>
        <v>5392.62</v>
      </c>
      <c r="G67" s="227">
        <f t="shared" si="32"/>
        <v>3942.95</v>
      </c>
      <c r="H67" s="223">
        <f t="shared" si="24"/>
        <v>0</v>
      </c>
      <c r="I67" s="230">
        <v>3593</v>
      </c>
      <c r="J67" s="226">
        <v>2272</v>
      </c>
      <c r="K67" s="226">
        <v>4914</v>
      </c>
      <c r="L67" s="227">
        <f t="shared" ref="L67:L68" si="34">(J67*0.5+K67*0.5)</f>
        <v>3593</v>
      </c>
    </row>
    <row r="68" spans="2:48" x14ac:dyDescent="0.25">
      <c r="B68" s="228" t="s">
        <v>72</v>
      </c>
      <c r="C68" s="232" t="s">
        <v>225</v>
      </c>
      <c r="D68" s="230">
        <f t="shared" si="29"/>
        <v>4042.27</v>
      </c>
      <c r="E68" s="226">
        <f t="shared" si="30"/>
        <v>2561.33</v>
      </c>
      <c r="F68" s="226">
        <f t="shared" si="31"/>
        <v>5523.21</v>
      </c>
      <c r="G68" s="227">
        <f t="shared" si="32"/>
        <v>4042.27</v>
      </c>
      <c r="H68" s="223">
        <f t="shared" si="24"/>
        <v>0</v>
      </c>
      <c r="I68" s="230">
        <v>3683.5</v>
      </c>
      <c r="J68" s="226">
        <v>2334</v>
      </c>
      <c r="K68" s="226">
        <v>5033</v>
      </c>
      <c r="L68" s="227">
        <f t="shared" si="34"/>
        <v>3683.5</v>
      </c>
    </row>
    <row r="69" spans="2:48" x14ac:dyDescent="0.25">
      <c r="B69" s="228" t="s">
        <v>62</v>
      </c>
      <c r="C69" s="229" t="s">
        <v>208</v>
      </c>
      <c r="D69" s="230">
        <f t="shared" si="29"/>
        <v>4813.1899999999996</v>
      </c>
      <c r="E69" s="226">
        <f t="shared" si="30"/>
        <v>3921.01</v>
      </c>
      <c r="F69" s="226">
        <f t="shared" si="31"/>
        <v>8381.94</v>
      </c>
      <c r="G69" s="227">
        <f t="shared" si="32"/>
        <v>4813.1899999999996</v>
      </c>
      <c r="H69" s="223">
        <f t="shared" si="24"/>
        <v>0</v>
      </c>
      <c r="I69" s="230">
        <v>4386</v>
      </c>
      <c r="J69" s="226">
        <v>3573</v>
      </c>
      <c r="K69" s="226">
        <v>7638</v>
      </c>
      <c r="L69" s="227">
        <f>(J69*0.8+K69*0.2)</f>
        <v>4386</v>
      </c>
    </row>
    <row r="70" spans="2:48" x14ac:dyDescent="0.25">
      <c r="B70" s="228" t="s">
        <v>71</v>
      </c>
      <c r="C70" s="233" t="s">
        <v>262</v>
      </c>
      <c r="D70" s="230">
        <f t="shared" si="29"/>
        <v>6713.01</v>
      </c>
      <c r="E70" s="226">
        <f t="shared" si="30"/>
        <v>5143.51</v>
      </c>
      <c r="F70" s="226">
        <f t="shared" si="31"/>
        <v>12991.02</v>
      </c>
      <c r="G70" s="227">
        <f t="shared" si="32"/>
        <v>6713.01</v>
      </c>
      <c r="H70" s="223">
        <f t="shared" si="24"/>
        <v>0</v>
      </c>
      <c r="I70" s="230">
        <v>6117.2000000000007</v>
      </c>
      <c r="J70" s="226">
        <v>4687</v>
      </c>
      <c r="K70" s="226">
        <v>11838</v>
      </c>
      <c r="L70" s="227">
        <f>(J70*0.8+K70*0.2)</f>
        <v>6117.2000000000007</v>
      </c>
    </row>
    <row r="71" spans="2:48" x14ac:dyDescent="0.25">
      <c r="B71" s="228" t="s">
        <v>63</v>
      </c>
      <c r="C71" s="229" t="s">
        <v>210</v>
      </c>
      <c r="D71" s="230">
        <f t="shared" si="29"/>
        <v>9683.34</v>
      </c>
      <c r="E71" s="226">
        <f t="shared" si="30"/>
        <v>8128.44</v>
      </c>
      <c r="F71" s="226">
        <f t="shared" si="31"/>
        <v>18494.48</v>
      </c>
      <c r="G71" s="227">
        <f t="shared" si="32"/>
        <v>9683.34</v>
      </c>
      <c r="H71" s="223">
        <f t="shared" si="24"/>
        <v>0</v>
      </c>
      <c r="I71" s="230">
        <v>8823.9</v>
      </c>
      <c r="J71" s="226">
        <v>7407</v>
      </c>
      <c r="K71" s="226">
        <v>16853</v>
      </c>
      <c r="L71" s="227">
        <f>(J71*0.85+K71*0.15)</f>
        <v>8823.9</v>
      </c>
    </row>
    <row r="72" spans="2:48" x14ac:dyDescent="0.25">
      <c r="B72" s="228" t="s">
        <v>258</v>
      </c>
      <c r="C72" s="229" t="s">
        <v>257</v>
      </c>
      <c r="D72" s="230">
        <f t="shared" si="29"/>
        <v>11356.16</v>
      </c>
      <c r="E72" s="226">
        <f t="shared" si="30"/>
        <v>9760.27</v>
      </c>
      <c r="F72" s="226">
        <f t="shared" si="31"/>
        <v>20399.560000000001</v>
      </c>
      <c r="G72" s="227">
        <f t="shared" si="32"/>
        <v>11356.16</v>
      </c>
      <c r="H72" s="223">
        <f t="shared" si="24"/>
        <v>0</v>
      </c>
      <c r="I72" s="230">
        <v>10348.25</v>
      </c>
      <c r="J72" s="226">
        <v>8894</v>
      </c>
      <c r="K72" s="226">
        <v>18589</v>
      </c>
      <c r="L72" s="227">
        <f t="shared" ref="L72:L79" si="35">(J72*0.85+K72*0.15)</f>
        <v>10348.25</v>
      </c>
    </row>
    <row r="73" spans="2:48" x14ac:dyDescent="0.25">
      <c r="B73" s="228" t="s">
        <v>64</v>
      </c>
      <c r="C73" s="229" t="s">
        <v>206</v>
      </c>
      <c r="D73" s="230">
        <f t="shared" si="29"/>
        <v>7879.82</v>
      </c>
      <c r="E73" s="226">
        <f t="shared" si="30"/>
        <v>6434.05</v>
      </c>
      <c r="F73" s="226">
        <f t="shared" si="31"/>
        <v>16072.52</v>
      </c>
      <c r="G73" s="227">
        <f t="shared" si="32"/>
        <v>7879.82</v>
      </c>
      <c r="H73" s="223">
        <f t="shared" si="24"/>
        <v>0</v>
      </c>
      <c r="I73" s="230">
        <v>7180.4500000000007</v>
      </c>
      <c r="J73" s="226">
        <v>5863</v>
      </c>
      <c r="K73" s="226">
        <v>14646</v>
      </c>
      <c r="L73" s="227">
        <f t="shared" si="35"/>
        <v>7180.4500000000007</v>
      </c>
    </row>
    <row r="74" spans="2:48" x14ac:dyDescent="0.25">
      <c r="B74" s="228" t="s">
        <v>147</v>
      </c>
      <c r="C74" s="229" t="s">
        <v>207</v>
      </c>
      <c r="D74" s="230">
        <f t="shared" si="29"/>
        <v>11550.24</v>
      </c>
      <c r="E74" s="226">
        <f t="shared" si="30"/>
        <v>10063.15</v>
      </c>
      <c r="F74" s="226">
        <f t="shared" si="31"/>
        <v>19977.060000000001</v>
      </c>
      <c r="G74" s="227">
        <f t="shared" si="32"/>
        <v>11550.24</v>
      </c>
      <c r="H74" s="223">
        <f t="shared" si="24"/>
        <v>0</v>
      </c>
      <c r="I74" s="230">
        <v>10525.1</v>
      </c>
      <c r="J74" s="226">
        <v>9170</v>
      </c>
      <c r="K74" s="226">
        <v>18204</v>
      </c>
      <c r="L74" s="227">
        <f t="shared" si="35"/>
        <v>10525.1</v>
      </c>
    </row>
    <row r="75" spans="2:48" x14ac:dyDescent="0.25">
      <c r="B75" s="228" t="s">
        <v>66</v>
      </c>
      <c r="C75" s="229" t="s">
        <v>211</v>
      </c>
      <c r="D75" s="230">
        <f t="shared" si="29"/>
        <v>11205.77</v>
      </c>
      <c r="E75" s="226">
        <f t="shared" si="30"/>
        <v>9746</v>
      </c>
      <c r="F75" s="226">
        <f t="shared" si="31"/>
        <v>19477.75</v>
      </c>
      <c r="G75" s="227">
        <f t="shared" si="32"/>
        <v>11205.77</v>
      </c>
      <c r="H75" s="223">
        <f t="shared" si="24"/>
        <v>0</v>
      </c>
      <c r="I75" s="230">
        <v>10211.199999999999</v>
      </c>
      <c r="J75" s="226">
        <v>8881</v>
      </c>
      <c r="K75" s="226">
        <v>17749</v>
      </c>
      <c r="L75" s="227">
        <f t="shared" si="35"/>
        <v>10211.199999999999</v>
      </c>
    </row>
    <row r="76" spans="2:48" x14ac:dyDescent="0.25">
      <c r="B76" s="228" t="s">
        <v>67</v>
      </c>
      <c r="C76" s="229" t="s">
        <v>212</v>
      </c>
      <c r="D76" s="230">
        <f t="shared" si="29"/>
        <v>9799.94</v>
      </c>
      <c r="E76" s="226">
        <f t="shared" si="30"/>
        <v>8868.08</v>
      </c>
      <c r="F76" s="226">
        <f t="shared" si="31"/>
        <v>15080.47</v>
      </c>
      <c r="G76" s="227">
        <f t="shared" si="32"/>
        <v>9799.94</v>
      </c>
      <c r="H76" s="223">
        <f t="shared" si="24"/>
        <v>0</v>
      </c>
      <c r="I76" s="230">
        <v>8930.15</v>
      </c>
      <c r="J76" s="226">
        <v>8081</v>
      </c>
      <c r="K76" s="226">
        <v>13742</v>
      </c>
      <c r="L76" s="227">
        <f t="shared" si="35"/>
        <v>8930.15</v>
      </c>
    </row>
    <row r="77" spans="2:48" x14ac:dyDescent="0.25">
      <c r="B77" s="228" t="s">
        <v>68</v>
      </c>
      <c r="C77" s="229" t="s">
        <v>213</v>
      </c>
      <c r="D77" s="230">
        <f t="shared" si="29"/>
        <v>9768.34</v>
      </c>
      <c r="E77" s="226">
        <f t="shared" si="30"/>
        <v>9727.35</v>
      </c>
      <c r="F77" s="226">
        <f t="shared" si="31"/>
        <v>10000.6</v>
      </c>
      <c r="G77" s="227">
        <f t="shared" si="32"/>
        <v>9768.34</v>
      </c>
      <c r="H77" s="223">
        <f t="shared" si="24"/>
        <v>0</v>
      </c>
      <c r="I77" s="230">
        <v>8901.35</v>
      </c>
      <c r="J77" s="226">
        <v>8864</v>
      </c>
      <c r="K77" s="226">
        <v>9113</v>
      </c>
      <c r="L77" s="227">
        <f t="shared" si="35"/>
        <v>8901.35</v>
      </c>
    </row>
    <row r="78" spans="2:48" x14ac:dyDescent="0.25">
      <c r="B78" s="228" t="s">
        <v>69</v>
      </c>
      <c r="C78" s="229" t="s">
        <v>214</v>
      </c>
      <c r="D78" s="230">
        <f t="shared" si="29"/>
        <v>11353.37</v>
      </c>
      <c r="E78" s="226">
        <f t="shared" si="30"/>
        <v>9756.98</v>
      </c>
      <c r="F78" s="226">
        <f t="shared" si="31"/>
        <v>20399.560000000001</v>
      </c>
      <c r="G78" s="227">
        <f t="shared" si="32"/>
        <v>11353.37</v>
      </c>
      <c r="H78" s="223">
        <f t="shared" si="24"/>
        <v>0</v>
      </c>
      <c r="I78" s="230">
        <v>10345.699999999999</v>
      </c>
      <c r="J78" s="226">
        <v>8891</v>
      </c>
      <c r="K78" s="226">
        <v>18589</v>
      </c>
      <c r="L78" s="227">
        <f t="shared" si="35"/>
        <v>10345.699999999999</v>
      </c>
    </row>
    <row r="79" spans="2:48" x14ac:dyDescent="0.25">
      <c r="B79" s="228" t="s">
        <v>70</v>
      </c>
      <c r="C79" s="229" t="s">
        <v>215</v>
      </c>
      <c r="D79" s="230">
        <f t="shared" si="29"/>
        <v>9809.1</v>
      </c>
      <c r="E79" s="226">
        <f t="shared" si="30"/>
        <v>9767.9500000000007</v>
      </c>
      <c r="F79" s="226">
        <f t="shared" si="31"/>
        <v>10042.299999999999</v>
      </c>
      <c r="G79" s="227">
        <f t="shared" si="32"/>
        <v>9809.1</v>
      </c>
      <c r="H79" s="223">
        <f t="shared" si="24"/>
        <v>0</v>
      </c>
      <c r="I79" s="230">
        <v>8938.5</v>
      </c>
      <c r="J79" s="226">
        <v>8901</v>
      </c>
      <c r="K79" s="226">
        <v>9151</v>
      </c>
      <c r="L79" s="227">
        <f t="shared" si="35"/>
        <v>8938.5</v>
      </c>
      <c r="AO79" s="173"/>
      <c r="AQ79" s="173"/>
      <c r="AV79" s="173"/>
    </row>
    <row r="80" spans="2:48" x14ac:dyDescent="0.25">
      <c r="B80" s="231" t="str">
        <f>AT38</f>
        <v>Área Administrativa - Atividade-meio</v>
      </c>
      <c r="C80" s="231" t="s">
        <v>204</v>
      </c>
      <c r="D80" s="231" t="s">
        <v>251</v>
      </c>
      <c r="E80" s="231" t="s">
        <v>253</v>
      </c>
      <c r="F80" s="231" t="s">
        <v>252</v>
      </c>
      <c r="G80" s="231" t="s">
        <v>261</v>
      </c>
      <c r="H80" s="223"/>
      <c r="I80" s="231" t="s">
        <v>251</v>
      </c>
      <c r="J80" s="231" t="s">
        <v>253</v>
      </c>
      <c r="K80" s="231" t="s">
        <v>252</v>
      </c>
      <c r="L80" s="231" t="s">
        <v>261</v>
      </c>
    </row>
    <row r="81" spans="2:12" x14ac:dyDescent="0.25">
      <c r="B81" s="228" t="s">
        <v>91</v>
      </c>
      <c r="C81" s="229" t="s">
        <v>234</v>
      </c>
      <c r="D81" s="230">
        <f t="shared" ref="D81:D99" si="36">TRUNC(I81*$L$21,2)</f>
        <v>1876.82</v>
      </c>
      <c r="E81" s="226">
        <f t="shared" ref="E81:E99" si="37">TRUNC(J81*$L$21,2)</f>
        <v>1618.66</v>
      </c>
      <c r="F81" s="226">
        <f t="shared" ref="F81:F99" si="38">TRUNC(K81*$L$21,2)</f>
        <v>2651.31</v>
      </c>
      <c r="G81" s="227">
        <f t="shared" ref="G81:G99" si="39">TRUNC(L81*$L$21,2)</f>
        <v>1876.82</v>
      </c>
      <c r="H81" s="223">
        <f t="shared" si="24"/>
        <v>0</v>
      </c>
      <c r="I81" s="230">
        <v>1710.25</v>
      </c>
      <c r="J81" s="226">
        <v>1475</v>
      </c>
      <c r="K81" s="226">
        <v>2416</v>
      </c>
      <c r="L81" s="227">
        <f t="shared" ref="L81:L93" si="40">(J81*0.75+K81*0.25)</f>
        <v>1710.25</v>
      </c>
    </row>
    <row r="82" spans="2:12" x14ac:dyDescent="0.25">
      <c r="B82" s="228" t="s">
        <v>118</v>
      </c>
      <c r="C82" s="229" t="s">
        <v>235</v>
      </c>
      <c r="D82" s="230">
        <f t="shared" si="36"/>
        <v>1701.51</v>
      </c>
      <c r="E82" s="226">
        <f t="shared" si="37"/>
        <v>1501.24</v>
      </c>
      <c r="F82" s="226">
        <f t="shared" si="38"/>
        <v>2302.34</v>
      </c>
      <c r="G82" s="227">
        <f t="shared" si="39"/>
        <v>1701.51</v>
      </c>
      <c r="H82" s="223">
        <f t="shared" si="24"/>
        <v>0</v>
      </c>
      <c r="I82" s="230">
        <v>1550.5</v>
      </c>
      <c r="J82" s="226">
        <v>1368</v>
      </c>
      <c r="K82" s="226">
        <v>2098</v>
      </c>
      <c r="L82" s="227">
        <f t="shared" si="40"/>
        <v>1550.5</v>
      </c>
    </row>
    <row r="83" spans="2:12" x14ac:dyDescent="0.25">
      <c r="B83" s="228" t="s">
        <v>120</v>
      </c>
      <c r="C83" s="229" t="s">
        <v>236</v>
      </c>
      <c r="D83" s="230">
        <f t="shared" si="36"/>
        <v>1884.78</v>
      </c>
      <c r="E83" s="226">
        <f t="shared" si="37"/>
        <v>1643.9</v>
      </c>
      <c r="F83" s="226">
        <f t="shared" si="38"/>
        <v>2607.42</v>
      </c>
      <c r="G83" s="227">
        <f t="shared" si="39"/>
        <v>1884.78</v>
      </c>
      <c r="H83" s="223">
        <f t="shared" si="24"/>
        <v>0</v>
      </c>
      <c r="I83" s="230">
        <v>1717.5</v>
      </c>
      <c r="J83" s="226">
        <v>1498</v>
      </c>
      <c r="K83" s="226">
        <v>2376</v>
      </c>
      <c r="L83" s="227">
        <f t="shared" si="40"/>
        <v>1717.5</v>
      </c>
    </row>
    <row r="84" spans="2:12" x14ac:dyDescent="0.25">
      <c r="B84" s="228" t="s">
        <v>119</v>
      </c>
      <c r="C84" s="229" t="s">
        <v>237</v>
      </c>
      <c r="D84" s="230">
        <f t="shared" si="36"/>
        <v>1898.77</v>
      </c>
      <c r="E84" s="226">
        <f t="shared" si="37"/>
        <v>1654.87</v>
      </c>
      <c r="F84" s="226">
        <f t="shared" si="38"/>
        <v>2630.46</v>
      </c>
      <c r="G84" s="227">
        <f t="shared" si="39"/>
        <v>1898.77</v>
      </c>
      <c r="H84" s="223">
        <f t="shared" si="24"/>
        <v>0</v>
      </c>
      <c r="I84" s="230">
        <v>1730.25</v>
      </c>
      <c r="J84" s="226">
        <v>1508</v>
      </c>
      <c r="K84" s="226">
        <v>2397</v>
      </c>
      <c r="L84" s="227">
        <f t="shared" si="40"/>
        <v>1730.25</v>
      </c>
    </row>
    <row r="85" spans="2:12" x14ac:dyDescent="0.25">
      <c r="B85" s="228" t="s">
        <v>121</v>
      </c>
      <c r="C85" s="229" t="s">
        <v>238</v>
      </c>
      <c r="D85" s="230">
        <f t="shared" si="36"/>
        <v>2323.4699999999998</v>
      </c>
      <c r="E85" s="226">
        <f t="shared" si="37"/>
        <v>1961.05</v>
      </c>
      <c r="F85" s="226">
        <f t="shared" si="38"/>
        <v>3410.71</v>
      </c>
      <c r="G85" s="227">
        <f t="shared" si="39"/>
        <v>2323.4699999999998</v>
      </c>
      <c r="H85" s="223">
        <f t="shared" si="24"/>
        <v>0</v>
      </c>
      <c r="I85" s="230">
        <v>2117.25</v>
      </c>
      <c r="J85" s="226">
        <v>1787</v>
      </c>
      <c r="K85" s="226">
        <v>3108</v>
      </c>
      <c r="L85" s="227">
        <f t="shared" si="40"/>
        <v>2117.25</v>
      </c>
    </row>
    <row r="86" spans="2:12" x14ac:dyDescent="0.25">
      <c r="B86" s="228" t="s">
        <v>80</v>
      </c>
      <c r="C86" s="232" t="s">
        <v>259</v>
      </c>
      <c r="D86" s="230">
        <f t="shared" si="36"/>
        <v>2681.22</v>
      </c>
      <c r="E86" s="226">
        <f t="shared" si="37"/>
        <v>2160.7800000000002</v>
      </c>
      <c r="F86" s="226">
        <f t="shared" si="38"/>
        <v>4242.54</v>
      </c>
      <c r="G86" s="227">
        <f t="shared" si="39"/>
        <v>2681.22</v>
      </c>
      <c r="H86" s="223">
        <f t="shared" si="24"/>
        <v>0</v>
      </c>
      <c r="I86" s="230">
        <v>2443.25</v>
      </c>
      <c r="J86" s="226">
        <v>1969</v>
      </c>
      <c r="K86" s="226">
        <v>3866</v>
      </c>
      <c r="L86" s="227">
        <f t="shared" si="40"/>
        <v>2443.25</v>
      </c>
    </row>
    <row r="87" spans="2:12" x14ac:dyDescent="0.25">
      <c r="B87" s="228" t="s">
        <v>84</v>
      </c>
      <c r="C87" s="232" t="s">
        <v>254</v>
      </c>
      <c r="D87" s="230">
        <f t="shared" si="36"/>
        <v>4172.58</v>
      </c>
      <c r="E87" s="226">
        <f t="shared" si="37"/>
        <v>3251.59</v>
      </c>
      <c r="F87" s="226">
        <f t="shared" si="38"/>
        <v>6935.56</v>
      </c>
      <c r="G87" s="227">
        <f t="shared" si="39"/>
        <v>4172.58</v>
      </c>
      <c r="H87" s="223">
        <f t="shared" si="24"/>
        <v>0</v>
      </c>
      <c r="I87" s="230">
        <v>3802.25</v>
      </c>
      <c r="J87" s="226">
        <v>2963</v>
      </c>
      <c r="K87" s="226">
        <v>6320</v>
      </c>
      <c r="L87" s="227">
        <f t="shared" si="40"/>
        <v>3802.25</v>
      </c>
    </row>
    <row r="88" spans="2:12" x14ac:dyDescent="0.25">
      <c r="B88" s="228" t="s">
        <v>88</v>
      </c>
      <c r="C88" s="229" t="s">
        <v>240</v>
      </c>
      <c r="D88" s="230">
        <f t="shared" si="36"/>
        <v>7892.5</v>
      </c>
      <c r="E88" s="226">
        <f t="shared" si="37"/>
        <v>5773.42</v>
      </c>
      <c r="F88" s="226">
        <f t="shared" si="38"/>
        <v>14249.73</v>
      </c>
      <c r="G88" s="227">
        <f t="shared" si="39"/>
        <v>7892.5</v>
      </c>
      <c r="H88" s="223">
        <f t="shared" si="24"/>
        <v>0</v>
      </c>
      <c r="I88" s="230">
        <v>7192</v>
      </c>
      <c r="J88" s="226">
        <v>5261</v>
      </c>
      <c r="K88" s="226">
        <v>12985</v>
      </c>
      <c r="L88" s="227">
        <f t="shared" si="40"/>
        <v>7192</v>
      </c>
    </row>
    <row r="89" spans="2:12" x14ac:dyDescent="0.25">
      <c r="B89" s="228" t="s">
        <v>145</v>
      </c>
      <c r="C89" s="232" t="s">
        <v>260</v>
      </c>
      <c r="D89" s="230">
        <f t="shared" si="36"/>
        <v>4657.63</v>
      </c>
      <c r="E89" s="226">
        <f t="shared" si="37"/>
        <v>3628</v>
      </c>
      <c r="F89" s="226">
        <f t="shared" si="38"/>
        <v>7746.54</v>
      </c>
      <c r="G89" s="227">
        <f t="shared" si="39"/>
        <v>4657.63</v>
      </c>
      <c r="H89" s="223">
        <f t="shared" si="24"/>
        <v>0</v>
      </c>
      <c r="I89" s="230">
        <v>4244.25</v>
      </c>
      <c r="J89" s="226">
        <v>3306</v>
      </c>
      <c r="K89" s="226">
        <v>7059</v>
      </c>
      <c r="L89" s="227">
        <f t="shared" si="40"/>
        <v>4244.25</v>
      </c>
    </row>
    <row r="90" spans="2:12" x14ac:dyDescent="0.25">
      <c r="B90" s="228" t="s">
        <v>89</v>
      </c>
      <c r="C90" s="229" t="s">
        <v>241</v>
      </c>
      <c r="D90" s="230">
        <f t="shared" si="36"/>
        <v>4086.16</v>
      </c>
      <c r="E90" s="226">
        <f t="shared" si="37"/>
        <v>3348.16</v>
      </c>
      <c r="F90" s="226">
        <f t="shared" si="38"/>
        <v>6300.17</v>
      </c>
      <c r="G90" s="227">
        <f t="shared" si="39"/>
        <v>4086.16</v>
      </c>
      <c r="H90" s="223">
        <f t="shared" si="24"/>
        <v>0</v>
      </c>
      <c r="I90" s="230">
        <v>3723.5</v>
      </c>
      <c r="J90" s="226">
        <v>3051</v>
      </c>
      <c r="K90" s="226">
        <v>5741</v>
      </c>
      <c r="L90" s="227">
        <f t="shared" si="40"/>
        <v>3723.5</v>
      </c>
    </row>
    <row r="91" spans="2:12" x14ac:dyDescent="0.25">
      <c r="B91" s="228" t="s">
        <v>90</v>
      </c>
      <c r="C91" s="229" t="s">
        <v>242</v>
      </c>
      <c r="D91" s="230">
        <f t="shared" si="36"/>
        <v>6875.48</v>
      </c>
      <c r="E91" s="226">
        <f t="shared" si="37"/>
        <v>5027.18</v>
      </c>
      <c r="F91" s="226">
        <f t="shared" si="38"/>
        <v>12420.37</v>
      </c>
      <c r="G91" s="227">
        <f t="shared" si="39"/>
        <v>6875.48</v>
      </c>
      <c r="H91" s="223">
        <f t="shared" si="24"/>
        <v>0</v>
      </c>
      <c r="I91" s="230">
        <v>6265.25</v>
      </c>
      <c r="J91" s="226">
        <v>4581</v>
      </c>
      <c r="K91" s="226">
        <v>11318</v>
      </c>
      <c r="L91" s="227">
        <f t="shared" si="40"/>
        <v>6265.25</v>
      </c>
    </row>
    <row r="92" spans="2:12" x14ac:dyDescent="0.25">
      <c r="B92" s="228" t="s">
        <v>92</v>
      </c>
      <c r="C92" s="229" t="s">
        <v>243</v>
      </c>
      <c r="D92" s="230">
        <f t="shared" si="36"/>
        <v>6500.17</v>
      </c>
      <c r="E92" s="226">
        <f t="shared" si="37"/>
        <v>4807.7</v>
      </c>
      <c r="F92" s="226">
        <f t="shared" si="38"/>
        <v>11577.57</v>
      </c>
      <c r="G92" s="227">
        <f t="shared" si="39"/>
        <v>6500.17</v>
      </c>
      <c r="H92" s="223">
        <f t="shared" si="24"/>
        <v>0</v>
      </c>
      <c r="I92" s="230">
        <v>5923.25</v>
      </c>
      <c r="J92" s="226">
        <v>4381</v>
      </c>
      <c r="K92" s="226">
        <v>10550</v>
      </c>
      <c r="L92" s="227">
        <f t="shared" si="40"/>
        <v>5923.25</v>
      </c>
    </row>
    <row r="93" spans="2:12" x14ac:dyDescent="0.25">
      <c r="B93" s="228" t="s">
        <v>81</v>
      </c>
      <c r="C93" s="229" t="s">
        <v>244</v>
      </c>
      <c r="D93" s="230">
        <f t="shared" si="36"/>
        <v>3989.87</v>
      </c>
      <c r="E93" s="226">
        <f t="shared" si="37"/>
        <v>3240.62</v>
      </c>
      <c r="F93" s="226">
        <f t="shared" si="38"/>
        <v>6237.62</v>
      </c>
      <c r="G93" s="227">
        <f t="shared" si="39"/>
        <v>3989.87</v>
      </c>
      <c r="H93" s="223">
        <f t="shared" si="24"/>
        <v>0</v>
      </c>
      <c r="I93" s="230">
        <v>3635.75</v>
      </c>
      <c r="J93" s="226">
        <v>2953</v>
      </c>
      <c r="K93" s="226">
        <v>5684</v>
      </c>
      <c r="L93" s="227">
        <f t="shared" si="40"/>
        <v>3635.75</v>
      </c>
    </row>
    <row r="94" spans="2:12" x14ac:dyDescent="0.25">
      <c r="B94" s="228" t="s">
        <v>93</v>
      </c>
      <c r="C94" s="229" t="s">
        <v>245</v>
      </c>
      <c r="D94" s="230">
        <f t="shared" si="36"/>
        <v>9147.26</v>
      </c>
      <c r="E94" s="226">
        <f t="shared" si="37"/>
        <v>7291.12</v>
      </c>
      <c r="F94" s="226">
        <f t="shared" si="38"/>
        <v>25852.54</v>
      </c>
      <c r="G94" s="227">
        <f t="shared" si="39"/>
        <v>9147.26</v>
      </c>
      <c r="H94" s="223">
        <f t="shared" si="24"/>
        <v>0</v>
      </c>
      <c r="I94" s="230">
        <v>8335.4000000000015</v>
      </c>
      <c r="J94" s="226">
        <v>6644</v>
      </c>
      <c r="K94" s="226">
        <v>23558</v>
      </c>
      <c r="L94" s="227">
        <f>(J94*0.9+K94*0.1)</f>
        <v>8335.4000000000015</v>
      </c>
    </row>
    <row r="95" spans="2:12" x14ac:dyDescent="0.25">
      <c r="B95" s="228" t="s">
        <v>82</v>
      </c>
      <c r="C95" s="229" t="s">
        <v>246</v>
      </c>
      <c r="D95" s="230">
        <f t="shared" si="36"/>
        <v>6337.04</v>
      </c>
      <c r="E95" s="226">
        <f t="shared" si="37"/>
        <v>5006.33</v>
      </c>
      <c r="F95" s="226">
        <f t="shared" si="38"/>
        <v>11659.87</v>
      </c>
      <c r="G95" s="227">
        <f t="shared" si="39"/>
        <v>6337.04</v>
      </c>
      <c r="H95" s="223">
        <f t="shared" si="24"/>
        <v>0</v>
      </c>
      <c r="I95" s="230">
        <v>5774.6</v>
      </c>
      <c r="J95" s="226">
        <v>4562</v>
      </c>
      <c r="K95" s="226">
        <v>10625</v>
      </c>
      <c r="L95" s="227">
        <f t="shared" ref="L95" si="41">(J95*0.8+K95*0.2)</f>
        <v>5774.6</v>
      </c>
    </row>
    <row r="96" spans="2:12" x14ac:dyDescent="0.25">
      <c r="B96" s="228" t="s">
        <v>83</v>
      </c>
      <c r="C96" s="229" t="s">
        <v>247</v>
      </c>
      <c r="D96" s="230">
        <f t="shared" si="36"/>
        <v>9138.48</v>
      </c>
      <c r="E96" s="226">
        <f t="shared" si="37"/>
        <v>8553.1299999999992</v>
      </c>
      <c r="F96" s="226">
        <f t="shared" si="38"/>
        <v>12455.49</v>
      </c>
      <c r="G96" s="227">
        <f t="shared" si="39"/>
        <v>9138.48</v>
      </c>
      <c r="H96" s="223">
        <f t="shared" si="24"/>
        <v>0</v>
      </c>
      <c r="I96" s="230">
        <v>8327.4</v>
      </c>
      <c r="J96" s="226">
        <v>7794</v>
      </c>
      <c r="K96" s="226">
        <v>11350</v>
      </c>
      <c r="L96" s="227">
        <f>(J96*0.85+K96*0.15)</f>
        <v>8327.4</v>
      </c>
    </row>
    <row r="97" spans="2:12" x14ac:dyDescent="0.25">
      <c r="B97" s="228" t="s">
        <v>85</v>
      </c>
      <c r="C97" s="229" t="s">
        <v>248</v>
      </c>
      <c r="D97" s="230">
        <f t="shared" si="36"/>
        <v>5318</v>
      </c>
      <c r="E97" s="226">
        <f t="shared" si="37"/>
        <v>3992.34</v>
      </c>
      <c r="F97" s="226">
        <f t="shared" si="38"/>
        <v>9294.9699999999993</v>
      </c>
      <c r="G97" s="227">
        <f t="shared" si="39"/>
        <v>5318</v>
      </c>
      <c r="H97" s="223">
        <f t="shared" si="24"/>
        <v>0</v>
      </c>
      <c r="I97" s="230">
        <v>4846</v>
      </c>
      <c r="J97" s="226">
        <v>3638</v>
      </c>
      <c r="K97" s="226">
        <v>8470</v>
      </c>
      <c r="L97" s="227">
        <f t="shared" ref="L97:L99" si="42">(J97*0.75+K97*0.25)</f>
        <v>4846</v>
      </c>
    </row>
    <row r="98" spans="2:12" x14ac:dyDescent="0.25">
      <c r="B98" s="228" t="s">
        <v>86</v>
      </c>
      <c r="C98" s="229" t="s">
        <v>249</v>
      </c>
      <c r="D98" s="230">
        <f t="shared" si="36"/>
        <v>4397.28</v>
      </c>
      <c r="E98" s="226">
        <f t="shared" si="37"/>
        <v>3497.41</v>
      </c>
      <c r="F98" s="226">
        <f t="shared" si="38"/>
        <v>7096.88</v>
      </c>
      <c r="G98" s="227">
        <f t="shared" si="39"/>
        <v>4397.28</v>
      </c>
      <c r="H98" s="223">
        <f t="shared" si="24"/>
        <v>0</v>
      </c>
      <c r="I98" s="230">
        <v>4007</v>
      </c>
      <c r="J98" s="226">
        <v>3187</v>
      </c>
      <c r="K98" s="226">
        <v>6467</v>
      </c>
      <c r="L98" s="227">
        <f t="shared" si="42"/>
        <v>4007</v>
      </c>
    </row>
    <row r="99" spans="2:12" x14ac:dyDescent="0.25">
      <c r="B99" s="228" t="s">
        <v>264</v>
      </c>
      <c r="C99" s="229" t="s">
        <v>250</v>
      </c>
      <c r="D99" s="230">
        <f t="shared" si="36"/>
        <v>3469.15</v>
      </c>
      <c r="E99" s="226">
        <f t="shared" si="37"/>
        <v>2533.89</v>
      </c>
      <c r="F99" s="226">
        <f t="shared" si="38"/>
        <v>6274.93</v>
      </c>
      <c r="G99" s="227">
        <f t="shared" si="39"/>
        <v>3469.15</v>
      </c>
      <c r="H99" s="223">
        <f t="shared" si="24"/>
        <v>0</v>
      </c>
      <c r="I99" s="230">
        <v>3161.25</v>
      </c>
      <c r="J99" s="226">
        <v>2309</v>
      </c>
      <c r="K99" s="226">
        <v>5718</v>
      </c>
      <c r="L99" s="227">
        <f t="shared" si="42"/>
        <v>3161.25</v>
      </c>
    </row>
  </sheetData>
  <mergeCells count="40">
    <mergeCell ref="AZ3:BH3"/>
    <mergeCell ref="AZ4:BD4"/>
    <mergeCell ref="BE4:BH4"/>
    <mergeCell ref="AZ29:BH29"/>
    <mergeCell ref="P39:Q39"/>
    <mergeCell ref="R39:S39"/>
    <mergeCell ref="P36:Q36"/>
    <mergeCell ref="R36:S36"/>
    <mergeCell ref="P37:Q37"/>
    <mergeCell ref="R37:S37"/>
    <mergeCell ref="P38:Q38"/>
    <mergeCell ref="R38:S38"/>
    <mergeCell ref="P33:Q33"/>
    <mergeCell ref="R33:S33"/>
    <mergeCell ref="P34:Q34"/>
    <mergeCell ref="R34:S34"/>
    <mergeCell ref="P35:Q35"/>
    <mergeCell ref="R35:S35"/>
    <mergeCell ref="R29:S29"/>
    <mergeCell ref="R30:S30"/>
    <mergeCell ref="P31:Q31"/>
    <mergeCell ref="R31:S31"/>
    <mergeCell ref="P32:Q32"/>
    <mergeCell ref="R32:S32"/>
    <mergeCell ref="AT38:AW38"/>
    <mergeCell ref="B3:B4"/>
    <mergeCell ref="C3:C4"/>
    <mergeCell ref="D3:AG3"/>
    <mergeCell ref="AO3:AW3"/>
    <mergeCell ref="AO4:AS4"/>
    <mergeCell ref="AT4:AW4"/>
    <mergeCell ref="AO29:AW29"/>
    <mergeCell ref="AO38:AS38"/>
    <mergeCell ref="P25:Q25"/>
    <mergeCell ref="R25:S25"/>
    <mergeCell ref="R26:S26"/>
    <mergeCell ref="P27:Q27"/>
    <mergeCell ref="R27:S27"/>
    <mergeCell ref="R28:S28"/>
    <mergeCell ref="P29:Q29"/>
  </mergeCells>
  <conditionalFormatting sqref="B1:C1">
    <cfRule type="cellIs" dxfId="5" priority="1" operator="equal">
      <formula>"z"</formula>
    </cfRule>
    <cfRule type="cellIs" dxfId="4" priority="2" operator="equal">
      <formula>"y"</formula>
    </cfRule>
    <cfRule type="cellIs" dxfId="3" priority="3" operator="equal">
      <formula>"x"</formula>
    </cfRule>
  </conditionalFormatting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W54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V58" sqref="V58"/>
    </sheetView>
  </sheetViews>
  <sheetFormatPr defaultRowHeight="15" x14ac:dyDescent="0.25"/>
  <cols>
    <col min="2" max="2" width="45.42578125" customWidth="1"/>
    <col min="3" max="3" width="8" customWidth="1"/>
    <col min="4" max="38" width="11.7109375" customWidth="1"/>
    <col min="39" max="39" width="16.5703125" customWidth="1"/>
    <col min="41" max="41" width="8.7109375" customWidth="1"/>
    <col min="42" max="42" width="41.42578125" customWidth="1"/>
    <col min="43" max="43" width="15.7109375" customWidth="1"/>
    <col min="44" max="44" width="8.7109375" customWidth="1"/>
    <col min="45" max="45" width="42.42578125" customWidth="1"/>
    <col min="46" max="46" width="15.7109375" customWidth="1"/>
    <col min="47" max="47" width="8.7109375" customWidth="1"/>
    <col min="48" max="48" width="42.42578125" customWidth="1"/>
    <col min="49" max="49" width="15.7109375" customWidth="1"/>
  </cols>
  <sheetData>
    <row r="1" spans="2:49" ht="16.5" thickBot="1" x14ac:dyDescent="0.3">
      <c r="B1" s="242" t="s">
        <v>184</v>
      </c>
    </row>
    <row r="2" spans="2:49" x14ac:dyDescent="0.25">
      <c r="B2" s="239" t="s">
        <v>185</v>
      </c>
      <c r="C2" s="255" t="s">
        <v>186</v>
      </c>
      <c r="D2" s="251" t="s">
        <v>189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41"/>
      <c r="AI2" s="241"/>
      <c r="AJ2" s="241"/>
      <c r="AK2" s="241"/>
      <c r="AL2" s="241"/>
      <c r="AO2" s="254" t="s">
        <v>141</v>
      </c>
      <c r="AP2" s="254"/>
      <c r="AQ2" s="254"/>
      <c r="AR2" s="254"/>
      <c r="AS2" s="254"/>
      <c r="AT2" s="254"/>
      <c r="AU2" s="254"/>
      <c r="AV2" s="254"/>
      <c r="AW2" s="254"/>
    </row>
    <row r="3" spans="2:49" x14ac:dyDescent="0.25">
      <c r="B3" s="239"/>
      <c r="C3" s="255"/>
      <c r="D3" s="158">
        <v>1</v>
      </c>
      <c r="E3" s="158">
        <v>2</v>
      </c>
      <c r="F3" s="158">
        <v>3</v>
      </c>
      <c r="G3" s="158">
        <v>4</v>
      </c>
      <c r="H3" s="158">
        <v>5</v>
      </c>
      <c r="I3" s="158">
        <v>6</v>
      </c>
      <c r="J3" s="158">
        <v>7</v>
      </c>
      <c r="K3" s="158">
        <v>8</v>
      </c>
      <c r="L3" s="158">
        <v>9</v>
      </c>
      <c r="M3" s="158">
        <v>10</v>
      </c>
      <c r="N3" s="158">
        <v>11</v>
      </c>
      <c r="O3" s="158">
        <v>12</v>
      </c>
      <c r="P3" s="158">
        <v>13</v>
      </c>
      <c r="Q3" s="158">
        <v>14</v>
      </c>
      <c r="R3" s="158">
        <v>15</v>
      </c>
      <c r="S3" s="158">
        <v>16</v>
      </c>
      <c r="T3" s="158">
        <v>17</v>
      </c>
      <c r="U3" s="158">
        <v>18</v>
      </c>
      <c r="V3" s="158">
        <v>19</v>
      </c>
      <c r="W3" s="158">
        <v>20</v>
      </c>
      <c r="X3" s="158">
        <v>21</v>
      </c>
      <c r="Y3" s="158">
        <v>22</v>
      </c>
      <c r="Z3" s="158">
        <v>23</v>
      </c>
      <c r="AA3" s="158">
        <v>24</v>
      </c>
      <c r="AB3" s="158">
        <v>25</v>
      </c>
      <c r="AC3" s="158">
        <v>26</v>
      </c>
      <c r="AD3" s="158">
        <v>27</v>
      </c>
      <c r="AE3" s="158">
        <v>28</v>
      </c>
      <c r="AF3" s="158">
        <v>29</v>
      </c>
      <c r="AG3" s="158">
        <v>30</v>
      </c>
      <c r="AH3" s="158">
        <v>31</v>
      </c>
      <c r="AI3" s="158">
        <v>32</v>
      </c>
      <c r="AJ3" s="158">
        <v>33</v>
      </c>
      <c r="AK3" s="158">
        <v>34</v>
      </c>
      <c r="AL3" s="158">
        <v>35</v>
      </c>
      <c r="AO3" s="254" t="s">
        <v>0</v>
      </c>
      <c r="AP3" s="254"/>
      <c r="AQ3" s="254"/>
      <c r="AR3" s="254"/>
      <c r="AS3" s="254"/>
      <c r="AT3" s="254" t="s">
        <v>3</v>
      </c>
      <c r="AU3" s="254"/>
      <c r="AV3" s="254"/>
      <c r="AW3" s="254"/>
    </row>
    <row r="4" spans="2:49" x14ac:dyDescent="0.25">
      <c r="B4" s="150" t="s">
        <v>172</v>
      </c>
      <c r="C4" s="151" t="s">
        <v>190</v>
      </c>
      <c r="D4" s="153">
        <f>'Ano 1'!M55</f>
        <v>43795</v>
      </c>
      <c r="E4" s="153">
        <f>'Ano 2'!M55</f>
        <v>44815</v>
      </c>
      <c r="F4" s="153">
        <f>'Ano 3'!M55</f>
        <v>45828</v>
      </c>
      <c r="G4" s="153">
        <f>'Ano 4'!M55</f>
        <v>46834</v>
      </c>
      <c r="H4" s="153">
        <f>'Ano 5'!M55</f>
        <v>47641</v>
      </c>
      <c r="I4" s="153">
        <f>'Ano 6'!$M55</f>
        <v>48147</v>
      </c>
      <c r="J4" s="153">
        <f>'Ano 7'!$M55</f>
        <v>48635</v>
      </c>
      <c r="K4" s="153">
        <f>'Ano 8'!$M55</f>
        <v>49105</v>
      </c>
      <c r="L4" s="153">
        <f>'Ano 9'!$M55</f>
        <v>49558</v>
      </c>
      <c r="M4" s="153">
        <f>'Ano 10'!$M55</f>
        <v>49993</v>
      </c>
      <c r="N4" s="153">
        <f>'Ano 11'!$M55</f>
        <v>50412</v>
      </c>
      <c r="O4" s="153">
        <f>'Ano 12'!$M55</f>
        <v>50814</v>
      </c>
      <c r="P4" s="153">
        <f>'Ano 13'!$M55</f>
        <v>51200</v>
      </c>
      <c r="Q4" s="153">
        <f>'Ano 14'!$M55</f>
        <v>51570</v>
      </c>
      <c r="R4" s="153">
        <f>'Ano 15'!$M55</f>
        <v>51925</v>
      </c>
      <c r="S4" s="153">
        <f>'Ano 16'!$M55</f>
        <v>52265</v>
      </c>
      <c r="T4" s="153">
        <f>'Ano 17'!$M55</f>
        <v>52590</v>
      </c>
      <c r="U4" s="153">
        <f>'Ano 18'!$M55</f>
        <v>52902</v>
      </c>
      <c r="V4" s="153">
        <f>'Ano 19'!$M55</f>
        <v>53200</v>
      </c>
      <c r="W4" s="153">
        <f>'Ano 20'!$M55</f>
        <v>53485</v>
      </c>
      <c r="X4" s="153">
        <f>'Ano 21'!$M55</f>
        <v>53758</v>
      </c>
      <c r="Y4" s="153">
        <f>'Ano 22'!$M55</f>
        <v>54018</v>
      </c>
      <c r="Z4" s="153">
        <f>'Ano 23'!$M55</f>
        <v>54266</v>
      </c>
      <c r="AA4" s="153">
        <f>'Ano 24'!$M55</f>
        <v>54503</v>
      </c>
      <c r="AB4" s="153">
        <f>'Ano 25'!$M55</f>
        <v>54730</v>
      </c>
      <c r="AC4" s="153">
        <f>'Ano 26'!$M55</f>
        <v>54945</v>
      </c>
      <c r="AD4" s="153">
        <f>'Ano 27'!$M55</f>
        <v>55151</v>
      </c>
      <c r="AE4" s="153">
        <f>'Ano 28'!$M55</f>
        <v>55347</v>
      </c>
      <c r="AF4" s="153">
        <f>'Ano 29'!$M55</f>
        <v>55534</v>
      </c>
      <c r="AG4" s="153">
        <f>'Ano 30'!$M55</f>
        <v>55712</v>
      </c>
      <c r="AH4" s="153">
        <f>'Ano 31'!$M55</f>
        <v>55881</v>
      </c>
      <c r="AI4" s="153">
        <f>'Ano 32'!$M55</f>
        <v>56042</v>
      </c>
      <c r="AJ4" s="153">
        <f>'Ano 33'!$M55</f>
        <v>56196</v>
      </c>
      <c r="AK4" s="153">
        <f>'Ano 34'!$M55</f>
        <v>56342</v>
      </c>
      <c r="AL4" s="153">
        <f>'Ano 35'!$M55</f>
        <v>56480</v>
      </c>
      <c r="AO4" s="159" t="s">
        <v>148</v>
      </c>
      <c r="AP4" s="159" t="s">
        <v>1</v>
      </c>
      <c r="AQ4" s="159" t="s">
        <v>45</v>
      </c>
      <c r="AR4" s="159" t="s">
        <v>148</v>
      </c>
      <c r="AS4" s="159" t="s">
        <v>1</v>
      </c>
      <c r="AT4" s="159" t="s">
        <v>45</v>
      </c>
      <c r="AU4" s="159" t="s">
        <v>148</v>
      </c>
      <c r="AV4" s="159" t="s">
        <v>1</v>
      </c>
      <c r="AW4" s="159" t="s">
        <v>45</v>
      </c>
    </row>
    <row r="5" spans="2:49" x14ac:dyDescent="0.25">
      <c r="B5" s="150" t="s">
        <v>173</v>
      </c>
      <c r="C5" s="151" t="s">
        <v>190</v>
      </c>
      <c r="D5" s="153">
        <f>'Ano 1'!M56</f>
        <v>0</v>
      </c>
      <c r="E5" s="153">
        <f>'Ano 2'!M56</f>
        <v>9202</v>
      </c>
      <c r="F5" s="153">
        <f>'Ano 3'!M56</f>
        <v>13972</v>
      </c>
      <c r="G5" s="153">
        <f>'Ano 4'!M56</f>
        <v>18847</v>
      </c>
      <c r="H5" s="153">
        <f>'Ano 5'!M56</f>
        <v>23821</v>
      </c>
      <c r="I5" s="153">
        <f>'Ano 6'!$M56</f>
        <v>28888</v>
      </c>
      <c r="J5" s="153">
        <f>'Ano 7'!$M56</f>
        <v>34045</v>
      </c>
      <c r="K5" s="153">
        <f>'Ano 8'!$M56</f>
        <v>39284</v>
      </c>
      <c r="L5" s="153">
        <f>'Ano 9'!$M56</f>
        <v>44602</v>
      </c>
      <c r="M5" s="153">
        <f>'Ano 10'!$M56</f>
        <v>45994</v>
      </c>
      <c r="N5" s="153">
        <f>'Ano 11'!$M56</f>
        <v>47387</v>
      </c>
      <c r="O5" s="153">
        <f>'Ano 12'!$M56</f>
        <v>48781</v>
      </c>
      <c r="P5" s="153">
        <f>'Ano 13'!$M56</f>
        <v>50176</v>
      </c>
      <c r="Q5" s="153">
        <f>'Ano 14'!$M56</f>
        <v>51570</v>
      </c>
      <c r="R5" s="153">
        <f>'Ano 15'!$M56</f>
        <v>51925</v>
      </c>
      <c r="S5" s="153">
        <f>'Ano 16'!$M56</f>
        <v>52265</v>
      </c>
      <c r="T5" s="153">
        <f>'Ano 17'!$M56</f>
        <v>52590</v>
      </c>
      <c r="U5" s="153">
        <f>'Ano 18'!$M56</f>
        <v>52902</v>
      </c>
      <c r="V5" s="153">
        <f>'Ano 19'!$M56</f>
        <v>53200</v>
      </c>
      <c r="W5" s="153">
        <f>'Ano 20'!$M56</f>
        <v>53485</v>
      </c>
      <c r="X5" s="153">
        <f>'Ano 21'!$M56</f>
        <v>53758</v>
      </c>
      <c r="Y5" s="153">
        <f>'Ano 22'!$M56</f>
        <v>54018</v>
      </c>
      <c r="Z5" s="153">
        <f>'Ano 23'!$M56</f>
        <v>54266</v>
      </c>
      <c r="AA5" s="153">
        <f>'Ano 24'!$M56</f>
        <v>54503</v>
      </c>
      <c r="AB5" s="153">
        <f>'Ano 25'!$M56</f>
        <v>54730</v>
      </c>
      <c r="AC5" s="153">
        <f>'Ano 26'!$M56</f>
        <v>54945</v>
      </c>
      <c r="AD5" s="153">
        <f>'Ano 27'!$M56</f>
        <v>55151</v>
      </c>
      <c r="AE5" s="153">
        <f>'Ano 28'!$M56</f>
        <v>55347</v>
      </c>
      <c r="AF5" s="153">
        <f>'Ano 29'!$M56</f>
        <v>55534</v>
      </c>
      <c r="AG5" s="153">
        <f>'Ano 30'!$M56</f>
        <v>55712</v>
      </c>
      <c r="AH5" s="153">
        <f>'Ano 31'!$M56</f>
        <v>55881</v>
      </c>
      <c r="AI5" s="153">
        <f>'Ano 32'!$M56</f>
        <v>56042</v>
      </c>
      <c r="AJ5" s="153">
        <f>'Ano 33'!$M56</f>
        <v>56196</v>
      </c>
      <c r="AK5" s="153">
        <f>'Ano 34'!$M56</f>
        <v>56342</v>
      </c>
      <c r="AL5" s="153">
        <f>'Ano 35'!$M56</f>
        <v>56480</v>
      </c>
      <c r="AO5" s="160" t="str">
        <f>'Folha de dados'!AO7</f>
        <v>C</v>
      </c>
      <c r="AP5" s="161" t="s">
        <v>102</v>
      </c>
      <c r="AQ5" s="219">
        <f>'Folha de dados'!AQ7</f>
        <v>2280.2800000000002</v>
      </c>
      <c r="AR5" s="160" t="str">
        <f>'Folha de dados'!AR7</f>
        <v>C</v>
      </c>
      <c r="AS5" s="161" t="s">
        <v>144</v>
      </c>
      <c r="AT5" s="219">
        <f>'Folha de dados'!AT7</f>
        <v>3797.55</v>
      </c>
      <c r="AU5" s="160" t="str">
        <f>'Folha de dados'!AU7</f>
        <v>B</v>
      </c>
      <c r="AV5" s="161" t="s">
        <v>91</v>
      </c>
      <c r="AW5" s="219">
        <f>'Folha de dados'!AW7</f>
        <v>1876.82</v>
      </c>
    </row>
    <row r="6" spans="2:49" x14ac:dyDescent="0.25">
      <c r="B6" s="150" t="s">
        <v>10</v>
      </c>
      <c r="C6" s="151" t="s">
        <v>191</v>
      </c>
      <c r="D6" s="152">
        <f>'Ano 1'!M57</f>
        <v>21.21</v>
      </c>
      <c r="E6" s="152">
        <f>'Ano 2'!M57</f>
        <v>21.21</v>
      </c>
      <c r="F6" s="152">
        <f>'Ano 3'!M57</f>
        <v>21.21</v>
      </c>
      <c r="G6" s="152">
        <f>'Ano 4'!M57</f>
        <v>21.21</v>
      </c>
      <c r="H6" s="152">
        <f>'Ano 5'!M57</f>
        <v>21.210000000000004</v>
      </c>
      <c r="I6" s="152">
        <f>'Ano 6'!$M57</f>
        <v>21.210000000000004</v>
      </c>
      <c r="J6" s="152">
        <f>'Ano 7'!$M57</f>
        <v>21.210000000000004</v>
      </c>
      <c r="K6" s="152">
        <f>'Ano 8'!$M57</f>
        <v>21.210000000000004</v>
      </c>
      <c r="L6" s="152">
        <f>'Ano 9'!$M57</f>
        <v>21.210000000000004</v>
      </c>
      <c r="M6" s="152">
        <f>'Ano 10'!$M57</f>
        <v>21.210000000000004</v>
      </c>
      <c r="N6" s="152">
        <f>'Ano 11'!$M57</f>
        <v>21.210000000000004</v>
      </c>
      <c r="O6" s="152">
        <f>'Ano 12'!$M57</f>
        <v>21.210000000000008</v>
      </c>
      <c r="P6" s="152">
        <f>'Ano 13'!$M57</f>
        <v>21.210000000000004</v>
      </c>
      <c r="Q6" s="152">
        <f>'Ano 14'!$M57</f>
        <v>21.210000000000008</v>
      </c>
      <c r="R6" s="152">
        <f>'Ano 15'!$M57</f>
        <v>21.210000000000004</v>
      </c>
      <c r="S6" s="152">
        <f>'Ano 16'!$M57</f>
        <v>21.210000000000004</v>
      </c>
      <c r="T6" s="152">
        <f>'Ano 17'!$M57</f>
        <v>21.210000000000008</v>
      </c>
      <c r="U6" s="152">
        <f>'Ano 18'!$M57</f>
        <v>21.210000000000004</v>
      </c>
      <c r="V6" s="152">
        <f>'Ano 19'!$M57</f>
        <v>21.210000000000008</v>
      </c>
      <c r="W6" s="152">
        <f>'Ano 20'!$M57</f>
        <v>21.210000000000008</v>
      </c>
      <c r="X6" s="152">
        <f>'Ano 21'!$M57</f>
        <v>21.210000000000008</v>
      </c>
      <c r="Y6" s="152">
        <f>'Ano 22'!$M57</f>
        <v>21.210000000000004</v>
      </c>
      <c r="Z6" s="152">
        <f>'Ano 23'!$M57</f>
        <v>21.210000000000008</v>
      </c>
      <c r="AA6" s="152">
        <f>'Ano 24'!$M57</f>
        <v>21.210000000000008</v>
      </c>
      <c r="AB6" s="152">
        <f>'Ano 25'!$M57</f>
        <v>21.210000000000008</v>
      </c>
      <c r="AC6" s="152">
        <f>'Ano 26'!$M57</f>
        <v>21.210000000000004</v>
      </c>
      <c r="AD6" s="152">
        <f>'Ano 27'!$M57</f>
        <v>21.210000000000004</v>
      </c>
      <c r="AE6" s="152">
        <f>'Ano 28'!$M57</f>
        <v>21.210000000000004</v>
      </c>
      <c r="AF6" s="152">
        <f>'Ano 29'!$M57</f>
        <v>21.210000000000004</v>
      </c>
      <c r="AG6" s="152">
        <f>'Ano 30'!$M57</f>
        <v>21.210000000000004</v>
      </c>
      <c r="AH6" s="152">
        <f>'Ano 31'!$M57</f>
        <v>21.210000000000004</v>
      </c>
      <c r="AI6" s="152">
        <f>'Ano 32'!$M57</f>
        <v>21.210000000000004</v>
      </c>
      <c r="AJ6" s="152">
        <f>'Ano 33'!$M57</f>
        <v>21.210000000000004</v>
      </c>
      <c r="AK6" s="152">
        <f>'Ano 34'!$M57</f>
        <v>21.210000000000004</v>
      </c>
      <c r="AL6" s="152">
        <f>'Ano 35'!$M57</f>
        <v>21.210000000000004</v>
      </c>
      <c r="AO6" s="160">
        <f>'Folha de dados'!AO8</f>
        <v>0</v>
      </c>
      <c r="AP6" s="161" t="s">
        <v>105</v>
      </c>
      <c r="AQ6" s="219">
        <f>'Folha de dados'!AQ8</f>
        <v>0</v>
      </c>
      <c r="AR6" s="160">
        <f>'Folha de dados'!AR8</f>
        <v>0</v>
      </c>
      <c r="AS6" s="161" t="s">
        <v>74</v>
      </c>
      <c r="AT6" s="219">
        <f>'Folha de dados'!AT8</f>
        <v>0</v>
      </c>
      <c r="AU6" s="160">
        <f>'Folha de dados'!AU8</f>
        <v>0</v>
      </c>
      <c r="AV6" s="161" t="s">
        <v>118</v>
      </c>
      <c r="AW6" s="219">
        <f>'Folha de dados'!AW8</f>
        <v>0</v>
      </c>
    </row>
    <row r="7" spans="2:49" x14ac:dyDescent="0.25">
      <c r="B7" s="150" t="s">
        <v>10</v>
      </c>
      <c r="C7" s="151" t="s">
        <v>191</v>
      </c>
      <c r="D7" s="152">
        <f>'Ano 1'!M58</f>
        <v>0</v>
      </c>
      <c r="E7" s="152">
        <f>'Ano 2'!M58</f>
        <v>21.21</v>
      </c>
      <c r="F7" s="152">
        <f>'Ano 3'!M58</f>
        <v>21.21</v>
      </c>
      <c r="G7" s="152">
        <f>'Ano 4'!M58</f>
        <v>21.21</v>
      </c>
      <c r="H7" s="152">
        <f>'Ano 5'!M58</f>
        <v>21.21</v>
      </c>
      <c r="I7" s="152">
        <f>'Ano 6'!$M58</f>
        <v>21.21</v>
      </c>
      <c r="J7" s="152">
        <f>'Ano 7'!$M58</f>
        <v>21.21</v>
      </c>
      <c r="K7" s="152">
        <f>'Ano 8'!$M58</f>
        <v>21.21</v>
      </c>
      <c r="L7" s="152">
        <f>'Ano 9'!$M58</f>
        <v>21.21</v>
      </c>
      <c r="M7" s="152">
        <f>'Ano 10'!$M58</f>
        <v>21.209999999999997</v>
      </c>
      <c r="N7" s="152">
        <f>'Ano 11'!$M58</f>
        <v>21.21</v>
      </c>
      <c r="O7" s="152">
        <f>'Ano 12'!$M58</f>
        <v>21.21</v>
      </c>
      <c r="P7" s="152">
        <f>'Ano 13'!$M58</f>
        <v>21.21</v>
      </c>
      <c r="Q7" s="152">
        <f>'Ano 14'!$M58</f>
        <v>21.21</v>
      </c>
      <c r="R7" s="152">
        <f>'Ano 15'!$M58</f>
        <v>21.21</v>
      </c>
      <c r="S7" s="152">
        <f>'Ano 16'!$M58</f>
        <v>21.21</v>
      </c>
      <c r="T7" s="152">
        <f>'Ano 17'!$M58</f>
        <v>21.21</v>
      </c>
      <c r="U7" s="152">
        <f>'Ano 18'!$M58</f>
        <v>21.21</v>
      </c>
      <c r="V7" s="152">
        <f>'Ano 19'!$M58</f>
        <v>21.21</v>
      </c>
      <c r="W7" s="152">
        <f>'Ano 20'!$M58</f>
        <v>21.21</v>
      </c>
      <c r="X7" s="152">
        <f>'Ano 21'!$M58</f>
        <v>21.21</v>
      </c>
      <c r="Y7" s="152">
        <f>'Ano 22'!$M58</f>
        <v>21.21</v>
      </c>
      <c r="Z7" s="152">
        <f>'Ano 23'!$M58</f>
        <v>21.21</v>
      </c>
      <c r="AA7" s="152">
        <f>'Ano 24'!$M58</f>
        <v>21.21</v>
      </c>
      <c r="AB7" s="152">
        <f>'Ano 25'!$M58</f>
        <v>21.21</v>
      </c>
      <c r="AC7" s="152">
        <f>'Ano 26'!$M58</f>
        <v>21.21</v>
      </c>
      <c r="AD7" s="152">
        <f>'Ano 27'!$M58</f>
        <v>21.21</v>
      </c>
      <c r="AE7" s="152">
        <f>'Ano 28'!$M58</f>
        <v>21.21</v>
      </c>
      <c r="AF7" s="152">
        <f>'Ano 29'!$M58</f>
        <v>21.21</v>
      </c>
      <c r="AG7" s="152">
        <f>'Ano 30'!$M58</f>
        <v>21.21</v>
      </c>
      <c r="AH7" s="152">
        <f>'Ano 31'!$M58</f>
        <v>21.21</v>
      </c>
      <c r="AI7" s="152">
        <f>'Ano 32'!$M58</f>
        <v>21.21</v>
      </c>
      <c r="AJ7" s="152">
        <f>'Ano 33'!$M58</f>
        <v>21.21</v>
      </c>
      <c r="AK7" s="152">
        <f>'Ano 34'!$M58</f>
        <v>21.21</v>
      </c>
      <c r="AL7" s="152">
        <f>'Ano 35'!$M58</f>
        <v>21.21</v>
      </c>
      <c r="AO7" s="160">
        <f>'Folha de dados'!AO9</f>
        <v>0</v>
      </c>
      <c r="AP7" s="161" t="s">
        <v>104</v>
      </c>
      <c r="AQ7" s="219">
        <f>'Folha de dados'!AQ9</f>
        <v>0</v>
      </c>
      <c r="AR7" s="160">
        <f>'Folha de dados'!AR9</f>
        <v>0</v>
      </c>
      <c r="AS7" s="161" t="s">
        <v>75</v>
      </c>
      <c r="AT7" s="219">
        <f>'Folha de dados'!AT9</f>
        <v>0</v>
      </c>
      <c r="AU7" s="160">
        <f>'Folha de dados'!AU9</f>
        <v>0</v>
      </c>
      <c r="AV7" s="161" t="s">
        <v>120</v>
      </c>
      <c r="AW7" s="219">
        <f>'Folha de dados'!AW9</f>
        <v>0</v>
      </c>
    </row>
    <row r="8" spans="2:49" x14ac:dyDescent="0.25">
      <c r="B8" s="150" t="s">
        <v>60</v>
      </c>
      <c r="C8" s="151" t="s">
        <v>192</v>
      </c>
      <c r="D8" s="154">
        <f>'Ano 1'!M59</f>
        <v>1.3229241030279939</v>
      </c>
      <c r="E8" s="154">
        <f>'Ano 2'!M59</f>
        <v>1.3230225950530889</v>
      </c>
      <c r="F8" s="154">
        <f>'Ano 3'!M59</f>
        <v>1.3231378463343237</v>
      </c>
      <c r="G8" s="154">
        <f>'Ano 4'!M59</f>
        <v>1.3232460182939054</v>
      </c>
      <c r="H8" s="154">
        <f>'Ano 5'!M59</f>
        <v>1.3233498723694128</v>
      </c>
      <c r="I8" s="154">
        <f>'Ano 6'!$M59</f>
        <v>1.3234659831121187</v>
      </c>
      <c r="J8" s="154">
        <f>'Ano 7'!$M59</f>
        <v>1.3235788108651088</v>
      </c>
      <c r="K8" s="154">
        <f>'Ano 8'!$M59</f>
        <v>1.3236845126015813</v>
      </c>
      <c r="L8" s="154">
        <f>'Ano 9'!$M59</f>
        <v>1.3237837758895576</v>
      </c>
      <c r="M8" s="154">
        <f>'Ano 10'!$M59</f>
        <v>1.3238782880055873</v>
      </c>
      <c r="N8" s="154">
        <f>'Ano 11'!$M59</f>
        <v>1.3239686018156127</v>
      </c>
      <c r="O8" s="154">
        <f>'Ano 12'!$M59</f>
        <v>1.3240526317763555</v>
      </c>
      <c r="P8" s="154">
        <f>'Ano 13'!$M59</f>
        <v>1.324149238538044</v>
      </c>
      <c r="Q8" s="154">
        <f>'Ano 14'!$M59</f>
        <v>1.3242232589975516</v>
      </c>
      <c r="R8" s="154">
        <f>'Ano 15'!$M59</f>
        <v>1.3243266675096268</v>
      </c>
      <c r="S8" s="154">
        <f>'Ano 16'!$M59</f>
        <v>1.324407295299312</v>
      </c>
      <c r="T8" s="154">
        <f>'Ano 17'!$M59</f>
        <v>1.324466665396214</v>
      </c>
      <c r="U8" s="154">
        <f>'Ano 18'!$M59</f>
        <v>1.3245383278622753</v>
      </c>
      <c r="V8" s="154">
        <f>'Ano 19'!$M59</f>
        <v>1.3246224258863193</v>
      </c>
      <c r="W8" s="154">
        <f>'Ano 20'!$M59</f>
        <v>1.324700422664701</v>
      </c>
      <c r="X8" s="154">
        <f>'Ano 21'!$M59</f>
        <v>1.3247743826535872</v>
      </c>
      <c r="Y8" s="154">
        <f>'Ano 22'!$M59</f>
        <v>1.3248293100509081</v>
      </c>
      <c r="Z8" s="154">
        <f>'Ano 23'!$M59</f>
        <v>1.3248953866944169</v>
      </c>
      <c r="AA8" s="154">
        <f>'Ano 24'!$M59</f>
        <v>1.3249574591958111</v>
      </c>
      <c r="AB8" s="154">
        <f>'Ano 25'!$M59</f>
        <v>1.3250149546535646</v>
      </c>
      <c r="AC8" s="154">
        <f>'Ano 26'!$M59</f>
        <v>1.3250856746336042</v>
      </c>
      <c r="AD8" s="154">
        <f>'Ano 27'!$M59</f>
        <v>1.3251363925948305</v>
      </c>
      <c r="AE8" s="154">
        <f>'Ano 28'!$M59</f>
        <v>1.3251687278007684</v>
      </c>
      <c r="AF8" s="154">
        <f>'Ano 29'!$M59</f>
        <v>1.3252273037502742</v>
      </c>
      <c r="AG8" s="154">
        <f>'Ano 30'!$M59</f>
        <v>1.3252837492931022</v>
      </c>
      <c r="AH8" s="154">
        <f>'Ano 31'!$M59</f>
        <v>1.3253221010566296</v>
      </c>
      <c r="AI8" s="154">
        <f>'Ano 32'!$M59</f>
        <v>1.3253704205413326</v>
      </c>
      <c r="AJ8" s="154">
        <f>'Ano 33'!$M59</f>
        <v>1.3254182260960861</v>
      </c>
      <c r="AK8" s="154">
        <f>'Ano 34'!$M59</f>
        <v>1.3254475003782522</v>
      </c>
      <c r="AL8" s="154">
        <f>'Ano 35'!$M59</f>
        <v>1.3254894793005445</v>
      </c>
      <c r="AO8" s="160">
        <f>'Folha de dados'!AO10</f>
        <v>0</v>
      </c>
      <c r="AP8" s="161" t="s">
        <v>103</v>
      </c>
      <c r="AQ8" s="219">
        <f>'Folha de dados'!AQ10</f>
        <v>0</v>
      </c>
      <c r="AR8" s="160">
        <f>'Folha de dados'!AR10</f>
        <v>0</v>
      </c>
      <c r="AS8" s="161" t="s">
        <v>76</v>
      </c>
      <c r="AT8" s="219">
        <f>'Folha de dados'!AT10</f>
        <v>0</v>
      </c>
      <c r="AU8" s="160">
        <f>'Folha de dados'!AU10</f>
        <v>0</v>
      </c>
      <c r="AV8" s="161" t="s">
        <v>119</v>
      </c>
      <c r="AW8" s="219">
        <f>'Folha de dados'!AW10</f>
        <v>0</v>
      </c>
    </row>
    <row r="9" spans="2:49" x14ac:dyDescent="0.25">
      <c r="B9" s="150" t="s">
        <v>61</v>
      </c>
      <c r="C9" s="151" t="s">
        <v>192</v>
      </c>
      <c r="D9" s="154">
        <f>'Ano 1'!M60</f>
        <v>0</v>
      </c>
      <c r="E9" s="154">
        <f>'Ano 2'!M60</f>
        <v>1.3230225950530887</v>
      </c>
      <c r="F9" s="154">
        <f>'Ano 3'!M60</f>
        <v>1.3231378463343235</v>
      </c>
      <c r="G9" s="154">
        <f>'Ano 4'!M60</f>
        <v>1.3232460182939052</v>
      </c>
      <c r="H9" s="154">
        <f>'Ano 5'!M60</f>
        <v>1.3233498723694128</v>
      </c>
      <c r="I9" s="154">
        <f>'Ano 6'!$M60</f>
        <v>1.3234659831121185</v>
      </c>
      <c r="J9" s="154">
        <f>'Ano 7'!$M60</f>
        <v>1.3235788108651088</v>
      </c>
      <c r="K9" s="154">
        <f>'Ano 8'!$M60</f>
        <v>1.3236845126015813</v>
      </c>
      <c r="L9" s="154">
        <f>'Ano 9'!$M60</f>
        <v>1.3237837758895581</v>
      </c>
      <c r="M9" s="154">
        <f>'Ano 10'!$M60</f>
        <v>1.3238782880055873</v>
      </c>
      <c r="N9" s="154">
        <f>'Ano 11'!$M60</f>
        <v>1.3239686018156132</v>
      </c>
      <c r="O9" s="154">
        <f>'Ano 12'!$M60</f>
        <v>1.3240526317763555</v>
      </c>
      <c r="P9" s="154">
        <f>'Ano 13'!$M60</f>
        <v>1.324149238538044</v>
      </c>
      <c r="Q9" s="154">
        <f>'Ano 14'!$M60</f>
        <v>1.3242232589975516</v>
      </c>
      <c r="R9" s="154">
        <f>'Ano 15'!$M60</f>
        <v>1.3243266675096268</v>
      </c>
      <c r="S9" s="154">
        <f>'Ano 16'!$M60</f>
        <v>1.324407295299312</v>
      </c>
      <c r="T9" s="154">
        <f>'Ano 17'!$M60</f>
        <v>1.324466665396214</v>
      </c>
      <c r="U9" s="154">
        <f>'Ano 18'!$M60</f>
        <v>1.3245383278622753</v>
      </c>
      <c r="V9" s="154">
        <f>'Ano 19'!$M60</f>
        <v>1.3246224258863193</v>
      </c>
      <c r="W9" s="154">
        <f>'Ano 20'!$M60</f>
        <v>1.324700422664701</v>
      </c>
      <c r="X9" s="154">
        <f>'Ano 21'!$M60</f>
        <v>1.3247743826535872</v>
      </c>
      <c r="Y9" s="154">
        <f>'Ano 22'!$M60</f>
        <v>1.3248293100509081</v>
      </c>
      <c r="Z9" s="154">
        <f>'Ano 23'!$M60</f>
        <v>1.3248953866944169</v>
      </c>
      <c r="AA9" s="154">
        <f>'Ano 24'!$M60</f>
        <v>1.3249574591958111</v>
      </c>
      <c r="AB9" s="154">
        <f>'Ano 25'!$M60</f>
        <v>1.3250149546535646</v>
      </c>
      <c r="AC9" s="154">
        <f>'Ano 26'!$M60</f>
        <v>1.3250856746336042</v>
      </c>
      <c r="AD9" s="154">
        <f>'Ano 27'!$M60</f>
        <v>1.3251363925948305</v>
      </c>
      <c r="AE9" s="154">
        <f>'Ano 28'!$M60</f>
        <v>1.3251687278007684</v>
      </c>
      <c r="AF9" s="154">
        <f>'Ano 29'!$M60</f>
        <v>1.3252273037502742</v>
      </c>
      <c r="AG9" s="154">
        <f>'Ano 30'!$M60</f>
        <v>1.3252837492931022</v>
      </c>
      <c r="AH9" s="154">
        <f>'Ano 31'!$M60</f>
        <v>1.3253221010566296</v>
      </c>
      <c r="AI9" s="154">
        <f>'Ano 32'!$M60</f>
        <v>1.3253704205413326</v>
      </c>
      <c r="AJ9" s="154">
        <f>'Ano 33'!$M60</f>
        <v>1.3254182260960861</v>
      </c>
      <c r="AK9" s="154">
        <f>'Ano 34'!$M60</f>
        <v>1.3254475003782522</v>
      </c>
      <c r="AL9" s="154">
        <f>'Ano 35'!$M60</f>
        <v>1.3254894793005445</v>
      </c>
      <c r="AO9" s="160">
        <f>'Folha de dados'!AO11</f>
        <v>0</v>
      </c>
      <c r="AP9" s="161" t="s">
        <v>106</v>
      </c>
      <c r="AQ9" s="219">
        <f>'Folha de dados'!AQ11</f>
        <v>0</v>
      </c>
      <c r="AR9" s="160">
        <f>'Folha de dados'!AR11</f>
        <v>0</v>
      </c>
      <c r="AS9" s="161" t="s">
        <v>77</v>
      </c>
      <c r="AT9" s="219">
        <f>'Folha de dados'!AT11</f>
        <v>0</v>
      </c>
      <c r="AU9" s="160">
        <f>'Folha de dados'!AU11</f>
        <v>0</v>
      </c>
      <c r="AV9" s="161" t="s">
        <v>121</v>
      </c>
      <c r="AW9" s="219">
        <f>'Folha de dados'!AW11</f>
        <v>0</v>
      </c>
    </row>
    <row r="10" spans="2:49" x14ac:dyDescent="0.25">
      <c r="B10" s="215" t="s">
        <v>39</v>
      </c>
      <c r="C10" s="216" t="s">
        <v>193</v>
      </c>
      <c r="D10" s="217">
        <f>'Ano 1'!M61</f>
        <v>0</v>
      </c>
      <c r="E10" s="217">
        <f>'Ano 2'!M61</f>
        <v>0.25</v>
      </c>
      <c r="F10" s="217">
        <f>'Ano 3'!M61</f>
        <v>0.5</v>
      </c>
      <c r="G10" s="217">
        <f>'Ano 4'!M61</f>
        <v>0.75</v>
      </c>
      <c r="H10" s="217">
        <f>'Ano 5'!M61</f>
        <v>1</v>
      </c>
      <c r="I10" s="217">
        <f>'Ano 6'!$M61</f>
        <v>1</v>
      </c>
      <c r="J10" s="217">
        <f>'Ano 7'!$M61</f>
        <v>1</v>
      </c>
      <c r="K10" s="217">
        <f>'Ano 8'!$M61</f>
        <v>1</v>
      </c>
      <c r="L10" s="217">
        <f>'Ano 9'!$M61</f>
        <v>1</v>
      </c>
      <c r="M10" s="217">
        <f>'Ano 10'!$M61</f>
        <v>1</v>
      </c>
      <c r="N10" s="217">
        <f>'Ano 11'!$M61</f>
        <v>1</v>
      </c>
      <c r="O10" s="217">
        <f>'Ano 12'!$M61</f>
        <v>1</v>
      </c>
      <c r="P10" s="217">
        <f>'Ano 13'!$M61</f>
        <v>1</v>
      </c>
      <c r="Q10" s="217">
        <f>'Ano 14'!$M61</f>
        <v>1</v>
      </c>
      <c r="R10" s="217">
        <f>'Ano 15'!$M61</f>
        <v>1</v>
      </c>
      <c r="S10" s="217">
        <f>'Ano 16'!$M61</f>
        <v>1</v>
      </c>
      <c r="T10" s="217">
        <f>'Ano 17'!$M61</f>
        <v>1</v>
      </c>
      <c r="U10" s="217">
        <f>'Ano 18'!$M61</f>
        <v>1</v>
      </c>
      <c r="V10" s="217">
        <f>'Ano 19'!$M61</f>
        <v>1</v>
      </c>
      <c r="W10" s="217">
        <f>'Ano 20'!$M61</f>
        <v>1</v>
      </c>
      <c r="X10" s="217">
        <f>'Ano 21'!$M61</f>
        <v>1</v>
      </c>
      <c r="Y10" s="217">
        <f>'Ano 22'!$M61</f>
        <v>1</v>
      </c>
      <c r="Z10" s="217">
        <f>'Ano 23'!$M61</f>
        <v>1</v>
      </c>
      <c r="AA10" s="217">
        <f>'Ano 24'!$M61</f>
        <v>1</v>
      </c>
      <c r="AB10" s="217">
        <f>'Ano 25'!$M61</f>
        <v>1</v>
      </c>
      <c r="AC10" s="217">
        <f>'Ano 26'!$M61</f>
        <v>1</v>
      </c>
      <c r="AD10" s="217">
        <f>'Ano 27'!$M61</f>
        <v>1</v>
      </c>
      <c r="AE10" s="217">
        <f>'Ano 28'!$M61</f>
        <v>1</v>
      </c>
      <c r="AF10" s="217">
        <f>'Ano 29'!$M61</f>
        <v>1</v>
      </c>
      <c r="AG10" s="217">
        <f>'Ano 30'!$M61</f>
        <v>1</v>
      </c>
      <c r="AH10" s="217">
        <f>'Ano 31'!$M61</f>
        <v>1</v>
      </c>
      <c r="AI10" s="217">
        <f>'Ano 32'!$M61</f>
        <v>1</v>
      </c>
      <c r="AJ10" s="217">
        <f>'Ano 33'!$M61</f>
        <v>1</v>
      </c>
      <c r="AK10" s="217">
        <f>'Ano 34'!$M61</f>
        <v>1</v>
      </c>
      <c r="AL10" s="217">
        <f>'Ano 35'!$M61</f>
        <v>1</v>
      </c>
      <c r="AO10" s="160" t="str">
        <f>'Folha de dados'!AO12</f>
        <v>C</v>
      </c>
      <c r="AP10" s="161" t="s">
        <v>107</v>
      </c>
      <c r="AQ10" s="219">
        <f>'Folha de dados'!AQ12</f>
        <v>2454.44</v>
      </c>
      <c r="AR10" s="160" t="str">
        <f>'Folha de dados'!AR12</f>
        <v>C</v>
      </c>
      <c r="AS10" s="161" t="s">
        <v>78</v>
      </c>
      <c r="AT10" s="219">
        <f>'Folha de dados'!AT12</f>
        <v>3685.61</v>
      </c>
      <c r="AU10" s="160" t="str">
        <f>'Folha de dados'!AU12</f>
        <v>B</v>
      </c>
      <c r="AV10" s="161" t="s">
        <v>80</v>
      </c>
      <c r="AW10" s="219">
        <f>'Folha de dados'!AW12</f>
        <v>2681.22</v>
      </c>
    </row>
    <row r="11" spans="2:49" x14ac:dyDescent="0.25">
      <c r="B11" s="215" t="s">
        <v>40</v>
      </c>
      <c r="C11" s="216" t="s">
        <v>193</v>
      </c>
      <c r="D11" s="217">
        <f>'Ano 1'!M62</f>
        <v>0</v>
      </c>
      <c r="E11" s="217">
        <f>'Ano 2'!M62</f>
        <v>0.25</v>
      </c>
      <c r="F11" s="217">
        <f>'Ano 3'!M62</f>
        <v>0.5</v>
      </c>
      <c r="G11" s="217">
        <f>'Ano 4'!M62</f>
        <v>0.75</v>
      </c>
      <c r="H11" s="217">
        <f>'Ano 5'!M62</f>
        <v>1</v>
      </c>
      <c r="I11" s="217">
        <f>'Ano 6'!$M62</f>
        <v>1</v>
      </c>
      <c r="J11" s="217">
        <f>'Ano 7'!$M62</f>
        <v>1</v>
      </c>
      <c r="K11" s="217">
        <f>'Ano 8'!$M62</f>
        <v>1</v>
      </c>
      <c r="L11" s="217">
        <f>'Ano 9'!$M62</f>
        <v>1</v>
      </c>
      <c r="M11" s="217">
        <f>'Ano 10'!$M62</f>
        <v>1</v>
      </c>
      <c r="N11" s="217">
        <f>'Ano 11'!$M62</f>
        <v>1</v>
      </c>
      <c r="O11" s="217">
        <f>'Ano 12'!$M62</f>
        <v>1</v>
      </c>
      <c r="P11" s="217">
        <f>'Ano 13'!$M62</f>
        <v>1</v>
      </c>
      <c r="Q11" s="217">
        <f>'Ano 14'!$M62</f>
        <v>1</v>
      </c>
      <c r="R11" s="217">
        <f>'Ano 15'!$M62</f>
        <v>1</v>
      </c>
      <c r="S11" s="217">
        <f>'Ano 16'!$M62</f>
        <v>1</v>
      </c>
      <c r="T11" s="217">
        <f>'Ano 17'!$M62</f>
        <v>1</v>
      </c>
      <c r="U11" s="217">
        <f>'Ano 18'!$M62</f>
        <v>1</v>
      </c>
      <c r="V11" s="217">
        <f>'Ano 19'!$M62</f>
        <v>1</v>
      </c>
      <c r="W11" s="217">
        <f>'Ano 20'!$M62</f>
        <v>1</v>
      </c>
      <c r="X11" s="217">
        <f>'Ano 21'!$M62</f>
        <v>1</v>
      </c>
      <c r="Y11" s="217">
        <f>'Ano 22'!$M62</f>
        <v>1</v>
      </c>
      <c r="Z11" s="217">
        <f>'Ano 23'!$M62</f>
        <v>1</v>
      </c>
      <c r="AA11" s="217">
        <f>'Ano 24'!$M62</f>
        <v>1</v>
      </c>
      <c r="AB11" s="217">
        <f>'Ano 25'!$M62</f>
        <v>1</v>
      </c>
      <c r="AC11" s="217">
        <f>'Ano 26'!$M62</f>
        <v>1</v>
      </c>
      <c r="AD11" s="217">
        <f>'Ano 27'!$M62</f>
        <v>1</v>
      </c>
      <c r="AE11" s="217">
        <f>'Ano 28'!$M62</f>
        <v>1</v>
      </c>
      <c r="AF11" s="217">
        <f>'Ano 29'!$M62</f>
        <v>1</v>
      </c>
      <c r="AG11" s="217">
        <f>'Ano 30'!$M62</f>
        <v>1</v>
      </c>
      <c r="AH11" s="217">
        <f>'Ano 31'!$M62</f>
        <v>1</v>
      </c>
      <c r="AI11" s="217">
        <f>'Ano 32'!$M62</f>
        <v>1</v>
      </c>
      <c r="AJ11" s="217">
        <f>'Ano 33'!$M62</f>
        <v>1</v>
      </c>
      <c r="AK11" s="217">
        <f>'Ano 34'!$M62</f>
        <v>1</v>
      </c>
      <c r="AL11" s="217">
        <f>'Ano 35'!$M62</f>
        <v>1</v>
      </c>
      <c r="AO11" s="160" t="str">
        <f>'Folha de dados'!AO13</f>
        <v>C</v>
      </c>
      <c r="AP11" s="161" t="s">
        <v>108</v>
      </c>
      <c r="AQ11" s="219">
        <f>'Folha de dados'!AQ13</f>
        <v>2444.56</v>
      </c>
      <c r="AR11" s="160" t="str">
        <f>'Folha de dados'!AR13</f>
        <v>C</v>
      </c>
      <c r="AS11" s="161" t="s">
        <v>79</v>
      </c>
      <c r="AT11" s="219">
        <f>'Folha de dados'!AT13</f>
        <v>3942.95</v>
      </c>
      <c r="AU11" s="160" t="str">
        <f>'Folha de dados'!AU13</f>
        <v>B</v>
      </c>
      <c r="AV11" s="161" t="s">
        <v>84</v>
      </c>
      <c r="AW11" s="219">
        <f>'Folha de dados'!AW13</f>
        <v>4172.58</v>
      </c>
    </row>
    <row r="12" spans="2:49" x14ac:dyDescent="0.25">
      <c r="B12" s="150" t="s">
        <v>11</v>
      </c>
      <c r="C12" s="151" t="s">
        <v>194</v>
      </c>
      <c r="D12" s="153">
        <f>'Ano 1'!M63</f>
        <v>18054.532943578</v>
      </c>
      <c r="E12" s="153">
        <f>'Ano 2'!M63</f>
        <v>18656.474280955434</v>
      </c>
      <c r="F12" s="153">
        <f>'Ano 3'!M63</f>
        <v>19263.513031135699</v>
      </c>
      <c r="G12" s="153">
        <f>'Ano 4'!M63</f>
        <v>19874.06412749843</v>
      </c>
      <c r="H12" s="153">
        <f>'Ano 5'!M63</f>
        <v>20408.877964162944</v>
      </c>
      <c r="I12" s="153">
        <f>'Ano 6'!$M63</f>
        <v>20818.83121718714</v>
      </c>
      <c r="J12" s="153">
        <f>'Ano 7'!$M63</f>
        <v>21223.448012917201</v>
      </c>
      <c r="K12" s="153">
        <f>'Ano 8'!$M63</f>
        <v>21623.30872139279</v>
      </c>
      <c r="L12" s="153">
        <f>'Ano 9'!$M63</f>
        <v>22017.015715024689</v>
      </c>
      <c r="M12" s="153">
        <f>'Ano 10'!$M63</f>
        <v>22403.194748111968</v>
      </c>
      <c r="N12" s="153">
        <f>'Ano 11'!$M63</f>
        <v>22785.496120146072</v>
      </c>
      <c r="O12" s="153">
        <f>'Ano 12'!$M63</f>
        <v>23159.595619313262</v>
      </c>
      <c r="P12" s="153">
        <f>'Ano 13'!$M63</f>
        <v>23526.195245757965</v>
      </c>
      <c r="Q12" s="153">
        <f>'Ano 14'!$M63</f>
        <v>23887.023717160399</v>
      </c>
      <c r="R12" s="153">
        <f>'Ano 15'!$M63</f>
        <v>24237.83676195889</v>
      </c>
      <c r="S12" s="153">
        <f>'Ano 16'!$M63</f>
        <v>24581.417208064111</v>
      </c>
      <c r="T12" s="153">
        <f>'Ano 17'!$M63</f>
        <v>24917.574877135074</v>
      </c>
      <c r="U12" s="153">
        <f>'Ano 18'!$M63</f>
        <v>25246.146296389066</v>
      </c>
      <c r="V12" s="153">
        <f>'Ano 19'!$M63</f>
        <v>25565.99424148638</v>
      </c>
      <c r="W12" s="153">
        <f>'Ano 20'!$M63</f>
        <v>25878.007125258897</v>
      </c>
      <c r="X12" s="153">
        <f>'Ano 21'!$M63</f>
        <v>26180.098247944901</v>
      </c>
      <c r="Y12" s="153">
        <f>'Ano 22'!$M63</f>
        <v>26476.204925161077</v>
      </c>
      <c r="Z12" s="153">
        <f>'Ano 23'!$M63</f>
        <v>26762.287510105863</v>
      </c>
      <c r="AA12" s="153">
        <f>'Ano 24'!$M63</f>
        <v>27040.328326469567</v>
      </c>
      <c r="AB12" s="153">
        <f>'Ano 25'!$M63</f>
        <v>27309.33052825378</v>
      </c>
      <c r="AC12" s="153">
        <f>'Ano 26'!$M63</f>
        <v>27570.31690220728</v>
      </c>
      <c r="AD12" s="153">
        <f>'Ano 27'!$M63</f>
        <v>27822.328627899238</v>
      </c>
      <c r="AE12" s="153">
        <f>'Ano 28'!$M63</f>
        <v>28068.424009607454</v>
      </c>
      <c r="AF12" s="153">
        <f>'Ano 29'!$M63</f>
        <v>28303.677193231466</v>
      </c>
      <c r="AG12" s="153">
        <f>'Ano 30'!$M63</f>
        <v>28532.176880379982</v>
      </c>
      <c r="AH12" s="153">
        <f>'Ano 31'!$M63</f>
        <v>28752.025050658256</v>
      </c>
      <c r="AI12" s="153">
        <f>'Ano 32'!$M63</f>
        <v>28964.335702021512</v>
      </c>
      <c r="AJ12" s="153">
        <f>'Ano 33'!$M63</f>
        <v>29169.233617889797</v>
      </c>
      <c r="AK12" s="153">
        <f>'Ano 34'!$M63</f>
        <v>29365.853168559057</v>
      </c>
      <c r="AL12" s="153">
        <f>'Ano 35'!$M63</f>
        <v>29555.33715331139</v>
      </c>
      <c r="AO12" s="160" t="str">
        <f>'Folha de dados'!AO14</f>
        <v>D</v>
      </c>
      <c r="AP12" s="161" t="s">
        <v>114</v>
      </c>
      <c r="AQ12" s="219">
        <f>'Folha de dados'!AQ14</f>
        <v>2539.58</v>
      </c>
      <c r="AR12" s="160" t="str">
        <f>'Folha de dados'!AR14</f>
        <v>C</v>
      </c>
      <c r="AS12" s="161" t="s">
        <v>72</v>
      </c>
      <c r="AT12" s="219">
        <f>'Folha de dados'!AT14</f>
        <v>4042.27</v>
      </c>
      <c r="AU12" s="160" t="str">
        <f>'Folha de dados'!AU14</f>
        <v>B</v>
      </c>
      <c r="AV12" s="161" t="s">
        <v>88</v>
      </c>
      <c r="AW12" s="219">
        <f>'Folha de dados'!AW14</f>
        <v>7892.5</v>
      </c>
    </row>
    <row r="13" spans="2:49" x14ac:dyDescent="0.25">
      <c r="B13" s="150" t="s">
        <v>12</v>
      </c>
      <c r="C13" s="151" t="s">
        <v>194</v>
      </c>
      <c r="D13" s="153">
        <f>'Ano 1'!M64</f>
        <v>0</v>
      </c>
      <c r="E13" s="153">
        <f>'Ano 2'!M64</f>
        <v>3830.8982096417722</v>
      </c>
      <c r="F13" s="153">
        <f>'Ano 3'!M64</f>
        <v>5873.0222655901525</v>
      </c>
      <c r="G13" s="153">
        <f>'Ano 4'!M64</f>
        <v>7997.6113189128491</v>
      </c>
      <c r="H13" s="153">
        <f>'Ano 5'!M64</f>
        <v>10204.438982081472</v>
      </c>
      <c r="I13" s="153">
        <f>'Ano 6'!$M64</f>
        <v>12491.298730312285</v>
      </c>
      <c r="J13" s="153">
        <f>'Ano 7'!$M64</f>
        <v>14856.41360904204</v>
      </c>
      <c r="K13" s="153">
        <f>'Ano 8'!$M64</f>
        <v>17298.646977114233</v>
      </c>
      <c r="L13" s="153">
        <f>'Ano 9'!$M64</f>
        <v>19815.314143522224</v>
      </c>
      <c r="M13" s="153">
        <f>'Ano 10'!$M64</f>
        <v>20610.939168263008</v>
      </c>
      <c r="N13" s="153">
        <f>'Ano 11'!$M64</f>
        <v>21418.366352937304</v>
      </c>
      <c r="O13" s="153">
        <f>'Ano 12'!$M64</f>
        <v>22233.211794540734</v>
      </c>
      <c r="P13" s="153">
        <f>'Ano 13'!$M64</f>
        <v>23055.671340842808</v>
      </c>
      <c r="Q13" s="153">
        <f>'Ano 14'!$M64</f>
        <v>23887.023717160399</v>
      </c>
      <c r="R13" s="153">
        <f>'Ano 15'!$M64</f>
        <v>24237.83676195889</v>
      </c>
      <c r="S13" s="153">
        <f>'Ano 16'!$M64</f>
        <v>24581.417208064111</v>
      </c>
      <c r="T13" s="153">
        <f>'Ano 17'!$M64</f>
        <v>24917.574877135074</v>
      </c>
      <c r="U13" s="153">
        <f>'Ano 18'!$M64</f>
        <v>25246.146296389066</v>
      </c>
      <c r="V13" s="153">
        <f>'Ano 19'!$M64</f>
        <v>25565.99424148638</v>
      </c>
      <c r="W13" s="153">
        <f>'Ano 20'!$M64</f>
        <v>25878.007125258897</v>
      </c>
      <c r="X13" s="153">
        <f>'Ano 21'!$M64</f>
        <v>26180.098247944901</v>
      </c>
      <c r="Y13" s="153">
        <f>'Ano 22'!$M64</f>
        <v>26476.204925161077</v>
      </c>
      <c r="Z13" s="153">
        <f>'Ano 23'!$M64</f>
        <v>26762.287510105863</v>
      </c>
      <c r="AA13" s="153">
        <f>'Ano 24'!$M64</f>
        <v>27040.328326469567</v>
      </c>
      <c r="AB13" s="153">
        <f>'Ano 25'!$M64</f>
        <v>27309.33052825378</v>
      </c>
      <c r="AC13" s="153">
        <f>'Ano 26'!$M64</f>
        <v>27570.31690220728</v>
      </c>
      <c r="AD13" s="153">
        <f>'Ano 27'!$M64</f>
        <v>27822.328627899238</v>
      </c>
      <c r="AE13" s="153">
        <f>'Ano 28'!$M64</f>
        <v>28068.424009607454</v>
      </c>
      <c r="AF13" s="153">
        <f>'Ano 29'!$M64</f>
        <v>28303.677193231466</v>
      </c>
      <c r="AG13" s="153">
        <f>'Ano 30'!$M64</f>
        <v>28532.176880379982</v>
      </c>
      <c r="AH13" s="153">
        <f>'Ano 31'!$M64</f>
        <v>28752.025050658256</v>
      </c>
      <c r="AI13" s="153">
        <f>'Ano 32'!$M64</f>
        <v>28964.335702021512</v>
      </c>
      <c r="AJ13" s="153">
        <f>'Ano 33'!$M64</f>
        <v>29169.233617889797</v>
      </c>
      <c r="AK13" s="153">
        <f>'Ano 34'!$M64</f>
        <v>29365.853168559057</v>
      </c>
      <c r="AL13" s="153">
        <f>'Ano 35'!$M64</f>
        <v>29555.33715331139</v>
      </c>
      <c r="AO13" s="160" t="str">
        <f>'Folha de dados'!AO15</f>
        <v>E</v>
      </c>
      <c r="AP13" s="161" t="s">
        <v>109</v>
      </c>
      <c r="AQ13" s="219">
        <f>'Folha de dados'!AQ15</f>
        <v>4126.4399999999996</v>
      </c>
      <c r="AR13" s="160" t="str">
        <f>'Folha de dados'!AR15</f>
        <v>B</v>
      </c>
      <c r="AS13" s="161" t="s">
        <v>62</v>
      </c>
      <c r="AT13" s="219">
        <f>'Folha de dados'!AT15</f>
        <v>4813.1899999999996</v>
      </c>
      <c r="AU13" s="160" t="str">
        <f>'Folha de dados'!AU15</f>
        <v>C</v>
      </c>
      <c r="AV13" s="161" t="s">
        <v>145</v>
      </c>
      <c r="AW13" s="219">
        <f>'Folha de dados'!AW15</f>
        <v>4657.63</v>
      </c>
    </row>
    <row r="14" spans="2:49" x14ac:dyDescent="0.25">
      <c r="B14" s="150" t="s">
        <v>8</v>
      </c>
      <c r="C14" s="151" t="s">
        <v>194</v>
      </c>
      <c r="D14" s="153">
        <f>'Ano 1'!M65</f>
        <v>13647.44425039473</v>
      </c>
      <c r="E14" s="153">
        <f>'Ano 2'!M65</f>
        <v>14101.384820858522</v>
      </c>
      <c r="F14" s="153">
        <f>'Ano 3'!M65</f>
        <v>14558.943509623472</v>
      </c>
      <c r="G14" s="153">
        <f>'Ano 4'!M65</f>
        <v>15018.914358680637</v>
      </c>
      <c r="H14" s="153">
        <f>'Ano 5'!M65</f>
        <v>15421.87037397998</v>
      </c>
      <c r="I14" s="153">
        <f>'Ano 6'!$M65</f>
        <v>15730.27452445744</v>
      </c>
      <c r="J14" s="153">
        <f>'Ano 7'!$M65</f>
        <v>16034.858398967119</v>
      </c>
      <c r="K14" s="153">
        <f>'Ano 8'!$M65</f>
        <v>16335.678051152905</v>
      </c>
      <c r="L14" s="153">
        <f>'Ano 9'!$M65</f>
        <v>16631.863418293153</v>
      </c>
      <c r="M14" s="153">
        <f>'Ano 10'!$M65</f>
        <v>16922.134187526706</v>
      </c>
      <c r="N14" s="153">
        <f>'Ano 11'!$M65</f>
        <v>17209.978534797559</v>
      </c>
      <c r="O14" s="153">
        <f>'Ano 12'!$M65</f>
        <v>17491.42752810369</v>
      </c>
      <c r="P14" s="153">
        <f>'Ano 13'!$M65</f>
        <v>17767.008067569303</v>
      </c>
      <c r="Q14" s="153">
        <f>'Ano 14'!$M65</f>
        <v>18038.516960684621</v>
      </c>
      <c r="R14" s="153">
        <f>'Ano 15'!$M65</f>
        <v>18302.007621380697</v>
      </c>
      <c r="S14" s="153">
        <f>'Ano 16'!$M65</f>
        <v>18560.296408482667</v>
      </c>
      <c r="T14" s="153">
        <f>'Ano 17'!$M65</f>
        <v>18813.025479432843</v>
      </c>
      <c r="U14" s="153">
        <f>'Ano 18'!$M65</f>
        <v>19060.082880698832</v>
      </c>
      <c r="V14" s="153">
        <f>'Ano 19'!$M65</f>
        <v>19300.368861944557</v>
      </c>
      <c r="W14" s="153">
        <f>'Ano 20'!$M65</f>
        <v>19534.98819997656</v>
      </c>
      <c r="X14" s="153">
        <f>'Ano 21'!$M65</f>
        <v>19761.91045420547</v>
      </c>
      <c r="Y14" s="153">
        <f>'Ano 22'!$M65</f>
        <v>19984.615923196699</v>
      </c>
      <c r="Z14" s="153">
        <f>'Ano 23'!$M65</f>
        <v>20199.547661553224</v>
      </c>
      <c r="AA14" s="153">
        <f>'Ano 24'!$M65</f>
        <v>20408.469574957722</v>
      </c>
      <c r="AB14" s="153">
        <f>'Ano 25'!$M65</f>
        <v>20610.58287103938</v>
      </c>
      <c r="AC14" s="153">
        <f>'Ano 26'!$M65</f>
        <v>20806.705771987272</v>
      </c>
      <c r="AD14" s="153">
        <f>'Ano 27'!$M65</f>
        <v>20995.842080508257</v>
      </c>
      <c r="AE14" s="153">
        <f>'Ano 28'!$M65</f>
        <v>21181.038498679936</v>
      </c>
      <c r="AF14" s="153">
        <f>'Ano 29'!$M65</f>
        <v>21357.621435708657</v>
      </c>
      <c r="AG14" s="153">
        <f>'Ano 30'!$M65</f>
        <v>21529.362447034182</v>
      </c>
      <c r="AH14" s="153">
        <f>'Ano 31'!$M65</f>
        <v>21694.406912528382</v>
      </c>
      <c r="AI14" s="153">
        <f>'Ano 32'!$M65</f>
        <v>21854.007596324689</v>
      </c>
      <c r="AJ14" s="153">
        <f>'Ano 33'!$M65</f>
        <v>22007.843719348963</v>
      </c>
      <c r="AK14" s="153">
        <f>'Ano 34'!$M65</f>
        <v>22155.464666957148</v>
      </c>
      <c r="AL14" s="153">
        <f>'Ano 35'!$M65</f>
        <v>22297.717012343659</v>
      </c>
      <c r="AO14" s="160" t="str">
        <f>'Folha de dados'!AO16</f>
        <v>D</v>
      </c>
      <c r="AP14" s="161" t="s">
        <v>110</v>
      </c>
      <c r="AQ14" s="219">
        <f>'Folha de dados'!AQ16</f>
        <v>2857.51</v>
      </c>
      <c r="AR14" s="160" t="str">
        <f>'Folha de dados'!AR16</f>
        <v>C</v>
      </c>
      <c r="AS14" s="161" t="s">
        <v>71</v>
      </c>
      <c r="AT14" s="219">
        <f>'Folha de dados'!AT16</f>
        <v>6713.01</v>
      </c>
      <c r="AU14" s="160" t="str">
        <f>'Folha de dados'!AU16</f>
        <v>B</v>
      </c>
      <c r="AV14" s="161" t="s">
        <v>89</v>
      </c>
      <c r="AW14" s="219">
        <f>'Folha de dados'!AW16</f>
        <v>4086.16</v>
      </c>
    </row>
    <row r="15" spans="2:49" x14ac:dyDescent="0.25">
      <c r="B15" s="150" t="s">
        <v>9</v>
      </c>
      <c r="C15" s="151" t="s">
        <v>194</v>
      </c>
      <c r="D15" s="153">
        <f>'Ano 1'!M66</f>
        <v>0</v>
      </c>
      <c r="E15" s="153">
        <f>'Ano 2'!M66</f>
        <v>2895.5615648580133</v>
      </c>
      <c r="F15" s="153">
        <f>'Ano 3'!M66</f>
        <v>4438.7022895193504</v>
      </c>
      <c r="G15" s="153">
        <f>'Ano 4'!M66</f>
        <v>6043.8287157668547</v>
      </c>
      <c r="H15" s="153">
        <f>'Ano 5'!M66</f>
        <v>7710.9351869899901</v>
      </c>
      <c r="I15" s="153">
        <f>'Ano 6'!$M66</f>
        <v>9438.1647146744654</v>
      </c>
      <c r="J15" s="153">
        <f>'Ano 7'!$M66</f>
        <v>11224.400879276984</v>
      </c>
      <c r="K15" s="153">
        <f>'Ano 8'!$M66</f>
        <v>13068.542440922325</v>
      </c>
      <c r="L15" s="153">
        <f>'Ano 9'!$M66</f>
        <v>14968.677076463839</v>
      </c>
      <c r="M15" s="153">
        <f>'Ano 10'!$M66</f>
        <v>15568.363452524569</v>
      </c>
      <c r="N15" s="153">
        <f>'Ano 11'!$M66</f>
        <v>16177.3798227097</v>
      </c>
      <c r="O15" s="153">
        <f>'Ano 12'!$M66</f>
        <v>16791.770426979547</v>
      </c>
      <c r="P15" s="153">
        <f>'Ano 13'!$M66</f>
        <v>17411.667906217917</v>
      </c>
      <c r="Q15" s="153">
        <f>'Ano 14'!$M66</f>
        <v>18038.516960684621</v>
      </c>
      <c r="R15" s="153">
        <f>'Ano 15'!$M66</f>
        <v>18302.007621380697</v>
      </c>
      <c r="S15" s="153">
        <f>'Ano 16'!$M66</f>
        <v>18560.296408482667</v>
      </c>
      <c r="T15" s="153">
        <f>'Ano 17'!$M66</f>
        <v>18813.025479432843</v>
      </c>
      <c r="U15" s="153">
        <f>'Ano 18'!$M66</f>
        <v>19060.082880698832</v>
      </c>
      <c r="V15" s="153">
        <f>'Ano 19'!$M66</f>
        <v>19300.368861944557</v>
      </c>
      <c r="W15" s="153">
        <f>'Ano 20'!$M66</f>
        <v>19534.98819997656</v>
      </c>
      <c r="X15" s="153">
        <f>'Ano 21'!$M66</f>
        <v>19761.91045420547</v>
      </c>
      <c r="Y15" s="153">
        <f>'Ano 22'!$M66</f>
        <v>19984.615923196699</v>
      </c>
      <c r="Z15" s="153">
        <f>'Ano 23'!$M66</f>
        <v>20199.547661553224</v>
      </c>
      <c r="AA15" s="153">
        <f>'Ano 24'!$M66</f>
        <v>20408.469574957722</v>
      </c>
      <c r="AB15" s="153">
        <f>'Ano 25'!$M66</f>
        <v>20610.58287103938</v>
      </c>
      <c r="AC15" s="153">
        <f>'Ano 26'!$M66</f>
        <v>20806.705771987272</v>
      </c>
      <c r="AD15" s="153">
        <f>'Ano 27'!$M66</f>
        <v>20995.842080508257</v>
      </c>
      <c r="AE15" s="153">
        <f>'Ano 28'!$M66</f>
        <v>21181.038498679936</v>
      </c>
      <c r="AF15" s="153">
        <f>'Ano 29'!$M66</f>
        <v>21357.621435708657</v>
      </c>
      <c r="AG15" s="153">
        <f>'Ano 30'!$M66</f>
        <v>21529.362447034182</v>
      </c>
      <c r="AH15" s="153">
        <f>'Ano 31'!$M66</f>
        <v>21694.406912528382</v>
      </c>
      <c r="AI15" s="153">
        <f>'Ano 32'!$M66</f>
        <v>21854.007596324689</v>
      </c>
      <c r="AJ15" s="153">
        <f>'Ano 33'!$M66</f>
        <v>22007.843719348963</v>
      </c>
      <c r="AK15" s="153">
        <f>'Ano 34'!$M66</f>
        <v>22155.464666957148</v>
      </c>
      <c r="AL15" s="153">
        <f>'Ano 35'!$M66</f>
        <v>22297.717012343659</v>
      </c>
      <c r="AO15" s="160" t="str">
        <f>'Folha de dados'!AO17</f>
        <v>C</v>
      </c>
      <c r="AP15" s="161" t="s">
        <v>111</v>
      </c>
      <c r="AQ15" s="219">
        <f>'Folha de dados'!AQ17</f>
        <v>2270.7399999999998</v>
      </c>
      <c r="AR15" s="160" t="str">
        <f>'Folha de dados'!AR17</f>
        <v>D</v>
      </c>
      <c r="AS15" s="161" t="s">
        <v>63</v>
      </c>
      <c r="AT15" s="219">
        <f>'Folha de dados'!AT17</f>
        <v>9683.34</v>
      </c>
      <c r="AU15" s="160" t="str">
        <f>'Folha de dados'!AU17</f>
        <v>C</v>
      </c>
      <c r="AV15" s="161" t="s">
        <v>90</v>
      </c>
      <c r="AW15" s="219">
        <f>'Folha de dados'!AW17</f>
        <v>6875.48</v>
      </c>
    </row>
    <row r="16" spans="2:49" x14ac:dyDescent="0.25">
      <c r="B16" s="150" t="s">
        <v>198</v>
      </c>
      <c r="C16" s="151" t="s">
        <v>200</v>
      </c>
      <c r="D16" s="234">
        <f>'Ano 1'!M67/1000</f>
        <v>289.46229255087223</v>
      </c>
      <c r="E16" s="234">
        <f>'Ano 2'!M67/1000</f>
        <v>299.09037205040926</v>
      </c>
      <c r="F16" s="234">
        <f>'Ano 3'!M67/1000</f>
        <v>308.79519183911384</v>
      </c>
      <c r="G16" s="234">
        <f>'Ano 4'!M67/1000</f>
        <v>318.55117354761626</v>
      </c>
      <c r="H16" s="234">
        <f>'Ano 5'!M67/1000</f>
        <v>327.09787063211536</v>
      </c>
      <c r="I16" s="234">
        <f>'Ano 6'!$M67/1000</f>
        <v>333.63912266374228</v>
      </c>
      <c r="J16" s="234">
        <f>'Ano 7'!$M67/1000</f>
        <v>340.09934664209254</v>
      </c>
      <c r="K16" s="234">
        <f>'Ano 8'!$M67/1000</f>
        <v>346.47973146495309</v>
      </c>
      <c r="L16" s="234">
        <f>'Ano 9'!$M67/1000</f>
        <v>352.76182310199778</v>
      </c>
      <c r="M16" s="234">
        <f>'Ano 10'!$M67/1000</f>
        <v>358.91846611744148</v>
      </c>
      <c r="N16" s="234">
        <f>'Ano 11'!$M67/1000</f>
        <v>365.02364472305629</v>
      </c>
      <c r="O16" s="234">
        <f>'Ano 12'!$M67/1000</f>
        <v>370.9931778710793</v>
      </c>
      <c r="P16" s="234">
        <f>'Ano 13'!$M67/1000</f>
        <v>376.83824111314499</v>
      </c>
      <c r="Q16" s="234">
        <f>'Ano 14'!$M67/1000</f>
        <v>382.59694473612086</v>
      </c>
      <c r="R16" s="234">
        <f>'Ano 15'!$M67/1000</f>
        <v>388.18558164948462</v>
      </c>
      <c r="S16" s="234">
        <f>'Ano 16'!$M67/1000</f>
        <v>393.66388682391744</v>
      </c>
      <c r="T16" s="234">
        <f>'Ano 17'!$M67/1000</f>
        <v>399.0242704187707</v>
      </c>
      <c r="U16" s="234">
        <f>'Ano 18'!$M67/1000</f>
        <v>404.26435789962227</v>
      </c>
      <c r="V16" s="234">
        <f>'Ano 19'!$M67/1000</f>
        <v>409.36082356184414</v>
      </c>
      <c r="W16" s="234">
        <f>'Ano 20'!$M67/1000</f>
        <v>414.33709972150291</v>
      </c>
      <c r="X16" s="234">
        <f>'Ano 21'!$M67/1000</f>
        <v>419.15012073369809</v>
      </c>
      <c r="Y16" s="234">
        <f>'Ano 22'!$M67/1000</f>
        <v>423.87370373100208</v>
      </c>
      <c r="Z16" s="234">
        <f>'Ano 23'!$M67/1000</f>
        <v>428.43240590154397</v>
      </c>
      <c r="AA16" s="234">
        <f>'Ano 24'!$M67/1000</f>
        <v>432.86363968485335</v>
      </c>
      <c r="AB16" s="234">
        <f>'Ano 25'!$M67/1000</f>
        <v>437.15046269474533</v>
      </c>
      <c r="AC16" s="234">
        <f>'Ano 26'!$M67/1000</f>
        <v>441.31022942385016</v>
      </c>
      <c r="AD16" s="234">
        <f>'Ano 27'!$M67/1000</f>
        <v>445.32181052758023</v>
      </c>
      <c r="AE16" s="234">
        <f>'Ano 28'!$M67/1000</f>
        <v>449.24982655700148</v>
      </c>
      <c r="AF16" s="234">
        <f>'Ano 29'!$M67/1000</f>
        <v>452.99515065138064</v>
      </c>
      <c r="AG16" s="234">
        <f>'Ano 30'!$M67/1000</f>
        <v>456.63777750159505</v>
      </c>
      <c r="AH16" s="234">
        <f>'Ano 31'!$M67/1000</f>
        <v>460.13837061472702</v>
      </c>
      <c r="AI16" s="234">
        <f>'Ano 32'!$M67/1000</f>
        <v>463.52350111804668</v>
      </c>
      <c r="AJ16" s="234">
        <f>'Ano 33'!$M67/1000</f>
        <v>466.7863652873915</v>
      </c>
      <c r="AK16" s="234">
        <f>'Ano 34'!$M67/1000</f>
        <v>469.91740558616112</v>
      </c>
      <c r="AL16" s="234">
        <f>'Ano 35'!$M67/1000</f>
        <v>472.93457783180901</v>
      </c>
      <c r="AO16" s="160" t="str">
        <f>'Folha de dados'!AO18</f>
        <v>C</v>
      </c>
      <c r="AP16" s="161" t="s">
        <v>112</v>
      </c>
      <c r="AQ16" s="219">
        <f>'Folha de dados'!AQ18</f>
        <v>2270.7399999999998</v>
      </c>
      <c r="AR16" s="160" t="str">
        <f>'Folha de dados'!AR18</f>
        <v>D</v>
      </c>
      <c r="AS16" s="161" t="s">
        <v>65</v>
      </c>
      <c r="AT16" s="219">
        <f>'Folha de dados'!AT18</f>
        <v>11356.16</v>
      </c>
      <c r="AU16" s="160" t="str">
        <f>'Folha de dados'!AU18</f>
        <v>C</v>
      </c>
      <c r="AV16" s="161" t="s">
        <v>92</v>
      </c>
      <c r="AW16" s="219">
        <f>'Folha de dados'!AW18</f>
        <v>6500.17</v>
      </c>
    </row>
    <row r="17" spans="2:49" x14ac:dyDescent="0.25">
      <c r="B17" s="150" t="s">
        <v>199</v>
      </c>
      <c r="C17" s="151" t="s">
        <v>200</v>
      </c>
      <c r="D17" s="234">
        <f>'Ano 1'!M68/1000</f>
        <v>0</v>
      </c>
      <c r="E17" s="234">
        <f>'Ano 2'!M68/1000</f>
        <v>61.414860790638464</v>
      </c>
      <c r="F17" s="234">
        <f>'Ano 3'!M68/1000</f>
        <v>94.144875560705415</v>
      </c>
      <c r="G17" s="234">
        <f>'Ano 4'!M68/1000</f>
        <v>128.18960706141499</v>
      </c>
      <c r="H17" s="234">
        <f>'Ano 5'!M68/1000</f>
        <v>163.54893531605771</v>
      </c>
      <c r="I17" s="234">
        <f>'Ano 6'!$M68/1000</f>
        <v>200.18347359824543</v>
      </c>
      <c r="J17" s="234">
        <f>'Ano 7'!$M68/1000</f>
        <v>238.06954264946484</v>
      </c>
      <c r="K17" s="234">
        <f>'Ano 8'!$M68/1000</f>
        <v>277.18378517196254</v>
      </c>
      <c r="L17" s="234">
        <f>'Ano 9'!$M68/1000</f>
        <v>317.48564079179801</v>
      </c>
      <c r="M17" s="234">
        <f>'Ano 10'!$M68/1000</f>
        <v>330.20498882804611</v>
      </c>
      <c r="N17" s="234">
        <f>'Ano 11'!$M68/1000</f>
        <v>343.12222603967268</v>
      </c>
      <c r="O17" s="234">
        <f>'Ano 12'!$M68/1000</f>
        <v>356.15345075623623</v>
      </c>
      <c r="P17" s="234">
        <f>'Ano 13'!$M68/1000</f>
        <v>369.30147629088202</v>
      </c>
      <c r="Q17" s="234">
        <f>'Ano 14'!$M68/1000</f>
        <v>382.5969447361208</v>
      </c>
      <c r="R17" s="234">
        <f>'Ano 15'!$M68/1000</f>
        <v>388.18558164948456</v>
      </c>
      <c r="S17" s="234">
        <f>'Ano 16'!$M68/1000</f>
        <v>393.66388682391738</v>
      </c>
      <c r="T17" s="234">
        <f>'Ano 17'!$M68/1000</f>
        <v>399.02427041877058</v>
      </c>
      <c r="U17" s="234">
        <f>'Ano 18'!$M68/1000</f>
        <v>404.26435789962221</v>
      </c>
      <c r="V17" s="234">
        <f>'Ano 19'!$M68/1000</f>
        <v>409.36082356184409</v>
      </c>
      <c r="W17" s="234">
        <f>'Ano 20'!$M68/1000</f>
        <v>414.33709972150285</v>
      </c>
      <c r="X17" s="234">
        <f>'Ano 21'!$M68/1000</f>
        <v>419.15012073369803</v>
      </c>
      <c r="Y17" s="234">
        <f>'Ano 22'!$M68/1000</f>
        <v>423.87370373100197</v>
      </c>
      <c r="Z17" s="234">
        <f>'Ano 23'!$M68/1000</f>
        <v>428.43240590154392</v>
      </c>
      <c r="AA17" s="234">
        <f>'Ano 24'!$M68/1000</f>
        <v>432.8636396848533</v>
      </c>
      <c r="AB17" s="234">
        <f>'Ano 25'!$M68/1000</f>
        <v>437.15046269474527</v>
      </c>
      <c r="AC17" s="234">
        <f>'Ano 26'!$M68/1000</f>
        <v>441.3102294238501</v>
      </c>
      <c r="AD17" s="234">
        <f>'Ano 27'!$M68/1000</f>
        <v>445.32181052758017</v>
      </c>
      <c r="AE17" s="234">
        <f>'Ano 28'!$M68/1000</f>
        <v>449.24982655700143</v>
      </c>
      <c r="AF17" s="234">
        <f>'Ano 29'!$M68/1000</f>
        <v>452.99515065138064</v>
      </c>
      <c r="AG17" s="234">
        <f>'Ano 30'!$M68/1000</f>
        <v>456.63777750159505</v>
      </c>
      <c r="AH17" s="234">
        <f>'Ano 31'!$M68/1000</f>
        <v>460.13837061472702</v>
      </c>
      <c r="AI17" s="234">
        <f>'Ano 32'!$M68/1000</f>
        <v>463.52350111804668</v>
      </c>
      <c r="AJ17" s="234">
        <f>'Ano 33'!$M68/1000</f>
        <v>466.7863652873915</v>
      </c>
      <c r="AK17" s="234">
        <f>'Ano 34'!$M68/1000</f>
        <v>469.91740558616112</v>
      </c>
      <c r="AL17" s="234">
        <f>'Ano 35'!$M68/1000</f>
        <v>472.93457783180901</v>
      </c>
      <c r="AO17" s="160" t="str">
        <f>'Folha de dados'!AO19</f>
        <v>C</v>
      </c>
      <c r="AP17" s="161" t="s">
        <v>113</v>
      </c>
      <c r="AQ17" s="219">
        <f>'Folha de dados'!AQ19</f>
        <v>2270.7399999999998</v>
      </c>
      <c r="AR17" s="160" t="str">
        <f>'Folha de dados'!AR19</f>
        <v>D</v>
      </c>
      <c r="AS17" s="161" t="s">
        <v>64</v>
      </c>
      <c r="AT17" s="219">
        <f>'Folha de dados'!AT19</f>
        <v>7879.82</v>
      </c>
      <c r="AU17" s="160" t="str">
        <f>'Folha de dados'!AU19</f>
        <v>A</v>
      </c>
      <c r="AV17" s="161" t="s">
        <v>81</v>
      </c>
      <c r="AW17" s="219">
        <f>'Folha de dados'!AW19</f>
        <v>3989.87</v>
      </c>
    </row>
    <row r="18" spans="2:49" x14ac:dyDescent="0.25">
      <c r="B18" s="175" t="s">
        <v>43</v>
      </c>
      <c r="C18" s="176" t="s">
        <v>194</v>
      </c>
      <c r="D18" s="177">
        <f>'Ano 1'!M69</f>
        <v>15</v>
      </c>
      <c r="E18" s="177">
        <f>'Ano 2'!M69</f>
        <v>15</v>
      </c>
      <c r="F18" s="177">
        <f>'Ano 3'!M69</f>
        <v>19</v>
      </c>
      <c r="G18" s="177">
        <f>'Ano 4'!M69</f>
        <v>20</v>
      </c>
      <c r="H18" s="177">
        <f>'Ano 5'!M69</f>
        <v>23</v>
      </c>
      <c r="I18" s="177">
        <f>'Ano 6'!$M69</f>
        <v>23</v>
      </c>
      <c r="J18" s="177">
        <f>'Ano 7'!$M69</f>
        <v>24</v>
      </c>
      <c r="K18" s="177">
        <f>'Ano 8'!$M69</f>
        <v>25</v>
      </c>
      <c r="L18" s="177">
        <f>'Ano 9'!$M69</f>
        <v>27</v>
      </c>
      <c r="M18" s="177">
        <f>'Ano 10'!$M69</f>
        <v>27</v>
      </c>
      <c r="N18" s="177">
        <f>'Ano 11'!$M69</f>
        <v>27</v>
      </c>
      <c r="O18" s="177">
        <f>'Ano 12'!$M69</f>
        <v>27</v>
      </c>
      <c r="P18" s="177">
        <f>'Ano 13'!$M69</f>
        <v>28</v>
      </c>
      <c r="Q18" s="177">
        <f>'Ano 14'!$M69</f>
        <v>28</v>
      </c>
      <c r="R18" s="177">
        <f>'Ano 15'!$M69</f>
        <v>28</v>
      </c>
      <c r="S18" s="177">
        <f>'Ano 16'!$M69</f>
        <v>28</v>
      </c>
      <c r="T18" s="177">
        <f>'Ano 17'!$M69</f>
        <v>33</v>
      </c>
      <c r="U18" s="177">
        <f>'Ano 18'!$M69</f>
        <v>33</v>
      </c>
      <c r="V18" s="177">
        <f>'Ano 19'!$M69</f>
        <v>35</v>
      </c>
      <c r="W18" s="177">
        <f>'Ano 20'!$M69</f>
        <v>35</v>
      </c>
      <c r="X18" s="177">
        <f>'Ano 21'!$M69</f>
        <v>35</v>
      </c>
      <c r="Y18" s="177">
        <f>'Ano 22'!$M69</f>
        <v>36</v>
      </c>
      <c r="Z18" s="177">
        <f>'Ano 23'!$M69</f>
        <v>36</v>
      </c>
      <c r="AA18" s="177">
        <f>'Ano 24'!$M69</f>
        <v>36</v>
      </c>
      <c r="AB18" s="177">
        <f>'Ano 25'!$M69</f>
        <v>36</v>
      </c>
      <c r="AC18" s="177">
        <f>'Ano 26'!$M69</f>
        <v>36</v>
      </c>
      <c r="AD18" s="177">
        <f>'Ano 27'!$M69</f>
        <v>36</v>
      </c>
      <c r="AE18" s="177">
        <f>'Ano 28'!$M69</f>
        <v>36</v>
      </c>
      <c r="AF18" s="177">
        <f>'Ano 29'!$M69</f>
        <v>41</v>
      </c>
      <c r="AG18" s="177">
        <f>'Ano 30'!$M69</f>
        <v>41</v>
      </c>
      <c r="AH18" s="177">
        <f>'Ano 31'!$M69</f>
        <v>41</v>
      </c>
      <c r="AI18" s="177">
        <f>'Ano 32'!$M69</f>
        <v>41</v>
      </c>
      <c r="AJ18" s="177">
        <f>'Ano 33'!$M69</f>
        <v>41</v>
      </c>
      <c r="AK18" s="177">
        <f>'Ano 34'!$M69</f>
        <v>41</v>
      </c>
      <c r="AL18" s="177">
        <f>'Ano 35'!$M69</f>
        <v>41</v>
      </c>
      <c r="AO18" s="160" t="str">
        <f>'Folha de dados'!AO21</f>
        <v>C</v>
      </c>
      <c r="AP18" s="161" t="s">
        <v>142</v>
      </c>
      <c r="AQ18" s="219">
        <f>'Folha de dados'!AQ21</f>
        <v>2270.7399999999998</v>
      </c>
      <c r="AR18" s="160" t="str">
        <f>'Folha de dados'!AR21</f>
        <v>D</v>
      </c>
      <c r="AS18" s="161" t="s">
        <v>147</v>
      </c>
      <c r="AT18" s="219">
        <f>'Folha de dados'!AT21</f>
        <v>11550.24</v>
      </c>
      <c r="AU18" s="160" t="str">
        <f>'Folha de dados'!AU21</f>
        <v>D</v>
      </c>
      <c r="AV18" s="161" t="s">
        <v>93</v>
      </c>
      <c r="AW18" s="219">
        <f>'Folha de dados'!AW21</f>
        <v>9147.26</v>
      </c>
    </row>
    <row r="19" spans="2:49" x14ac:dyDescent="0.25">
      <c r="B19" s="175" t="s">
        <v>44</v>
      </c>
      <c r="C19" s="176" t="s">
        <v>194</v>
      </c>
      <c r="D19" s="177">
        <f>'Ano 1'!M70</f>
        <v>10</v>
      </c>
      <c r="E19" s="177">
        <f>'Ano 2'!M70</f>
        <v>13</v>
      </c>
      <c r="F19" s="177">
        <f>'Ano 3'!M70</f>
        <v>14</v>
      </c>
      <c r="G19" s="177">
        <f>'Ano 4'!M70</f>
        <v>12</v>
      </c>
      <c r="H19" s="177">
        <f>'Ano 5'!M70</f>
        <v>10</v>
      </c>
      <c r="I19" s="177">
        <f>'Ano 6'!$M70</f>
        <v>10</v>
      </c>
      <c r="J19" s="177">
        <f>'Ano 7'!$M70</f>
        <v>10</v>
      </c>
      <c r="K19" s="177">
        <f>'Ano 8'!$M70</f>
        <v>13</v>
      </c>
      <c r="L19" s="177">
        <f>'Ano 9'!$M70</f>
        <v>13</v>
      </c>
      <c r="M19" s="177">
        <f>'Ano 10'!$M70</f>
        <v>13</v>
      </c>
      <c r="N19" s="177">
        <f>'Ano 11'!$M70</f>
        <v>13</v>
      </c>
      <c r="O19" s="177">
        <f>'Ano 12'!$M70</f>
        <v>13</v>
      </c>
      <c r="P19" s="177">
        <f>'Ano 13'!$M70</f>
        <v>13</v>
      </c>
      <c r="Q19" s="177">
        <f>'Ano 14'!$M70</f>
        <v>13</v>
      </c>
      <c r="R19" s="177">
        <f>'Ano 15'!$M70</f>
        <v>13</v>
      </c>
      <c r="S19" s="177">
        <f>'Ano 16'!$M70</f>
        <v>13</v>
      </c>
      <c r="T19" s="177">
        <f>'Ano 17'!$M70</f>
        <v>20</v>
      </c>
      <c r="U19" s="177">
        <f>'Ano 18'!$M70</f>
        <v>20</v>
      </c>
      <c r="V19" s="177">
        <f>'Ano 19'!$M70</f>
        <v>20</v>
      </c>
      <c r="W19" s="177">
        <f>'Ano 20'!$M70</f>
        <v>20</v>
      </c>
      <c r="X19" s="177">
        <f>'Ano 21'!$M70</f>
        <v>20</v>
      </c>
      <c r="Y19" s="177">
        <f>'Ano 22'!$M70</f>
        <v>20</v>
      </c>
      <c r="Z19" s="177">
        <f>'Ano 23'!$M70</f>
        <v>20</v>
      </c>
      <c r="AA19" s="177">
        <f>'Ano 24'!$M70</f>
        <v>20</v>
      </c>
      <c r="AB19" s="177">
        <f>'Ano 25'!$M70</f>
        <v>20</v>
      </c>
      <c r="AC19" s="177">
        <f>'Ano 26'!$M70</f>
        <v>20</v>
      </c>
      <c r="AD19" s="177">
        <f>'Ano 27'!$M70</f>
        <v>20</v>
      </c>
      <c r="AE19" s="177">
        <f>'Ano 28'!$M70</f>
        <v>20</v>
      </c>
      <c r="AF19" s="177">
        <f>'Ano 29'!$M70</f>
        <v>20</v>
      </c>
      <c r="AG19" s="177">
        <f>'Ano 30'!$M70</f>
        <v>20</v>
      </c>
      <c r="AH19" s="177">
        <f>'Ano 31'!$M70</f>
        <v>20</v>
      </c>
      <c r="AI19" s="177">
        <f>'Ano 32'!$M70</f>
        <v>20</v>
      </c>
      <c r="AJ19" s="177">
        <f>'Ano 33'!$M70</f>
        <v>20</v>
      </c>
      <c r="AK19" s="177">
        <f>'Ano 34'!$M70</f>
        <v>20</v>
      </c>
      <c r="AL19" s="177">
        <f>'Ano 35'!$M70</f>
        <v>20</v>
      </c>
      <c r="AO19" s="160" t="str">
        <f>'Folha de dados'!AO22</f>
        <v>B</v>
      </c>
      <c r="AP19" s="161" t="s">
        <v>115</v>
      </c>
      <c r="AQ19" s="219">
        <f>'Folha de dados'!AQ22</f>
        <v>2306.9499999999998</v>
      </c>
      <c r="AR19" s="160" t="str">
        <f>'Folha de dados'!AR22</f>
        <v>D</v>
      </c>
      <c r="AS19" s="161" t="s">
        <v>66</v>
      </c>
      <c r="AT19" s="219">
        <f>'Folha de dados'!AT22</f>
        <v>11205.77</v>
      </c>
      <c r="AU19" s="160" t="str">
        <f>'Folha de dados'!AU22</f>
        <v>C</v>
      </c>
      <c r="AV19" s="161" t="s">
        <v>82</v>
      </c>
      <c r="AW19" s="219">
        <f>'Folha de dados'!AW22</f>
        <v>6337.04</v>
      </c>
    </row>
    <row r="20" spans="2:49" x14ac:dyDescent="0.25">
      <c r="B20" s="175" t="s">
        <v>58</v>
      </c>
      <c r="C20" s="176" t="s">
        <v>194</v>
      </c>
      <c r="D20" s="177">
        <f>'Ano 1'!M71</f>
        <v>1</v>
      </c>
      <c r="E20" s="177">
        <f>'Ano 2'!M71</f>
        <v>1</v>
      </c>
      <c r="F20" s="177">
        <f>'Ano 3'!M71</f>
        <v>1</v>
      </c>
      <c r="G20" s="177">
        <f>'Ano 4'!M71</f>
        <v>1</v>
      </c>
      <c r="H20" s="177">
        <f>'Ano 5'!M71</f>
        <v>1</v>
      </c>
      <c r="I20" s="177">
        <f>'Ano 6'!$M71</f>
        <v>1</v>
      </c>
      <c r="J20" s="177">
        <f>'Ano 7'!$M71</f>
        <v>1</v>
      </c>
      <c r="K20" s="177">
        <f>'Ano 8'!$M71</f>
        <v>1</v>
      </c>
      <c r="L20" s="177">
        <f>'Ano 9'!$M71</f>
        <v>1</v>
      </c>
      <c r="M20" s="177">
        <f>'Ano 10'!$M71</f>
        <v>1</v>
      </c>
      <c r="N20" s="177">
        <f>'Ano 11'!$M71</f>
        <v>1</v>
      </c>
      <c r="O20" s="177">
        <f>'Ano 12'!$M71</f>
        <v>1</v>
      </c>
      <c r="P20" s="177">
        <f>'Ano 13'!$M71</f>
        <v>1</v>
      </c>
      <c r="Q20" s="177">
        <f>'Ano 14'!$M71</f>
        <v>1</v>
      </c>
      <c r="R20" s="177">
        <f>'Ano 15'!$M71</f>
        <v>1</v>
      </c>
      <c r="S20" s="177">
        <f>'Ano 16'!$M71</f>
        <v>1</v>
      </c>
      <c r="T20" s="177">
        <f>'Ano 17'!$M71</f>
        <v>1</v>
      </c>
      <c r="U20" s="177">
        <f>'Ano 18'!$M71</f>
        <v>1</v>
      </c>
      <c r="V20" s="177">
        <f>'Ano 19'!$M71</f>
        <v>1</v>
      </c>
      <c r="W20" s="177">
        <f>'Ano 20'!$M71</f>
        <v>1</v>
      </c>
      <c r="X20" s="177">
        <f>'Ano 21'!$M71</f>
        <v>1</v>
      </c>
      <c r="Y20" s="177">
        <f>'Ano 22'!$M71</f>
        <v>1</v>
      </c>
      <c r="Z20" s="177">
        <f>'Ano 23'!$M71</f>
        <v>1</v>
      </c>
      <c r="AA20" s="177">
        <f>'Ano 24'!$M71</f>
        <v>1</v>
      </c>
      <c r="AB20" s="177">
        <f>'Ano 25'!$M71</f>
        <v>1</v>
      </c>
      <c r="AC20" s="177">
        <f>'Ano 26'!$M71</f>
        <v>1</v>
      </c>
      <c r="AD20" s="177">
        <f>'Ano 27'!$M71</f>
        <v>1</v>
      </c>
      <c r="AE20" s="177">
        <f>'Ano 28'!$M71</f>
        <v>1</v>
      </c>
      <c r="AF20" s="177">
        <f>'Ano 29'!$M71</f>
        <v>1</v>
      </c>
      <c r="AG20" s="177">
        <f>'Ano 30'!$M71</f>
        <v>1</v>
      </c>
      <c r="AH20" s="177">
        <f>'Ano 31'!$M71</f>
        <v>1</v>
      </c>
      <c r="AI20" s="177">
        <f>'Ano 32'!$M71</f>
        <v>1</v>
      </c>
      <c r="AJ20" s="177">
        <f>'Ano 33'!$M71</f>
        <v>1</v>
      </c>
      <c r="AK20" s="177">
        <f>'Ano 34'!$M71</f>
        <v>1</v>
      </c>
      <c r="AL20" s="177">
        <f>'Ano 35'!$M71</f>
        <v>1</v>
      </c>
      <c r="AO20" s="160" t="str">
        <f>'Folha de dados'!AO23</f>
        <v>A</v>
      </c>
      <c r="AP20" s="161" t="s">
        <v>101</v>
      </c>
      <c r="AQ20" s="219">
        <f>'Folha de dados'!AQ23</f>
        <v>1712.93</v>
      </c>
      <c r="AR20" s="160" t="str">
        <f>'Folha de dados'!AR23</f>
        <v>D</v>
      </c>
      <c r="AS20" s="161" t="s">
        <v>67</v>
      </c>
      <c r="AT20" s="219">
        <f>'Folha de dados'!AT23</f>
        <v>9799.94</v>
      </c>
      <c r="AU20" s="160" t="str">
        <f>'Folha de dados'!AU23</f>
        <v>D</v>
      </c>
      <c r="AV20" s="161" t="s">
        <v>83</v>
      </c>
      <c r="AW20" s="219">
        <f>'Folha de dados'!AW23</f>
        <v>9138.48</v>
      </c>
    </row>
    <row r="21" spans="2:49" x14ac:dyDescent="0.25">
      <c r="B21" s="175" t="s">
        <v>59</v>
      </c>
      <c r="C21" s="176" t="s">
        <v>194</v>
      </c>
      <c r="D21" s="177">
        <f>'Ano 1'!M72</f>
        <v>8</v>
      </c>
      <c r="E21" s="177">
        <f>'Ano 2'!M72</f>
        <v>8</v>
      </c>
      <c r="F21" s="177">
        <f>'Ano 3'!M72</f>
        <v>8</v>
      </c>
      <c r="G21" s="177">
        <f>'Ano 4'!M72</f>
        <v>8</v>
      </c>
      <c r="H21" s="177">
        <f>'Ano 5'!M72</f>
        <v>8</v>
      </c>
      <c r="I21" s="177">
        <f>'Ano 6'!$M72</f>
        <v>8</v>
      </c>
      <c r="J21" s="177">
        <f>'Ano 7'!$M72</f>
        <v>9</v>
      </c>
      <c r="K21" s="177">
        <f>'Ano 8'!$M72</f>
        <v>10</v>
      </c>
      <c r="L21" s="177">
        <f>'Ano 9'!$M72</f>
        <v>10</v>
      </c>
      <c r="M21" s="177">
        <f>'Ano 10'!$M72</f>
        <v>10</v>
      </c>
      <c r="N21" s="177">
        <f>'Ano 11'!$M72</f>
        <v>10</v>
      </c>
      <c r="O21" s="177">
        <f>'Ano 12'!$M72</f>
        <v>10</v>
      </c>
      <c r="P21" s="177">
        <f>'Ano 13'!$M72</f>
        <v>10</v>
      </c>
      <c r="Q21" s="177">
        <f>'Ano 14'!$M72</f>
        <v>10</v>
      </c>
      <c r="R21" s="177">
        <f>'Ano 15'!$M72</f>
        <v>10</v>
      </c>
      <c r="S21" s="177">
        <f>'Ano 16'!$M72</f>
        <v>10</v>
      </c>
      <c r="T21" s="177">
        <f>'Ano 17'!$M72</f>
        <v>12</v>
      </c>
      <c r="U21" s="177">
        <f>'Ano 18'!$M72</f>
        <v>12</v>
      </c>
      <c r="V21" s="177">
        <f>'Ano 19'!$M72</f>
        <v>12</v>
      </c>
      <c r="W21" s="177">
        <f>'Ano 20'!$M72</f>
        <v>12</v>
      </c>
      <c r="X21" s="177">
        <f>'Ano 21'!$M72</f>
        <v>12</v>
      </c>
      <c r="Y21" s="177">
        <f>'Ano 22'!$M72</f>
        <v>12</v>
      </c>
      <c r="Z21" s="177">
        <f>'Ano 23'!$M72</f>
        <v>13</v>
      </c>
      <c r="AA21" s="177">
        <f>'Ano 24'!$M72</f>
        <v>13</v>
      </c>
      <c r="AB21" s="177">
        <f>'Ano 25'!$M72</f>
        <v>13</v>
      </c>
      <c r="AC21" s="177">
        <f>'Ano 26'!$M72</f>
        <v>13</v>
      </c>
      <c r="AD21" s="177">
        <f>'Ano 27'!$M72</f>
        <v>13</v>
      </c>
      <c r="AE21" s="177">
        <f>'Ano 28'!$M72</f>
        <v>13</v>
      </c>
      <c r="AF21" s="177">
        <f>'Ano 29'!$M72</f>
        <v>13</v>
      </c>
      <c r="AG21" s="177">
        <f>'Ano 30'!$M72</f>
        <v>13</v>
      </c>
      <c r="AH21" s="177">
        <f>'Ano 31'!$M72</f>
        <v>13</v>
      </c>
      <c r="AI21" s="177">
        <f>'Ano 32'!$M72</f>
        <v>13</v>
      </c>
      <c r="AJ21" s="177">
        <f>'Ano 33'!$M72</f>
        <v>13</v>
      </c>
      <c r="AK21" s="177">
        <f>'Ano 34'!$M72</f>
        <v>13</v>
      </c>
      <c r="AL21" s="177">
        <f>'Ano 35'!$M72</f>
        <v>13</v>
      </c>
      <c r="AO21" s="160" t="str">
        <f>'Folha de dados'!AO24</f>
        <v>D</v>
      </c>
      <c r="AP21" s="161" t="s">
        <v>116</v>
      </c>
      <c r="AQ21" s="219">
        <f>'Folha de dados'!AQ24</f>
        <v>3016.31</v>
      </c>
      <c r="AR21" s="160" t="str">
        <f>'Folha de dados'!AR24</f>
        <v>D</v>
      </c>
      <c r="AS21" s="161" t="s">
        <v>68</v>
      </c>
      <c r="AT21" s="219">
        <f>'Folha de dados'!AT24</f>
        <v>9768.34</v>
      </c>
      <c r="AU21" s="160" t="str">
        <f>'Folha de dados'!AU24</f>
        <v>C</v>
      </c>
      <c r="AV21" s="161" t="s">
        <v>85</v>
      </c>
      <c r="AW21" s="219">
        <f>'Folha de dados'!AW24</f>
        <v>5318</v>
      </c>
    </row>
    <row r="22" spans="2:49" x14ac:dyDescent="0.25">
      <c r="B22" s="175" t="s">
        <v>22</v>
      </c>
      <c r="C22" s="176" t="s">
        <v>194</v>
      </c>
      <c r="D22" s="177">
        <f>'Ano 1'!M73</f>
        <v>6</v>
      </c>
      <c r="E22" s="177">
        <f>'Ano 2'!M73</f>
        <v>7</v>
      </c>
      <c r="F22" s="177">
        <f>'Ano 3'!M73</f>
        <v>7</v>
      </c>
      <c r="G22" s="177">
        <f>'Ano 4'!M73</f>
        <v>9</v>
      </c>
      <c r="H22" s="177">
        <f>'Ano 5'!M73</f>
        <v>9</v>
      </c>
      <c r="I22" s="177">
        <f>'Ano 6'!$M73</f>
        <v>11</v>
      </c>
      <c r="J22" s="177">
        <f>'Ano 7'!$M73</f>
        <v>11</v>
      </c>
      <c r="K22" s="177">
        <f>'Ano 8'!$M73</f>
        <v>11</v>
      </c>
      <c r="L22" s="177">
        <f>'Ano 9'!$M73</f>
        <v>11</v>
      </c>
      <c r="M22" s="177">
        <f>'Ano 10'!$M73</f>
        <v>11</v>
      </c>
      <c r="N22" s="177">
        <f>'Ano 11'!$M73</f>
        <v>11</v>
      </c>
      <c r="O22" s="177">
        <f>'Ano 12'!$M73</f>
        <v>13</v>
      </c>
      <c r="P22" s="177">
        <f>'Ano 13'!$M73</f>
        <v>14</v>
      </c>
      <c r="Q22" s="177">
        <f>'Ano 14'!$M73</f>
        <v>14</v>
      </c>
      <c r="R22" s="177">
        <f>'Ano 15'!$M73</f>
        <v>14</v>
      </c>
      <c r="S22" s="177">
        <f>'Ano 16'!$M73</f>
        <v>14</v>
      </c>
      <c r="T22" s="177">
        <f>'Ano 17'!$M73</f>
        <v>14</v>
      </c>
      <c r="U22" s="177">
        <f>'Ano 18'!$M73</f>
        <v>14</v>
      </c>
      <c r="V22" s="177">
        <f>'Ano 19'!$M73</f>
        <v>14</v>
      </c>
      <c r="W22" s="177">
        <f>'Ano 20'!$M73</f>
        <v>14</v>
      </c>
      <c r="X22" s="177">
        <f>'Ano 21'!$M73</f>
        <v>14</v>
      </c>
      <c r="Y22" s="177">
        <f>'Ano 22'!$M73</f>
        <v>14</v>
      </c>
      <c r="Z22" s="177">
        <f>'Ano 23'!$M73</f>
        <v>14</v>
      </c>
      <c r="AA22" s="177">
        <f>'Ano 24'!$M73</f>
        <v>14</v>
      </c>
      <c r="AB22" s="177">
        <f>'Ano 25'!$M73</f>
        <v>14</v>
      </c>
      <c r="AC22" s="177">
        <f>'Ano 26'!$M73</f>
        <v>14</v>
      </c>
      <c r="AD22" s="177">
        <f>'Ano 27'!$M73</f>
        <v>14</v>
      </c>
      <c r="AE22" s="177">
        <f>'Ano 28'!$M73</f>
        <v>14</v>
      </c>
      <c r="AF22" s="177">
        <f>'Ano 29'!$M73</f>
        <v>14</v>
      </c>
      <c r="AG22" s="177">
        <f>'Ano 30'!$M73</f>
        <v>14</v>
      </c>
      <c r="AH22" s="177">
        <f>'Ano 31'!$M73</f>
        <v>14</v>
      </c>
      <c r="AI22" s="177">
        <f>'Ano 32'!$M73</f>
        <v>14</v>
      </c>
      <c r="AJ22" s="177">
        <f>'Ano 33'!$M73</f>
        <v>14</v>
      </c>
      <c r="AK22" s="177">
        <f>'Ano 34'!$M73</f>
        <v>14</v>
      </c>
      <c r="AL22" s="177">
        <f>'Ano 35'!$M73</f>
        <v>14</v>
      </c>
      <c r="AO22" s="160" t="str">
        <f>'Folha de dados'!AO25</f>
        <v>D</v>
      </c>
      <c r="AP22" s="161" t="s">
        <v>117</v>
      </c>
      <c r="AQ22" s="219">
        <f>'Folha de dados'!AQ25</f>
        <v>2689.5</v>
      </c>
      <c r="AR22" s="160" t="str">
        <f>'Folha de dados'!AR25</f>
        <v>D</v>
      </c>
      <c r="AS22" s="161" t="s">
        <v>69</v>
      </c>
      <c r="AT22" s="219">
        <f>'Folha de dados'!AT25</f>
        <v>11353.37</v>
      </c>
      <c r="AU22" s="160" t="str">
        <f>'Folha de dados'!AU25</f>
        <v>B</v>
      </c>
      <c r="AV22" s="161" t="s">
        <v>86</v>
      </c>
      <c r="AW22" s="219">
        <f>'Folha de dados'!AW25</f>
        <v>4397.28</v>
      </c>
    </row>
    <row r="23" spans="2:49" x14ac:dyDescent="0.25">
      <c r="B23" s="175" t="s">
        <v>175</v>
      </c>
      <c r="C23" s="176" t="s">
        <v>194</v>
      </c>
      <c r="D23" s="177">
        <f>'Ano 1'!M74</f>
        <v>3</v>
      </c>
      <c r="E23" s="177">
        <f>'Ano 2'!M74</f>
        <v>3</v>
      </c>
      <c r="F23" s="177">
        <f>'Ano 3'!M74</f>
        <v>3</v>
      </c>
      <c r="G23" s="177">
        <f>'Ano 4'!M74</f>
        <v>3</v>
      </c>
      <c r="H23" s="177">
        <f>'Ano 5'!M74</f>
        <v>3</v>
      </c>
      <c r="I23" s="177">
        <f>'Ano 6'!$M74</f>
        <v>3</v>
      </c>
      <c r="J23" s="177">
        <f>'Ano 7'!$M74</f>
        <v>3</v>
      </c>
      <c r="K23" s="177">
        <f>'Ano 8'!$M74</f>
        <v>3</v>
      </c>
      <c r="L23" s="177">
        <f>'Ano 9'!$M74</f>
        <v>3</v>
      </c>
      <c r="M23" s="177">
        <f>'Ano 10'!$M74</f>
        <v>3</v>
      </c>
      <c r="N23" s="177">
        <f>'Ano 11'!$M74</f>
        <v>3</v>
      </c>
      <c r="O23" s="177">
        <f>'Ano 12'!$M74</f>
        <v>3</v>
      </c>
      <c r="P23" s="177">
        <f>'Ano 13'!$M74</f>
        <v>3</v>
      </c>
      <c r="Q23" s="177">
        <f>'Ano 14'!$M74</f>
        <v>3</v>
      </c>
      <c r="R23" s="177">
        <f>'Ano 15'!$M74</f>
        <v>3</v>
      </c>
      <c r="S23" s="177">
        <f>'Ano 16'!$M74</f>
        <v>3</v>
      </c>
      <c r="T23" s="177">
        <f>'Ano 17'!$M74</f>
        <v>3</v>
      </c>
      <c r="U23" s="177">
        <f>'Ano 18'!$M74</f>
        <v>3</v>
      </c>
      <c r="V23" s="177">
        <f>'Ano 19'!$M74</f>
        <v>3</v>
      </c>
      <c r="W23" s="177">
        <f>'Ano 20'!$M74</f>
        <v>3</v>
      </c>
      <c r="X23" s="177">
        <f>'Ano 21'!$M74</f>
        <v>3</v>
      </c>
      <c r="Y23" s="177">
        <f>'Ano 22'!$M74</f>
        <v>3</v>
      </c>
      <c r="Z23" s="177">
        <f>'Ano 23'!$M74</f>
        <v>3</v>
      </c>
      <c r="AA23" s="177">
        <f>'Ano 24'!$M74</f>
        <v>3</v>
      </c>
      <c r="AB23" s="177">
        <f>'Ano 25'!$M74</f>
        <v>3</v>
      </c>
      <c r="AC23" s="177">
        <f>'Ano 26'!$M74</f>
        <v>3</v>
      </c>
      <c r="AD23" s="177">
        <f>'Ano 27'!$M74</f>
        <v>3</v>
      </c>
      <c r="AE23" s="177">
        <f>'Ano 28'!$M74</f>
        <v>3</v>
      </c>
      <c r="AF23" s="177">
        <f>'Ano 29'!$M74</f>
        <v>3</v>
      </c>
      <c r="AG23" s="177">
        <f>'Ano 30'!$M74</f>
        <v>3</v>
      </c>
      <c r="AH23" s="177">
        <f>'Ano 31'!$M74</f>
        <v>3</v>
      </c>
      <c r="AI23" s="177">
        <f>'Ano 32'!$M74</f>
        <v>3</v>
      </c>
      <c r="AJ23" s="177">
        <f>'Ano 33'!$M74</f>
        <v>3</v>
      </c>
      <c r="AK23" s="177">
        <f>'Ano 34'!$M74</f>
        <v>3</v>
      </c>
      <c r="AL23" s="177">
        <f>'Ano 35'!$M74</f>
        <v>3</v>
      </c>
      <c r="AO23" s="168" t="str">
        <f>'Folha de dados'!AO26</f>
        <v>C</v>
      </c>
      <c r="AP23" s="169" t="s">
        <v>73</v>
      </c>
      <c r="AQ23" s="220">
        <f>'Folha de dados'!AQ26</f>
        <v>2441.0500000000002</v>
      </c>
      <c r="AR23" s="168" t="str">
        <f>'Folha de dados'!AR26</f>
        <v>D</v>
      </c>
      <c r="AS23" s="169" t="s">
        <v>70</v>
      </c>
      <c r="AT23" s="220">
        <f>'Folha de dados'!AT26</f>
        <v>9809.1</v>
      </c>
      <c r="AU23" s="168" t="str">
        <f>'Folha de dados'!AU26</f>
        <v>C</v>
      </c>
      <c r="AV23" s="169" t="s">
        <v>264</v>
      </c>
      <c r="AW23" s="220">
        <f>'Folha de dados'!AW26</f>
        <v>3469.15</v>
      </c>
    </row>
    <row r="24" spans="2:49" x14ac:dyDescent="0.25">
      <c r="B24" s="175" t="s">
        <v>176</v>
      </c>
      <c r="C24" s="176" t="s">
        <v>194</v>
      </c>
      <c r="D24" s="177">
        <f>'Ano 1'!M75</f>
        <v>1</v>
      </c>
      <c r="E24" s="177">
        <f>'Ano 2'!M75</f>
        <v>1</v>
      </c>
      <c r="F24" s="177">
        <f>'Ano 3'!M75</f>
        <v>1</v>
      </c>
      <c r="G24" s="177">
        <f>'Ano 4'!M75</f>
        <v>1</v>
      </c>
      <c r="H24" s="177">
        <f>'Ano 5'!M75</f>
        <v>1</v>
      </c>
      <c r="I24" s="177">
        <f>'Ano 6'!$M75</f>
        <v>1</v>
      </c>
      <c r="J24" s="177">
        <f>'Ano 7'!$M75</f>
        <v>1</v>
      </c>
      <c r="K24" s="177">
        <f>'Ano 8'!$M75</f>
        <v>1</v>
      </c>
      <c r="L24" s="177">
        <f>'Ano 9'!$M75</f>
        <v>1</v>
      </c>
      <c r="M24" s="177">
        <f>'Ano 10'!$M75</f>
        <v>1</v>
      </c>
      <c r="N24" s="177">
        <f>'Ano 11'!$M75</f>
        <v>1</v>
      </c>
      <c r="O24" s="177">
        <f>'Ano 12'!$M75</f>
        <v>1</v>
      </c>
      <c r="P24" s="177">
        <f>'Ano 13'!$M75</f>
        <v>1</v>
      </c>
      <c r="Q24" s="177">
        <f>'Ano 14'!$M75</f>
        <v>1</v>
      </c>
      <c r="R24" s="177">
        <f>'Ano 15'!$M75</f>
        <v>1</v>
      </c>
      <c r="S24" s="177">
        <f>'Ano 16'!$M75</f>
        <v>1</v>
      </c>
      <c r="T24" s="177">
        <f>'Ano 17'!$M75</f>
        <v>1</v>
      </c>
      <c r="U24" s="177">
        <f>'Ano 18'!$M75</f>
        <v>1</v>
      </c>
      <c r="V24" s="177">
        <f>'Ano 19'!$M75</f>
        <v>1</v>
      </c>
      <c r="W24" s="177">
        <f>'Ano 20'!$M75</f>
        <v>1</v>
      </c>
      <c r="X24" s="177">
        <f>'Ano 21'!$M75</f>
        <v>1</v>
      </c>
      <c r="Y24" s="177">
        <f>'Ano 22'!$M75</f>
        <v>1</v>
      </c>
      <c r="Z24" s="177">
        <f>'Ano 23'!$M75</f>
        <v>1</v>
      </c>
      <c r="AA24" s="177">
        <f>'Ano 24'!$M75</f>
        <v>1</v>
      </c>
      <c r="AB24" s="177">
        <f>'Ano 25'!$M75</f>
        <v>1</v>
      </c>
      <c r="AC24" s="177">
        <f>'Ano 26'!$M75</f>
        <v>1</v>
      </c>
      <c r="AD24" s="177">
        <f>'Ano 27'!$M75</f>
        <v>1</v>
      </c>
      <c r="AE24" s="177">
        <f>'Ano 28'!$M75</f>
        <v>1</v>
      </c>
      <c r="AF24" s="177">
        <f>'Ano 29'!$M75</f>
        <v>1</v>
      </c>
      <c r="AG24" s="177">
        <f>'Ano 30'!$M75</f>
        <v>1</v>
      </c>
      <c r="AH24" s="177">
        <f>'Ano 31'!$M75</f>
        <v>1</v>
      </c>
      <c r="AI24" s="177">
        <f>'Ano 32'!$M75</f>
        <v>1</v>
      </c>
      <c r="AJ24" s="177">
        <f>'Ano 33'!$M75</f>
        <v>1</v>
      </c>
      <c r="AK24" s="177">
        <f>'Ano 34'!$M75</f>
        <v>1</v>
      </c>
      <c r="AL24" s="177">
        <f>'Ano 35'!$M75</f>
        <v>1</v>
      </c>
      <c r="AO24" s="171"/>
      <c r="AP24" s="172"/>
      <c r="AQ24" s="171"/>
      <c r="AR24" s="172"/>
      <c r="AS24" s="172"/>
      <c r="AT24" s="172"/>
      <c r="AU24" s="172"/>
      <c r="AV24" s="171"/>
      <c r="AW24" s="172"/>
    </row>
    <row r="25" spans="2:49" x14ac:dyDescent="0.25">
      <c r="B25" s="175" t="s">
        <v>23</v>
      </c>
      <c r="C25" s="176" t="s">
        <v>194</v>
      </c>
      <c r="D25" s="177">
        <f>'Ano 1'!M76</f>
        <v>44</v>
      </c>
      <c r="E25" s="177">
        <f>'Ano 2'!M76</f>
        <v>48</v>
      </c>
      <c r="F25" s="177">
        <f>'Ano 3'!M76</f>
        <v>53</v>
      </c>
      <c r="G25" s="177">
        <f>'Ano 4'!M76</f>
        <v>54</v>
      </c>
      <c r="H25" s="177">
        <f>'Ano 5'!M76</f>
        <v>55</v>
      </c>
      <c r="I25" s="177">
        <f>'Ano 6'!$M76</f>
        <v>57</v>
      </c>
      <c r="J25" s="177">
        <f>'Ano 7'!$M76</f>
        <v>59</v>
      </c>
      <c r="K25" s="177">
        <f>'Ano 8'!$M76</f>
        <v>64</v>
      </c>
      <c r="L25" s="177">
        <f>'Ano 9'!$M76</f>
        <v>66</v>
      </c>
      <c r="M25" s="177">
        <f>'Ano 10'!$M76</f>
        <v>66</v>
      </c>
      <c r="N25" s="177">
        <f>'Ano 11'!$M76</f>
        <v>66</v>
      </c>
      <c r="O25" s="177">
        <f>'Ano 12'!$M76</f>
        <v>68</v>
      </c>
      <c r="P25" s="177">
        <f>'Ano 13'!$M76</f>
        <v>70</v>
      </c>
      <c r="Q25" s="177">
        <f>'Ano 14'!$M76</f>
        <v>70</v>
      </c>
      <c r="R25" s="177">
        <f>'Ano 15'!$M76</f>
        <v>70</v>
      </c>
      <c r="S25" s="177">
        <f>'Ano 16'!$M76</f>
        <v>70</v>
      </c>
      <c r="T25" s="177">
        <f>'Ano 17'!$M76</f>
        <v>84</v>
      </c>
      <c r="U25" s="177">
        <f>'Ano 18'!$M76</f>
        <v>84</v>
      </c>
      <c r="V25" s="177">
        <f>'Ano 19'!$M76</f>
        <v>86</v>
      </c>
      <c r="W25" s="177">
        <f>'Ano 20'!$M76</f>
        <v>86</v>
      </c>
      <c r="X25" s="177">
        <f>'Ano 21'!$M76</f>
        <v>86</v>
      </c>
      <c r="Y25" s="177">
        <f>'Ano 22'!$M76</f>
        <v>87</v>
      </c>
      <c r="Z25" s="177">
        <f>'Ano 23'!$M76</f>
        <v>88</v>
      </c>
      <c r="AA25" s="177">
        <f>'Ano 24'!$M76</f>
        <v>88</v>
      </c>
      <c r="AB25" s="177">
        <f>'Ano 25'!$M76</f>
        <v>88</v>
      </c>
      <c r="AC25" s="177">
        <f>'Ano 26'!$M76</f>
        <v>88</v>
      </c>
      <c r="AD25" s="177">
        <f>'Ano 27'!$M76</f>
        <v>88</v>
      </c>
      <c r="AE25" s="177">
        <f>'Ano 28'!$M76</f>
        <v>88</v>
      </c>
      <c r="AF25" s="177">
        <f>'Ano 29'!$M76</f>
        <v>93</v>
      </c>
      <c r="AG25" s="177">
        <f>'Ano 30'!$M76</f>
        <v>93</v>
      </c>
      <c r="AH25" s="177">
        <f>'Ano 31'!$M76</f>
        <v>93</v>
      </c>
      <c r="AI25" s="177">
        <f>'Ano 32'!$M76</f>
        <v>93</v>
      </c>
      <c r="AJ25" s="177">
        <f>'Ano 33'!$M76</f>
        <v>93</v>
      </c>
      <c r="AK25" s="177">
        <f>'Ano 34'!$M76</f>
        <v>93</v>
      </c>
      <c r="AL25" s="177">
        <f>'Ano 35'!$M76</f>
        <v>93</v>
      </c>
      <c r="AO25" s="173"/>
      <c r="AQ25" s="173"/>
      <c r="AV25" s="173"/>
    </row>
    <row r="26" spans="2:49" x14ac:dyDescent="0.25">
      <c r="B26" s="175" t="s">
        <v>157</v>
      </c>
      <c r="C26" s="176" t="s">
        <v>195</v>
      </c>
      <c r="D26" s="177">
        <f>'Ano 1'!M77</f>
        <v>310</v>
      </c>
      <c r="E26" s="177">
        <f>'Ano 2'!M77</f>
        <v>354</v>
      </c>
      <c r="F26" s="177">
        <f>'Ano 3'!M77</f>
        <v>358</v>
      </c>
      <c r="G26" s="177">
        <f>'Ano 4'!M77</f>
        <v>390</v>
      </c>
      <c r="H26" s="177">
        <f>'Ano 5'!M77</f>
        <v>421</v>
      </c>
      <c r="I26" s="177">
        <f>'Ano 6'!$M77</f>
        <v>442</v>
      </c>
      <c r="J26" s="177">
        <f>'Ano 7'!$M77</f>
        <v>462</v>
      </c>
      <c r="K26" s="177">
        <f>'Ano 8'!$M77</f>
        <v>459</v>
      </c>
      <c r="L26" s="177">
        <f>'Ano 9'!$M77</f>
        <v>479</v>
      </c>
      <c r="M26" s="177">
        <f>'Ano 10'!$M77</f>
        <v>492</v>
      </c>
      <c r="N26" s="177">
        <f>'Ano 11'!$M77</f>
        <v>506</v>
      </c>
      <c r="O26" s="177">
        <f>'Ano 12'!$M77</f>
        <v>504</v>
      </c>
      <c r="P26" s="177">
        <f>'Ano 13'!$M77</f>
        <v>503</v>
      </c>
      <c r="Q26" s="177">
        <f>'Ano 14'!$M77</f>
        <v>515</v>
      </c>
      <c r="R26" s="177">
        <f>'Ano 15'!$M77</f>
        <v>523</v>
      </c>
      <c r="S26" s="177">
        <f>'Ano 16'!$M77</f>
        <v>530</v>
      </c>
      <c r="T26" s="177">
        <f>'Ano 17'!$M77</f>
        <v>448</v>
      </c>
      <c r="U26" s="177">
        <f>'Ano 18'!$M77</f>
        <v>454</v>
      </c>
      <c r="V26" s="177">
        <f>'Ano 19'!$M77</f>
        <v>449</v>
      </c>
      <c r="W26" s="177">
        <f>'Ano 20'!$M77</f>
        <v>454</v>
      </c>
      <c r="X26" s="177">
        <f>'Ano 21'!$M77</f>
        <v>460</v>
      </c>
      <c r="Y26" s="177">
        <f>'Ano 22'!$M77</f>
        <v>459</v>
      </c>
      <c r="Z26" s="177">
        <f>'Ano 23'!$M77</f>
        <v>459</v>
      </c>
      <c r="AA26" s="177">
        <f>'Ano 24'!$M77</f>
        <v>464</v>
      </c>
      <c r="AB26" s="177">
        <f>'Ano 25'!$M77</f>
        <v>468</v>
      </c>
      <c r="AC26" s="177">
        <f>'Ano 26'!$M77</f>
        <v>473</v>
      </c>
      <c r="AD26" s="177">
        <f>'Ano 27'!$M77</f>
        <v>477</v>
      </c>
      <c r="AE26" s="177">
        <f>'Ano 28'!$M77</f>
        <v>481</v>
      </c>
      <c r="AF26" s="177">
        <f>'Ano 29'!$M77</f>
        <v>459</v>
      </c>
      <c r="AG26" s="177">
        <f>'Ano 30'!$M77</f>
        <v>463</v>
      </c>
      <c r="AH26" s="177">
        <f>'Ano 31'!$M77</f>
        <v>467</v>
      </c>
      <c r="AI26" s="177">
        <f>'Ano 32'!$M77</f>
        <v>470</v>
      </c>
      <c r="AJ26" s="177">
        <f>'Ano 33'!$M77</f>
        <v>473</v>
      </c>
      <c r="AK26" s="177">
        <f>'Ano 34'!$M77</f>
        <v>476</v>
      </c>
      <c r="AL26" s="177">
        <f>'Ano 35'!$M77</f>
        <v>480</v>
      </c>
      <c r="AO26" s="254" t="s">
        <v>201</v>
      </c>
      <c r="AP26" s="254"/>
      <c r="AQ26" s="254"/>
      <c r="AR26" s="254"/>
      <c r="AS26" s="254"/>
      <c r="AT26" s="254"/>
      <c r="AU26" s="254"/>
      <c r="AV26" s="254"/>
      <c r="AW26" s="254"/>
    </row>
    <row r="27" spans="2:49" x14ac:dyDescent="0.25">
      <c r="B27" s="178" t="s">
        <v>180</v>
      </c>
      <c r="C27" s="179" t="s">
        <v>187</v>
      </c>
      <c r="D27" s="180">
        <f>'Ano 1'!R70</f>
        <v>1865731.3737428184</v>
      </c>
      <c r="E27" s="180">
        <f>'Ano 2'!R70</f>
        <v>1984578.4137428182</v>
      </c>
      <c r="F27" s="180">
        <f>'Ano 3'!R70</f>
        <v>2082390.8937428184</v>
      </c>
      <c r="G27" s="180">
        <f>'Ano 4'!R70</f>
        <v>2055576.5337428181</v>
      </c>
      <c r="H27" s="180">
        <f>'Ano 5'!R70</f>
        <v>2108986.0051346496</v>
      </c>
      <c r="I27" s="180">
        <f>'Ano 6'!R70</f>
        <v>2190194.5651346492</v>
      </c>
      <c r="J27" s="180">
        <f>'Ano 7'!R70</f>
        <v>2210749.7251346493</v>
      </c>
      <c r="K27" s="180">
        <f>'Ano 8'!R70</f>
        <v>2313604.3651346494</v>
      </c>
      <c r="L27" s="180">
        <f>'Ano 9'!R70</f>
        <v>2361842.9251346495</v>
      </c>
      <c r="M27" s="180">
        <f>'Ano 10'!R70</f>
        <v>2361842.9251346495</v>
      </c>
      <c r="N27" s="180">
        <f>'Ano 11'!$R70</f>
        <v>2361842.9251346495</v>
      </c>
      <c r="O27" s="180">
        <f>'Ano 12'!$R70</f>
        <v>2361842.9251346495</v>
      </c>
      <c r="P27" s="180">
        <f>'Ano 13'!$R70</f>
        <v>2414572.7251346493</v>
      </c>
      <c r="Q27" s="180">
        <f>'Ano 14'!$R70</f>
        <v>2414572.7251346493</v>
      </c>
      <c r="R27" s="180">
        <f>'Ano 15'!$R70</f>
        <v>2414572.7251346493</v>
      </c>
      <c r="S27" s="180">
        <f>'Ano 16'!$R70</f>
        <v>2414572.7251346493</v>
      </c>
      <c r="T27" s="180">
        <f>'Ano 17'!$R70</f>
        <v>2754881.8051346494</v>
      </c>
      <c r="U27" s="180">
        <f>'Ano 18'!$R70</f>
        <v>2754881.8051346494</v>
      </c>
      <c r="V27" s="180">
        <f>'Ano 19'!$R70</f>
        <v>2825620.356526481</v>
      </c>
      <c r="W27" s="180">
        <f>'Ano 20'!R70</f>
        <v>2825620.356526481</v>
      </c>
      <c r="X27" s="180">
        <f>'Ano 21'!$R70</f>
        <v>2825620.356526481</v>
      </c>
      <c r="Y27" s="180">
        <f>'Ano 22'!$R70</f>
        <v>2825620.356526481</v>
      </c>
      <c r="Z27" s="180">
        <f>'Ano 23'!$R70</f>
        <v>2875691.316526481</v>
      </c>
      <c r="AA27" s="180">
        <f>'Ano 24'!$R70</f>
        <v>2875691.316526481</v>
      </c>
      <c r="AB27" s="180">
        <f>'Ano 25'!$R70</f>
        <v>2875691.316526481</v>
      </c>
      <c r="AC27" s="180">
        <f>'Ano 26'!$R70</f>
        <v>2875691.316526481</v>
      </c>
      <c r="AD27" s="180">
        <f>'Ano 27'!$R70</f>
        <v>2875691.316526481</v>
      </c>
      <c r="AE27" s="180">
        <f>'Ano 28'!$R70</f>
        <v>2875691.316526481</v>
      </c>
      <c r="AF27" s="180">
        <f>'Ano 29'!$R70</f>
        <v>2992399.5965264812</v>
      </c>
      <c r="AG27" s="180">
        <f>'Ano 30'!$R70</f>
        <v>2992399.5965264812</v>
      </c>
      <c r="AH27" s="180">
        <f>'Ano 31'!$R70</f>
        <v>2992399.5965264812</v>
      </c>
      <c r="AI27" s="180">
        <f>'Ano 32'!$R70</f>
        <v>2992399.5965264812</v>
      </c>
      <c r="AJ27" s="180">
        <f>'Ano 33'!$R70</f>
        <v>2992399.5965264812</v>
      </c>
      <c r="AK27" s="180">
        <f>'Ano 34'!$R70</f>
        <v>2992399.5965264812</v>
      </c>
      <c r="AL27" s="180">
        <f>'Ano 35'!$R70</f>
        <v>2992399.5965264812</v>
      </c>
      <c r="AM27" s="224">
        <f t="shared" ref="AM27:AM28" si="0">SUM(D27:AL27)</f>
        <v>90930664.587806493</v>
      </c>
      <c r="AN27">
        <f>AM27/AM29</f>
        <v>0.47305333302699898</v>
      </c>
      <c r="AO27" s="164" t="s">
        <v>4</v>
      </c>
      <c r="AP27" s="164" t="s">
        <v>1</v>
      </c>
      <c r="AQ27" s="164" t="s">
        <v>45</v>
      </c>
      <c r="AR27" s="164" t="s">
        <v>4</v>
      </c>
      <c r="AS27" s="164" t="s">
        <v>1</v>
      </c>
      <c r="AT27" s="164" t="s">
        <v>45</v>
      </c>
      <c r="AU27" s="164" t="s">
        <v>4</v>
      </c>
      <c r="AV27" s="164" t="s">
        <v>1</v>
      </c>
      <c r="AW27" s="164" t="s">
        <v>45</v>
      </c>
    </row>
    <row r="28" spans="2:49" x14ac:dyDescent="0.25">
      <c r="B28" s="178" t="s">
        <v>181</v>
      </c>
      <c r="C28" s="179" t="s">
        <v>187</v>
      </c>
      <c r="D28" s="180">
        <f>'Ano 1'!R71</f>
        <v>1968865.433120966</v>
      </c>
      <c r="E28" s="180">
        <f>'Ano 2'!R71</f>
        <v>2119263.5962529662</v>
      </c>
      <c r="F28" s="180">
        <f>'Ano 3'!R71</f>
        <v>2257221.252419366</v>
      </c>
      <c r="G28" s="180">
        <f>'Ano 4'!R71</f>
        <v>2219401.474644566</v>
      </c>
      <c r="H28" s="180">
        <f>'Ano 5'!R71</f>
        <v>2282684.6249888185</v>
      </c>
      <c r="I28" s="180">
        <f>'Ano 6'!R71</f>
        <v>2353742.1149888178</v>
      </c>
      <c r="J28" s="180">
        <f>'Ano 7'!R71</f>
        <v>2382733.7293076185</v>
      </c>
      <c r="K28" s="180">
        <f>'Ano 8'!R71</f>
        <v>2527802.9992028177</v>
      </c>
      <c r="L28" s="180">
        <f>'Ano 9'!R71</f>
        <v>2595840.1113836183</v>
      </c>
      <c r="M28" s="180">
        <f>'Ano 10'!R71</f>
        <v>2595840.1113836183</v>
      </c>
      <c r="N28" s="180">
        <f>'Ano 11'!R71</f>
        <v>2595840.1113836183</v>
      </c>
      <c r="O28" s="180">
        <f>'Ano 12'!$R71</f>
        <v>2595840.1113836183</v>
      </c>
      <c r="P28" s="180">
        <f>'Ano 13'!$R71</f>
        <v>2652984.5357024185</v>
      </c>
      <c r="Q28" s="180">
        <f>'Ano 14'!$R71</f>
        <v>2652984.5357024185</v>
      </c>
      <c r="R28" s="180">
        <f>'Ano 15'!$R71</f>
        <v>2652984.5357024185</v>
      </c>
      <c r="S28" s="180">
        <f>'Ano 16'!$R71</f>
        <v>2652984.5357024185</v>
      </c>
      <c r="T28" s="180">
        <f>'Ano 17'!$R71</f>
        <v>3103680.5351204188</v>
      </c>
      <c r="U28" s="180">
        <f>'Ano 18'!$R71</f>
        <v>3103680.5351204188</v>
      </c>
      <c r="V28" s="180">
        <f>'Ano 19'!$R71</f>
        <v>3191405.1397690703</v>
      </c>
      <c r="W28" s="180">
        <f>'Ano 20'!R71</f>
        <v>3191405.1397690703</v>
      </c>
      <c r="X28" s="180">
        <f>'Ano 21'!$R71</f>
        <v>3191405.1397690703</v>
      </c>
      <c r="Y28" s="180">
        <f>'Ano 22'!$R71</f>
        <v>3191405.1397690703</v>
      </c>
      <c r="Z28" s="180">
        <f>'Ano 23'!$R71</f>
        <v>3235217.2297690697</v>
      </c>
      <c r="AA28" s="180">
        <f>'Ano 24'!$R71</f>
        <v>3235217.2297690697</v>
      </c>
      <c r="AB28" s="180">
        <f>'Ano 25'!$R71</f>
        <v>3235217.2297690697</v>
      </c>
      <c r="AC28" s="180">
        <f>'Ano 26'!$R71</f>
        <v>3235217.2297690697</v>
      </c>
      <c r="AD28" s="180">
        <f>'Ano 27'!$R71</f>
        <v>3235217.2297690697</v>
      </c>
      <c r="AE28" s="180">
        <f>'Ano 28'!$R71</f>
        <v>3235217.2297690697</v>
      </c>
      <c r="AF28" s="180">
        <f>'Ano 29'!$R71</f>
        <v>3399826.0891294684</v>
      </c>
      <c r="AG28" s="180">
        <f>'Ano 30'!$R71</f>
        <v>3399826.0891294684</v>
      </c>
      <c r="AH28" s="180">
        <f>'Ano 31'!$R71</f>
        <v>3399826.0891294684</v>
      </c>
      <c r="AI28" s="180">
        <f>'Ano 32'!$R71</f>
        <v>3399826.0891294684</v>
      </c>
      <c r="AJ28" s="180">
        <f>'Ano 33'!$R71</f>
        <v>3399826.0891294684</v>
      </c>
      <c r="AK28" s="180">
        <f>'Ano 34'!$R71</f>
        <v>3399826.0891294684</v>
      </c>
      <c r="AL28" s="180">
        <f>'Ano 35'!$R71</f>
        <v>3399826.0891294684</v>
      </c>
      <c r="AM28" s="224">
        <f t="shared" si="0"/>
        <v>101290081.44510783</v>
      </c>
      <c r="AN28">
        <f>AM28/AM29</f>
        <v>0.52694666697300019</v>
      </c>
      <c r="AO28" s="165">
        <v>1</v>
      </c>
      <c r="AP28" s="166" t="s">
        <v>13</v>
      </c>
      <c r="AQ28" s="221">
        <f>'Folha de dados'!AQ31</f>
        <v>18758.009999999998</v>
      </c>
      <c r="AR28" s="165">
        <f>AO31+1</f>
        <v>5</v>
      </c>
      <c r="AS28" s="166" t="s">
        <v>46</v>
      </c>
      <c r="AT28" s="221">
        <f>'Folha de dados'!AT31</f>
        <v>11254.805999999999</v>
      </c>
      <c r="AU28" s="165">
        <f>AR31+1</f>
        <v>9</v>
      </c>
      <c r="AV28" s="166" t="s">
        <v>25</v>
      </c>
      <c r="AW28" s="221">
        <f>'Folha de dados'!AW31</f>
        <v>1219.2706499999999</v>
      </c>
    </row>
    <row r="29" spans="2:49" x14ac:dyDescent="0.25">
      <c r="B29" s="181" t="s">
        <v>183</v>
      </c>
      <c r="C29" s="182" t="s">
        <v>187</v>
      </c>
      <c r="D29" s="183">
        <f>'Ano 1'!R72</f>
        <v>3834596.8068637843</v>
      </c>
      <c r="E29" s="183">
        <f>'Ano 2'!R72</f>
        <v>4103842.0099957846</v>
      </c>
      <c r="F29" s="183">
        <f>'Ano 3'!R72</f>
        <v>4339612.146162184</v>
      </c>
      <c r="G29" s="183">
        <f>'Ano 4'!R72</f>
        <v>4274978.008387384</v>
      </c>
      <c r="H29" s="183">
        <f>'Ano 5'!R72</f>
        <v>4391670.6301234681</v>
      </c>
      <c r="I29" s="183">
        <f>'Ano 6'!R72</f>
        <v>4543936.680123467</v>
      </c>
      <c r="J29" s="183">
        <f>'Ano 7'!R72</f>
        <v>4593483.4544422682</v>
      </c>
      <c r="K29" s="183">
        <f>'Ano 8'!R72</f>
        <v>4841407.3643374667</v>
      </c>
      <c r="L29" s="183">
        <f>'Ano 9'!R72</f>
        <v>4957683.0365182683</v>
      </c>
      <c r="M29" s="183">
        <f>'Ano 10'!R72</f>
        <v>4957683.0365182683</v>
      </c>
      <c r="N29" s="183">
        <f>'Ano 11'!R72</f>
        <v>4957683.0365182683</v>
      </c>
      <c r="O29" s="183">
        <f>'Ano 12'!$R72</f>
        <v>4957683.0365182683</v>
      </c>
      <c r="P29" s="183">
        <f>'Ano 13'!$R72</f>
        <v>5067557.2608370678</v>
      </c>
      <c r="Q29" s="183">
        <f>'Ano 14'!$R72</f>
        <v>5067557.2608370678</v>
      </c>
      <c r="R29" s="183">
        <f>'Ano 15'!$R72</f>
        <v>5067557.2608370678</v>
      </c>
      <c r="S29" s="183">
        <f>'Ano 16'!$R72</f>
        <v>5067557.2608370678</v>
      </c>
      <c r="T29" s="183">
        <f>'Ano 17'!$R72</f>
        <v>5858562.3402550686</v>
      </c>
      <c r="U29" s="183">
        <f>'Ano 18'!$R72</f>
        <v>5858562.3402550686</v>
      </c>
      <c r="V29" s="183">
        <f>'Ano 19'!$R72</f>
        <v>6017025.4962955508</v>
      </c>
      <c r="W29" s="183">
        <f>'Ano 20'!R72</f>
        <v>6017025.4962955508</v>
      </c>
      <c r="X29" s="183">
        <f>'Ano 21'!$R72</f>
        <v>6017025.4962955508</v>
      </c>
      <c r="Y29" s="183">
        <f>'Ano 22'!$R72</f>
        <v>6017025.4962955508</v>
      </c>
      <c r="Z29" s="183">
        <f>'Ano 23'!$R72</f>
        <v>6110908.5462955507</v>
      </c>
      <c r="AA29" s="183">
        <f>'Ano 24'!$R72</f>
        <v>6110908.5462955507</v>
      </c>
      <c r="AB29" s="183">
        <f>'Ano 25'!$R72</f>
        <v>6110908.5462955507</v>
      </c>
      <c r="AC29" s="183">
        <f>'Ano 26'!$R72</f>
        <v>6110908.5462955507</v>
      </c>
      <c r="AD29" s="183">
        <f>'Ano 27'!$R72</f>
        <v>6110908.5462955507</v>
      </c>
      <c r="AE29" s="183">
        <f>'Ano 28'!$R72</f>
        <v>6110908.5462955507</v>
      </c>
      <c r="AF29" s="183">
        <f>'Ano 29'!$R72</f>
        <v>6392225.6856559496</v>
      </c>
      <c r="AG29" s="183">
        <f>'Ano 30'!$R72</f>
        <v>6392225.6856559496</v>
      </c>
      <c r="AH29" s="183">
        <f>'Ano 31'!$R72</f>
        <v>6392225.6856559496</v>
      </c>
      <c r="AI29" s="183">
        <f>'Ano 32'!$R72</f>
        <v>6392225.6856559496</v>
      </c>
      <c r="AJ29" s="183">
        <f>'Ano 33'!$R72</f>
        <v>6392225.6856559496</v>
      </c>
      <c r="AK29" s="183">
        <f>'Ano 34'!$R72</f>
        <v>6392225.6856559496</v>
      </c>
      <c r="AL29" s="183">
        <f>'Ano 35'!$R72</f>
        <v>6392225.6856559496</v>
      </c>
      <c r="AM29" s="224">
        <f>SUM(D29:AL29)</f>
        <v>192220746.03291449</v>
      </c>
      <c r="AN29">
        <f>AM28/AM27</f>
        <v>1.1139265494677855</v>
      </c>
      <c r="AO29" s="165">
        <f>AO28+1</f>
        <v>2</v>
      </c>
      <c r="AP29" s="166" t="s">
        <v>97</v>
      </c>
      <c r="AQ29" s="221">
        <f>'Folha de dados'!AQ32</f>
        <v>15006.407999999999</v>
      </c>
      <c r="AR29" s="165">
        <f>AR28+1</f>
        <v>6</v>
      </c>
      <c r="AS29" s="166" t="s">
        <v>17</v>
      </c>
      <c r="AT29" s="221">
        <f>'Folha de dados'!AT32</f>
        <v>8441.1044999999995</v>
      </c>
      <c r="AU29" s="165">
        <f>AU28+1</f>
        <v>10</v>
      </c>
      <c r="AV29" s="166" t="s">
        <v>26</v>
      </c>
      <c r="AW29" s="221">
        <f>'Folha de dados'!AW32</f>
        <v>1219.2706499999999</v>
      </c>
    </row>
    <row r="30" spans="2:49" x14ac:dyDescent="0.25">
      <c r="B30" s="184" t="s">
        <v>197</v>
      </c>
      <c r="C30" s="184"/>
      <c r="D30" s="185">
        <f>D29/$D$29</f>
        <v>1</v>
      </c>
      <c r="E30" s="185">
        <f t="shared" ref="E30:O30" si="1">E29/$D$29</f>
        <v>1.0702147361751466</v>
      </c>
      <c r="F30" s="185">
        <f t="shared" si="1"/>
        <v>1.1316997235261974</v>
      </c>
      <c r="G30" s="185">
        <f t="shared" si="1"/>
        <v>1.1148441997175125</v>
      </c>
      <c r="H30" s="185">
        <f t="shared" si="1"/>
        <v>1.1452757229293422</v>
      </c>
      <c r="I30" s="185">
        <f t="shared" si="1"/>
        <v>1.184984213200718</v>
      </c>
      <c r="J30" s="185">
        <f t="shared" si="1"/>
        <v>1.1979051998948378</v>
      </c>
      <c r="K30" s="185">
        <f t="shared" si="1"/>
        <v>1.2625596922397497</v>
      </c>
      <c r="L30" s="185">
        <f t="shared" si="1"/>
        <v>1.2928824818411682</v>
      </c>
      <c r="M30" s="185">
        <f t="shared" si="1"/>
        <v>1.2928824818411682</v>
      </c>
      <c r="N30" s="185">
        <f t="shared" si="1"/>
        <v>1.2928824818411682</v>
      </c>
      <c r="O30" s="185">
        <f t="shared" si="1"/>
        <v>1.2928824818411682</v>
      </c>
      <c r="P30" s="185">
        <f t="shared" ref="P30" si="2">P29/$D$29</f>
        <v>1.3215358787568827</v>
      </c>
      <c r="Q30" s="185">
        <f t="shared" ref="Q30:R30" si="3">Q29/$D$29</f>
        <v>1.3215358787568827</v>
      </c>
      <c r="R30" s="185">
        <f t="shared" si="3"/>
        <v>1.3215358787568827</v>
      </c>
      <c r="S30" s="185">
        <f t="shared" ref="S30:AF30" si="4">S29/$D$29</f>
        <v>1.3215358787568827</v>
      </c>
      <c r="T30" s="185">
        <f t="shared" si="4"/>
        <v>1.5278170392695425</v>
      </c>
      <c r="U30" s="185">
        <f t="shared" si="4"/>
        <v>1.5278170392695425</v>
      </c>
      <c r="V30" s="185">
        <f t="shared" si="4"/>
        <v>1.5691416332286359</v>
      </c>
      <c r="W30" s="185">
        <f t="shared" si="4"/>
        <v>1.5691416332286359</v>
      </c>
      <c r="X30" s="185">
        <f t="shared" si="4"/>
        <v>1.5691416332286359</v>
      </c>
      <c r="Y30" s="185">
        <f t="shared" si="4"/>
        <v>1.5691416332286359</v>
      </c>
      <c r="Z30" s="185">
        <f t="shared" si="4"/>
        <v>1.5936247939697998</v>
      </c>
      <c r="AA30" s="185">
        <f t="shared" si="4"/>
        <v>1.5936247939697998</v>
      </c>
      <c r="AB30" s="185">
        <f t="shared" si="4"/>
        <v>1.5936247939697998</v>
      </c>
      <c r="AC30" s="185">
        <f t="shared" si="4"/>
        <v>1.5936247939697998</v>
      </c>
      <c r="AD30" s="185">
        <f t="shared" si="4"/>
        <v>1.5936247939697998</v>
      </c>
      <c r="AE30" s="185">
        <f t="shared" si="4"/>
        <v>1.5936247939697998</v>
      </c>
      <c r="AF30" s="185">
        <f t="shared" si="4"/>
        <v>1.6669876932599812</v>
      </c>
      <c r="AG30" s="185">
        <f t="shared" ref="AG30:AL30" si="5">AG29/$D$29</f>
        <v>1.6669876932599812</v>
      </c>
      <c r="AH30" s="185">
        <f t="shared" si="5"/>
        <v>1.6669876932599812</v>
      </c>
      <c r="AI30" s="185">
        <f t="shared" si="5"/>
        <v>1.6669876932599812</v>
      </c>
      <c r="AJ30" s="185">
        <f t="shared" si="5"/>
        <v>1.6669876932599812</v>
      </c>
      <c r="AK30" s="185">
        <f t="shared" si="5"/>
        <v>1.6669876932599812</v>
      </c>
      <c r="AL30" s="185">
        <f t="shared" si="5"/>
        <v>1.6669876932599812</v>
      </c>
      <c r="AO30" s="165">
        <f>AO29+1</f>
        <v>3</v>
      </c>
      <c r="AP30" s="166" t="s">
        <v>98</v>
      </c>
      <c r="AQ30" s="221">
        <f>'Folha de dados'!AQ33</f>
        <v>12192.7065</v>
      </c>
      <c r="AR30" s="165">
        <f>AR29+1</f>
        <v>7</v>
      </c>
      <c r="AS30" s="166" t="s">
        <v>24</v>
      </c>
      <c r="AT30" s="221">
        <f>'Folha de dados'!AT33</f>
        <v>1875.8009999999999</v>
      </c>
      <c r="AU30" s="165">
        <f>AU29+1</f>
        <v>11</v>
      </c>
      <c r="AV30" s="166" t="s">
        <v>27</v>
      </c>
      <c r="AW30" s="221">
        <f>'Folha de dados'!AW33</f>
        <v>1219.2706499999999</v>
      </c>
    </row>
    <row r="31" spans="2:49" x14ac:dyDescent="0.25">
      <c r="B31" s="250" t="s">
        <v>283</v>
      </c>
      <c r="C31" s="184"/>
      <c r="D31" s="245">
        <f>(D32+D34+D36+D37)/D47</f>
        <v>0.36515009890189104</v>
      </c>
      <c r="E31" s="245">
        <f t="shared" ref="E31:AL31" si="6">(E32+E34+E36+E37)/E47</f>
        <v>0.39210122512059231</v>
      </c>
      <c r="F31" s="245">
        <f t="shared" si="6"/>
        <v>0.4251283179635717</v>
      </c>
      <c r="G31" s="245">
        <f t="shared" si="6"/>
        <v>0.41643670838663632</v>
      </c>
      <c r="H31" s="245">
        <f t="shared" si="6"/>
        <v>0.4223365400379161</v>
      </c>
      <c r="I31" s="245">
        <f t="shared" si="6"/>
        <v>0.40818412307476942</v>
      </c>
      <c r="J31" s="245">
        <f t="shared" si="6"/>
        <v>0.4145676541325144</v>
      </c>
      <c r="K31" s="245">
        <f t="shared" si="6"/>
        <v>0.44454716731909094</v>
      </c>
      <c r="L31" s="245">
        <f t="shared" si="6"/>
        <v>0.45757458503377263</v>
      </c>
      <c r="M31" s="245">
        <f t="shared" si="6"/>
        <v>0.45757458503377263</v>
      </c>
      <c r="N31" s="245">
        <f t="shared" si="6"/>
        <v>0.45757458503377263</v>
      </c>
      <c r="O31" s="245">
        <f t="shared" si="6"/>
        <v>0.45757458503377263</v>
      </c>
      <c r="P31" s="245">
        <f t="shared" si="6"/>
        <v>0.45743075242009767</v>
      </c>
      <c r="Q31" s="245">
        <f t="shared" si="6"/>
        <v>0.45743075242009767</v>
      </c>
      <c r="R31" s="245">
        <f t="shared" si="6"/>
        <v>0.45743075242009767</v>
      </c>
      <c r="S31" s="245">
        <f t="shared" si="6"/>
        <v>0.45743075242009767</v>
      </c>
      <c r="T31" s="245">
        <f t="shared" si="6"/>
        <v>0.4867058607353465</v>
      </c>
      <c r="U31" s="245">
        <f t="shared" si="6"/>
        <v>0.4867058607353465</v>
      </c>
      <c r="V31" s="245">
        <f t="shared" si="6"/>
        <v>0.49321253143658073</v>
      </c>
      <c r="W31" s="245">
        <f t="shared" si="6"/>
        <v>0.49321253143658073</v>
      </c>
      <c r="X31" s="245">
        <f t="shared" si="6"/>
        <v>0.49321253143658073</v>
      </c>
      <c r="Y31" s="245">
        <f t="shared" si="6"/>
        <v>0.49321253143658073</v>
      </c>
      <c r="Z31" s="245">
        <f t="shared" si="6"/>
        <v>0.48563519865100824</v>
      </c>
      <c r="AA31" s="245">
        <f t="shared" si="6"/>
        <v>0.48563519865100824</v>
      </c>
      <c r="AB31" s="245">
        <f t="shared" si="6"/>
        <v>0.48563519865100824</v>
      </c>
      <c r="AC31" s="245">
        <f t="shared" si="6"/>
        <v>0.48563519865100824</v>
      </c>
      <c r="AD31" s="245">
        <f t="shared" si="6"/>
        <v>0.48563519865100824</v>
      </c>
      <c r="AE31" s="245">
        <f t="shared" si="6"/>
        <v>0.48563519865100824</v>
      </c>
      <c r="AF31" s="245">
        <f t="shared" si="6"/>
        <v>0.50827205680671761</v>
      </c>
      <c r="AG31" s="245">
        <f t="shared" si="6"/>
        <v>0.50827205680671761</v>
      </c>
      <c r="AH31" s="245">
        <f t="shared" si="6"/>
        <v>0.50827205680671761</v>
      </c>
      <c r="AI31" s="245">
        <f t="shared" si="6"/>
        <v>0.50827205680671772</v>
      </c>
      <c r="AJ31" s="245">
        <f t="shared" si="6"/>
        <v>0.50827205680671772</v>
      </c>
      <c r="AK31" s="245">
        <f t="shared" si="6"/>
        <v>0.50827205680671772</v>
      </c>
      <c r="AL31" s="245">
        <f t="shared" si="6"/>
        <v>0.50827205680671772</v>
      </c>
      <c r="AO31" s="165">
        <f>AO30+1</f>
        <v>4</v>
      </c>
      <c r="AP31" s="166" t="s">
        <v>140</v>
      </c>
      <c r="AQ31" s="221">
        <f>'Folha de dados'!AQ34</f>
        <v>11254.805999999999</v>
      </c>
      <c r="AR31" s="165">
        <f>AR30+1</f>
        <v>8</v>
      </c>
      <c r="AS31" s="166" t="s">
        <v>154</v>
      </c>
      <c r="AT31" s="221">
        <f>'Folha de dados'!AT34</f>
        <v>1875.8009999999999</v>
      </c>
      <c r="AU31" s="165">
        <f>AU30+1</f>
        <v>12</v>
      </c>
      <c r="AV31" s="166" t="s">
        <v>28</v>
      </c>
      <c r="AW31" s="221">
        <f>'Folha de dados'!AW34</f>
        <v>655.72863265259991</v>
      </c>
    </row>
    <row r="32" spans="2:49" x14ac:dyDescent="0.25">
      <c r="B32" s="178" t="s">
        <v>159</v>
      </c>
      <c r="C32" s="184"/>
      <c r="D32" s="180">
        <f>'Ano 1'!$R75</f>
        <v>795483.26297879987</v>
      </c>
      <c r="E32" s="180">
        <f>'Ano 2'!$R75</f>
        <v>795483.26297879987</v>
      </c>
      <c r="F32" s="180">
        <f>'Ano 3'!$R75</f>
        <v>845030.03729759983</v>
      </c>
      <c r="G32" s="180">
        <f>'Ano 4'!$R75</f>
        <v>911758.93515960011</v>
      </c>
      <c r="H32" s="180">
        <f>'Ano 5'!$R75</f>
        <v>1101492.3651731999</v>
      </c>
      <c r="I32" s="180">
        <f>'Ano 6'!$R75</f>
        <v>1101492.3651731999</v>
      </c>
      <c r="J32" s="180">
        <f>'Ano 7'!$R75</f>
        <v>1151039.139492</v>
      </c>
      <c r="K32" s="180">
        <f>'Ano 8'!$R75</f>
        <v>1221748.4286215999</v>
      </c>
      <c r="L32" s="180">
        <f>'Ano 9'!$R75</f>
        <v>1338024.1008024001</v>
      </c>
      <c r="M32" s="180">
        <f>'Ano 10'!$R75</f>
        <v>1338024.1008024001</v>
      </c>
      <c r="N32" s="180">
        <f>'Ano 11'!$R75</f>
        <v>1338024.1008024001</v>
      </c>
      <c r="O32" s="180">
        <f>'Ano 12'!$R75</f>
        <v>1338024.1008024001</v>
      </c>
      <c r="P32" s="180">
        <f>'Ano 13'!$R75</f>
        <v>1387570.8751212</v>
      </c>
      <c r="Q32" s="180">
        <f>'Ano 14'!$R75</f>
        <v>1387570.8751212</v>
      </c>
      <c r="R32" s="180">
        <f>'Ano 15'!$R75</f>
        <v>1387570.8751212</v>
      </c>
      <c r="S32" s="180">
        <f>'Ano 16'!$R75</f>
        <v>1387570.8751212</v>
      </c>
      <c r="T32" s="180">
        <f>'Ano 17'!$R75</f>
        <v>1453528.3389659999</v>
      </c>
      <c r="U32" s="180">
        <f>'Ano 18'!$R75</f>
        <v>1453528.3389659999</v>
      </c>
      <c r="V32" s="180">
        <f>'Ano 19'!$R75</f>
        <v>1569804.0111468001</v>
      </c>
      <c r="W32" s="180">
        <f>'Ano 20'!$R75</f>
        <v>1569804.0111468001</v>
      </c>
      <c r="X32" s="180">
        <f>'Ano 21'!$R75</f>
        <v>1569804.0111468001</v>
      </c>
      <c r="Y32" s="180">
        <f>'Ano 22'!$R75</f>
        <v>1569804.0111468001</v>
      </c>
      <c r="Z32" s="180">
        <f>'Ano 23'!$R75</f>
        <v>1569804.0111468001</v>
      </c>
      <c r="AA32" s="180">
        <f>'Ano 24'!$R75</f>
        <v>1569804.0111468001</v>
      </c>
      <c r="AB32" s="180">
        <f>'Ano 25'!$R75</f>
        <v>1569804.0111468001</v>
      </c>
      <c r="AC32" s="180">
        <f>'Ano 26'!$R75</f>
        <v>1569804.0111468001</v>
      </c>
      <c r="AD32" s="180">
        <f>'Ano 27'!$R75</f>
        <v>1569804.0111468001</v>
      </c>
      <c r="AE32" s="180">
        <f>'Ano 28'!$R75</f>
        <v>1569804.0111468001</v>
      </c>
      <c r="AF32" s="180">
        <f>'Ano 29'!$R75</f>
        <v>1619350.7854655995</v>
      </c>
      <c r="AG32" s="180">
        <f>'Ano 30'!$R75</f>
        <v>1619350.7854655995</v>
      </c>
      <c r="AH32" s="180">
        <f>'Ano 31'!$R75</f>
        <v>1619350.7854655995</v>
      </c>
      <c r="AI32" s="180">
        <f>'Ano 32'!$R75</f>
        <v>1619350.7854655995</v>
      </c>
      <c r="AJ32" s="180">
        <f>'Ano 33'!$R75</f>
        <v>1619350.7854655995</v>
      </c>
      <c r="AK32" s="180">
        <f>'Ano 34'!$R75</f>
        <v>1619350.7854655995</v>
      </c>
      <c r="AL32" s="180">
        <f>'Ano 35'!$R75</f>
        <v>1619350.7854655995</v>
      </c>
      <c r="AM32" s="224">
        <f t="shared" ref="AM32:AM47" si="7">SUM(D32:AL32)</f>
        <v>48766459.988228373</v>
      </c>
      <c r="AN32" s="132">
        <f>AM32/$AM$47</f>
        <v>0.25370084940901588</v>
      </c>
      <c r="AO32" s="174"/>
      <c r="AP32" s="174"/>
      <c r="AQ32" s="174"/>
      <c r="AR32" s="174"/>
      <c r="AS32" s="174"/>
      <c r="AT32" s="174"/>
      <c r="AU32" s="174"/>
      <c r="AV32" s="174"/>
      <c r="AW32" s="174"/>
    </row>
    <row r="33" spans="2:40" x14ac:dyDescent="0.25">
      <c r="B33" s="178" t="s">
        <v>158</v>
      </c>
      <c r="C33" s="184"/>
      <c r="D33" s="180">
        <f>'Ano 1'!$R76</f>
        <v>114050.45962199998</v>
      </c>
      <c r="E33" s="180">
        <f>'Ano 2'!$R76</f>
        <v>114050.45962199998</v>
      </c>
      <c r="F33" s="180">
        <f>'Ano 3'!$R76</f>
        <v>114050.45962199998</v>
      </c>
      <c r="G33" s="180">
        <f>'Ano 4'!$R76</f>
        <v>114050.45962199998</v>
      </c>
      <c r="H33" s="180">
        <f>'Ano 5'!$R76</f>
        <v>114050.45962199998</v>
      </c>
      <c r="I33" s="180">
        <f>'Ano 6'!$R76</f>
        <v>114050.45962199998</v>
      </c>
      <c r="J33" s="180">
        <f>'Ano 7'!$R76</f>
        <v>114050.45962199998</v>
      </c>
      <c r="K33" s="180">
        <f>'Ano 8'!$R76</f>
        <v>114050.45962199998</v>
      </c>
      <c r="L33" s="180">
        <f>'Ano 9'!$R76</f>
        <v>114050.45962199998</v>
      </c>
      <c r="M33" s="180">
        <f>'Ano 10'!$R76</f>
        <v>114050.45962199998</v>
      </c>
      <c r="N33" s="180">
        <f>'Ano 11'!$R76</f>
        <v>114050.45962199998</v>
      </c>
      <c r="O33" s="180">
        <f>'Ano 12'!$R76</f>
        <v>114050.45962199998</v>
      </c>
      <c r="P33" s="180">
        <f>'Ano 13'!$R76</f>
        <v>114050.45962199998</v>
      </c>
      <c r="Q33" s="180">
        <f>'Ano 14'!$R76</f>
        <v>114050.45962199998</v>
      </c>
      <c r="R33" s="180">
        <f>'Ano 15'!$R76</f>
        <v>114050.45962199998</v>
      </c>
      <c r="S33" s="180">
        <f>'Ano 16'!$R76</f>
        <v>114050.45962199998</v>
      </c>
      <c r="T33" s="180">
        <f>'Ano 17'!$R76</f>
        <v>191605.17711719999</v>
      </c>
      <c r="U33" s="180">
        <f>'Ano 18'!$R76</f>
        <v>191605.17711719999</v>
      </c>
      <c r="V33" s="180">
        <f>'Ano 19'!$R76</f>
        <v>191605.17711719999</v>
      </c>
      <c r="W33" s="180">
        <f>'Ano 20'!$R76</f>
        <v>191605.17711719999</v>
      </c>
      <c r="X33" s="180">
        <f>'Ano 21'!$R76</f>
        <v>191605.17711719999</v>
      </c>
      <c r="Y33" s="180">
        <f>'Ano 22'!$R76</f>
        <v>191605.17711719999</v>
      </c>
      <c r="Z33" s="180">
        <f>'Ano 23'!$R76</f>
        <v>191605.17711719999</v>
      </c>
      <c r="AA33" s="180">
        <f>'Ano 24'!$R76</f>
        <v>191605.17711719999</v>
      </c>
      <c r="AB33" s="180">
        <f>'Ano 25'!$R76</f>
        <v>191605.17711719999</v>
      </c>
      <c r="AC33" s="180">
        <f>'Ano 26'!$R76</f>
        <v>191605.17711719999</v>
      </c>
      <c r="AD33" s="180">
        <f>'Ano 27'!$R76</f>
        <v>191605.17711719999</v>
      </c>
      <c r="AE33" s="180">
        <f>'Ano 28'!$R76</f>
        <v>191605.17711719999</v>
      </c>
      <c r="AF33" s="180">
        <f>'Ano 29'!$R76</f>
        <v>191605.17711719999</v>
      </c>
      <c r="AG33" s="180">
        <f>'Ano 30'!$R76</f>
        <v>191605.17711719999</v>
      </c>
      <c r="AH33" s="180">
        <f>'Ano 31'!$R76</f>
        <v>191605.17711719999</v>
      </c>
      <c r="AI33" s="180">
        <f>'Ano 32'!$R76</f>
        <v>191605.17711719999</v>
      </c>
      <c r="AJ33" s="180">
        <f>'Ano 33'!$R76</f>
        <v>191605.17711719999</v>
      </c>
      <c r="AK33" s="180">
        <f>'Ano 34'!$R76</f>
        <v>191605.17711719999</v>
      </c>
      <c r="AL33" s="180">
        <f>'Ano 35'!$R76</f>
        <v>191605.17711719999</v>
      </c>
      <c r="AM33" s="224">
        <f t="shared" si="7"/>
        <v>5465305.7191787977</v>
      </c>
      <c r="AN33" s="132">
        <f t="shared" ref="AN33:AN46" si="8">AM33/$AM$47</f>
        <v>2.8432506759160092E-2</v>
      </c>
    </row>
    <row r="34" spans="2:40" x14ac:dyDescent="0.25">
      <c r="B34" s="178" t="s">
        <v>160</v>
      </c>
      <c r="C34" s="184"/>
      <c r="D34" s="180">
        <f>'Ano 1'!$R77</f>
        <v>0</v>
      </c>
      <c r="E34" s="180">
        <f>'Ano 2'!$R77</f>
        <v>0</v>
      </c>
      <c r="F34" s="180">
        <f>'Ano 3'!$R77</f>
        <v>120541.84402919997</v>
      </c>
      <c r="G34" s="180">
        <f>'Ano 4'!$R77</f>
        <v>120541.84402919997</v>
      </c>
      <c r="H34" s="180">
        <f>'Ano 5'!$R77</f>
        <v>120541.84402919997</v>
      </c>
      <c r="I34" s="180">
        <f>'Ano 6'!$R77</f>
        <v>120541.84402919997</v>
      </c>
      <c r="J34" s="180">
        <f>'Ano 7'!$R77</f>
        <v>120541.84402919997</v>
      </c>
      <c r="K34" s="180">
        <f>'Ano 8'!$R77</f>
        <v>120541.84402919997</v>
      </c>
      <c r="L34" s="180">
        <f>'Ano 9'!$R77</f>
        <v>120541.84402919997</v>
      </c>
      <c r="M34" s="180">
        <f>'Ano 10'!$R77</f>
        <v>120541.84402919997</v>
      </c>
      <c r="N34" s="180">
        <f>'Ano 11'!$R77</f>
        <v>120541.84402919997</v>
      </c>
      <c r="O34" s="180">
        <f>'Ano 12'!$R77</f>
        <v>120541.84402919997</v>
      </c>
      <c r="P34" s="180">
        <f>'Ano 13'!$R77</f>
        <v>120541.84402919997</v>
      </c>
      <c r="Q34" s="180">
        <f>'Ano 14'!$R77</f>
        <v>120541.84402919997</v>
      </c>
      <c r="R34" s="180">
        <f>'Ano 15'!$R77</f>
        <v>120541.84402919997</v>
      </c>
      <c r="S34" s="180">
        <f>'Ano 16'!$R77</f>
        <v>120541.84402919997</v>
      </c>
      <c r="T34" s="180">
        <f>'Ano 17'!$R77</f>
        <v>120541.84402919997</v>
      </c>
      <c r="U34" s="180">
        <f>'Ano 18'!$R77</f>
        <v>120541.84402919997</v>
      </c>
      <c r="V34" s="180">
        <f>'Ano 19'!$R77</f>
        <v>120541.84402919997</v>
      </c>
      <c r="W34" s="180">
        <f>'Ano 20'!$R77</f>
        <v>120541.84402919997</v>
      </c>
      <c r="X34" s="180">
        <f>'Ano 21'!$R77</f>
        <v>120541.84402919997</v>
      </c>
      <c r="Y34" s="180">
        <f>'Ano 22'!$R77</f>
        <v>120541.84402919997</v>
      </c>
      <c r="Z34" s="180">
        <f>'Ano 23'!$R77</f>
        <v>120541.84402919997</v>
      </c>
      <c r="AA34" s="180">
        <f>'Ano 24'!$R77</f>
        <v>120541.84402919997</v>
      </c>
      <c r="AB34" s="180">
        <f>'Ano 25'!$R77</f>
        <v>120541.84402919997</v>
      </c>
      <c r="AC34" s="180">
        <f>'Ano 26'!$R77</f>
        <v>120541.84402919997</v>
      </c>
      <c r="AD34" s="180">
        <f>'Ano 27'!$R77</f>
        <v>120541.84402919997</v>
      </c>
      <c r="AE34" s="180">
        <f>'Ano 28'!$R77</f>
        <v>120541.84402919997</v>
      </c>
      <c r="AF34" s="180">
        <f>'Ano 29'!$R77</f>
        <v>352312.20907079999</v>
      </c>
      <c r="AG34" s="180">
        <f>'Ano 30'!$R77</f>
        <v>352312.20907079999</v>
      </c>
      <c r="AH34" s="180">
        <f>'Ano 31'!$R77</f>
        <v>352312.20907079999</v>
      </c>
      <c r="AI34" s="180">
        <f>'Ano 32'!$R77</f>
        <v>352312.20907079999</v>
      </c>
      <c r="AJ34" s="180">
        <f>'Ano 33'!$R77</f>
        <v>352312.20907079999</v>
      </c>
      <c r="AK34" s="180">
        <f>'Ano 34'!$R77</f>
        <v>352312.20907079999</v>
      </c>
      <c r="AL34" s="180">
        <f>'Ano 35'!$R77</f>
        <v>352312.20907079999</v>
      </c>
      <c r="AM34" s="224">
        <f t="shared" si="7"/>
        <v>5600273.4082547976</v>
      </c>
      <c r="AN34" s="132">
        <f t="shared" si="8"/>
        <v>2.9134657732792758E-2</v>
      </c>
    </row>
    <row r="35" spans="2:40" x14ac:dyDescent="0.25">
      <c r="B35" s="178" t="s">
        <v>161</v>
      </c>
      <c r="C35" s="184"/>
      <c r="D35" s="180">
        <f>'Ano 1'!$R78</f>
        <v>0</v>
      </c>
      <c r="E35" s="180">
        <f>'Ano 2'!$R78</f>
        <v>0</v>
      </c>
      <c r="F35" s="180">
        <f>'Ano 3'!$R78</f>
        <v>0</v>
      </c>
      <c r="G35" s="180">
        <f>'Ano 4'!$R78</f>
        <v>0</v>
      </c>
      <c r="H35" s="180">
        <f>'Ano 5'!$R78</f>
        <v>0</v>
      </c>
      <c r="I35" s="180">
        <f>'Ano 6'!$R78</f>
        <v>0</v>
      </c>
      <c r="J35" s="180">
        <f>'Ano 7'!$R78</f>
        <v>0</v>
      </c>
      <c r="K35" s="180">
        <f>'Ano 8'!$R78</f>
        <v>0</v>
      </c>
      <c r="L35" s="180">
        <f>'Ano 9'!$R78</f>
        <v>0</v>
      </c>
      <c r="M35" s="180">
        <f>'Ano 10'!$R78</f>
        <v>0</v>
      </c>
      <c r="N35" s="180">
        <f>'Ano 11'!$R78</f>
        <v>0</v>
      </c>
      <c r="O35" s="180">
        <f>'Ano 12'!$R78</f>
        <v>0</v>
      </c>
      <c r="P35" s="180">
        <f>'Ano 13'!$R78</f>
        <v>0</v>
      </c>
      <c r="Q35" s="180">
        <f>'Ano 14'!$R78</f>
        <v>0</v>
      </c>
      <c r="R35" s="180">
        <f>'Ano 15'!$R78</f>
        <v>0</v>
      </c>
      <c r="S35" s="180">
        <f>'Ano 16'!$R78</f>
        <v>0</v>
      </c>
      <c r="T35" s="180">
        <f>'Ano 17'!$R78</f>
        <v>77554.717495199991</v>
      </c>
      <c r="U35" s="180">
        <f>'Ano 18'!$R78</f>
        <v>77554.717495199991</v>
      </c>
      <c r="V35" s="180">
        <f>'Ano 19'!$R78</f>
        <v>77554.717495199991</v>
      </c>
      <c r="W35" s="180">
        <f>'Ano 20'!$R78</f>
        <v>77554.717495199991</v>
      </c>
      <c r="X35" s="180">
        <f>'Ano 21'!$R78</f>
        <v>77554.717495199991</v>
      </c>
      <c r="Y35" s="180">
        <f>'Ano 22'!$R78</f>
        <v>77554.717495199991</v>
      </c>
      <c r="Z35" s="180">
        <f>'Ano 23'!$R78</f>
        <v>77554.717495199991</v>
      </c>
      <c r="AA35" s="180">
        <f>'Ano 24'!$R78</f>
        <v>77554.717495199991</v>
      </c>
      <c r="AB35" s="180">
        <f>'Ano 25'!$R78</f>
        <v>77554.717495199991</v>
      </c>
      <c r="AC35" s="180">
        <f>'Ano 26'!$R78</f>
        <v>77554.717495199991</v>
      </c>
      <c r="AD35" s="180">
        <f>'Ano 27'!$R78</f>
        <v>77554.717495199991</v>
      </c>
      <c r="AE35" s="180">
        <f>'Ano 28'!$R78</f>
        <v>77554.717495199991</v>
      </c>
      <c r="AF35" s="180">
        <f>'Ano 29'!$R78</f>
        <v>77554.717495199991</v>
      </c>
      <c r="AG35" s="180">
        <f>'Ano 30'!$R78</f>
        <v>77554.717495199991</v>
      </c>
      <c r="AH35" s="180">
        <f>'Ano 31'!$R78</f>
        <v>77554.717495199991</v>
      </c>
      <c r="AI35" s="180">
        <f>'Ano 32'!$R78</f>
        <v>77554.717495199991</v>
      </c>
      <c r="AJ35" s="180">
        <f>'Ano 33'!$R78</f>
        <v>77554.717495199991</v>
      </c>
      <c r="AK35" s="180">
        <f>'Ano 34'!$R78</f>
        <v>77554.717495199991</v>
      </c>
      <c r="AL35" s="180">
        <f>'Ano 35'!$R78</f>
        <v>77554.717495199991</v>
      </c>
      <c r="AM35" s="224">
        <f t="shared" si="7"/>
        <v>1473539.6324087998</v>
      </c>
      <c r="AN35" s="132">
        <f t="shared" si="8"/>
        <v>7.665888737263306E-3</v>
      </c>
    </row>
    <row r="36" spans="2:40" x14ac:dyDescent="0.25">
      <c r="B36" s="178" t="s">
        <v>52</v>
      </c>
      <c r="C36" s="184"/>
      <c r="D36" s="180">
        <f>'Ano 1'!$R79</f>
        <v>604715.75849519996</v>
      </c>
      <c r="E36" s="180">
        <f>'Ano 2'!$R79</f>
        <v>604715.75849519996</v>
      </c>
      <c r="F36" s="180">
        <f>'Ano 3'!$R79</f>
        <v>670397.2763135999</v>
      </c>
      <c r="G36" s="180">
        <f>'Ano 4'!$R79</f>
        <v>539034.24067680002</v>
      </c>
      <c r="H36" s="180">
        <f>'Ano 5'!$R79</f>
        <v>423805.94853960001</v>
      </c>
      <c r="I36" s="180">
        <f>'Ano 6'!$R79</f>
        <v>423805.94853960001</v>
      </c>
      <c r="J36" s="180">
        <f>'Ano 7'!$R79</f>
        <v>423805.94853960001</v>
      </c>
      <c r="K36" s="180">
        <f>'Ano 8'!$R79</f>
        <v>423805.94853960001</v>
      </c>
      <c r="L36" s="180">
        <f>'Ano 9'!$R79</f>
        <v>423805.94853960001</v>
      </c>
      <c r="M36" s="180">
        <f>'Ano 10'!$R79</f>
        <v>423805.94853960001</v>
      </c>
      <c r="N36" s="180">
        <f>'Ano 11'!$R79</f>
        <v>423805.94853960001</v>
      </c>
      <c r="O36" s="180">
        <f>'Ano 12'!$R79</f>
        <v>423805.94853960001</v>
      </c>
      <c r="P36" s="180">
        <f>'Ano 13'!$R79</f>
        <v>423805.94853960001</v>
      </c>
      <c r="Q36" s="180">
        <f>'Ano 14'!$R79</f>
        <v>423805.94853960001</v>
      </c>
      <c r="R36" s="180">
        <f>'Ano 15'!$R79</f>
        <v>423805.94853960001</v>
      </c>
      <c r="S36" s="180">
        <f>'Ano 16'!$R79</f>
        <v>423805.94853960001</v>
      </c>
      <c r="T36" s="180">
        <f>'Ano 17'!$R79</f>
        <v>616588.95817200001</v>
      </c>
      <c r="U36" s="180">
        <f>'Ano 18'!$R79</f>
        <v>616588.95817200001</v>
      </c>
      <c r="V36" s="180">
        <f>'Ano 19'!$R79</f>
        <v>616588.95817200001</v>
      </c>
      <c r="W36" s="180">
        <f>'Ano 20'!$R79</f>
        <v>616588.95817200001</v>
      </c>
      <c r="X36" s="180">
        <f>'Ano 21'!$R79</f>
        <v>616588.95817200001</v>
      </c>
      <c r="Y36" s="180">
        <f>'Ano 22'!$R79</f>
        <v>616588.95817200001</v>
      </c>
      <c r="Z36" s="180">
        <f>'Ano 23'!$R79</f>
        <v>616588.95817200001</v>
      </c>
      <c r="AA36" s="180">
        <f>'Ano 24'!$R79</f>
        <v>616588.95817200001</v>
      </c>
      <c r="AB36" s="180">
        <f>'Ano 25'!$R79</f>
        <v>616588.95817200001</v>
      </c>
      <c r="AC36" s="180">
        <f>'Ano 26'!$R79</f>
        <v>616588.95817200001</v>
      </c>
      <c r="AD36" s="180">
        <f>'Ano 27'!$R79</f>
        <v>616588.95817200001</v>
      </c>
      <c r="AE36" s="180">
        <f>'Ano 28'!$R79</f>
        <v>616588.95817200001</v>
      </c>
      <c r="AF36" s="180">
        <f>'Ano 29'!$R79</f>
        <v>616588.95817200001</v>
      </c>
      <c r="AG36" s="180">
        <f>'Ano 30'!$R79</f>
        <v>616588.95817200001</v>
      </c>
      <c r="AH36" s="180">
        <f>'Ano 31'!$R79</f>
        <v>616588.95817200001</v>
      </c>
      <c r="AI36" s="180">
        <f>'Ano 32'!$R79</f>
        <v>616588.95817200001</v>
      </c>
      <c r="AJ36" s="180">
        <f>'Ano 33'!$R79</f>
        <v>616588.95817200001</v>
      </c>
      <c r="AK36" s="180">
        <f>'Ano 34'!$R79</f>
        <v>616588.95817200001</v>
      </c>
      <c r="AL36" s="180">
        <f>'Ano 35'!$R79</f>
        <v>616588.95817200001</v>
      </c>
      <c r="AM36" s="224">
        <f t="shared" si="7"/>
        <v>19219724.621724013</v>
      </c>
      <c r="AN36" s="132">
        <f t="shared" si="8"/>
        <v>9.99879930410323E-2</v>
      </c>
    </row>
    <row r="37" spans="2:40" x14ac:dyDescent="0.25">
      <c r="B37" s="178" t="s">
        <v>53</v>
      </c>
      <c r="C37" s="184"/>
      <c r="D37" s="180">
        <f>'Ano 1'!$R80</f>
        <v>0</v>
      </c>
      <c r="E37" s="180">
        <f>'Ano 2'!$R80</f>
        <v>208917.75313199998</v>
      </c>
      <c r="F37" s="180">
        <f>'Ano 3'!$R80</f>
        <v>208917.75313199998</v>
      </c>
      <c r="G37" s="180">
        <f>'Ano 4'!$R80</f>
        <v>208917.75313199998</v>
      </c>
      <c r="H37" s="180">
        <f>'Ano 5'!$R80</f>
        <v>208917.75313199998</v>
      </c>
      <c r="I37" s="180">
        <f>'Ano 6'!$R80</f>
        <v>208917.75313199998</v>
      </c>
      <c r="J37" s="180">
        <f>'Ano 7'!$R80</f>
        <v>208917.75313199998</v>
      </c>
      <c r="K37" s="180">
        <f>'Ano 8'!$R80</f>
        <v>386132.37389759999</v>
      </c>
      <c r="L37" s="180">
        <f>'Ano 9'!$R80</f>
        <v>386132.37389759999</v>
      </c>
      <c r="M37" s="180">
        <f>'Ano 10'!$R80</f>
        <v>386132.37389759999</v>
      </c>
      <c r="N37" s="180">
        <f>'Ano 11'!$R80</f>
        <v>386132.37389759999</v>
      </c>
      <c r="O37" s="180">
        <f>'Ano 12'!$R80</f>
        <v>386132.37389759999</v>
      </c>
      <c r="P37" s="180">
        <f>'Ano 13'!$R80</f>
        <v>386132.37389759999</v>
      </c>
      <c r="Q37" s="180">
        <f>'Ano 14'!$R80</f>
        <v>386132.37389759999</v>
      </c>
      <c r="R37" s="180">
        <f>'Ano 15'!$R80</f>
        <v>386132.37389759999</v>
      </c>
      <c r="S37" s="180">
        <f>'Ano 16'!$R80</f>
        <v>386132.37389759999</v>
      </c>
      <c r="T37" s="180">
        <f>'Ano 17'!$R80</f>
        <v>660731.64484799991</v>
      </c>
      <c r="U37" s="180">
        <f>'Ano 18'!$R80</f>
        <v>660731.64484799991</v>
      </c>
      <c r="V37" s="180">
        <f>'Ano 19'!$R80</f>
        <v>660731.64484799991</v>
      </c>
      <c r="W37" s="180">
        <f>'Ano 20'!$R80</f>
        <v>660731.64484799991</v>
      </c>
      <c r="X37" s="180">
        <f>'Ano 21'!$R80</f>
        <v>660731.64484799991</v>
      </c>
      <c r="Y37" s="180">
        <f>'Ano 22'!$R80</f>
        <v>660731.64484799991</v>
      </c>
      <c r="Z37" s="180">
        <f>'Ano 23'!$R80</f>
        <v>660731.64484799991</v>
      </c>
      <c r="AA37" s="180">
        <f>'Ano 24'!$R80</f>
        <v>660731.64484799991</v>
      </c>
      <c r="AB37" s="180">
        <f>'Ano 25'!$R80</f>
        <v>660731.64484799991</v>
      </c>
      <c r="AC37" s="180">
        <f>'Ano 26'!$R80</f>
        <v>660731.64484799991</v>
      </c>
      <c r="AD37" s="180">
        <f>'Ano 27'!$R80</f>
        <v>660731.64484799991</v>
      </c>
      <c r="AE37" s="180">
        <f>'Ano 28'!$R80</f>
        <v>660731.64484799991</v>
      </c>
      <c r="AF37" s="180">
        <f>'Ano 29'!$R80</f>
        <v>660731.64484799991</v>
      </c>
      <c r="AG37" s="180">
        <f>'Ano 30'!$R80</f>
        <v>660731.64484799991</v>
      </c>
      <c r="AH37" s="180">
        <f>'Ano 31'!$R80</f>
        <v>660731.64484799991</v>
      </c>
      <c r="AI37" s="180">
        <f>'Ano 32'!$R80</f>
        <v>660731.64484799991</v>
      </c>
      <c r="AJ37" s="180">
        <f>'Ano 33'!$R80</f>
        <v>660731.64484799991</v>
      </c>
      <c r="AK37" s="180">
        <f>'Ano 34'!$R80</f>
        <v>660731.64484799991</v>
      </c>
      <c r="AL37" s="180">
        <f>'Ano 35'!$R80</f>
        <v>660731.64484799991</v>
      </c>
      <c r="AM37" s="224">
        <f t="shared" si="7"/>
        <v>17282599.135982402</v>
      </c>
      <c r="AN37" s="132">
        <f t="shared" si="8"/>
        <v>8.9910362200837424E-2</v>
      </c>
    </row>
    <row r="38" spans="2:40" x14ac:dyDescent="0.25">
      <c r="B38" s="178" t="s">
        <v>30</v>
      </c>
      <c r="C38" s="184"/>
      <c r="D38" s="180">
        <f>'Ano 1'!$R81</f>
        <v>255513.59999999998</v>
      </c>
      <c r="E38" s="180">
        <f>'Ano 2'!$R81</f>
        <v>255513.59999999998</v>
      </c>
      <c r="F38" s="180">
        <f>'Ano 3'!$R81</f>
        <v>255513.59999999998</v>
      </c>
      <c r="G38" s="180">
        <f>'Ano 4'!$R81</f>
        <v>255513.59999999998</v>
      </c>
      <c r="H38" s="180">
        <f>'Ano 5'!$R81</f>
        <v>255513.59999999998</v>
      </c>
      <c r="I38" s="180">
        <f>'Ano 6'!$R81</f>
        <v>255513.59999999998</v>
      </c>
      <c r="J38" s="180">
        <f>'Ano 7'!$R81</f>
        <v>255513.59999999998</v>
      </c>
      <c r="K38" s="180">
        <f>'Ano 8'!$R81</f>
        <v>255513.59999999998</v>
      </c>
      <c r="L38" s="180">
        <f>'Ano 9'!$R81</f>
        <v>255513.59999999998</v>
      </c>
      <c r="M38" s="180">
        <f>'Ano 10'!$R81</f>
        <v>255513.59999999998</v>
      </c>
      <c r="N38" s="180">
        <f>'Ano 11'!$R81</f>
        <v>255513.59999999998</v>
      </c>
      <c r="O38" s="180">
        <f>'Ano 12'!$R81</f>
        <v>255513.59999999998</v>
      </c>
      <c r="P38" s="180">
        <f>'Ano 13'!$R81</f>
        <v>255513.59999999998</v>
      </c>
      <c r="Q38" s="180">
        <f>'Ano 14'!$R81</f>
        <v>255513.59999999998</v>
      </c>
      <c r="R38" s="180">
        <f>'Ano 15'!$R81</f>
        <v>255513.59999999998</v>
      </c>
      <c r="S38" s="180">
        <f>'Ano 16'!$R81</f>
        <v>255513.59999999998</v>
      </c>
      <c r="T38" s="180">
        <f>'Ano 17'!$R81</f>
        <v>255513.59999999998</v>
      </c>
      <c r="U38" s="180">
        <f>'Ano 18'!$R81</f>
        <v>255513.59999999998</v>
      </c>
      <c r="V38" s="180">
        <f>'Ano 19'!$R81</f>
        <v>255513.59999999998</v>
      </c>
      <c r="W38" s="180">
        <f>'Ano 20'!$R81</f>
        <v>255513.59999999998</v>
      </c>
      <c r="X38" s="180">
        <f>'Ano 21'!$R81</f>
        <v>255513.59999999998</v>
      </c>
      <c r="Y38" s="180">
        <f>'Ano 22'!$R81</f>
        <v>255513.59999999998</v>
      </c>
      <c r="Z38" s="180">
        <f>'Ano 23'!$R81</f>
        <v>255513.59999999998</v>
      </c>
      <c r="AA38" s="180">
        <f>'Ano 24'!$R81</f>
        <v>255513.59999999998</v>
      </c>
      <c r="AB38" s="180">
        <f>'Ano 25'!$R81</f>
        <v>255513.59999999998</v>
      </c>
      <c r="AC38" s="180">
        <f>'Ano 26'!$R81</f>
        <v>255513.59999999998</v>
      </c>
      <c r="AD38" s="180">
        <f>'Ano 27'!$R81</f>
        <v>255513.59999999998</v>
      </c>
      <c r="AE38" s="180">
        <f>'Ano 28'!$R81</f>
        <v>255513.59999999998</v>
      </c>
      <c r="AF38" s="180">
        <f>'Ano 29'!$R81</f>
        <v>255513.59999999998</v>
      </c>
      <c r="AG38" s="180">
        <f>'Ano 30'!$R81</f>
        <v>255513.59999999998</v>
      </c>
      <c r="AH38" s="180">
        <f>'Ano 31'!$R81</f>
        <v>255513.59999999998</v>
      </c>
      <c r="AI38" s="180">
        <f>'Ano 32'!$R81</f>
        <v>255513.59999999998</v>
      </c>
      <c r="AJ38" s="180">
        <f>'Ano 33'!$R81</f>
        <v>255513.59999999998</v>
      </c>
      <c r="AK38" s="180">
        <f>'Ano 34'!$R81</f>
        <v>255513.59999999998</v>
      </c>
      <c r="AL38" s="180">
        <f>'Ano 35'!$R81</f>
        <v>255513.59999999998</v>
      </c>
      <c r="AM38" s="224">
        <f t="shared" si="7"/>
        <v>8942975.9999999944</v>
      </c>
      <c r="AN38" s="132">
        <f t="shared" si="8"/>
        <v>4.6524611546380691E-2</v>
      </c>
    </row>
    <row r="39" spans="2:40" x14ac:dyDescent="0.25">
      <c r="B39" s="178" t="s">
        <v>31</v>
      </c>
      <c r="C39" s="184"/>
      <c r="D39" s="180">
        <f>'Ano 1'!$R82</f>
        <v>298994.84999999998</v>
      </c>
      <c r="E39" s="180">
        <f>'Ano 2'!$R82</f>
        <v>298994.84999999998</v>
      </c>
      <c r="F39" s="180">
        <f>'Ano 3'!$R82</f>
        <v>298994.84999999998</v>
      </c>
      <c r="G39" s="180">
        <f>'Ano 4'!$R82</f>
        <v>298994.84999999998</v>
      </c>
      <c r="H39" s="180">
        <f>'Ano 5'!$R82</f>
        <v>298994.84999999998</v>
      </c>
      <c r="I39" s="180">
        <f>'Ano 6'!$R82</f>
        <v>298994.84999999998</v>
      </c>
      <c r="J39" s="180">
        <f>'Ano 7'!$R82</f>
        <v>298994.84999999998</v>
      </c>
      <c r="K39" s="180">
        <f>'Ano 8'!$R82</f>
        <v>298994.84999999998</v>
      </c>
      <c r="L39" s="180">
        <f>'Ano 9'!$R82</f>
        <v>298994.84999999998</v>
      </c>
      <c r="M39" s="180">
        <f>'Ano 10'!$R82</f>
        <v>298994.84999999998</v>
      </c>
      <c r="N39" s="180">
        <f>'Ano 11'!$R82</f>
        <v>298994.84999999998</v>
      </c>
      <c r="O39" s="180">
        <f>'Ano 12'!$R82</f>
        <v>298994.84999999998</v>
      </c>
      <c r="P39" s="180">
        <f>'Ano 13'!$R82</f>
        <v>298994.84999999998</v>
      </c>
      <c r="Q39" s="180">
        <f>'Ano 14'!$R82</f>
        <v>298994.84999999998</v>
      </c>
      <c r="R39" s="180">
        <f>'Ano 15'!$R82</f>
        <v>298994.84999999998</v>
      </c>
      <c r="S39" s="180">
        <f>'Ano 16'!$R82</f>
        <v>298994.84999999998</v>
      </c>
      <c r="T39" s="180">
        <f>'Ano 17'!$R82</f>
        <v>401550.74999999988</v>
      </c>
      <c r="U39" s="180">
        <f>'Ano 18'!$R82</f>
        <v>401550.74999999988</v>
      </c>
      <c r="V39" s="180">
        <f>'Ano 19'!$R82</f>
        <v>401550.74999999988</v>
      </c>
      <c r="W39" s="180">
        <f>'Ano 20'!$R82</f>
        <v>401550.74999999988</v>
      </c>
      <c r="X39" s="180">
        <f>'Ano 21'!$R82</f>
        <v>401550.74999999988</v>
      </c>
      <c r="Y39" s="180">
        <f>'Ano 22'!$R82</f>
        <v>401550.74999999988</v>
      </c>
      <c r="Z39" s="180">
        <f>'Ano 23'!$R82</f>
        <v>495433.79999999993</v>
      </c>
      <c r="AA39" s="180">
        <f>'Ano 24'!$R82</f>
        <v>495433.79999999993</v>
      </c>
      <c r="AB39" s="180">
        <f>'Ano 25'!$R82</f>
        <v>495433.79999999993</v>
      </c>
      <c r="AC39" s="180">
        <f>'Ano 26'!$R82</f>
        <v>495433.79999999993</v>
      </c>
      <c r="AD39" s="180">
        <f>'Ano 27'!$R82</f>
        <v>495433.79999999993</v>
      </c>
      <c r="AE39" s="180">
        <f>'Ano 28'!$R82</f>
        <v>495433.79999999993</v>
      </c>
      <c r="AF39" s="180">
        <f>'Ano 29'!$R82</f>
        <v>495433.79999999993</v>
      </c>
      <c r="AG39" s="180">
        <f>'Ano 30'!$R82</f>
        <v>495433.79999999993</v>
      </c>
      <c r="AH39" s="180">
        <f>'Ano 31'!$R82</f>
        <v>495433.79999999993</v>
      </c>
      <c r="AI39" s="180">
        <f>'Ano 32'!$R82</f>
        <v>495433.79999999993</v>
      </c>
      <c r="AJ39" s="180">
        <f>'Ano 33'!$R82</f>
        <v>495433.79999999993</v>
      </c>
      <c r="AK39" s="180">
        <f>'Ano 34'!$R82</f>
        <v>495433.79999999993</v>
      </c>
      <c r="AL39" s="180">
        <f>'Ano 35'!$R82</f>
        <v>495433.79999999993</v>
      </c>
      <c r="AM39" s="224">
        <f t="shared" si="7"/>
        <v>13633861.500000007</v>
      </c>
      <c r="AN39" s="132">
        <f t="shared" si="8"/>
        <v>7.0928302856303749E-2</v>
      </c>
    </row>
    <row r="40" spans="2:40" x14ac:dyDescent="0.25">
      <c r="B40" s="178" t="s">
        <v>32</v>
      </c>
      <c r="C40" s="184"/>
      <c r="D40" s="180">
        <f>'Ano 1'!$R83</f>
        <v>225451.57499999998</v>
      </c>
      <c r="E40" s="180">
        <f>'Ano 2'!$R83</f>
        <v>285779.02500000002</v>
      </c>
      <c r="F40" s="180">
        <f>'Ano 3'!$R83</f>
        <v>285779.02500000002</v>
      </c>
      <c r="G40" s="180">
        <f>'Ano 4'!$R83</f>
        <v>285779.02500000002</v>
      </c>
      <c r="H40" s="180">
        <f>'Ano 5'!$R83</f>
        <v>285779.02500000002</v>
      </c>
      <c r="I40" s="180">
        <f>'Ano 6'!$R83</f>
        <v>438045.07499999995</v>
      </c>
      <c r="J40" s="180">
        <f>'Ano 7'!$R83</f>
        <v>438045.07499999995</v>
      </c>
      <c r="K40" s="180">
        <f>'Ano 8'!$R83</f>
        <v>438045.07499999995</v>
      </c>
      <c r="L40" s="180">
        <f>'Ano 9'!$R83</f>
        <v>438045.07499999995</v>
      </c>
      <c r="M40" s="180">
        <f>'Ano 10'!$R83</f>
        <v>438045.07499999995</v>
      </c>
      <c r="N40" s="180">
        <f>'Ano 11'!$R83</f>
        <v>438045.07499999995</v>
      </c>
      <c r="O40" s="180">
        <f>'Ano 12'!$R83</f>
        <v>438045.07499999995</v>
      </c>
      <c r="P40" s="180">
        <f>'Ano 13'!$R83</f>
        <v>498372.52499999997</v>
      </c>
      <c r="Q40" s="180">
        <f>'Ano 14'!$R83</f>
        <v>498372.52499999997</v>
      </c>
      <c r="R40" s="180">
        <f>'Ano 15'!$R83</f>
        <v>498372.52499999997</v>
      </c>
      <c r="S40" s="180">
        <f>'Ano 16'!$R83</f>
        <v>498372.52499999997</v>
      </c>
      <c r="T40" s="180">
        <f>'Ano 17'!$R83</f>
        <v>498372.52499999997</v>
      </c>
      <c r="U40" s="180">
        <f>'Ano 18'!$R83</f>
        <v>498372.52499999997</v>
      </c>
      <c r="V40" s="180">
        <f>'Ano 19'!$R83</f>
        <v>498372.52499999997</v>
      </c>
      <c r="W40" s="180">
        <f>'Ano 20'!$R83</f>
        <v>498372.52499999997</v>
      </c>
      <c r="X40" s="180">
        <f>'Ano 21'!$R83</f>
        <v>498372.52499999997</v>
      </c>
      <c r="Y40" s="180">
        <f>'Ano 22'!$R83</f>
        <v>498372.52499999997</v>
      </c>
      <c r="Z40" s="180">
        <f>'Ano 23'!$R83</f>
        <v>498372.52499999997</v>
      </c>
      <c r="AA40" s="180">
        <f>'Ano 24'!$R83</f>
        <v>498372.52499999997</v>
      </c>
      <c r="AB40" s="180">
        <f>'Ano 25'!$R83</f>
        <v>498372.52499999997</v>
      </c>
      <c r="AC40" s="180">
        <f>'Ano 26'!$R83</f>
        <v>498372.52499999997</v>
      </c>
      <c r="AD40" s="180">
        <f>'Ano 27'!$R83</f>
        <v>498372.52499999997</v>
      </c>
      <c r="AE40" s="180">
        <f>'Ano 28'!$R83</f>
        <v>498372.52499999997</v>
      </c>
      <c r="AF40" s="180">
        <f>'Ano 29'!$R83</f>
        <v>498372.52499999997</v>
      </c>
      <c r="AG40" s="180">
        <f>'Ano 30'!$R83</f>
        <v>498372.52499999997</v>
      </c>
      <c r="AH40" s="180">
        <f>'Ano 31'!$R83</f>
        <v>498372.52499999997</v>
      </c>
      <c r="AI40" s="180">
        <f>'Ano 32'!$R83</f>
        <v>498372.52499999997</v>
      </c>
      <c r="AJ40" s="180">
        <f>'Ano 33'!$R83</f>
        <v>498372.52499999997</v>
      </c>
      <c r="AK40" s="180">
        <f>'Ano 34'!$R83</f>
        <v>498372.52499999997</v>
      </c>
      <c r="AL40" s="180">
        <f>'Ano 35'!$R83</f>
        <v>498372.52499999997</v>
      </c>
      <c r="AM40" s="224">
        <f t="shared" si="7"/>
        <v>15897451.275000008</v>
      </c>
      <c r="AN40" s="132">
        <f t="shared" si="8"/>
        <v>8.2704319585213057E-2</v>
      </c>
    </row>
    <row r="41" spans="2:40" x14ac:dyDescent="0.25">
      <c r="B41" s="178" t="s">
        <v>54</v>
      </c>
      <c r="C41" s="184"/>
      <c r="D41" s="180">
        <f>'Ano 1'!$R84</f>
        <v>0</v>
      </c>
      <c r="E41" s="180">
        <f>'Ano 2'!$R84</f>
        <v>0</v>
      </c>
      <c r="F41" s="180">
        <f>'Ano 3'!$R84</f>
        <v>0</v>
      </c>
      <c r="G41" s="180">
        <f>'Ano 4'!$R84</f>
        <v>0</v>
      </c>
      <c r="H41" s="180">
        <f>'Ano 5'!$R84</f>
        <v>0</v>
      </c>
      <c r="I41" s="180">
        <f>'Ano 6'!$R84</f>
        <v>0</v>
      </c>
      <c r="J41" s="180">
        <f>'Ano 7'!$R84</f>
        <v>0</v>
      </c>
      <c r="K41" s="180">
        <f>'Ano 8'!$R84</f>
        <v>0</v>
      </c>
      <c r="L41" s="180">
        <f>'Ano 9'!$R84</f>
        <v>0</v>
      </c>
      <c r="M41" s="180">
        <f>'Ano 10'!$R84</f>
        <v>0</v>
      </c>
      <c r="N41" s="180">
        <f>'Ano 11'!$R84</f>
        <v>0</v>
      </c>
      <c r="O41" s="180">
        <f>'Ano 12'!$R84</f>
        <v>0</v>
      </c>
      <c r="P41" s="180">
        <f>'Ano 13'!$R84</f>
        <v>0</v>
      </c>
      <c r="Q41" s="180">
        <f>'Ano 14'!$R84</f>
        <v>0</v>
      </c>
      <c r="R41" s="180">
        <f>'Ano 15'!$R84</f>
        <v>0</v>
      </c>
      <c r="S41" s="180">
        <f>'Ano 16'!$R84</f>
        <v>0</v>
      </c>
      <c r="T41" s="180">
        <f>'Ano 17'!$R84</f>
        <v>0</v>
      </c>
      <c r="U41" s="180">
        <f>'Ano 18'!$R84</f>
        <v>0</v>
      </c>
      <c r="V41" s="180">
        <f>'Ano 19'!$R84</f>
        <v>0</v>
      </c>
      <c r="W41" s="180">
        <f>'Ano 20'!$R84</f>
        <v>0</v>
      </c>
      <c r="X41" s="180">
        <f>'Ano 21'!$R84</f>
        <v>0</v>
      </c>
      <c r="Y41" s="180">
        <f>'Ano 22'!$R84</f>
        <v>0</v>
      </c>
      <c r="Z41" s="180">
        <f>'Ano 23'!$R84</f>
        <v>0</v>
      </c>
      <c r="AA41" s="180">
        <f>'Ano 24'!$R84</f>
        <v>0</v>
      </c>
      <c r="AB41" s="180">
        <f>'Ano 25'!$R84</f>
        <v>0</v>
      </c>
      <c r="AC41" s="180">
        <f>'Ano 26'!$R84</f>
        <v>0</v>
      </c>
      <c r="AD41" s="180">
        <f>'Ano 27'!$R84</f>
        <v>0</v>
      </c>
      <c r="AE41" s="180">
        <f>'Ano 28'!$R84</f>
        <v>0</v>
      </c>
      <c r="AF41" s="180">
        <f>'Ano 29'!$R84</f>
        <v>0</v>
      </c>
      <c r="AG41" s="180">
        <f>'Ano 30'!$R84</f>
        <v>0</v>
      </c>
      <c r="AH41" s="180">
        <f>'Ano 31'!$R84</f>
        <v>0</v>
      </c>
      <c r="AI41" s="180">
        <f>'Ano 32'!$R84</f>
        <v>0</v>
      </c>
      <c r="AJ41" s="180">
        <f>'Ano 33'!$R84</f>
        <v>0</v>
      </c>
      <c r="AK41" s="180">
        <f>'Ano 34'!$R84</f>
        <v>0</v>
      </c>
      <c r="AL41" s="180">
        <f>'Ano 35'!$R84</f>
        <v>0</v>
      </c>
      <c r="AM41" s="224">
        <f t="shared" si="7"/>
        <v>0</v>
      </c>
      <c r="AN41" s="132">
        <f t="shared" si="8"/>
        <v>0</v>
      </c>
    </row>
    <row r="42" spans="2:40" x14ac:dyDescent="0.25">
      <c r="B42" s="178" t="s">
        <v>24</v>
      </c>
      <c r="C42" s="184"/>
      <c r="D42" s="180">
        <f>'Ano 1'!$R85</f>
        <v>0</v>
      </c>
      <c r="E42" s="180">
        <f>'Ano 2'!$R85</f>
        <v>0</v>
      </c>
      <c r="F42" s="180">
        <f>'Ano 3'!$R85</f>
        <v>0</v>
      </c>
      <c r="G42" s="180">
        <f>'Ano 4'!$R85</f>
        <v>0</v>
      </c>
      <c r="H42" s="180">
        <f>'Ano 5'!$R85</f>
        <v>0</v>
      </c>
      <c r="I42" s="180">
        <f>'Ano 6'!$R85</f>
        <v>0</v>
      </c>
      <c r="J42" s="180">
        <f>'Ano 7'!$R85</f>
        <v>0</v>
      </c>
      <c r="K42" s="180">
        <f>'Ano 8'!$R85</f>
        <v>0</v>
      </c>
      <c r="L42" s="180">
        <f>'Ano 9'!$R85</f>
        <v>0</v>
      </c>
      <c r="M42" s="180">
        <f>'Ano 10'!$R85</f>
        <v>0</v>
      </c>
      <c r="N42" s="180">
        <f>'Ano 11'!$R85</f>
        <v>0</v>
      </c>
      <c r="O42" s="180">
        <f>'Ano 12'!$R85</f>
        <v>0</v>
      </c>
      <c r="P42" s="180">
        <f>'Ano 13'!$R85</f>
        <v>0</v>
      </c>
      <c r="Q42" s="180">
        <f>'Ano 14'!$R85</f>
        <v>0</v>
      </c>
      <c r="R42" s="180">
        <f>'Ano 15'!$R85</f>
        <v>0</v>
      </c>
      <c r="S42" s="180">
        <f>'Ano 16'!$R85</f>
        <v>0</v>
      </c>
      <c r="T42" s="180">
        <f>'Ano 17'!$R85</f>
        <v>0</v>
      </c>
      <c r="U42" s="180">
        <f>'Ano 18'!$R85</f>
        <v>0</v>
      </c>
      <c r="V42" s="180">
        <f>'Ano 19'!$R85</f>
        <v>0</v>
      </c>
      <c r="W42" s="180">
        <f>'Ano 20'!$R85</f>
        <v>0</v>
      </c>
      <c r="X42" s="180">
        <f>'Ano 21'!$R85</f>
        <v>0</v>
      </c>
      <c r="Y42" s="180">
        <f>'Ano 22'!$R85</f>
        <v>0</v>
      </c>
      <c r="Z42" s="180">
        <f>'Ano 23'!$R85</f>
        <v>0</v>
      </c>
      <c r="AA42" s="180">
        <f>'Ano 24'!$R85</f>
        <v>0</v>
      </c>
      <c r="AB42" s="180">
        <f>'Ano 25'!$R85</f>
        <v>0</v>
      </c>
      <c r="AC42" s="180">
        <f>'Ano 26'!$R85</f>
        <v>0</v>
      </c>
      <c r="AD42" s="180">
        <f>'Ano 27'!$R85</f>
        <v>0</v>
      </c>
      <c r="AE42" s="180">
        <f>'Ano 28'!$R85</f>
        <v>0</v>
      </c>
      <c r="AF42" s="180">
        <f>'Ano 29'!$R85</f>
        <v>0</v>
      </c>
      <c r="AG42" s="180">
        <f>'Ano 30'!$R85</f>
        <v>0</v>
      </c>
      <c r="AH42" s="180">
        <f>'Ano 31'!$R85</f>
        <v>0</v>
      </c>
      <c r="AI42" s="180">
        <f>'Ano 32'!$R85</f>
        <v>0</v>
      </c>
      <c r="AJ42" s="180">
        <f>'Ano 33'!$R85</f>
        <v>0</v>
      </c>
      <c r="AK42" s="180">
        <f>'Ano 34'!$R85</f>
        <v>0</v>
      </c>
      <c r="AL42" s="180">
        <f>'Ano 35'!$R85</f>
        <v>0</v>
      </c>
      <c r="AM42" s="224">
        <f t="shared" si="7"/>
        <v>0</v>
      </c>
      <c r="AN42" s="132">
        <f t="shared" si="8"/>
        <v>0</v>
      </c>
    </row>
    <row r="43" spans="2:40" x14ac:dyDescent="0.25">
      <c r="B43" s="178" t="s">
        <v>18</v>
      </c>
      <c r="C43" s="184"/>
      <c r="D43" s="180">
        <f>'Ano 1'!$R86</f>
        <v>0</v>
      </c>
      <c r="E43" s="180">
        <f>'Ano 2'!$R86</f>
        <v>0</v>
      </c>
      <c r="F43" s="180">
        <f>'Ano 3'!$R86</f>
        <v>0</v>
      </c>
      <c r="G43" s="180">
        <f>'Ano 4'!$R86</f>
        <v>0</v>
      </c>
      <c r="H43" s="180">
        <f>'Ano 5'!$R86</f>
        <v>0</v>
      </c>
      <c r="I43" s="180">
        <f>'Ano 6'!$R86</f>
        <v>0</v>
      </c>
      <c r="J43" s="180">
        <f>'Ano 7'!$R86</f>
        <v>0</v>
      </c>
      <c r="K43" s="180">
        <f>'Ano 8'!$R86</f>
        <v>0</v>
      </c>
      <c r="L43" s="180">
        <f>'Ano 9'!$R86</f>
        <v>0</v>
      </c>
      <c r="M43" s="180">
        <f>'Ano 10'!$R86</f>
        <v>0</v>
      </c>
      <c r="N43" s="180">
        <f>'Ano 11'!$R86</f>
        <v>0</v>
      </c>
      <c r="O43" s="180">
        <f>'Ano 12'!$R86</f>
        <v>0</v>
      </c>
      <c r="P43" s="180">
        <f>'Ano 13'!$R86</f>
        <v>0</v>
      </c>
      <c r="Q43" s="180">
        <f>'Ano 14'!$R86</f>
        <v>0</v>
      </c>
      <c r="R43" s="180">
        <f>'Ano 15'!$R86</f>
        <v>0</v>
      </c>
      <c r="S43" s="180">
        <f>'Ano 16'!$R86</f>
        <v>0</v>
      </c>
      <c r="T43" s="180">
        <f>'Ano 17'!$R86</f>
        <v>0</v>
      </c>
      <c r="U43" s="180">
        <f>'Ano 18'!$R86</f>
        <v>0</v>
      </c>
      <c r="V43" s="180">
        <f>'Ano 19'!$R86</f>
        <v>0</v>
      </c>
      <c r="W43" s="180">
        <f>'Ano 20'!$R86</f>
        <v>0</v>
      </c>
      <c r="X43" s="180">
        <f>'Ano 21'!$R86</f>
        <v>0</v>
      </c>
      <c r="Y43" s="180">
        <f>'Ano 22'!$R86</f>
        <v>0</v>
      </c>
      <c r="Z43" s="180">
        <f>'Ano 23'!$R86</f>
        <v>0</v>
      </c>
      <c r="AA43" s="180">
        <f>'Ano 24'!$R86</f>
        <v>0</v>
      </c>
      <c r="AB43" s="180">
        <f>'Ano 25'!$R86</f>
        <v>0</v>
      </c>
      <c r="AC43" s="180">
        <f>'Ano 26'!$R86</f>
        <v>0</v>
      </c>
      <c r="AD43" s="180">
        <f>'Ano 27'!$R86</f>
        <v>0</v>
      </c>
      <c r="AE43" s="180">
        <f>'Ano 28'!$R86</f>
        <v>0</v>
      </c>
      <c r="AF43" s="180">
        <f>'Ano 29'!$R86</f>
        <v>0</v>
      </c>
      <c r="AG43" s="180">
        <f>'Ano 30'!$R86</f>
        <v>0</v>
      </c>
      <c r="AH43" s="180">
        <f>'Ano 31'!$R86</f>
        <v>0</v>
      </c>
      <c r="AI43" s="180">
        <f>'Ano 32'!$R86</f>
        <v>0</v>
      </c>
      <c r="AJ43" s="180">
        <f>'Ano 33'!$R86</f>
        <v>0</v>
      </c>
      <c r="AK43" s="180">
        <f>'Ano 34'!$R86</f>
        <v>0</v>
      </c>
      <c r="AL43" s="180">
        <f>'Ano 35'!$R86</f>
        <v>0</v>
      </c>
      <c r="AM43" s="224">
        <f t="shared" si="7"/>
        <v>0</v>
      </c>
      <c r="AN43" s="132">
        <f t="shared" si="8"/>
        <v>0</v>
      </c>
    </row>
    <row r="44" spans="2:40" x14ac:dyDescent="0.25">
      <c r="B44" s="178" t="s">
        <v>162</v>
      </c>
      <c r="C44" s="184"/>
      <c r="D44" s="180">
        <f>'Ano 1'!$R87</f>
        <v>422055.22499999998</v>
      </c>
      <c r="E44" s="180">
        <f>'Ano 2'!$R87</f>
        <v>422055.22499999998</v>
      </c>
      <c r="F44" s="180">
        <f>'Ano 3'!$R87</f>
        <v>422055.22499999998</v>
      </c>
      <c r="G44" s="180">
        <f>'Ano 4'!$R87</f>
        <v>422055.22499999998</v>
      </c>
      <c r="H44" s="180">
        <f>'Ano 5'!$R87</f>
        <v>422055.22499999998</v>
      </c>
      <c r="I44" s="180">
        <f>'Ano 6'!$R87</f>
        <v>422055.22499999998</v>
      </c>
      <c r="J44" s="180">
        <f>'Ano 7'!$R87</f>
        <v>422055.22499999998</v>
      </c>
      <c r="K44" s="180">
        <f>'Ano 8'!$R87</f>
        <v>422055.22499999998</v>
      </c>
      <c r="L44" s="180">
        <f>'Ano 9'!$R87</f>
        <v>422055.22499999998</v>
      </c>
      <c r="M44" s="180">
        <f>'Ano 10'!$R87</f>
        <v>422055.22499999998</v>
      </c>
      <c r="N44" s="180">
        <f>'Ano 11'!$R87</f>
        <v>422055.22499999998</v>
      </c>
      <c r="O44" s="180">
        <f>'Ano 12'!$R87</f>
        <v>422055.22499999998</v>
      </c>
      <c r="P44" s="180">
        <f>'Ano 13'!$R87</f>
        <v>422055.22499999998</v>
      </c>
      <c r="Q44" s="180">
        <f>'Ano 14'!$R87</f>
        <v>422055.22499999998</v>
      </c>
      <c r="R44" s="180">
        <f>'Ano 15'!$R87</f>
        <v>422055.22499999998</v>
      </c>
      <c r="S44" s="180">
        <f>'Ano 16'!$R87</f>
        <v>422055.22499999998</v>
      </c>
      <c r="T44" s="180">
        <f>'Ano 17'!$R87</f>
        <v>422055.22499999998</v>
      </c>
      <c r="U44" s="180">
        <f>'Ano 18'!$R87</f>
        <v>422055.22499999998</v>
      </c>
      <c r="V44" s="180">
        <f>'Ano 19'!$R87</f>
        <v>422055.22499999998</v>
      </c>
      <c r="W44" s="180">
        <f>'Ano 20'!$R87</f>
        <v>422055.22499999998</v>
      </c>
      <c r="X44" s="180">
        <f>'Ano 21'!$R87</f>
        <v>422055.22499999998</v>
      </c>
      <c r="Y44" s="180">
        <f>'Ano 22'!$R87</f>
        <v>422055.22499999998</v>
      </c>
      <c r="Z44" s="180">
        <f>'Ano 23'!$R87</f>
        <v>422055.22499999998</v>
      </c>
      <c r="AA44" s="180">
        <f>'Ano 24'!$R87</f>
        <v>422055.22499999998</v>
      </c>
      <c r="AB44" s="180">
        <f>'Ano 25'!$R87</f>
        <v>422055.22499999998</v>
      </c>
      <c r="AC44" s="180">
        <f>'Ano 26'!$R87</f>
        <v>422055.22499999998</v>
      </c>
      <c r="AD44" s="180">
        <f>'Ano 27'!$R87</f>
        <v>422055.22499999998</v>
      </c>
      <c r="AE44" s="180">
        <f>'Ano 28'!$R87</f>
        <v>422055.22499999998</v>
      </c>
      <c r="AF44" s="180">
        <f>'Ano 29'!$R87</f>
        <v>422055.22499999998</v>
      </c>
      <c r="AG44" s="180">
        <f>'Ano 30'!$R87</f>
        <v>422055.22499999998</v>
      </c>
      <c r="AH44" s="180">
        <f>'Ano 31'!$R87</f>
        <v>422055.22499999998</v>
      </c>
      <c r="AI44" s="180">
        <f>'Ano 32'!$R87</f>
        <v>422055.22499999998</v>
      </c>
      <c r="AJ44" s="180">
        <f>'Ano 33'!$R87</f>
        <v>422055.22499999998</v>
      </c>
      <c r="AK44" s="180">
        <f>'Ano 34'!$R87</f>
        <v>422055.22499999998</v>
      </c>
      <c r="AL44" s="180">
        <f>'Ano 35'!$R87</f>
        <v>422055.22499999998</v>
      </c>
      <c r="AM44" s="224">
        <f t="shared" si="7"/>
        <v>14771932.874999991</v>
      </c>
      <c r="AN44" s="132">
        <f t="shared" si="8"/>
        <v>7.684896378997165E-2</v>
      </c>
    </row>
    <row r="45" spans="2:40" x14ac:dyDescent="0.25">
      <c r="B45" s="178" t="s">
        <v>163</v>
      </c>
      <c r="C45" s="184"/>
      <c r="D45" s="180">
        <f>'Ano 1'!$R88</f>
        <v>823007.68874999997</v>
      </c>
      <c r="E45" s="180">
        <f>'Ano 2'!$R88</f>
        <v>823007.68874999997</v>
      </c>
      <c r="F45" s="180">
        <f>'Ano 3'!$R88</f>
        <v>823007.68874999997</v>
      </c>
      <c r="G45" s="180">
        <f>'Ano 4'!$R88</f>
        <v>823007.68874999997</v>
      </c>
      <c r="H45" s="180">
        <f>'Ano 5'!$R88</f>
        <v>823007.68874999997</v>
      </c>
      <c r="I45" s="180">
        <f>'Ano 6'!$R88</f>
        <v>823007.68874999997</v>
      </c>
      <c r="J45" s="180">
        <f>'Ano 7'!$R88</f>
        <v>823007.68874999997</v>
      </c>
      <c r="K45" s="180">
        <f>'Ano 8'!$R88</f>
        <v>823007.68874999997</v>
      </c>
      <c r="L45" s="180">
        <f>'Ano 9'!$R88</f>
        <v>823007.68874999997</v>
      </c>
      <c r="M45" s="180">
        <f>'Ano 10'!$R88</f>
        <v>823007.68874999997</v>
      </c>
      <c r="N45" s="180">
        <f>'Ano 11'!$R88</f>
        <v>823007.68874999997</v>
      </c>
      <c r="O45" s="180">
        <f>'Ano 12'!$R88</f>
        <v>823007.68874999997</v>
      </c>
      <c r="P45" s="180">
        <f>'Ano 13'!$R88</f>
        <v>823007.68874999997</v>
      </c>
      <c r="Q45" s="180">
        <f>'Ano 14'!$R88</f>
        <v>823007.68874999997</v>
      </c>
      <c r="R45" s="180">
        <f>'Ano 15'!$R88</f>
        <v>823007.68874999997</v>
      </c>
      <c r="S45" s="180">
        <f>'Ano 16'!$R88</f>
        <v>823007.68874999997</v>
      </c>
      <c r="T45" s="180">
        <f>'Ano 17'!$R88</f>
        <v>823007.68874999997</v>
      </c>
      <c r="U45" s="180">
        <f>'Ano 18'!$R88</f>
        <v>823007.68874999997</v>
      </c>
      <c r="V45" s="180">
        <f>'Ano 19'!$R88</f>
        <v>823007.68874999997</v>
      </c>
      <c r="W45" s="180">
        <f>'Ano 20'!$R88</f>
        <v>823007.68874999997</v>
      </c>
      <c r="X45" s="180">
        <f>'Ano 21'!$R88</f>
        <v>823007.68874999997</v>
      </c>
      <c r="Y45" s="180">
        <f>'Ano 22'!$R88</f>
        <v>823007.68874999997</v>
      </c>
      <c r="Z45" s="180">
        <f>'Ano 23'!$R88</f>
        <v>823007.68874999997</v>
      </c>
      <c r="AA45" s="180">
        <f>'Ano 24'!$R88</f>
        <v>823007.68874999997</v>
      </c>
      <c r="AB45" s="180">
        <f>'Ano 25'!$R88</f>
        <v>823007.68874999997</v>
      </c>
      <c r="AC45" s="180">
        <f>'Ano 26'!$R88</f>
        <v>823007.68874999997</v>
      </c>
      <c r="AD45" s="180">
        <f>'Ano 27'!$R88</f>
        <v>823007.68874999997</v>
      </c>
      <c r="AE45" s="180">
        <f>'Ano 28'!$R88</f>
        <v>823007.68874999997</v>
      </c>
      <c r="AF45" s="180">
        <f>'Ano 29'!$R88</f>
        <v>823007.68874999997</v>
      </c>
      <c r="AG45" s="180">
        <f>'Ano 30'!$R88</f>
        <v>823007.68874999997</v>
      </c>
      <c r="AH45" s="180">
        <f>'Ano 31'!$R88</f>
        <v>823007.68874999997</v>
      </c>
      <c r="AI45" s="180">
        <f>'Ano 32'!$R88</f>
        <v>823007.68874999997</v>
      </c>
      <c r="AJ45" s="180">
        <f>'Ano 33'!$R88</f>
        <v>823007.68874999997</v>
      </c>
      <c r="AK45" s="180">
        <f>'Ano 34'!$R88</f>
        <v>823007.68874999997</v>
      </c>
      <c r="AL45" s="180">
        <f>'Ano 35'!$R88</f>
        <v>823007.68874999997</v>
      </c>
      <c r="AM45" s="224">
        <f t="shared" si="7"/>
        <v>28805269.106249988</v>
      </c>
      <c r="AN45" s="132">
        <f t="shared" si="8"/>
        <v>0.14985547939044475</v>
      </c>
    </row>
    <row r="46" spans="2:40" x14ac:dyDescent="0.25">
      <c r="B46" s="178" t="s">
        <v>100</v>
      </c>
      <c r="C46" s="184"/>
      <c r="D46" s="180">
        <f>'Ano 1'!$R89</f>
        <v>295312.38701778447</v>
      </c>
      <c r="E46" s="180">
        <f>'Ano 2'!$R89</f>
        <v>295312.38701778447</v>
      </c>
      <c r="F46" s="180">
        <f>'Ano 3'!$R89</f>
        <v>295312.38701778447</v>
      </c>
      <c r="G46" s="180">
        <f>'Ano 4'!$R89</f>
        <v>295312.38701778447</v>
      </c>
      <c r="H46" s="180">
        <f>'Ano 5'!$R89</f>
        <v>337499.87087746803</v>
      </c>
      <c r="I46" s="180">
        <f>'Ano 6'!$R89</f>
        <v>337499.87087746803</v>
      </c>
      <c r="J46" s="180">
        <f>'Ano 7'!$R89</f>
        <v>337499.87087746803</v>
      </c>
      <c r="K46" s="180">
        <f>'Ano 8'!$R89</f>
        <v>337499.87087746803</v>
      </c>
      <c r="L46" s="180">
        <f>'Ano 9'!$R89</f>
        <v>337499.87087746803</v>
      </c>
      <c r="M46" s="180">
        <f>'Ano 10'!$R89</f>
        <v>337499.87087746803</v>
      </c>
      <c r="N46" s="180">
        <f>'Ano 11'!$R89</f>
        <v>337499.87087746803</v>
      </c>
      <c r="O46" s="180">
        <f>'Ano 12'!$R89</f>
        <v>337499.87087746803</v>
      </c>
      <c r="P46" s="180">
        <f>'Ano 13'!$R89</f>
        <v>337499.87087746803</v>
      </c>
      <c r="Q46" s="180">
        <f>'Ano 14'!$R89</f>
        <v>337499.87087746803</v>
      </c>
      <c r="R46" s="180">
        <f>'Ano 15'!$R89</f>
        <v>337499.87087746803</v>
      </c>
      <c r="S46" s="180">
        <f>'Ano 16'!$R89</f>
        <v>337499.87087746803</v>
      </c>
      <c r="T46" s="180">
        <f>'Ano 17'!$R89</f>
        <v>337499.87087746803</v>
      </c>
      <c r="U46" s="180">
        <f>'Ano 18'!$R89</f>
        <v>337499.87087746803</v>
      </c>
      <c r="V46" s="180">
        <f>'Ano 19'!$R89</f>
        <v>379687.35473715147</v>
      </c>
      <c r="W46" s="180">
        <f>'Ano 20'!$R89</f>
        <v>379687.35473715147</v>
      </c>
      <c r="X46" s="180">
        <f>'Ano 21'!$R89</f>
        <v>379687.35473715147</v>
      </c>
      <c r="Y46" s="180">
        <f>'Ano 22'!$R89</f>
        <v>379687.35473715147</v>
      </c>
      <c r="Z46" s="180">
        <f>'Ano 23'!$R89</f>
        <v>379687.35473715147</v>
      </c>
      <c r="AA46" s="180">
        <f>'Ano 24'!$R89</f>
        <v>379687.35473715147</v>
      </c>
      <c r="AB46" s="180">
        <f>'Ano 25'!$R89</f>
        <v>379687.35473715147</v>
      </c>
      <c r="AC46" s="180">
        <f>'Ano 26'!$R89</f>
        <v>379687.35473715147</v>
      </c>
      <c r="AD46" s="180">
        <f>'Ano 27'!$R89</f>
        <v>379687.35473715147</v>
      </c>
      <c r="AE46" s="180">
        <f>'Ano 28'!$R89</f>
        <v>379687.35473715147</v>
      </c>
      <c r="AF46" s="180">
        <f>'Ano 29'!$R89</f>
        <v>379687.35473715147</v>
      </c>
      <c r="AG46" s="180">
        <f>'Ano 30'!$R89</f>
        <v>379687.35473715147</v>
      </c>
      <c r="AH46" s="180">
        <f>'Ano 31'!$R89</f>
        <v>379687.35473715147</v>
      </c>
      <c r="AI46" s="180">
        <f>'Ano 32'!$R89</f>
        <v>379687.35473715147</v>
      </c>
      <c r="AJ46" s="180">
        <f>'Ano 33'!$R89</f>
        <v>379687.35473715147</v>
      </c>
      <c r="AK46" s="180">
        <f>'Ano 34'!$R89</f>
        <v>379687.35473715147</v>
      </c>
      <c r="AL46" s="180">
        <f>'Ano 35'!$R89</f>
        <v>379687.35473715147</v>
      </c>
      <c r="AM46" s="224">
        <f t="shared" si="7"/>
        <v>12360932.770887265</v>
      </c>
      <c r="AN46" s="132">
        <f t="shared" si="8"/>
        <v>6.4306064951584072E-2</v>
      </c>
    </row>
    <row r="47" spans="2:40" x14ac:dyDescent="0.25">
      <c r="B47" s="178" t="s">
        <v>34</v>
      </c>
      <c r="C47" s="184"/>
      <c r="D47" s="183">
        <f>SUM(D32:D46)</f>
        <v>3834584.8068637848</v>
      </c>
      <c r="E47" s="183">
        <f t="shared" ref="E47:AF47" si="9">SUM(E32:E46)</f>
        <v>4103830.0099957846</v>
      </c>
      <c r="F47" s="183">
        <f t="shared" si="9"/>
        <v>4339600.1461621849</v>
      </c>
      <c r="G47" s="183">
        <f t="shared" si="9"/>
        <v>4274966.0083873849</v>
      </c>
      <c r="H47" s="183">
        <f t="shared" si="9"/>
        <v>4391658.6301234681</v>
      </c>
      <c r="I47" s="183">
        <f t="shared" si="9"/>
        <v>4543924.6801234679</v>
      </c>
      <c r="J47" s="183">
        <f t="shared" si="9"/>
        <v>4593471.4544422682</v>
      </c>
      <c r="K47" s="183">
        <f t="shared" si="9"/>
        <v>4841395.3643374685</v>
      </c>
      <c r="L47" s="183">
        <f t="shared" si="9"/>
        <v>4957671.0365182683</v>
      </c>
      <c r="M47" s="183">
        <f t="shared" si="9"/>
        <v>4957671.0365182683</v>
      </c>
      <c r="N47" s="183">
        <f t="shared" si="9"/>
        <v>4957671.0365182683</v>
      </c>
      <c r="O47" s="183">
        <f t="shared" si="9"/>
        <v>4957671.0365182683</v>
      </c>
      <c r="P47" s="183">
        <f t="shared" si="9"/>
        <v>5067545.2608370678</v>
      </c>
      <c r="Q47" s="183">
        <f t="shared" si="9"/>
        <v>5067545.2608370678</v>
      </c>
      <c r="R47" s="183">
        <f t="shared" si="9"/>
        <v>5067545.2608370678</v>
      </c>
      <c r="S47" s="183">
        <f t="shared" si="9"/>
        <v>5067545.2608370678</v>
      </c>
      <c r="T47" s="183">
        <f t="shared" si="9"/>
        <v>5858550.3402550677</v>
      </c>
      <c r="U47" s="183">
        <f t="shared" si="9"/>
        <v>5858550.3402550677</v>
      </c>
      <c r="V47" s="183">
        <f t="shared" si="9"/>
        <v>6017013.4962955508</v>
      </c>
      <c r="W47" s="183">
        <f t="shared" si="9"/>
        <v>6017013.4962955508</v>
      </c>
      <c r="X47" s="183">
        <f t="shared" si="9"/>
        <v>6017013.4962955508</v>
      </c>
      <c r="Y47" s="183">
        <f t="shared" si="9"/>
        <v>6017013.4962955508</v>
      </c>
      <c r="Z47" s="183">
        <f t="shared" si="9"/>
        <v>6110896.5462955507</v>
      </c>
      <c r="AA47" s="183">
        <f t="shared" si="9"/>
        <v>6110896.5462955507</v>
      </c>
      <c r="AB47" s="183">
        <f t="shared" si="9"/>
        <v>6110896.5462955507</v>
      </c>
      <c r="AC47" s="183">
        <f t="shared" si="9"/>
        <v>6110896.5462955507</v>
      </c>
      <c r="AD47" s="183">
        <f t="shared" si="9"/>
        <v>6110896.5462955507</v>
      </c>
      <c r="AE47" s="183">
        <f t="shared" si="9"/>
        <v>6110896.5462955507</v>
      </c>
      <c r="AF47" s="183">
        <f t="shared" si="9"/>
        <v>6392213.6856559506</v>
      </c>
      <c r="AG47" s="183">
        <f>SUM(AG32:AG46)</f>
        <v>6392213.6856559506</v>
      </c>
      <c r="AH47" s="183">
        <f t="shared" ref="AH47" si="10">SUM(AH32:AH46)</f>
        <v>6392213.6856559506</v>
      </c>
      <c r="AI47" s="183">
        <f>'Ano 32'!$R90</f>
        <v>6392213.6856559496</v>
      </c>
      <c r="AJ47" s="183">
        <f>'Ano 33'!$R90</f>
        <v>6392213.6856559496</v>
      </c>
      <c r="AK47" s="183">
        <f>'Ano 34'!$R90</f>
        <v>6392213.6856559496</v>
      </c>
      <c r="AL47" s="183">
        <f>'Ano 35'!$R90</f>
        <v>6392213.6856559496</v>
      </c>
      <c r="AM47" s="224">
        <f t="shared" si="7"/>
        <v>192220326.03291449</v>
      </c>
      <c r="AN47">
        <f>SUM(AN32:AN46)</f>
        <v>0.99999999999999978</v>
      </c>
    </row>
    <row r="48" spans="2:40" x14ac:dyDescent="0.25">
      <c r="B48" s="184"/>
      <c r="C48" s="184"/>
      <c r="D48" s="185">
        <f>D29-D47</f>
        <v>11.999999999534339</v>
      </c>
      <c r="E48" s="185">
        <f t="shared" ref="E48:AF48" si="11">E29-E47</f>
        <v>12</v>
      </c>
      <c r="F48" s="185">
        <f t="shared" si="11"/>
        <v>11.999999999068677</v>
      </c>
      <c r="G48" s="185">
        <f t="shared" si="11"/>
        <v>11.999999999068677</v>
      </c>
      <c r="H48" s="185">
        <f t="shared" si="11"/>
        <v>12</v>
      </c>
      <c r="I48" s="185">
        <f t="shared" si="11"/>
        <v>11.999999999068677</v>
      </c>
      <c r="J48" s="185">
        <f t="shared" si="11"/>
        <v>12</v>
      </c>
      <c r="K48" s="185">
        <f t="shared" si="11"/>
        <v>11.999999998137355</v>
      </c>
      <c r="L48" s="185">
        <f t="shared" si="11"/>
        <v>12</v>
      </c>
      <c r="M48" s="185">
        <f t="shared" si="11"/>
        <v>12</v>
      </c>
      <c r="N48" s="185">
        <f t="shared" si="11"/>
        <v>12</v>
      </c>
      <c r="O48" s="185">
        <f t="shared" si="11"/>
        <v>12</v>
      </c>
      <c r="P48" s="185">
        <f t="shared" si="11"/>
        <v>12</v>
      </c>
      <c r="Q48" s="185">
        <f t="shared" si="11"/>
        <v>12</v>
      </c>
      <c r="R48" s="185">
        <f t="shared" si="11"/>
        <v>12</v>
      </c>
      <c r="S48" s="185">
        <f t="shared" si="11"/>
        <v>12</v>
      </c>
      <c r="T48" s="185">
        <f t="shared" si="11"/>
        <v>12.000000000931323</v>
      </c>
      <c r="U48" s="185">
        <f t="shared" si="11"/>
        <v>12.000000000931323</v>
      </c>
      <c r="V48" s="185">
        <f t="shared" si="11"/>
        <v>12</v>
      </c>
      <c r="W48" s="185">
        <f t="shared" si="11"/>
        <v>12</v>
      </c>
      <c r="X48" s="185">
        <f t="shared" si="11"/>
        <v>12</v>
      </c>
      <c r="Y48" s="185">
        <f t="shared" si="11"/>
        <v>12</v>
      </c>
      <c r="Z48" s="185">
        <f t="shared" si="11"/>
        <v>12</v>
      </c>
      <c r="AA48" s="185">
        <f t="shared" si="11"/>
        <v>12</v>
      </c>
      <c r="AB48" s="185">
        <f t="shared" si="11"/>
        <v>12</v>
      </c>
      <c r="AC48" s="185">
        <f t="shared" si="11"/>
        <v>12</v>
      </c>
      <c r="AD48" s="185">
        <f t="shared" si="11"/>
        <v>12</v>
      </c>
      <c r="AE48" s="185">
        <f t="shared" si="11"/>
        <v>12</v>
      </c>
      <c r="AF48" s="185">
        <f t="shared" si="11"/>
        <v>11.999999999068677</v>
      </c>
      <c r="AG48" s="185">
        <f>AG29-AG47</f>
        <v>11.999999999068677</v>
      </c>
      <c r="AH48" s="185">
        <f t="shared" ref="AH48:AL48" si="12">AH29-AH47</f>
        <v>11.999999999068677</v>
      </c>
      <c r="AI48" s="185">
        <f t="shared" si="12"/>
        <v>12</v>
      </c>
      <c r="AJ48" s="185">
        <f t="shared" si="12"/>
        <v>12</v>
      </c>
      <c r="AK48" s="185">
        <f t="shared" si="12"/>
        <v>12</v>
      </c>
      <c r="AL48" s="185">
        <f t="shared" si="12"/>
        <v>12</v>
      </c>
    </row>
    <row r="49" spans="2:42" x14ac:dyDescent="0.25">
      <c r="B49" s="184"/>
      <c r="C49" s="184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5"/>
      <c r="AF49" s="185"/>
      <c r="AG49" s="185"/>
      <c r="AH49" s="185"/>
      <c r="AI49" s="185"/>
      <c r="AJ49" s="185"/>
      <c r="AK49" s="185"/>
      <c r="AL49" s="185"/>
    </row>
    <row r="50" spans="2:42" x14ac:dyDescent="0.25">
      <c r="B50" s="184"/>
      <c r="C50" s="184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3"/>
      <c r="AE50" s="183"/>
      <c r="AF50" s="183"/>
      <c r="AG50" s="183"/>
      <c r="AH50" s="183"/>
      <c r="AI50" s="183"/>
      <c r="AJ50" s="183"/>
      <c r="AK50" s="183"/>
      <c r="AL50" s="183"/>
    </row>
    <row r="51" spans="2:42" x14ac:dyDescent="0.25">
      <c r="D51" s="224"/>
      <c r="E51" s="224"/>
      <c r="F51" s="224"/>
      <c r="G51" s="224"/>
      <c r="H51" s="224"/>
      <c r="I51" s="224"/>
      <c r="J51" s="224"/>
      <c r="K51" s="224"/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224"/>
      <c r="Y51" s="224"/>
      <c r="Z51" s="224"/>
      <c r="AA51" s="224"/>
      <c r="AB51" s="224"/>
      <c r="AC51" s="224"/>
      <c r="AD51" s="224"/>
      <c r="AE51" s="224"/>
      <c r="AF51" s="224"/>
      <c r="AG51" s="224"/>
      <c r="AH51" s="224"/>
      <c r="AI51" s="224"/>
      <c r="AJ51" s="224"/>
      <c r="AK51" s="224"/>
      <c r="AL51" s="224"/>
    </row>
    <row r="52" spans="2:42" x14ac:dyDescent="0.25">
      <c r="B52" s="271" t="s">
        <v>188</v>
      </c>
      <c r="C52" s="271"/>
      <c r="D52" s="271"/>
      <c r="E52" s="271"/>
      <c r="F52" s="271"/>
      <c r="G52" s="271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1"/>
      <c r="AE52" s="271"/>
      <c r="AF52" s="271"/>
      <c r="AG52" s="271"/>
      <c r="AH52" s="240"/>
      <c r="AI52" s="240"/>
      <c r="AJ52" s="240"/>
      <c r="AK52" s="240"/>
      <c r="AL52" s="240"/>
    </row>
    <row r="54" spans="2:42" x14ac:dyDescent="0.25">
      <c r="AP54" s="163"/>
    </row>
  </sheetData>
  <mergeCells count="6">
    <mergeCell ref="C2:C3"/>
    <mergeCell ref="B52:AG52"/>
    <mergeCell ref="AO2:AW2"/>
    <mergeCell ref="AO3:AS3"/>
    <mergeCell ref="AT3:AW3"/>
    <mergeCell ref="AO26:AW26"/>
  </mergeCells>
  <conditionalFormatting sqref="B1">
    <cfRule type="cellIs" dxfId="2" priority="1" operator="equal">
      <formula>"z"</formula>
    </cfRule>
    <cfRule type="cellIs" dxfId="1" priority="2" operator="equal">
      <formula>"y"</formula>
    </cfRule>
    <cfRule type="cellIs" dxfId="0" priority="3" operator="equal">
      <formula>"x"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148"/>
  <sheetViews>
    <sheetView topLeftCell="A50" zoomScale="80" zoomScaleNormal="80" workbookViewId="0">
      <selection activeCell="L90" sqref="L9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  <col min="36" max="36" width="10" customWidth="1"/>
    <col min="37" max="37" width="11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5.75" customHeight="1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21.75" customHeight="1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customHeight="1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5.75" customHeight="1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customHeight="1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5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ht="15.75" customHeight="1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ht="15.75" customHeight="1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3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2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ht="15" customHeight="1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1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ht="15" customHeight="1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1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ht="15" customHeight="1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2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ht="15" customHeight="1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3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ht="15" customHeight="1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0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ht="15.75" customHeight="1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ht="15.75" customHeight="1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customHeight="1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customHeight="1" thickTop="1" thickBot="1" x14ac:dyDescent="0.3">
      <c r="C17" s="49" t="s">
        <v>34</v>
      </c>
      <c r="D17" s="50"/>
      <c r="E17" s="28">
        <f>ROUND(SUM(E6:E16),0)</f>
        <v>13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8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customHeight="1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customHeight="1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customHeight="1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customHeight="1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customHeight="1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customHeight="1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2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customHeight="1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0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customHeight="1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customHeight="1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0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customHeight="1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0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6.5" customHeight="1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0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ht="16.5" customHeight="1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0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6.5" customHeight="1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0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5.75" customHeight="1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0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5" customHeight="1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0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5" customHeight="1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0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" customHeight="1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0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customHeight="1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5.75" customHeight="1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customHeight="1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0</v>
      </c>
      <c r="K37" s="49" t="s">
        <v>34</v>
      </c>
      <c r="L37" s="50"/>
      <c r="M37" s="28">
        <f>ROUND(SUM(M22:N36),0)</f>
        <v>3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1</v>
      </c>
      <c r="V37" s="6">
        <f t="shared" ref="V37:V53" si="6">V36+1</f>
        <v>39</v>
      </c>
      <c r="W37" s="37" t="s">
        <v>118</v>
      </c>
      <c r="X37" s="115">
        <f>M42</f>
        <v>1</v>
      </c>
    </row>
    <row r="38" spans="1:24" ht="16.5" customHeight="1" thickTop="1" thickBot="1" x14ac:dyDescent="0.3">
      <c r="A38" s="47"/>
      <c r="C38" s="49" t="s">
        <v>34</v>
      </c>
      <c r="D38" s="50"/>
      <c r="E38" s="28">
        <f>SUM(E31:E37)</f>
        <v>0</v>
      </c>
      <c r="P38" s="4">
        <f t="shared" si="4"/>
        <v>3</v>
      </c>
      <c r="Q38" s="38" t="s">
        <v>104</v>
      </c>
      <c r="R38" s="101">
        <f>E8</f>
        <v>3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2</v>
      </c>
    </row>
    <row r="39" spans="1:24" ht="16.5" customHeight="1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0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3</v>
      </c>
    </row>
    <row r="40" spans="1:24" ht="16.5" customHeight="1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1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6.5" customHeight="1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0</v>
      </c>
      <c r="S41" s="18">
        <f t="shared" si="5"/>
        <v>25</v>
      </c>
      <c r="T41" s="37" t="s">
        <v>78</v>
      </c>
      <c r="U41" s="100">
        <f>I12+I30</f>
        <v>1</v>
      </c>
      <c r="V41" s="6">
        <f t="shared" si="6"/>
        <v>43</v>
      </c>
      <c r="W41" s="37" t="s">
        <v>80</v>
      </c>
      <c r="X41" s="115">
        <f>E22+E43+I13+I32+I42+M7+M23</f>
        <v>4</v>
      </c>
    </row>
    <row r="42" spans="1:24" ht="15.75" customHeight="1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1</v>
      </c>
      <c r="P42" s="4">
        <f t="shared" si="4"/>
        <v>7</v>
      </c>
      <c r="Q42" s="38" t="s">
        <v>108</v>
      </c>
      <c r="R42" s="101">
        <f>E11+I14+I31</f>
        <v>2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ht="15.75" customHeight="1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2</v>
      </c>
      <c r="P43" s="6">
        <f t="shared" si="4"/>
        <v>8</v>
      </c>
      <c r="Q43" s="37" t="s">
        <v>114</v>
      </c>
      <c r="R43" s="100">
        <f>E10</f>
        <v>1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ht="16.5" customHeight="1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ht="15.75" customHeight="1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0</v>
      </c>
    </row>
    <row r="46" spans="1:24" ht="15" customHeight="1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1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ht="15" customHeight="1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2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ht="15.75" customHeight="1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0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6.5" customHeight="1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2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customHeight="1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3</v>
      </c>
      <c r="P50" s="4">
        <f t="shared" si="4"/>
        <v>15</v>
      </c>
      <c r="Q50" t="s">
        <v>115</v>
      </c>
      <c r="R50" s="101">
        <f>E36+E9</f>
        <v>1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customHeight="1" thickTop="1" thickBot="1" x14ac:dyDescent="0.3">
      <c r="P51" s="6">
        <f t="shared" si="4"/>
        <v>16</v>
      </c>
      <c r="Q51" s="37" t="s">
        <v>101</v>
      </c>
      <c r="R51" s="100">
        <f>E6+I6+E31+I24</f>
        <v>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customHeight="1" thickTop="1" thickBot="1" x14ac:dyDescent="0.3">
      <c r="C52" s="303" t="s">
        <v>36</v>
      </c>
      <c r="D52" s="304"/>
      <c r="E52" s="102">
        <f>ROUND(E17+E26+E38+E50,0)</f>
        <v>15</v>
      </c>
      <c r="G52" s="303" t="s">
        <v>171</v>
      </c>
      <c r="H52" s="304"/>
      <c r="I52" s="102">
        <f>ROUND(I19+I37+I50,0)</f>
        <v>11</v>
      </c>
      <c r="K52" s="303" t="s">
        <v>5</v>
      </c>
      <c r="L52" s="304"/>
      <c r="M52" s="102">
        <f>ROUND(M17+M37+M50,0)</f>
        <v>14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customHeight="1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customHeight="1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1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customHeight="1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354">
        <f>'Folha de dados'!D6</f>
        <v>43795</v>
      </c>
      <c r="P55" s="272" t="s">
        <v>122</v>
      </c>
      <c r="Q55" s="302"/>
      <c r="R55" s="302"/>
      <c r="S55" s="302"/>
      <c r="T55" s="273"/>
      <c r="U55" s="118">
        <f>ROUND(SUM(R36:R54)+SUM(U36:U54),0)</f>
        <v>26</v>
      </c>
      <c r="V55" s="272" t="s">
        <v>35</v>
      </c>
      <c r="W55" s="273"/>
      <c r="X55" s="119">
        <f>SUM(X36:X54)</f>
        <v>14</v>
      </c>
    </row>
    <row r="56" spans="3:24" ht="16.5" customHeight="1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355">
        <f>'Folha de dados'!D7</f>
        <v>0</v>
      </c>
    </row>
    <row r="57" spans="3:24" ht="16.5" customHeight="1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356">
        <f>'Folha de dados'!D8</f>
        <v>21.21</v>
      </c>
      <c r="P57" s="272" t="s">
        <v>182</v>
      </c>
      <c r="Q57" s="302"/>
      <c r="R57" s="302"/>
      <c r="S57" s="305"/>
    </row>
    <row r="58" spans="3:24" ht="16.5" customHeight="1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356">
        <f>'Folha de dados'!D9</f>
        <v>0</v>
      </c>
      <c r="P58" s="145" t="s">
        <v>178</v>
      </c>
      <c r="Q58" s="146"/>
      <c r="R58" s="290">
        <f>H97/M76</f>
        <v>3533.5594199674583</v>
      </c>
      <c r="S58" s="291"/>
    </row>
    <row r="59" spans="3:24" ht="16.5" customHeight="1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357">
        <f>'Folha de dados'!D10</f>
        <v>1.3229241030279939</v>
      </c>
      <c r="P59" s="89" t="s">
        <v>179</v>
      </c>
      <c r="Q59" s="90"/>
      <c r="R59" s="292">
        <f>I97/M76-R58</f>
        <v>3728.9118051533446</v>
      </c>
      <c r="S59" s="293"/>
    </row>
    <row r="60" spans="3:24" ht="16.5" customHeight="1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358">
        <f>'Folha de dados'!D11</f>
        <v>0</v>
      </c>
      <c r="P60" s="89" t="s">
        <v>168</v>
      </c>
      <c r="Q60" s="90"/>
      <c r="R60" s="142">
        <f>SUM(H82:H87)</f>
        <v>52350.6</v>
      </c>
      <c r="S60" s="143">
        <f>R60/H97</f>
        <v>0.33671044469016476</v>
      </c>
    </row>
    <row r="61" spans="3:24" ht="16.5" customHeight="1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359">
        <f>'Folha de dados'!D12</f>
        <v>0</v>
      </c>
      <c r="P61" s="89" t="s">
        <v>169</v>
      </c>
      <c r="Q61" s="90"/>
      <c r="R61" s="142">
        <f>SUM(H88:H91)</f>
        <v>34664.89</v>
      </c>
      <c r="S61" s="143">
        <f>R61/H97</f>
        <v>0.22295886822759711</v>
      </c>
    </row>
    <row r="62" spans="3:24" ht="16.5" customHeight="1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360">
        <f>'Folha de dados'!D13</f>
        <v>0</v>
      </c>
      <c r="P62" s="89" t="s">
        <v>170</v>
      </c>
      <c r="Q62" s="90"/>
      <c r="R62" s="142">
        <f>+SUM(H94:H96)</f>
        <v>68461.124478568192</v>
      </c>
      <c r="S62" s="143">
        <f>R62/H97</f>
        <v>0.44033068708223827</v>
      </c>
    </row>
    <row r="63" spans="3:24" ht="16.5" customHeight="1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354">
        <f>'Folha de dados'!D14</f>
        <v>18054.532943578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customHeight="1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361">
        <f>'Folha de dados'!D15</f>
        <v>0</v>
      </c>
      <c r="P64" s="89" t="s">
        <v>196</v>
      </c>
      <c r="Q64" s="90"/>
      <c r="R64" s="142">
        <f>SUM(R60:S63)</f>
        <v>155477.6144785682</v>
      </c>
      <c r="S64" s="144">
        <f>SUM(S60:S63)</f>
        <v>1.0000000000000002</v>
      </c>
    </row>
    <row r="65" spans="3:19" ht="15.75" customHeight="1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362">
        <f>'Folha de dados'!D16</f>
        <v>13647.44425039473</v>
      </c>
      <c r="P65" s="89" t="s">
        <v>99</v>
      </c>
      <c r="Q65" s="90"/>
      <c r="R65" s="142">
        <f>I97-H97</f>
        <v>164072.11942674717</v>
      </c>
      <c r="S65" s="144">
        <f>R65/R64</f>
        <v>1.055278086025456</v>
      </c>
    </row>
    <row r="66" spans="3:19" ht="18" customHeight="1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362">
        <f>'Folha de dados'!D17</f>
        <v>0</v>
      </c>
      <c r="P66" s="89" t="s">
        <v>180</v>
      </c>
      <c r="Q66" s="90"/>
      <c r="R66" s="333">
        <f>R64*12</f>
        <v>1865731.3737428184</v>
      </c>
      <c r="S66" s="334"/>
    </row>
    <row r="67" spans="3:19" ht="15" customHeight="1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362">
        <f>'Folha de dados'!D18</f>
        <v>289462.29255087225</v>
      </c>
      <c r="P67" s="147" t="s">
        <v>181</v>
      </c>
      <c r="Q67" s="148"/>
      <c r="R67" s="335">
        <f>R65*12</f>
        <v>1968865.433120966</v>
      </c>
      <c r="S67" s="336"/>
    </row>
    <row r="68" spans="3:19" ht="16.5" customHeight="1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363">
        <f>'Folha de dados'!D19</f>
        <v>0</v>
      </c>
      <c r="P68" s="156" t="s">
        <v>183</v>
      </c>
      <c r="Q68" s="157"/>
      <c r="R68" s="337">
        <f>R66+R67</f>
        <v>3834596.8068637843</v>
      </c>
      <c r="S68" s="338"/>
    </row>
    <row r="69" spans="3:19" ht="16.5" customHeight="1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15</v>
      </c>
      <c r="N69" s="131">
        <f t="shared" ref="N69:N75" si="11">M69/$M$76</f>
        <v>0.34090909090909088</v>
      </c>
    </row>
    <row r="70" spans="3:19" ht="16.5" customHeight="1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10</v>
      </c>
      <c r="N70" s="131">
        <f t="shared" si="11"/>
        <v>0.22727272727272727</v>
      </c>
      <c r="R70" s="364">
        <f>R66</f>
        <v>1865731.3737428184</v>
      </c>
    </row>
    <row r="71" spans="3:19" ht="16.5" customHeight="1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2.2727272727272728E-2</v>
      </c>
      <c r="R71" s="364">
        <f t="shared" ref="R71:R72" si="12">R67</f>
        <v>1968865.433120966</v>
      </c>
    </row>
    <row r="72" spans="3:19" ht="16.5" customHeight="1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8</v>
      </c>
      <c r="N72" s="131">
        <f t="shared" si="11"/>
        <v>0.18181818181818182</v>
      </c>
      <c r="R72" s="364">
        <f t="shared" si="12"/>
        <v>3834596.8068637843</v>
      </c>
    </row>
    <row r="73" spans="3:19" ht="16.5" customHeight="1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6</v>
      </c>
      <c r="N73" s="131">
        <f t="shared" si="11"/>
        <v>0.13636363636363635</v>
      </c>
    </row>
    <row r="74" spans="3:19" ht="16.5" customHeight="1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7</v>
      </c>
      <c r="K74" s="32" t="s">
        <v>175</v>
      </c>
      <c r="L74" s="33"/>
      <c r="M74" s="97">
        <f>$E$72</f>
        <v>3</v>
      </c>
      <c r="N74" s="131">
        <f t="shared" si="11"/>
        <v>6.8181818181818177E-2</v>
      </c>
      <c r="P74" s="330" t="s">
        <v>202</v>
      </c>
      <c r="Q74" s="331"/>
      <c r="R74" s="331"/>
      <c r="S74" s="332"/>
    </row>
    <row r="75" spans="3:19" ht="16.5" customHeight="1" thickTop="1" thickBot="1" x14ac:dyDescent="0.3">
      <c r="C75" s="43" t="s">
        <v>95</v>
      </c>
      <c r="D75" s="44"/>
      <c r="E75" s="45">
        <f>ROUND((M69+M70+M71)/(M76),4)</f>
        <v>0.59089999999999998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2.2727272727272728E-2</v>
      </c>
      <c r="P75" s="209" t="str">
        <f>D82</f>
        <v>Área técnica - Manutenção de Redes - Operacional</v>
      </c>
      <c r="Q75" s="210"/>
      <c r="R75" s="213">
        <f>I82*12</f>
        <v>795483.26297879987</v>
      </c>
      <c r="S75" s="211">
        <f>R75/$R$90</f>
        <v>0.20744964658361711</v>
      </c>
    </row>
    <row r="76" spans="3:19" ht="16.5" customHeight="1" thickTop="1" thickBot="1" x14ac:dyDescent="0.3">
      <c r="C76" s="80" t="s">
        <v>94</v>
      </c>
      <c r="D76" s="81"/>
      <c r="E76" s="107">
        <f>ROUND((M72+M73)/(M76),4)</f>
        <v>0.31819999999999998</v>
      </c>
      <c r="G76" s="3">
        <f>G75+1</f>
        <v>4</v>
      </c>
      <c r="H76" s="2" t="s">
        <v>28</v>
      </c>
      <c r="I76" s="61">
        <f>IF(M55&lt;400000,(IF(M55&lt;25000,0,I74)),(I74+2))</f>
        <v>7</v>
      </c>
      <c r="K76" s="29" t="s">
        <v>23</v>
      </c>
      <c r="L76" s="30"/>
      <c r="M76" s="34">
        <f>SUM($M$69:$M$75)</f>
        <v>44</v>
      </c>
      <c r="N76" s="131">
        <f>SUM(N69:N75)</f>
        <v>1</v>
      </c>
      <c r="P76" s="209" t="str">
        <f t="shared" ref="P76:P89" si="13">D83</f>
        <v>Área técnica - Manut de Redes - Técnica</v>
      </c>
      <c r="Q76" s="210"/>
      <c r="R76" s="213">
        <f t="shared" ref="R76:R89" si="14">I83*12</f>
        <v>114050.45962199998</v>
      </c>
      <c r="S76" s="211">
        <f t="shared" ref="S76:S89" si="15">R76/$R$90</f>
        <v>2.9742583712805956E-2</v>
      </c>
    </row>
    <row r="77" spans="3:19" ht="16.5" customHeight="1" thickTop="1" thickBot="1" x14ac:dyDescent="0.3">
      <c r="C77" s="21" t="s">
        <v>42</v>
      </c>
      <c r="D77" s="22"/>
      <c r="E77" s="46">
        <f>ROUND((M74+M75)/M76,4)</f>
        <v>9.0899999999999995E-2</v>
      </c>
      <c r="G77" s="70" t="s">
        <v>34</v>
      </c>
      <c r="H77" s="72"/>
      <c r="I77" s="34">
        <f>SUM(I73:I76)</f>
        <v>14</v>
      </c>
      <c r="K77" s="29" t="s">
        <v>157</v>
      </c>
      <c r="L77" s="30"/>
      <c r="M77" s="34">
        <f>ROUND(($M$65+$M$66)/($M$76),0)</f>
        <v>310</v>
      </c>
      <c r="P77" s="209" t="str">
        <f t="shared" si="13"/>
        <v>Área técnica - Manut Eletromecânica - Operacional</v>
      </c>
      <c r="Q77" s="210"/>
      <c r="R77" s="213">
        <f t="shared" si="14"/>
        <v>0</v>
      </c>
      <c r="S77" s="211">
        <f t="shared" si="15"/>
        <v>0</v>
      </c>
    </row>
    <row r="78" spans="3:19" ht="16.5" customHeight="1" thickTop="1" thickBot="1" x14ac:dyDescent="0.3">
      <c r="P78" s="209" t="str">
        <f t="shared" si="13"/>
        <v>Área técnica - Manut Eletromecânica - Técnica</v>
      </c>
      <c r="Q78" s="210"/>
      <c r="R78" s="213">
        <f t="shared" si="14"/>
        <v>0</v>
      </c>
      <c r="S78" s="211">
        <f t="shared" si="15"/>
        <v>0</v>
      </c>
    </row>
    <row r="79" spans="3:19" ht="16.5" customHeight="1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9" t="str">
        <f t="shared" si="13"/>
        <v>Área técnica - Operação Água</v>
      </c>
      <c r="Q79" s="210"/>
      <c r="R79" s="213">
        <f t="shared" si="14"/>
        <v>604715.75849519996</v>
      </c>
      <c r="S79" s="211">
        <f t="shared" si="15"/>
        <v>0.15770045231827393</v>
      </c>
    </row>
    <row r="80" spans="3:19" ht="15.75" customHeight="1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9" t="str">
        <f t="shared" si="13"/>
        <v>Área técnica - Operação Esgoto</v>
      </c>
      <c r="Q80" s="210"/>
      <c r="R80" s="213">
        <f t="shared" si="14"/>
        <v>0</v>
      </c>
      <c r="S80" s="211">
        <f t="shared" si="15"/>
        <v>0</v>
      </c>
    </row>
    <row r="81" spans="3:20" ht="15.75" customHeight="1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9" t="str">
        <f t="shared" si="13"/>
        <v>Área técnica - Planejamento</v>
      </c>
      <c r="Q81" s="210"/>
      <c r="R81" s="213">
        <f t="shared" si="14"/>
        <v>255513.59999999998</v>
      </c>
      <c r="S81" s="211">
        <f t="shared" si="15"/>
        <v>6.6633967657368995E-2</v>
      </c>
    </row>
    <row r="82" spans="3:20" ht="15.75" customHeight="1" thickTop="1" x14ac:dyDescent="0.25">
      <c r="C82" s="108">
        <v>1</v>
      </c>
      <c r="D82" s="257" t="s">
        <v>159</v>
      </c>
      <c r="E82" s="258"/>
      <c r="F82" s="365">
        <f>'Folha de dados'!R25</f>
        <v>1.4104300000000001</v>
      </c>
      <c r="G82" s="366"/>
      <c r="H82" s="109">
        <f>E6*R20+E7*R5+(E8+E9)*R19+E10*R12+E11*R11+E12*R14+E13*U12+E15*R6+E16*R13+E14*OC3740</f>
        <v>27501.429999999997</v>
      </c>
      <c r="I82" s="318">
        <f t="shared" ref="I82:I95" si="16">(F82+1)*H82</f>
        <v>66290.271914899989</v>
      </c>
      <c r="J82" s="319"/>
      <c r="K82" s="320"/>
      <c r="L82" s="113"/>
      <c r="P82" s="209" t="str">
        <f t="shared" si="13"/>
        <v>Área Administrativa - Comercial</v>
      </c>
      <c r="Q82" s="210"/>
      <c r="R82" s="213">
        <f t="shared" si="14"/>
        <v>298994.84999999998</v>
      </c>
      <c r="S82" s="211">
        <f t="shared" si="15"/>
        <v>7.7973200505256454E-2</v>
      </c>
    </row>
    <row r="83" spans="3:20" ht="15.75" customHeight="1" x14ac:dyDescent="0.25">
      <c r="C83" s="108">
        <f>C82+1</f>
        <v>2</v>
      </c>
      <c r="D83" s="110" t="s">
        <v>158</v>
      </c>
      <c r="E83" s="111"/>
      <c r="F83" s="261">
        <f>'Folha de dados'!R26</f>
        <v>1.4104300000000001</v>
      </c>
      <c r="G83" s="262"/>
      <c r="H83" s="69">
        <f>E22*X10+E23*U6+E24*U11+E25*U16</f>
        <v>3942.95</v>
      </c>
      <c r="I83" s="283">
        <f>(F83+1)*H83</f>
        <v>9504.2049684999984</v>
      </c>
      <c r="J83" s="283"/>
      <c r="K83" s="284"/>
      <c r="L83" s="113"/>
      <c r="P83" s="209" t="str">
        <f t="shared" si="13"/>
        <v>Área Administrativa - Geral</v>
      </c>
      <c r="Q83" s="210"/>
      <c r="R83" s="213">
        <f t="shared" si="14"/>
        <v>225451.57499999998</v>
      </c>
      <c r="S83" s="211">
        <f t="shared" si="15"/>
        <v>5.8794259706148329E-2</v>
      </c>
    </row>
    <row r="84" spans="3:20" ht="15.75" customHeight="1" x14ac:dyDescent="0.25">
      <c r="C84" s="108">
        <f t="shared" ref="C84:C96" si="17">C83+1</f>
        <v>3</v>
      </c>
      <c r="D84" s="263" t="s">
        <v>160</v>
      </c>
      <c r="E84" s="264"/>
      <c r="F84" s="261">
        <f>'Folha de dados'!R27</f>
        <v>1.4104300000000001</v>
      </c>
      <c r="G84" s="262"/>
      <c r="H84" s="64">
        <f>E31*R20+E32*R8+E33*R10+E34*R21+E35*R22+E36*R19+E37*R6</f>
        <v>0</v>
      </c>
      <c r="I84" s="283">
        <f t="shared" si="16"/>
        <v>0</v>
      </c>
      <c r="J84" s="283"/>
      <c r="K84" s="284"/>
      <c r="L84" s="113"/>
      <c r="P84" s="209" t="str">
        <f t="shared" si="13"/>
        <v>Área Administrativa - Pratimonial</v>
      </c>
      <c r="Q84" s="210"/>
      <c r="R84" s="213">
        <f t="shared" si="14"/>
        <v>0</v>
      </c>
      <c r="S84" s="211">
        <f t="shared" si="15"/>
        <v>0</v>
      </c>
    </row>
    <row r="85" spans="3:20" ht="15.75" customHeight="1" x14ac:dyDescent="0.25">
      <c r="C85" s="108">
        <f t="shared" si="17"/>
        <v>4</v>
      </c>
      <c r="D85" s="112" t="s">
        <v>161</v>
      </c>
      <c r="E85" s="86"/>
      <c r="F85" s="261">
        <f>'Folha de dados'!R28</f>
        <v>1.4104300000000001</v>
      </c>
      <c r="G85" s="262"/>
      <c r="H85" s="64">
        <f>E43*X10+E44*U8+E45*U7+E46*U9+E47*U18+E48*U19+E49*U20</f>
        <v>0</v>
      </c>
      <c r="I85" s="283">
        <f>(F85+1)*H85</f>
        <v>0</v>
      </c>
      <c r="J85" s="283"/>
      <c r="K85" s="284"/>
      <c r="L85" s="113"/>
      <c r="P85" s="209" t="str">
        <f t="shared" si="13"/>
        <v>Conselheiro Administração</v>
      </c>
      <c r="Q85" s="210"/>
      <c r="R85" s="213">
        <f t="shared" si="14"/>
        <v>0</v>
      </c>
      <c r="S85" s="211">
        <f t="shared" si="15"/>
        <v>0</v>
      </c>
    </row>
    <row r="86" spans="3:20" ht="15" customHeight="1" x14ac:dyDescent="0.25">
      <c r="C86" s="108">
        <f t="shared" si="17"/>
        <v>5</v>
      </c>
      <c r="D86" s="263" t="s">
        <v>52</v>
      </c>
      <c r="E86" s="264"/>
      <c r="F86" s="261">
        <f>'Folha de dados'!R29</f>
        <v>1.4104300000000001</v>
      </c>
      <c r="G86" s="262"/>
      <c r="H86" s="64">
        <f>I6*R20+I7*R15+I8*R16+I9*R18+I10*R9+I11*R23+I12*U10+I13*X10+I14*R11+I15*U13+I16*U14+I17*U21+I18*U16</f>
        <v>20906.22</v>
      </c>
      <c r="I86" s="283">
        <f t="shared" si="16"/>
        <v>50392.979874600001</v>
      </c>
      <c r="J86" s="283"/>
      <c r="K86" s="284"/>
      <c r="L86" s="113"/>
      <c r="P86" s="209" t="str">
        <f t="shared" si="13"/>
        <v>Conselheiro Fiscal</v>
      </c>
      <c r="Q86" s="210"/>
      <c r="R86" s="213">
        <f t="shared" si="14"/>
        <v>0</v>
      </c>
      <c r="S86" s="211">
        <f t="shared" si="15"/>
        <v>0</v>
      </c>
    </row>
    <row r="87" spans="3:20" ht="15" customHeight="1" x14ac:dyDescent="0.25">
      <c r="C87" s="108">
        <f t="shared" si="17"/>
        <v>6</v>
      </c>
      <c r="D87" s="112" t="s">
        <v>53</v>
      </c>
      <c r="E87" s="86"/>
      <c r="F87" s="261">
        <f>'Folha de dados'!R30</f>
        <v>1.4104300000000001</v>
      </c>
      <c r="G87" s="262"/>
      <c r="H87" s="64">
        <f>I24*X10+I25*R15+I26*R17+I27*R18+I28*R9+I29*R23+I30*U10+I31*R11+I32*X10+I33*U13+I34*U14+I35*U15+I36*U16</f>
        <v>0</v>
      </c>
      <c r="I87" s="283">
        <f>(F87+1)*H87</f>
        <v>0</v>
      </c>
      <c r="J87" s="283"/>
      <c r="K87" s="284"/>
      <c r="L87" s="113"/>
      <c r="P87" s="209" t="str">
        <f t="shared" si="13"/>
        <v>Cargos Executivos</v>
      </c>
      <c r="Q87" s="210"/>
      <c r="R87" s="213">
        <f t="shared" si="14"/>
        <v>422055.22499999998</v>
      </c>
      <c r="S87" s="211">
        <f t="shared" si="15"/>
        <v>0.11006542983337715</v>
      </c>
    </row>
    <row r="88" spans="3:20" ht="15.75" customHeight="1" x14ac:dyDescent="0.25">
      <c r="C88" s="108">
        <f t="shared" si="17"/>
        <v>7</v>
      </c>
      <c r="D88" s="263" t="s">
        <v>30</v>
      </c>
      <c r="E88" s="264"/>
      <c r="F88" s="261">
        <f>'Folha de dados'!R31</f>
        <v>0.875</v>
      </c>
      <c r="G88" s="262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L88" s="113"/>
      <c r="P88" s="209" t="str">
        <f t="shared" si="13"/>
        <v>Cargos Táticos</v>
      </c>
      <c r="Q88" s="210"/>
      <c r="R88" s="213">
        <f t="shared" si="14"/>
        <v>823007.68874999997</v>
      </c>
      <c r="S88" s="211">
        <f t="shared" si="15"/>
        <v>0.21462758817508545</v>
      </c>
      <c r="T88" s="113"/>
    </row>
    <row r="89" spans="3:20" ht="16.5" customHeight="1" x14ac:dyDescent="0.25">
      <c r="C89" s="108">
        <f t="shared" si="17"/>
        <v>8</v>
      </c>
      <c r="D89" s="263" t="s">
        <v>31</v>
      </c>
      <c r="E89" s="264"/>
      <c r="F89" s="261">
        <f>'Folha de dados'!R32</f>
        <v>0.875</v>
      </c>
      <c r="G89" s="262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L89" s="113"/>
      <c r="P89" s="209" t="str">
        <f t="shared" si="13"/>
        <v>Funçoes Gratificadas</v>
      </c>
      <c r="Q89" s="210"/>
      <c r="R89" s="213">
        <f t="shared" si="14"/>
        <v>295312.38701778447</v>
      </c>
      <c r="S89" s="211">
        <f t="shared" si="15"/>
        <v>7.7012871508066447E-2</v>
      </c>
    </row>
    <row r="90" spans="3:20" ht="15.75" customHeight="1" thickBot="1" x14ac:dyDescent="0.3">
      <c r="C90" s="108">
        <f t="shared" si="17"/>
        <v>9</v>
      </c>
      <c r="D90" s="263" t="s">
        <v>32</v>
      </c>
      <c r="E90" s="264"/>
      <c r="F90" s="261">
        <f>'Folha de dados'!R33</f>
        <v>0.875</v>
      </c>
      <c r="G90" s="262"/>
      <c r="H90" s="64">
        <f>M22*X15+M24*X16+M23*X10+M25*X18+M26*X19+M27*X20+M28*X21+M29*X9+M30*X22+M31*X23+M32*X12+M33*X13+M34*X14</f>
        <v>10020.07</v>
      </c>
      <c r="I90" s="283">
        <f t="shared" si="16"/>
        <v>18787.631249999999</v>
      </c>
      <c r="J90" s="283"/>
      <c r="K90" s="284"/>
      <c r="L90" s="113"/>
      <c r="P90" s="328" t="s">
        <v>34</v>
      </c>
      <c r="Q90" s="329"/>
      <c r="R90" s="214">
        <f>SUM(R75:R89)</f>
        <v>3834584.8068637848</v>
      </c>
      <c r="S90" s="212">
        <f>SUM(S75:S89)</f>
        <v>0.99999999999999989</v>
      </c>
    </row>
    <row r="91" spans="3:20" ht="15.75" customHeight="1" x14ac:dyDescent="0.25">
      <c r="C91" s="108">
        <f t="shared" si="17"/>
        <v>10</v>
      </c>
      <c r="D91" s="263" t="s">
        <v>54</v>
      </c>
      <c r="E91" s="264"/>
      <c r="F91" s="261">
        <f>'Folha de dados'!R34</f>
        <v>0.875</v>
      </c>
      <c r="G91" s="262"/>
      <c r="H91" s="64">
        <f>M42*X6+M43*X7</f>
        <v>0</v>
      </c>
      <c r="I91" s="283">
        <f>(F91+1)*H91</f>
        <v>0</v>
      </c>
      <c r="J91" s="283"/>
      <c r="K91" s="284"/>
      <c r="L91" s="113"/>
      <c r="R91" s="113"/>
    </row>
    <row r="92" spans="3:20" ht="15.75" customHeight="1" x14ac:dyDescent="0.25">
      <c r="C92" s="108">
        <f t="shared" si="17"/>
        <v>11</v>
      </c>
      <c r="D92" s="263" t="s">
        <v>24</v>
      </c>
      <c r="E92" s="264"/>
      <c r="F92" s="261">
        <f>'Folha de dados'!R35</f>
        <v>0.875</v>
      </c>
      <c r="G92" s="262"/>
      <c r="H92" s="64">
        <f>(E57*U30)</f>
        <v>0</v>
      </c>
      <c r="I92" s="283">
        <f t="shared" si="16"/>
        <v>0</v>
      </c>
      <c r="J92" s="283"/>
      <c r="K92" s="284"/>
      <c r="L92" s="113"/>
      <c r="R92" s="113">
        <f>R68-R90</f>
        <v>11.999999999534339</v>
      </c>
    </row>
    <row r="93" spans="3:20" ht="15" customHeight="1" x14ac:dyDescent="0.25">
      <c r="C93" s="108">
        <f t="shared" si="17"/>
        <v>12</v>
      </c>
      <c r="D93" s="263" t="s">
        <v>18</v>
      </c>
      <c r="E93" s="264"/>
      <c r="F93" s="261">
        <f>'Folha de dados'!R36</f>
        <v>0.875</v>
      </c>
      <c r="G93" s="262"/>
      <c r="H93" s="64">
        <f>(E58*U31)</f>
        <v>0</v>
      </c>
      <c r="I93" s="283">
        <f t="shared" si="16"/>
        <v>0</v>
      </c>
      <c r="J93" s="283"/>
      <c r="K93" s="284"/>
      <c r="L93" s="113"/>
    </row>
    <row r="94" spans="3:20" ht="15" customHeight="1" x14ac:dyDescent="0.25">
      <c r="C94" s="108">
        <f t="shared" si="17"/>
        <v>13</v>
      </c>
      <c r="D94" s="263" t="s">
        <v>162</v>
      </c>
      <c r="E94" s="264"/>
      <c r="F94" s="261">
        <f>'Folha de dados'!R37</f>
        <v>0.875</v>
      </c>
      <c r="G94" s="262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  <c r="L94" s="113"/>
    </row>
    <row r="95" spans="3:20" ht="15" customHeight="1" x14ac:dyDescent="0.25">
      <c r="C95" s="108">
        <f t="shared" si="17"/>
        <v>14</v>
      </c>
      <c r="D95" s="263" t="s">
        <v>163</v>
      </c>
      <c r="E95" s="264"/>
      <c r="F95" s="261">
        <f>'Folha de dados'!R38</f>
        <v>0.875</v>
      </c>
      <c r="G95" s="262"/>
      <c r="H95" s="64">
        <f>E72*R30</f>
        <v>36578.119500000001</v>
      </c>
      <c r="I95" s="283">
        <f t="shared" si="16"/>
        <v>68583.974062499998</v>
      </c>
      <c r="J95" s="283"/>
      <c r="K95" s="284"/>
      <c r="L95" s="113"/>
    </row>
    <row r="96" spans="3:20" ht="15.75" customHeight="1" thickBot="1" x14ac:dyDescent="0.3">
      <c r="C96" s="108">
        <f t="shared" si="17"/>
        <v>15</v>
      </c>
      <c r="D96" s="267" t="s">
        <v>100</v>
      </c>
      <c r="E96" s="268"/>
      <c r="F96" s="269">
        <f>'Folha de dados'!R39</f>
        <v>0.875</v>
      </c>
      <c r="G96" s="270"/>
      <c r="H96" s="65">
        <f>I73*X28+I74*X29+I75*X30+I76*X31</f>
        <v>13124.994978568198</v>
      </c>
      <c r="I96" s="326">
        <f>(F96+1)*H96</f>
        <v>24609.365584815372</v>
      </c>
      <c r="J96" s="326"/>
      <c r="K96" s="327"/>
      <c r="L96" s="113"/>
    </row>
    <row r="97" spans="3:12" ht="16.5" customHeight="1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155476.61447856817</v>
      </c>
      <c r="I97" s="315">
        <f>SUM(I82:K96)</f>
        <v>319548.73390531534</v>
      </c>
      <c r="J97" s="316"/>
      <c r="K97" s="317"/>
      <c r="L97" s="113">
        <f>I97*12</f>
        <v>3834584.8068637839</v>
      </c>
    </row>
    <row r="98" spans="3:12" ht="16.5" customHeight="1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3533.5594199674583</v>
      </c>
      <c r="I98" s="315">
        <f>(I97-I92-I93)/$M$76</f>
        <v>7262.471225120803</v>
      </c>
      <c r="J98" s="316">
        <f t="shared" ref="J98:K100" si="18">J97/$M$77</f>
        <v>0</v>
      </c>
      <c r="K98" s="317">
        <f t="shared" si="18"/>
        <v>0</v>
      </c>
    </row>
    <row r="99" spans="3:12" ht="15.75" customHeight="1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2" ht="15.75" customHeight="1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2" ht="15.75" customHeight="1" thickTop="1" x14ac:dyDescent="0.25">
      <c r="H101" s="130">
        <f>H97/M76</f>
        <v>3533.5594199674583</v>
      </c>
      <c r="I101" s="130"/>
      <c r="J101" s="294">
        <f>I97/M76</f>
        <v>7262.471225120803</v>
      </c>
      <c r="K101" s="294"/>
    </row>
    <row r="102" spans="3:12" ht="15.75" customHeight="1" x14ac:dyDescent="0.25">
      <c r="I102" s="132">
        <f>J101/H101-1</f>
        <v>1.055284873400455</v>
      </c>
    </row>
    <row r="103" spans="3:12" ht="16.5" customHeight="1" x14ac:dyDescent="0.25">
      <c r="H103" s="113"/>
    </row>
    <row r="104" spans="3:12" ht="15.75" customHeight="1" x14ac:dyDescent="0.25">
      <c r="I104" s="339"/>
      <c r="J104" s="339"/>
    </row>
    <row r="105" spans="3:12" ht="15.75" customHeight="1" x14ac:dyDescent="0.25">
      <c r="I105" s="340"/>
      <c r="J105" s="340"/>
    </row>
    <row r="106" spans="3:12" ht="15.75" customHeight="1" x14ac:dyDescent="0.25">
      <c r="I106" s="341"/>
      <c r="J106" s="341"/>
    </row>
    <row r="107" spans="3:12" ht="15" customHeight="1" x14ac:dyDescent="0.25">
      <c r="I107" s="308"/>
      <c r="J107" s="308"/>
    </row>
    <row r="108" spans="3:12" ht="15" customHeight="1" x14ac:dyDescent="0.25"/>
    <row r="109" spans="3:12" ht="15.75" customHeight="1" x14ac:dyDescent="0.25"/>
    <row r="110" spans="3:12" ht="15.75" customHeight="1" x14ac:dyDescent="0.25"/>
    <row r="111" spans="3:12" ht="15.75" customHeight="1" x14ac:dyDescent="0.25"/>
    <row r="112" spans="3:12" ht="16.5" customHeight="1" x14ac:dyDescent="0.25"/>
    <row r="113" ht="15.7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.75" customHeight="1" x14ac:dyDescent="0.25"/>
    <row r="120" ht="15.7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.75" customHeight="1" x14ac:dyDescent="0.25"/>
    <row r="148" spans="4:12" x14ac:dyDescent="0.25">
      <c r="D148" s="12"/>
      <c r="L148" s="12"/>
    </row>
  </sheetData>
  <mergeCells count="103">
    <mergeCell ref="P90:Q90"/>
    <mergeCell ref="P74:S74"/>
    <mergeCell ref="R66:S66"/>
    <mergeCell ref="R67:S67"/>
    <mergeCell ref="R68:S68"/>
    <mergeCell ref="P57:S57"/>
    <mergeCell ref="I104:J104"/>
    <mergeCell ref="I105:J105"/>
    <mergeCell ref="I106:J106"/>
    <mergeCell ref="I92:K92"/>
    <mergeCell ref="C79:K79"/>
    <mergeCell ref="D86:E86"/>
    <mergeCell ref="D88:E88"/>
    <mergeCell ref="D89:E89"/>
    <mergeCell ref="F84:G84"/>
    <mergeCell ref="F91:G91"/>
    <mergeCell ref="C99:G99"/>
    <mergeCell ref="F93:G93"/>
    <mergeCell ref="I93:K93"/>
    <mergeCell ref="I91:K91"/>
    <mergeCell ref="D90:E90"/>
    <mergeCell ref="C98:G98"/>
    <mergeCell ref="I97:K97"/>
    <mergeCell ref="I98:K98"/>
    <mergeCell ref="I107:J107"/>
    <mergeCell ref="P2:X2"/>
    <mergeCell ref="P3:T3"/>
    <mergeCell ref="U3:X3"/>
    <mergeCell ref="I99:K99"/>
    <mergeCell ref="I82:K82"/>
    <mergeCell ref="I85:K85"/>
    <mergeCell ref="I84:K84"/>
    <mergeCell ref="G71:I71"/>
    <mergeCell ref="K54:M54"/>
    <mergeCell ref="C80:K80"/>
    <mergeCell ref="C28:E28"/>
    <mergeCell ref="C29:E29"/>
    <mergeCell ref="C41:E41"/>
    <mergeCell ref="C52:D52"/>
    <mergeCell ref="K20:M20"/>
    <mergeCell ref="K39:M39"/>
    <mergeCell ref="C100:G100"/>
    <mergeCell ref="I100:K100"/>
    <mergeCell ref="F96:G96"/>
    <mergeCell ref="I96:K96"/>
    <mergeCell ref="D96:E96"/>
    <mergeCell ref="D94:E94"/>
    <mergeCell ref="D95:E95"/>
    <mergeCell ref="C1:E1"/>
    <mergeCell ref="R58:S58"/>
    <mergeCell ref="R59:S59"/>
    <mergeCell ref="J101:K101"/>
    <mergeCell ref="D82:E82"/>
    <mergeCell ref="D84:E84"/>
    <mergeCell ref="P33:X33"/>
    <mergeCell ref="P34:U34"/>
    <mergeCell ref="V34:X34"/>
    <mergeCell ref="P55:T55"/>
    <mergeCell ref="G39:I39"/>
    <mergeCell ref="I89:K89"/>
    <mergeCell ref="I87:K87"/>
    <mergeCell ref="I86:K86"/>
    <mergeCell ref="D92:E92"/>
    <mergeCell ref="G52:H52"/>
    <mergeCell ref="K52:L52"/>
    <mergeCell ref="K40:M40"/>
    <mergeCell ref="F85:G85"/>
    <mergeCell ref="I83:K83"/>
    <mergeCell ref="F90:G90"/>
    <mergeCell ref="C74:E74"/>
    <mergeCell ref="F82:G82"/>
    <mergeCell ref="C62:E62"/>
    <mergeCell ref="I94:K94"/>
    <mergeCell ref="I95:K95"/>
    <mergeCell ref="F94:G94"/>
    <mergeCell ref="F95:G95"/>
    <mergeCell ref="I90:K90"/>
    <mergeCell ref="I88:K88"/>
    <mergeCell ref="D93:E93"/>
    <mergeCell ref="F92:G92"/>
    <mergeCell ref="F83:G83"/>
    <mergeCell ref="F89:G89"/>
    <mergeCell ref="F87:G87"/>
    <mergeCell ref="F86:G86"/>
    <mergeCell ref="F88:G88"/>
    <mergeCell ref="D91:E91"/>
    <mergeCell ref="V55:W55"/>
    <mergeCell ref="P26:X26"/>
    <mergeCell ref="C3:E3"/>
    <mergeCell ref="C4:E4"/>
    <mergeCell ref="C19:E19"/>
    <mergeCell ref="K19:M19"/>
    <mergeCell ref="G3:I3"/>
    <mergeCell ref="G4:I4"/>
    <mergeCell ref="K3:M3"/>
    <mergeCell ref="K4:M4"/>
    <mergeCell ref="G40:I40"/>
    <mergeCell ref="C20:E20"/>
    <mergeCell ref="G22:I22"/>
    <mergeCell ref="G21:I21"/>
    <mergeCell ref="C54:E54"/>
    <mergeCell ref="C40:E40"/>
    <mergeCell ref="G54:I5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orientation="landscape" r:id="rId1"/>
  <ignoredErrors>
    <ignoredError sqref="L9 H17 D11 M8 I8 I26 E44" formula="1"/>
    <ignoredError sqref="I90" evalErro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7"/>
  <sheetViews>
    <sheetView zoomScale="80" zoomScaleNormal="80" workbookViewId="0">
      <selection activeCell="F1" sqref="F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6" width="10" customWidth="1"/>
    <col min="7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5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3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2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1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1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2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3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0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13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8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3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0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0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0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0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0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0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0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3</v>
      </c>
      <c r="K37" s="49" t="s">
        <v>34</v>
      </c>
      <c r="L37" s="50"/>
      <c r="M37" s="28">
        <f>ROUND(SUM(M22:N36),0)</f>
        <v>4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1</v>
      </c>
      <c r="V37" s="6">
        <f t="shared" ref="V37:V53" si="6">V36+1</f>
        <v>39</v>
      </c>
      <c r="W37" s="37" t="s">
        <v>118</v>
      </c>
      <c r="X37" s="115">
        <f>M42</f>
        <v>1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0</v>
      </c>
      <c r="P38" s="4">
        <f t="shared" si="4"/>
        <v>3</v>
      </c>
      <c r="Q38" s="38" t="s">
        <v>104</v>
      </c>
      <c r="R38" s="101">
        <f>E8</f>
        <v>3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2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0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3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1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0</v>
      </c>
      <c r="S41" s="18">
        <f t="shared" si="5"/>
        <v>25</v>
      </c>
      <c r="T41" s="37" t="s">
        <v>78</v>
      </c>
      <c r="U41" s="100">
        <f>I12+I30</f>
        <v>1</v>
      </c>
      <c r="V41" s="6">
        <f t="shared" si="6"/>
        <v>43</v>
      </c>
      <c r="W41" s="37" t="s">
        <v>80</v>
      </c>
      <c r="X41" s="115">
        <f>E22+E43+I13+I32+I42+M7+M23</f>
        <v>5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1</v>
      </c>
      <c r="P42" s="4">
        <f t="shared" si="4"/>
        <v>7</v>
      </c>
      <c r="Q42" s="38" t="s">
        <v>108</v>
      </c>
      <c r="R42" s="101">
        <f>E11+I14+I31</f>
        <v>2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2</v>
      </c>
      <c r="P43" s="6">
        <f t="shared" si="4"/>
        <v>8</v>
      </c>
      <c r="Q43" s="37" t="s">
        <v>114</v>
      </c>
      <c r="R43" s="100">
        <f>E10</f>
        <v>1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0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1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2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3</v>
      </c>
      <c r="P50" s="4">
        <f t="shared" si="4"/>
        <v>15</v>
      </c>
      <c r="Q50" t="s">
        <v>115</v>
      </c>
      <c r="R50" s="101">
        <f>E36+E9</f>
        <v>1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8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15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15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1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dados'!E6</f>
        <v>44815</v>
      </c>
      <c r="P55" s="272" t="s">
        <v>122</v>
      </c>
      <c r="Q55" s="302"/>
      <c r="R55" s="302"/>
      <c r="S55" s="302"/>
      <c r="T55" s="273"/>
      <c r="U55" s="118">
        <f>ROUND(SUM(R36:R54)+SUM(U36:U54),0)</f>
        <v>29</v>
      </c>
      <c r="V55" s="272" t="s">
        <v>35</v>
      </c>
      <c r="W55" s="273"/>
      <c r="X55" s="119">
        <f>SUM(X36:X54)</f>
        <v>15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dados'!E7</f>
        <v>9202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dados'!E8</f>
        <v>21.21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dados'!E9</f>
        <v>21.21</v>
      </c>
      <c r="P58" s="145" t="s">
        <v>178</v>
      </c>
      <c r="Q58" s="146"/>
      <c r="R58" s="290">
        <f>H97/M76</f>
        <v>3445.4278016368376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dados'!E10</f>
        <v>1.3230225950530889</v>
      </c>
      <c r="P59" s="89" t="s">
        <v>179</v>
      </c>
      <c r="Q59" s="90"/>
      <c r="R59" s="292">
        <f>I97/M76-R58</f>
        <v>3679.2770768280666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dados'!E11</f>
        <v>1.3230225950530887</v>
      </c>
      <c r="P60" s="89" t="s">
        <v>168</v>
      </c>
      <c r="Q60" s="90"/>
      <c r="R60" s="142">
        <f>SUM(H82:H87)</f>
        <v>59573.299999999996</v>
      </c>
      <c r="S60" s="143">
        <f>R60/H97</f>
        <v>0.36021953966849796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dados'!E12</f>
        <v>0.25</v>
      </c>
      <c r="P61" s="89" t="s">
        <v>169</v>
      </c>
      <c r="Q61" s="90"/>
      <c r="R61" s="142">
        <f>SUM(H88:H91)</f>
        <v>37346.11</v>
      </c>
      <c r="S61" s="143">
        <f>R61/H97</f>
        <v>0.22581926051786771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dados'!E13</f>
        <v>0.25</v>
      </c>
      <c r="P62" s="89" t="s">
        <v>170</v>
      </c>
      <c r="Q62" s="90"/>
      <c r="R62" s="142">
        <f>+SUM(H94:H96)</f>
        <v>68461.124478568192</v>
      </c>
      <c r="S62" s="143">
        <f>R62/H97</f>
        <v>0.41396119981363416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dados'!E14</f>
        <v>18656.474280955434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dados'!E15</f>
        <v>3830.8982096417722</v>
      </c>
      <c r="P64" s="89" t="s">
        <v>177</v>
      </c>
      <c r="Q64" s="90"/>
      <c r="R64" s="142">
        <f>SUM(R60:S63)</f>
        <v>165381.53447856818</v>
      </c>
      <c r="S64" s="144">
        <f>SUM(S60:S63)</f>
        <v>0.99999999999999978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dados'!E16</f>
        <v>14101.384820858522</v>
      </c>
      <c r="P65" s="89" t="s">
        <v>99</v>
      </c>
      <c r="Q65" s="90"/>
      <c r="R65" s="142">
        <f>I97-H97</f>
        <v>176605.29968774717</v>
      </c>
      <c r="S65" s="144">
        <f>R65/R64</f>
        <v>1.0678658911018477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dados'!E17</f>
        <v>2895.5615648580133</v>
      </c>
      <c r="P66" s="89" t="s">
        <v>180</v>
      </c>
      <c r="Q66" s="90"/>
      <c r="R66" s="292">
        <f>R64*12</f>
        <v>1984578.4137428182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dados'!E18</f>
        <v>299090.37205040926</v>
      </c>
      <c r="P67" s="147" t="s">
        <v>181</v>
      </c>
      <c r="Q67" s="148"/>
      <c r="R67" s="335">
        <f>R65*12</f>
        <v>2119263.5962529662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dados'!E19</f>
        <v>61414.860790638464</v>
      </c>
      <c r="P68" s="344" t="s">
        <v>183</v>
      </c>
      <c r="Q68" s="345"/>
      <c r="R68" s="337">
        <f>R66+R67</f>
        <v>4103842.0099957846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15</v>
      </c>
      <c r="N69" s="131">
        <f t="shared" ref="N69:N75" si="11">M69/$M$76</f>
        <v>0.3125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0.27083333333333331</v>
      </c>
      <c r="R70" s="113">
        <f>R66</f>
        <v>1984578.4137428182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2.0833333333333332E-2</v>
      </c>
      <c r="R71" s="113">
        <f t="shared" ref="R71:R72" si="12">R67</f>
        <v>2119263.5962529662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8</v>
      </c>
      <c r="N72" s="131">
        <f t="shared" si="11"/>
        <v>0.16666666666666666</v>
      </c>
      <c r="R72" s="113">
        <f t="shared" si="12"/>
        <v>4103842.0099957846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7</v>
      </c>
      <c r="N73" s="131">
        <f t="shared" si="11"/>
        <v>0.14583333333333334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7</v>
      </c>
      <c r="K74" s="32" t="s">
        <v>175</v>
      </c>
      <c r="L74" s="33"/>
      <c r="M74" s="97">
        <f>$E$72</f>
        <v>3</v>
      </c>
      <c r="N74" s="131">
        <f t="shared" si="11"/>
        <v>6.25E-2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0.60419999999999996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2.0833333333333332E-2</v>
      </c>
      <c r="P75" s="206" t="str">
        <f>D82</f>
        <v>Área técnica - Manutenção de Redes - Operacional</v>
      </c>
      <c r="Q75" s="90"/>
      <c r="R75" s="213">
        <f>I82*12</f>
        <v>795483.26297879987</v>
      </c>
      <c r="S75" s="207">
        <f>R75/$R$90</f>
        <v>0.19383923336035475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0.3125</v>
      </c>
      <c r="G76" s="3">
        <f>G75+1</f>
        <v>4</v>
      </c>
      <c r="H76" s="2" t="s">
        <v>28</v>
      </c>
      <c r="I76" s="61">
        <f>IF(M55&lt;400000,(IF(M55&lt;25000,0,I74)),(I74+2))</f>
        <v>7</v>
      </c>
      <c r="K76" s="29" t="s">
        <v>23</v>
      </c>
      <c r="L76" s="30"/>
      <c r="M76" s="34">
        <f>SUM($M$69:$M$75)</f>
        <v>48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2.7791224135552614E-2</v>
      </c>
    </row>
    <row r="77" spans="3:19" ht="16.5" thickTop="1" thickBot="1" x14ac:dyDescent="0.3">
      <c r="C77" s="21" t="s">
        <v>42</v>
      </c>
      <c r="D77" s="22"/>
      <c r="E77" s="46">
        <f>ROUND((M74+M75)/M76,4)</f>
        <v>8.3299999999999999E-2</v>
      </c>
      <c r="G77" s="70" t="s">
        <v>34</v>
      </c>
      <c r="H77" s="72"/>
      <c r="I77" s="34">
        <f>SUM(I73:I76)</f>
        <v>14</v>
      </c>
      <c r="K77" s="29" t="s">
        <v>157</v>
      </c>
      <c r="L77" s="30"/>
      <c r="M77" s="34">
        <f>ROUND(($M$65+$M$66)/($M$76),0)</f>
        <v>354</v>
      </c>
      <c r="P77" s="206" t="str">
        <f t="shared" si="13"/>
        <v>Área técnica - Manut Eletromecânica - Operacional</v>
      </c>
      <c r="Q77" s="90"/>
      <c r="R77" s="213">
        <f t="shared" si="14"/>
        <v>0</v>
      </c>
      <c r="S77" s="207">
        <f t="shared" si="15"/>
        <v>0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604715.75849519996</v>
      </c>
      <c r="S79" s="207">
        <f t="shared" si="15"/>
        <v>0.14735399785621753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208917.75313199998</v>
      </c>
      <c r="S80" s="207">
        <f t="shared" si="15"/>
        <v>5.0907993904020059E-2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6.2262228059554163E-2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27501.429999999997</v>
      </c>
      <c r="I82" s="342">
        <f t="shared" ref="I82:I95" si="16">(F82+1)*H82</f>
        <v>66290.271914899989</v>
      </c>
      <c r="J82" s="342"/>
      <c r="K82" s="343"/>
      <c r="L82" s="113">
        <f>I82</f>
        <v>66290.271914899989</v>
      </c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7.2857513413502009E-2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L83" s="113">
        <f t="shared" ref="L83:L96" si="17">I83</f>
        <v>9504.2049684999984</v>
      </c>
      <c r="P83" s="206" t="str">
        <f t="shared" si="13"/>
        <v>Área Administrativa - Geral</v>
      </c>
      <c r="Q83" s="90"/>
      <c r="R83" s="213">
        <f t="shared" si="14"/>
        <v>285779.02500000002</v>
      </c>
      <c r="S83" s="207">
        <f t="shared" si="15"/>
        <v>6.9637149761057865E-2</v>
      </c>
    </row>
    <row r="84" spans="3:20" x14ac:dyDescent="0.25">
      <c r="C84" s="108">
        <f t="shared" ref="C84:C96" si="18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0</v>
      </c>
      <c r="I84" s="283">
        <f t="shared" si="16"/>
        <v>0</v>
      </c>
      <c r="J84" s="283"/>
      <c r="K84" s="284"/>
      <c r="L84" s="113">
        <f t="shared" si="17"/>
        <v>0</v>
      </c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8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L85" s="113">
        <f t="shared" si="17"/>
        <v>0</v>
      </c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8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20906.22</v>
      </c>
      <c r="I86" s="283">
        <f t="shared" si="16"/>
        <v>50392.979874600001</v>
      </c>
      <c r="J86" s="283"/>
      <c r="K86" s="284"/>
      <c r="L86" s="113">
        <f t="shared" si="17"/>
        <v>50392.979874600001</v>
      </c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8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7222.6999999999989</v>
      </c>
      <c r="I87" s="283">
        <f>(F87+1)*H87</f>
        <v>17409.812760999997</v>
      </c>
      <c r="J87" s="283"/>
      <c r="K87" s="284"/>
      <c r="L87" s="113">
        <f t="shared" si="17"/>
        <v>17409.812760999997</v>
      </c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0.10284422697138801</v>
      </c>
    </row>
    <row r="88" spans="3:20" x14ac:dyDescent="0.25">
      <c r="C88" s="108">
        <f t="shared" si="18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L88" s="113">
        <f t="shared" si="17"/>
        <v>21292.799999999999</v>
      </c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0.20054624259420661</v>
      </c>
      <c r="T88" s="113"/>
    </row>
    <row r="89" spans="3:20" x14ac:dyDescent="0.25">
      <c r="C89" s="108">
        <f t="shared" si="18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L89" s="113">
        <f t="shared" si="17"/>
        <v>24916.237499999999</v>
      </c>
      <c r="P89" s="206" t="str">
        <f t="shared" si="13"/>
        <v>Funçoes Gratificadas</v>
      </c>
      <c r="Q89" s="90"/>
      <c r="R89" s="213">
        <f t="shared" si="14"/>
        <v>295312.38701778447</v>
      </c>
      <c r="S89" s="207">
        <f t="shared" si="15"/>
        <v>7.1960189944146297E-2</v>
      </c>
    </row>
    <row r="90" spans="3:20" ht="15.75" thickBot="1" x14ac:dyDescent="0.3">
      <c r="C90" s="108">
        <f t="shared" si="18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12701.29</v>
      </c>
      <c r="I90" s="283">
        <f t="shared" si="16"/>
        <v>23814.918750000001</v>
      </c>
      <c r="J90" s="283"/>
      <c r="K90" s="284"/>
      <c r="L90" s="113">
        <f t="shared" si="17"/>
        <v>23814.918750000001</v>
      </c>
      <c r="P90" s="346" t="s">
        <v>34</v>
      </c>
      <c r="Q90" s="347"/>
      <c r="R90" s="214">
        <f t="shared" si="14"/>
        <v>4103830.0099957846</v>
      </c>
      <c r="S90" s="208">
        <f>SUM(S75:S89)</f>
        <v>0.99999999999999989</v>
      </c>
    </row>
    <row r="91" spans="3:20" x14ac:dyDescent="0.25">
      <c r="C91" s="108">
        <f t="shared" si="18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  <c r="L91" s="113">
        <f t="shared" si="17"/>
        <v>0</v>
      </c>
    </row>
    <row r="92" spans="3:20" x14ac:dyDescent="0.25">
      <c r="C92" s="108">
        <f t="shared" si="18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L92" s="113">
        <f t="shared" si="17"/>
        <v>0</v>
      </c>
      <c r="R92" s="113">
        <f>R68-R90</f>
        <v>12</v>
      </c>
    </row>
    <row r="93" spans="3:20" x14ac:dyDescent="0.25">
      <c r="C93" s="108">
        <f t="shared" si="18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  <c r="L93" s="113">
        <f t="shared" si="17"/>
        <v>0</v>
      </c>
    </row>
    <row r="94" spans="3:20" x14ac:dyDescent="0.25">
      <c r="C94" s="108">
        <f t="shared" si="18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  <c r="L94" s="113">
        <f t="shared" si="17"/>
        <v>35171.268749999996</v>
      </c>
    </row>
    <row r="95" spans="3:20" x14ac:dyDescent="0.25">
      <c r="C95" s="108">
        <f t="shared" si="18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  <c r="L95" s="113">
        <f t="shared" si="17"/>
        <v>68583.974062499998</v>
      </c>
    </row>
    <row r="96" spans="3:20" ht="15.75" thickBot="1" x14ac:dyDescent="0.3">
      <c r="C96" s="108">
        <f t="shared" si="18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13124.994978568198</v>
      </c>
      <c r="I96" s="326">
        <f>(F96+1)*H96</f>
        <v>24609.365584815372</v>
      </c>
      <c r="J96" s="326"/>
      <c r="K96" s="327"/>
      <c r="L96" s="113">
        <f t="shared" si="17"/>
        <v>24609.365584815372</v>
      </c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165380.53447856821</v>
      </c>
      <c r="I97" s="315">
        <f>SUM(I82:K96)</f>
        <v>341985.83416631538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3445.4278016368376</v>
      </c>
      <c r="I98" s="315">
        <f>(I97-I92-I93)/$M$76</f>
        <v>7124.7048784649041</v>
      </c>
      <c r="J98" s="316">
        <f t="shared" ref="J98:K100" si="19">J97/$M$77</f>
        <v>0</v>
      </c>
      <c r="K98" s="317">
        <f t="shared" si="19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9"/>
        <v>0</v>
      </c>
      <c r="K99" s="317">
        <f t="shared" si="19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9"/>
        <v>0</v>
      </c>
      <c r="K100" s="317">
        <f t="shared" si="19"/>
        <v>0</v>
      </c>
    </row>
    <row r="101" spans="3:11" ht="15.75" thickTop="1" x14ac:dyDescent="0.25">
      <c r="H101" s="130">
        <f>H97/M76</f>
        <v>3445.4278016368376</v>
      </c>
      <c r="I101" s="130"/>
      <c r="J101" s="294">
        <f>I97/M76</f>
        <v>7124.7048784649041</v>
      </c>
      <c r="K101" s="294"/>
    </row>
    <row r="102" spans="3:11" x14ac:dyDescent="0.25">
      <c r="I102" s="132">
        <f>J101/H101-1</f>
        <v>1.0678723481247041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107"/>
  <sheetViews>
    <sheetView topLeftCell="A52" zoomScale="80" zoomScaleNormal="80" workbookViewId="0">
      <selection activeCell="M60" sqref="M57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6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3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2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1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3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1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2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3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0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14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8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11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3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0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0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0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0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3</v>
      </c>
      <c r="K37" s="49" t="s">
        <v>34</v>
      </c>
      <c r="L37" s="50"/>
      <c r="M37" s="28">
        <f>ROUND(SUM(M22:N36),0)</f>
        <v>4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1</v>
      </c>
      <c r="V37" s="6">
        <f t="shared" ref="V37:V53" si="6">V36+1</f>
        <v>39</v>
      </c>
      <c r="W37" s="37" t="s">
        <v>118</v>
      </c>
      <c r="X37" s="115">
        <f>M42</f>
        <v>1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3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2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3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1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1</v>
      </c>
      <c r="V41" s="6">
        <f t="shared" si="6"/>
        <v>43</v>
      </c>
      <c r="W41" s="37" t="s">
        <v>80</v>
      </c>
      <c r="X41" s="115">
        <f>E22+E43+I13+I32+I42+M7+M23</f>
        <v>5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1</v>
      </c>
      <c r="P42" s="4">
        <f t="shared" si="4"/>
        <v>7</v>
      </c>
      <c r="Q42" s="38" t="s">
        <v>108</v>
      </c>
      <c r="R42" s="101">
        <f>E11+I14+I31</f>
        <v>2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2</v>
      </c>
      <c r="P43" s="6">
        <f t="shared" si="4"/>
        <v>8</v>
      </c>
      <c r="Q43" s="37" t="s">
        <v>114</v>
      </c>
      <c r="R43" s="100">
        <f>E10</f>
        <v>1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0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1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2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3</v>
      </c>
      <c r="P50" s="4">
        <f t="shared" si="4"/>
        <v>15</v>
      </c>
      <c r="Q50" t="s">
        <v>115</v>
      </c>
      <c r="R50" s="101">
        <f>E36+E9</f>
        <v>1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10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19</v>
      </c>
      <c r="G52" s="303" t="s">
        <v>171</v>
      </c>
      <c r="H52" s="304"/>
      <c r="I52" s="102">
        <f>ROUND(I19+I37+I50,0)</f>
        <v>15</v>
      </c>
      <c r="K52" s="303" t="s">
        <v>5</v>
      </c>
      <c r="L52" s="304"/>
      <c r="M52" s="102">
        <f>ROUND(M17+M37+M50,0)</f>
        <v>15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1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dados'!F6</f>
        <v>45828</v>
      </c>
      <c r="P55" s="272" t="s">
        <v>122</v>
      </c>
      <c r="Q55" s="302"/>
      <c r="R55" s="302"/>
      <c r="S55" s="302"/>
      <c r="T55" s="273"/>
      <c r="U55" s="118">
        <f>ROUND(SUM(R36:R54)+SUM(U36:U54),0)</f>
        <v>34</v>
      </c>
      <c r="V55" s="272" t="s">
        <v>35</v>
      </c>
      <c r="W55" s="273"/>
      <c r="X55" s="119">
        <f>SUM(X36:X54)</f>
        <v>15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dados'!F7</f>
        <v>13972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dados'!F8</f>
        <v>21.21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dados'!F9</f>
        <v>21.21</v>
      </c>
      <c r="P58" s="145" t="s">
        <v>178</v>
      </c>
      <c r="Q58" s="146"/>
      <c r="R58" s="290">
        <f>H97/M76</f>
        <v>3274.1806505390223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dados'!F10</f>
        <v>1.3231378463343237</v>
      </c>
      <c r="P59" s="89" t="s">
        <v>179</v>
      </c>
      <c r="Q59" s="90"/>
      <c r="R59" s="292">
        <f>I97/M76-R58</f>
        <v>3549.0900195273052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dados'!F11</f>
        <v>1.3231378463343235</v>
      </c>
      <c r="P60" s="89" t="s">
        <v>168</v>
      </c>
      <c r="Q60" s="90"/>
      <c r="R60" s="142">
        <f>SUM(H82:H87)</f>
        <v>67724.34</v>
      </c>
      <c r="S60" s="143">
        <f>R60/H97</f>
        <v>0.39027099364193352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dados'!F12</f>
        <v>0.5</v>
      </c>
      <c r="P61" s="89" t="s">
        <v>169</v>
      </c>
      <c r="Q61" s="90"/>
      <c r="R61" s="142">
        <f>SUM(H88:H91)</f>
        <v>37346.11</v>
      </c>
      <c r="S61" s="143">
        <f>R61/H97</f>
        <v>0.21521218897608971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dados'!F13</f>
        <v>0.5</v>
      </c>
      <c r="P62" s="89" t="s">
        <v>170</v>
      </c>
      <c r="Q62" s="90"/>
      <c r="R62" s="142">
        <f>+SUM(H94:H96)</f>
        <v>68461.124478568192</v>
      </c>
      <c r="S62" s="143">
        <f>R62/H97</f>
        <v>0.3945168173819768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dados'!F14</f>
        <v>19263.513031135699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dados'!F15</f>
        <v>5873.0222655901525</v>
      </c>
      <c r="P64" s="89" t="s">
        <v>177</v>
      </c>
      <c r="Q64" s="90"/>
      <c r="R64" s="142">
        <f>SUM(R60:S63)</f>
        <v>173532.57447856819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dados'!F16</f>
        <v>14558.943509623472</v>
      </c>
      <c r="P65" s="89" t="s">
        <v>99</v>
      </c>
      <c r="Q65" s="90"/>
      <c r="R65" s="142">
        <f>I97-H97</f>
        <v>188101.77103494716</v>
      </c>
      <c r="S65" s="144">
        <f>R65/R64</f>
        <v>1.0839565516742697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dados'!F17</f>
        <v>4438.7022895193504</v>
      </c>
      <c r="P66" s="89" t="s">
        <v>180</v>
      </c>
      <c r="Q66" s="90"/>
      <c r="R66" s="292">
        <f>R64*12</f>
        <v>2082390.8937428184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dados'!F18</f>
        <v>308795.19183911383</v>
      </c>
      <c r="P67" s="147" t="s">
        <v>181</v>
      </c>
      <c r="Q67" s="148"/>
      <c r="R67" s="335">
        <f>R65*12</f>
        <v>2257221.252419366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dados'!F19</f>
        <v>94144.875560705419</v>
      </c>
      <c r="P68" s="344" t="s">
        <v>183</v>
      </c>
      <c r="Q68" s="345"/>
      <c r="R68" s="337">
        <f>R66+R67</f>
        <v>4339612.146162184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19</v>
      </c>
      <c r="N69" s="131">
        <f t="shared" ref="N69:N75" si="11">M69/$M$76</f>
        <v>0.35849056603773582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14</v>
      </c>
      <c r="N70" s="131">
        <f t="shared" si="11"/>
        <v>0.26415094339622641</v>
      </c>
      <c r="R70" s="113">
        <f>R66</f>
        <v>2082390.8937428184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1.8867924528301886E-2</v>
      </c>
      <c r="R71" s="113">
        <f t="shared" ref="R71:R72" si="12">R67</f>
        <v>2257221.252419366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8</v>
      </c>
      <c r="N72" s="131">
        <f t="shared" si="11"/>
        <v>0.15094339622641509</v>
      </c>
      <c r="R72" s="113">
        <f t="shared" si="12"/>
        <v>4339612.146162184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7</v>
      </c>
      <c r="N73" s="131">
        <f t="shared" si="11"/>
        <v>0.13207547169811321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7</v>
      </c>
      <c r="K74" s="32" t="s">
        <v>175</v>
      </c>
      <c r="L74" s="33"/>
      <c r="M74" s="97">
        <f>$E$72</f>
        <v>3</v>
      </c>
      <c r="N74" s="131">
        <f t="shared" si="11"/>
        <v>5.6603773584905662E-2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0.64149999999999996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1.8867924528301886E-2</v>
      </c>
      <c r="P75" s="206" t="str">
        <f>D82</f>
        <v>Área técnica - Manutenção de Redes - Operacional</v>
      </c>
      <c r="Q75" s="90"/>
      <c r="R75" s="213">
        <f>I82*12</f>
        <v>845030.03729759983</v>
      </c>
      <c r="S75" s="207">
        <f>R75/$R$90</f>
        <v>0.19472532234217935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0.28299999999999997</v>
      </c>
      <c r="G76" s="3">
        <f>G75+1</f>
        <v>4</v>
      </c>
      <c r="H76" s="2" t="s">
        <v>28</v>
      </c>
      <c r="I76" s="61">
        <f>IF(M55&lt;400000,(IF(M55&lt;25000,0,I74)),(I74+2))</f>
        <v>7</v>
      </c>
      <c r="K76" s="29" t="s">
        <v>23</v>
      </c>
      <c r="L76" s="30"/>
      <c r="M76" s="34">
        <f>SUM($M$69:$M$75)</f>
        <v>53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2.628132910421779E-2</v>
      </c>
    </row>
    <row r="77" spans="3:19" ht="16.5" thickTop="1" thickBot="1" x14ac:dyDescent="0.3">
      <c r="C77" s="21" t="s">
        <v>42</v>
      </c>
      <c r="D77" s="22"/>
      <c r="E77" s="46">
        <f>ROUND((M74+M75)/M76,4)</f>
        <v>7.5499999999999998E-2</v>
      </c>
      <c r="G77" s="70" t="s">
        <v>34</v>
      </c>
      <c r="H77" s="72"/>
      <c r="I77" s="34">
        <f>SUM(I73:I76)</f>
        <v>14</v>
      </c>
      <c r="K77" s="29" t="s">
        <v>157</v>
      </c>
      <c r="L77" s="30"/>
      <c r="M77" s="34">
        <f>ROUND(($M$65+$M$66)/($M$76),0)</f>
        <v>358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2.7777177612965949E-2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670397.2763135999</v>
      </c>
      <c r="S79" s="207">
        <f t="shared" si="15"/>
        <v>0.15448365142730483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208917.75313199998</v>
      </c>
      <c r="S80" s="207">
        <f t="shared" si="15"/>
        <v>4.8142166581121713E-2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5.8879526083980054E-2</v>
      </c>
    </row>
    <row r="82" spans="3:20" ht="15.75" thickTop="1" x14ac:dyDescent="0.25">
      <c r="C82" s="108">
        <v>1</v>
      </c>
      <c r="D82" s="257" t="s">
        <v>159</v>
      </c>
      <c r="E82" s="258"/>
      <c r="F82" s="349">
        <f>'Folha de dados'!R25</f>
        <v>1.4104300000000001</v>
      </c>
      <c r="G82" s="350"/>
      <c r="H82" s="109">
        <f>E6*R20+E7*R5+(E8+E9)*R19+E10*R12+E11*R11+E12*R14+E13*U12+E15*R6+E16*R13+E14*OC3740</f>
        <v>29214.359999999997</v>
      </c>
      <c r="I82" s="318">
        <f t="shared" ref="I82:I95" si="16">(F82+1)*H82</f>
        <v>70419.169774799986</v>
      </c>
      <c r="J82" s="319"/>
      <c r="K82" s="320"/>
      <c r="L82" s="113">
        <f>I82</f>
        <v>70419.169774799986</v>
      </c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6.889917041421946E-2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351">
        <f>(F83+1)*H83</f>
        <v>9504.2049684999984</v>
      </c>
      <c r="J83" s="352"/>
      <c r="K83" s="353"/>
      <c r="L83" s="113">
        <f t="shared" ref="L83:L96" si="17">I83</f>
        <v>9504.2049684999984</v>
      </c>
      <c r="P83" s="206" t="str">
        <f t="shared" si="13"/>
        <v>Área Administrativa - Geral</v>
      </c>
      <c r="Q83" s="90"/>
      <c r="R83" s="213">
        <f t="shared" si="14"/>
        <v>285779.02500000002</v>
      </c>
      <c r="S83" s="207">
        <f t="shared" si="15"/>
        <v>6.5853768866870069E-2</v>
      </c>
    </row>
    <row r="84" spans="3:20" x14ac:dyDescent="0.25">
      <c r="C84" s="108">
        <f t="shared" ref="C84:C96" si="18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L84" s="113">
        <f t="shared" si="17"/>
        <v>10045.153669099998</v>
      </c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8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L85" s="113">
        <f t="shared" si="17"/>
        <v>0</v>
      </c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8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23176.959999999999</v>
      </c>
      <c r="I86" s="283">
        <f t="shared" si="16"/>
        <v>55866.439692799991</v>
      </c>
      <c r="J86" s="283"/>
      <c r="K86" s="284"/>
      <c r="L86" s="113">
        <f t="shared" si="17"/>
        <v>55866.439692799991</v>
      </c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8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7222.6999999999989</v>
      </c>
      <c r="I87" s="283">
        <f>(F87+1)*H87</f>
        <v>17409.812760999997</v>
      </c>
      <c r="J87" s="283"/>
      <c r="K87" s="284"/>
      <c r="L87" s="113">
        <f t="shared" si="17"/>
        <v>17409.812760999997</v>
      </c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9.7256708172353934E-2</v>
      </c>
    </row>
    <row r="88" spans="3:20" x14ac:dyDescent="0.25">
      <c r="C88" s="108">
        <f t="shared" si="18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L88" s="113">
        <f t="shared" si="17"/>
        <v>21292.799999999999</v>
      </c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0.18965058093609016</v>
      </c>
      <c r="T88" s="113"/>
    </row>
    <row r="89" spans="3:20" x14ac:dyDescent="0.25">
      <c r="C89" s="108">
        <f t="shared" si="18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L89" s="113">
        <f t="shared" si="17"/>
        <v>24916.237499999999</v>
      </c>
      <c r="P89" s="206" t="str">
        <f t="shared" si="13"/>
        <v>Funçoes Gratificadas</v>
      </c>
      <c r="Q89" s="90"/>
      <c r="R89" s="213">
        <f t="shared" si="14"/>
        <v>295312.38701778447</v>
      </c>
      <c r="S89" s="207">
        <f t="shared" si="15"/>
        <v>6.8050598458696737E-2</v>
      </c>
    </row>
    <row r="90" spans="3:20" ht="15.75" thickBot="1" x14ac:dyDescent="0.3">
      <c r="C90" s="108">
        <f t="shared" si="18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12701.29</v>
      </c>
      <c r="I90" s="283">
        <f t="shared" si="16"/>
        <v>23814.918750000001</v>
      </c>
      <c r="J90" s="283"/>
      <c r="K90" s="284"/>
      <c r="L90" s="113">
        <f t="shared" si="17"/>
        <v>23814.918750000001</v>
      </c>
      <c r="P90" s="346" t="s">
        <v>34</v>
      </c>
      <c r="Q90" s="347"/>
      <c r="R90" s="214">
        <f t="shared" si="14"/>
        <v>4339600.146162184</v>
      </c>
      <c r="S90" s="208">
        <f>SUM(S75:S89)</f>
        <v>1.0000000000000002</v>
      </c>
    </row>
    <row r="91" spans="3:20" x14ac:dyDescent="0.25">
      <c r="C91" s="108">
        <f t="shared" si="18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  <c r="L91" s="113">
        <f t="shared" si="17"/>
        <v>0</v>
      </c>
    </row>
    <row r="92" spans="3:20" x14ac:dyDescent="0.25">
      <c r="C92" s="108">
        <f t="shared" si="18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L92" s="113">
        <f t="shared" si="17"/>
        <v>0</v>
      </c>
      <c r="R92" s="113">
        <f>R68-R90</f>
        <v>12</v>
      </c>
    </row>
    <row r="93" spans="3:20" x14ac:dyDescent="0.25">
      <c r="C93" s="108">
        <f t="shared" si="18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  <c r="L93" s="113">
        <f t="shared" si="17"/>
        <v>0</v>
      </c>
    </row>
    <row r="94" spans="3:20" x14ac:dyDescent="0.25">
      <c r="C94" s="108">
        <f t="shared" si="18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  <c r="L94" s="113">
        <f t="shared" si="17"/>
        <v>35171.268749999996</v>
      </c>
    </row>
    <row r="95" spans="3:20" x14ac:dyDescent="0.25">
      <c r="C95" s="108">
        <f t="shared" si="18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  <c r="L95" s="113">
        <f t="shared" si="17"/>
        <v>68583.974062499998</v>
      </c>
    </row>
    <row r="96" spans="3:20" ht="15.75" thickBot="1" x14ac:dyDescent="0.3">
      <c r="C96" s="108">
        <f t="shared" si="18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13124.994978568198</v>
      </c>
      <c r="I96" s="326">
        <f>(F96+1)*H96</f>
        <v>24609.365584815372</v>
      </c>
      <c r="J96" s="326"/>
      <c r="K96" s="327"/>
      <c r="L96" s="113">
        <f t="shared" si="17"/>
        <v>24609.365584815372</v>
      </c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173531.57447856819</v>
      </c>
      <c r="I97" s="315">
        <f>SUM(I82:K96)</f>
        <v>361633.34551351535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3274.1806505390223</v>
      </c>
      <c r="I98" s="315">
        <f>(I97-I92-I93)/$M$76</f>
        <v>6823.2706700663275</v>
      </c>
      <c r="J98" s="316">
        <f t="shared" ref="J98:K100" si="19">J97/$M$77</f>
        <v>0</v>
      </c>
      <c r="K98" s="317">
        <f t="shared" si="19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9"/>
        <v>0</v>
      </c>
      <c r="K99" s="317">
        <f t="shared" si="19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9"/>
        <v>0</v>
      </c>
      <c r="K100" s="317">
        <f t="shared" si="19"/>
        <v>0</v>
      </c>
    </row>
    <row r="101" spans="3:11" ht="15.75" thickTop="1" x14ac:dyDescent="0.25">
      <c r="H101" s="130">
        <f>H97/M76</f>
        <v>3274.1806505390223</v>
      </c>
      <c r="I101" s="130"/>
      <c r="J101" s="294">
        <f>I97/M76</f>
        <v>6823.2706700663275</v>
      </c>
      <c r="K101" s="294"/>
    </row>
    <row r="102" spans="3:11" x14ac:dyDescent="0.25">
      <c r="I102" s="132">
        <f>J101/H101-1</f>
        <v>1.0839627981257007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107"/>
  <sheetViews>
    <sheetView zoomScale="80" zoomScaleNormal="80" workbookViewId="0">
      <selection activeCell="F1" sqref="F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6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4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1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1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2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3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0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15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8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9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3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0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0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0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0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3</v>
      </c>
      <c r="K37" s="49" t="s">
        <v>34</v>
      </c>
      <c r="L37" s="50"/>
      <c r="M37" s="28">
        <f>ROUND(SUM(M22:N36),0)</f>
        <v>4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1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4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3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1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1</v>
      </c>
      <c r="V41" s="6">
        <f t="shared" si="6"/>
        <v>43</v>
      </c>
      <c r="W41" s="37" t="s">
        <v>80</v>
      </c>
      <c r="X41" s="115">
        <f>E22+E43+I13+I32+I42+M7+M23</f>
        <v>5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2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1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0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1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1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10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20</v>
      </c>
      <c r="G52" s="303" t="s">
        <v>171</v>
      </c>
      <c r="H52" s="304"/>
      <c r="I52" s="102">
        <f>ROUND(I19+I37+I50,0)</f>
        <v>13</v>
      </c>
      <c r="K52" s="303" t="s">
        <v>5</v>
      </c>
      <c r="L52" s="304"/>
      <c r="M52" s="102">
        <f>ROUND(M17+M37+M50,0)</f>
        <v>17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1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dados'!G6</f>
        <v>46834</v>
      </c>
      <c r="P55" s="272" t="s">
        <v>122</v>
      </c>
      <c r="Q55" s="302"/>
      <c r="R55" s="302"/>
      <c r="S55" s="302"/>
      <c r="T55" s="273"/>
      <c r="U55" s="118">
        <f>ROUND(SUM(R36:R54)+SUM(U36:U54),0)</f>
        <v>33</v>
      </c>
      <c r="V55" s="272" t="s">
        <v>35</v>
      </c>
      <c r="W55" s="273"/>
      <c r="X55" s="119">
        <f>SUM(X36:X54)</f>
        <v>17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dados'!G7</f>
        <v>18847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dados'!G8</f>
        <v>21.21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dados'!G9</f>
        <v>21.21</v>
      </c>
      <c r="P58" s="145" t="s">
        <v>178</v>
      </c>
      <c r="Q58" s="146"/>
      <c r="R58" s="290">
        <f>H97/M76</f>
        <v>3172.1674903438561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dados'!G10</f>
        <v>1.3232460182939054</v>
      </c>
      <c r="P59" s="89" t="s">
        <v>179</v>
      </c>
      <c r="Q59" s="90"/>
      <c r="R59" s="292">
        <f>I97/M76-R58</f>
        <v>3425.0022756860581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dados'!G11</f>
        <v>1.3232460182939052</v>
      </c>
      <c r="P60" s="89" t="s">
        <v>168</v>
      </c>
      <c r="Q60" s="90"/>
      <c r="R60" s="142">
        <f>SUM(H82:H87)</f>
        <v>65489.81</v>
      </c>
      <c r="S60" s="143">
        <f>R60/H97</f>
        <v>0.38231722093835507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dados'!G12</f>
        <v>0.75</v>
      </c>
      <c r="P61" s="89" t="s">
        <v>169</v>
      </c>
      <c r="Q61" s="90"/>
      <c r="R61" s="142">
        <f>SUM(H88:H91)</f>
        <v>37346.11</v>
      </c>
      <c r="S61" s="143">
        <f>R61/H97</f>
        <v>0.21801958179536804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dados'!G13</f>
        <v>0.75</v>
      </c>
      <c r="P62" s="89" t="s">
        <v>170</v>
      </c>
      <c r="Q62" s="90"/>
      <c r="R62" s="142">
        <f>+SUM(H94:H96)</f>
        <v>68461.124478568192</v>
      </c>
      <c r="S62" s="143">
        <f>R62/H97</f>
        <v>0.39966319726627675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dados'!G14</f>
        <v>19874.06412749843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dados'!G15</f>
        <v>7997.6113189128491</v>
      </c>
      <c r="P64" s="89" t="s">
        <v>177</v>
      </c>
      <c r="Q64" s="90"/>
      <c r="R64" s="142">
        <f>SUM(R60:S63)</f>
        <v>171298.04447856816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dados'!G16</f>
        <v>15018.914358680637</v>
      </c>
      <c r="P65" s="89" t="s">
        <v>99</v>
      </c>
      <c r="Q65" s="90"/>
      <c r="R65" s="142">
        <f>I97-H97</f>
        <v>184950.12288704715</v>
      </c>
      <c r="S65" s="144">
        <f>R65/R64</f>
        <v>1.0796978065338456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dados'!G17</f>
        <v>6043.8287157668547</v>
      </c>
      <c r="P66" s="89" t="s">
        <v>180</v>
      </c>
      <c r="Q66" s="90"/>
      <c r="R66" s="292">
        <f>R64*12</f>
        <v>2055576.5337428181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dados'!G18</f>
        <v>318551.17354761629</v>
      </c>
      <c r="P67" s="147" t="s">
        <v>181</v>
      </c>
      <c r="Q67" s="148"/>
      <c r="R67" s="335">
        <f>R65*12</f>
        <v>2219401.474644566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dados'!G19</f>
        <v>128189.60706141499</v>
      </c>
      <c r="P68" s="344" t="s">
        <v>183</v>
      </c>
      <c r="Q68" s="345"/>
      <c r="R68" s="337">
        <f>R66+R67</f>
        <v>4274978.008387384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20</v>
      </c>
      <c r="N69" s="131">
        <f t="shared" ref="N69:N75" si="11">M69/$M$76</f>
        <v>0.37037037037037035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12</v>
      </c>
      <c r="N70" s="131">
        <f t="shared" si="11"/>
        <v>0.22222222222222221</v>
      </c>
      <c r="R70" s="113">
        <f>R66</f>
        <v>2055576.5337428181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1.8518518518518517E-2</v>
      </c>
      <c r="R71" s="113">
        <f t="shared" ref="R71:R72" si="12">R67</f>
        <v>2219401.474644566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8</v>
      </c>
      <c r="N72" s="131">
        <f t="shared" si="11"/>
        <v>0.14814814814814814</v>
      </c>
      <c r="R72" s="113">
        <f t="shared" si="12"/>
        <v>4274978.008387384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9</v>
      </c>
      <c r="N73" s="131">
        <f t="shared" si="11"/>
        <v>0.16666666666666666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7</v>
      </c>
      <c r="K74" s="32" t="s">
        <v>175</v>
      </c>
      <c r="L74" s="33"/>
      <c r="M74" s="97">
        <f>$E$72</f>
        <v>3</v>
      </c>
      <c r="N74" s="131">
        <f t="shared" si="11"/>
        <v>5.5555555555555552E-2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0.61109999999999998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1.8518518518518517E-2</v>
      </c>
      <c r="P75" s="206" t="str">
        <f>D82</f>
        <v>Área técnica - Manutenção de Redes - Operacional</v>
      </c>
      <c r="Q75" s="90"/>
      <c r="R75" s="213">
        <f>I82*12</f>
        <v>911758.93515960011</v>
      </c>
      <c r="S75" s="207">
        <f>R75/$R$90</f>
        <v>0.21327863972970781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0.31480000000000002</v>
      </c>
      <c r="G76" s="3">
        <f>G75+1</f>
        <v>4</v>
      </c>
      <c r="H76" s="2" t="s">
        <v>28</v>
      </c>
      <c r="I76" s="61">
        <f>IF(M55&lt;400000,(IF(M55&lt;25000,0,I74)),(I74+2))</f>
        <v>7</v>
      </c>
      <c r="K76" s="29" t="s">
        <v>23</v>
      </c>
      <c r="L76" s="30"/>
      <c r="M76" s="34">
        <f>SUM($M$69:$M$75)</f>
        <v>54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2.6678682216007239E-2</v>
      </c>
    </row>
    <row r="77" spans="3:19" ht="16.5" thickTop="1" thickBot="1" x14ac:dyDescent="0.3">
      <c r="C77" s="21" t="s">
        <v>42</v>
      </c>
      <c r="D77" s="22"/>
      <c r="E77" s="46">
        <f>ROUND((M74+M75)/M76,4)</f>
        <v>7.4099999999999999E-2</v>
      </c>
      <c r="G77" s="70" t="s">
        <v>34</v>
      </c>
      <c r="H77" s="72"/>
      <c r="I77" s="34">
        <f>SUM(I73:I76)</f>
        <v>14</v>
      </c>
      <c r="K77" s="29" t="s">
        <v>157</v>
      </c>
      <c r="L77" s="30"/>
      <c r="M77" s="34">
        <f>ROUND(($M$65+$M$66)/($M$76),0)</f>
        <v>390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2.8197146782617605E-2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539034.24067680002</v>
      </c>
      <c r="S79" s="207">
        <f t="shared" si="15"/>
        <v>0.12609088344076355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208917.75313199998</v>
      </c>
      <c r="S80" s="207">
        <f t="shared" si="15"/>
        <v>4.8870038433547348E-2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5.976973840229096E-2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31521.31</v>
      </c>
      <c r="I82" s="342">
        <f t="shared" ref="I82:I95" si="16">(F82+1)*H82</f>
        <v>75979.911263300004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6.9940871907140073E-2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285779.02500000002</v>
      </c>
      <c r="S83" s="207">
        <f t="shared" si="15"/>
        <v>6.6849426273637769E-2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18635.48</v>
      </c>
      <c r="I86" s="283">
        <f t="shared" si="16"/>
        <v>44919.520056399997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7222.6999999999989</v>
      </c>
      <c r="I87" s="283">
        <f>(F87+1)*H87</f>
        <v>17409.812760999997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9.8727153425766975E-2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0.19251794918024559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295312.38701778447</v>
      </c>
      <c r="S89" s="207">
        <f t="shared" si="15"/>
        <v>6.9079470208274957E-2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12701.29</v>
      </c>
      <c r="I90" s="283">
        <f t="shared" si="16"/>
        <v>23814.918750000001</v>
      </c>
      <c r="J90" s="283"/>
      <c r="K90" s="284"/>
      <c r="P90" s="346" t="s">
        <v>34</v>
      </c>
      <c r="Q90" s="347"/>
      <c r="R90" s="214">
        <f t="shared" si="14"/>
        <v>4274966.0083873849</v>
      </c>
      <c r="S90" s="208">
        <f>SUM(S75:S89)</f>
        <v>0.99999999999999989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11.999999999068677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13124.994978568198</v>
      </c>
      <c r="I96" s="326">
        <f>(F96+1)*H96</f>
        <v>24609.365584815372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171297.04447856822</v>
      </c>
      <c r="I97" s="315">
        <f>SUM(I82:K96)</f>
        <v>356247.16736561537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3172.1674903438561</v>
      </c>
      <c r="I98" s="315">
        <f>(I97-I92-I93)/$M$76</f>
        <v>6597.1697660299142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3172.1674903438561</v>
      </c>
      <c r="I101" s="130"/>
      <c r="J101" s="294">
        <f>I97/M76</f>
        <v>6597.1697660299142</v>
      </c>
      <c r="K101" s="294"/>
    </row>
    <row r="102" spans="3:11" x14ac:dyDescent="0.25">
      <c r="I102" s="132">
        <f>J101/H101-1</f>
        <v>1.079704109607023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107"/>
  <sheetViews>
    <sheetView topLeftCell="A49" zoomScale="80" zoomScaleNormal="80" workbookViewId="0">
      <selection activeCell="M60" sqref="M56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7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4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2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3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0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18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8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3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0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0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0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0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3</v>
      </c>
      <c r="K37" s="49" t="s">
        <v>34</v>
      </c>
      <c r="L37" s="50"/>
      <c r="M37" s="28">
        <f>ROUND(SUM(M22:N36),0)</f>
        <v>4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1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4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3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1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1</v>
      </c>
      <c r="V41" s="6">
        <f t="shared" si="6"/>
        <v>43</v>
      </c>
      <c r="W41" s="37" t="s">
        <v>80</v>
      </c>
      <c r="X41" s="115">
        <f>E22+E43+I13+I32+I42+M7+M23</f>
        <v>5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2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0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10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23</v>
      </c>
      <c r="G52" s="303" t="s">
        <v>171</v>
      </c>
      <c r="H52" s="304"/>
      <c r="I52" s="102">
        <f>ROUND(I19+I37+I50,0)</f>
        <v>11</v>
      </c>
      <c r="K52" s="303" t="s">
        <v>5</v>
      </c>
      <c r="L52" s="304"/>
      <c r="M52" s="102">
        <f>ROUND(M17+M37+M50,0)</f>
        <v>17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1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dados'!H6</f>
        <v>47641</v>
      </c>
      <c r="P55" s="272" t="s">
        <v>122</v>
      </c>
      <c r="Q55" s="302"/>
      <c r="R55" s="302"/>
      <c r="S55" s="302"/>
      <c r="T55" s="273"/>
      <c r="U55" s="118">
        <f>ROUND(SUM(R36:R54)+SUM(U36:U54),0)</f>
        <v>34</v>
      </c>
      <c r="V55" s="272" t="s">
        <v>35</v>
      </c>
      <c r="W55" s="273"/>
      <c r="X55" s="119">
        <f>SUM(X36:X54)</f>
        <v>17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dados'!H7</f>
        <v>23821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dados'!H8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dados'!H9</f>
        <v>21.21</v>
      </c>
      <c r="P58" s="145" t="s">
        <v>178</v>
      </c>
      <c r="Q58" s="146"/>
      <c r="R58" s="290">
        <f>H97/M76</f>
        <v>3195.4151592949238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dados'!H10</f>
        <v>1.3233498723694128</v>
      </c>
      <c r="P59" s="89" t="s">
        <v>179</v>
      </c>
      <c r="Q59" s="90"/>
      <c r="R59" s="292">
        <f>I97/M76-R58</f>
        <v>3458.6130681648765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dados'!H11</f>
        <v>1.3233498723694128</v>
      </c>
      <c r="P60" s="89" t="s">
        <v>168</v>
      </c>
      <c r="Q60" s="90"/>
      <c r="R60" s="142">
        <f>SUM(H82:H87)</f>
        <v>68065.599999999991</v>
      </c>
      <c r="S60" s="143">
        <f>R60/H97</f>
        <v>0.38729126011576959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dados'!H12</f>
        <v>1</v>
      </c>
      <c r="P61" s="89" t="s">
        <v>169</v>
      </c>
      <c r="Q61" s="90"/>
      <c r="R61" s="142">
        <f>SUM(H88:H91)</f>
        <v>37346.11</v>
      </c>
      <c r="S61" s="143">
        <f>R61/H97</f>
        <v>0.21249826641243366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dados'!H13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0.40021047347179667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dados'!H14</f>
        <v>20408.877964162944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dados'!H15</f>
        <v>10204.438982081472</v>
      </c>
      <c r="P64" s="89" t="s">
        <v>177</v>
      </c>
      <c r="Q64" s="90"/>
      <c r="R64" s="142">
        <f>SUM(R60:S63)</f>
        <v>175748.8337612208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dados'!H16</f>
        <v>15421.87037397998</v>
      </c>
      <c r="P65" s="89" t="s">
        <v>99</v>
      </c>
      <c r="Q65" s="90"/>
      <c r="R65" s="142">
        <f>I97-H97</f>
        <v>190223.71874906821</v>
      </c>
      <c r="S65" s="144">
        <f>R65/R64</f>
        <v>1.0823612008004193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dados'!H17</f>
        <v>7710.9351869899901</v>
      </c>
      <c r="P66" s="89" t="s">
        <v>180</v>
      </c>
      <c r="Q66" s="90"/>
      <c r="R66" s="292">
        <f>R64*12</f>
        <v>2108986.0051346496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dados'!H18</f>
        <v>327097.87063211534</v>
      </c>
      <c r="P67" s="147" t="s">
        <v>181</v>
      </c>
      <c r="Q67" s="148"/>
      <c r="R67" s="335">
        <f>R65*12</f>
        <v>2282684.6249888185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dados'!H19</f>
        <v>163548.9353160577</v>
      </c>
      <c r="P68" s="344" t="s">
        <v>183</v>
      </c>
      <c r="Q68" s="345"/>
      <c r="R68" s="337">
        <f>R66+R67</f>
        <v>4391670.6301234681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23</v>
      </c>
      <c r="N69" s="131">
        <f t="shared" ref="N69:N75" si="11">M69/$M$76</f>
        <v>0.41818181818181815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10</v>
      </c>
      <c r="N70" s="131">
        <f t="shared" si="11"/>
        <v>0.18181818181818182</v>
      </c>
      <c r="R70" s="113">
        <f>R66</f>
        <v>2108986.0051346496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1.8181818181818181E-2</v>
      </c>
      <c r="R71" s="113">
        <f t="shared" ref="R71:R72" si="12">R67</f>
        <v>2282684.6249888185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8</v>
      </c>
      <c r="N72" s="131">
        <f t="shared" si="11"/>
        <v>0.14545454545454545</v>
      </c>
      <c r="R72" s="113">
        <f t="shared" si="12"/>
        <v>4391670.6301234681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9</v>
      </c>
      <c r="N73" s="131">
        <f t="shared" si="11"/>
        <v>0.16363636363636364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5.4545454545454543E-2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0.61819999999999997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1.8181818181818181E-2</v>
      </c>
      <c r="P75" s="206" t="str">
        <f>D82</f>
        <v>Área técnica - Manutenção de Redes - Operacional</v>
      </c>
      <c r="Q75" s="90"/>
      <c r="R75" s="213">
        <f>I82*12</f>
        <v>1101492.3651731999</v>
      </c>
      <c r="S75" s="207">
        <f>R75/$R$90</f>
        <v>0.25081465977746825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0.30909999999999999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55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2.5969791649947421E-2</v>
      </c>
    </row>
    <row r="77" spans="3:19" ht="16.5" thickTop="1" thickBot="1" x14ac:dyDescent="0.3">
      <c r="C77" s="21" t="s">
        <v>42</v>
      </c>
      <c r="D77" s="22"/>
      <c r="E77" s="46">
        <f>ROUND((M74+M75)/M76,4)</f>
        <v>7.2700000000000001E-2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421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2.7447908451347692E-2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9.6502479867768096E-2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208917.75313199998</v>
      </c>
      <c r="S80" s="207">
        <f t="shared" si="15"/>
        <v>4.7571491941332068E-2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5.8181571365171526E-2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38080.769999999997</v>
      </c>
      <c r="I82" s="342">
        <f t="shared" ref="I82:I95" si="16">(F82+1)*H82</f>
        <v>91791.030431099993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6.808244337324415E-2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285779.02500000002</v>
      </c>
      <c r="S83" s="207">
        <f t="shared" si="15"/>
        <v>6.5073141851183819E-2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7222.6999999999989</v>
      </c>
      <c r="I87" s="283">
        <f>(F87+1)*H87</f>
        <v>17409.812760999997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9.6103832411977383E-2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0.1874024732033559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7.6850206107203625E-2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12701.29</v>
      </c>
      <c r="I90" s="283">
        <f t="shared" si="16"/>
        <v>23814.918750000001</v>
      </c>
      <c r="J90" s="283"/>
      <c r="K90" s="284"/>
      <c r="P90" s="346" t="s">
        <v>34</v>
      </c>
      <c r="Q90" s="347"/>
      <c r="R90" s="214">
        <f t="shared" si="14"/>
        <v>4391658.6301234681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175747.8337612208</v>
      </c>
      <c r="I97" s="315">
        <f>SUM(I82:K96)</f>
        <v>365971.55251028901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3195.4151592949238</v>
      </c>
      <c r="I98" s="315">
        <f>(I97-I92-I93)/$M$76</f>
        <v>6654.0282274598003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3195.4151592949238</v>
      </c>
      <c r="I101" s="130"/>
      <c r="J101" s="294">
        <f>I97/M76</f>
        <v>6654.0282274598003</v>
      </c>
      <c r="K101" s="294"/>
    </row>
    <row r="102" spans="3:11" x14ac:dyDescent="0.25">
      <c r="I102" s="132">
        <f>J101/H101-1</f>
        <v>1.0823673594037864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107"/>
  <sheetViews>
    <sheetView topLeftCell="A37" zoomScale="80" zoomScaleNormal="80" workbookViewId="0">
      <selection activeCell="M57" sqref="M57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7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4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2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3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0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18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8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4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0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0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0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3</v>
      </c>
      <c r="K37" s="49" t="s">
        <v>34</v>
      </c>
      <c r="L37" s="50"/>
      <c r="M37" s="28">
        <f>ROUND(SUM(M22:N36),0)</f>
        <v>6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1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4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3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1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1</v>
      </c>
      <c r="V41" s="6">
        <f t="shared" si="6"/>
        <v>43</v>
      </c>
      <c r="W41" s="37" t="s">
        <v>80</v>
      </c>
      <c r="X41" s="115">
        <f>E22+E43+I13+I32+I42+M7+M23</f>
        <v>6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2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10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23</v>
      </c>
      <c r="G52" s="303" t="s">
        <v>171</v>
      </c>
      <c r="H52" s="304"/>
      <c r="I52" s="102">
        <f>ROUND(I19+I37+I50,0)</f>
        <v>11</v>
      </c>
      <c r="K52" s="303" t="s">
        <v>5</v>
      </c>
      <c r="L52" s="304"/>
      <c r="M52" s="102">
        <f>ROUND(M17+M37+M50,0)</f>
        <v>19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1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dados'!I6</f>
        <v>48147</v>
      </c>
      <c r="P55" s="272" t="s">
        <v>122</v>
      </c>
      <c r="Q55" s="302"/>
      <c r="R55" s="302"/>
      <c r="S55" s="302"/>
      <c r="T55" s="273"/>
      <c r="U55" s="118">
        <f>ROUND(SUM(R36:R54)+SUM(U36:U54),0)</f>
        <v>34</v>
      </c>
      <c r="V55" s="272" t="s">
        <v>35</v>
      </c>
      <c r="W55" s="273"/>
      <c r="X55" s="119">
        <f>SUM(X36:X54)</f>
        <v>19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dados'!I7</f>
        <v>28888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dados'!I8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dados'!I9</f>
        <v>21.21</v>
      </c>
      <c r="P58" s="145" t="s">
        <v>178</v>
      </c>
      <c r="Q58" s="146"/>
      <c r="R58" s="290">
        <f>H97/M76</f>
        <v>3202.0212940565052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dados'!I10</f>
        <v>1.3234659831121187</v>
      </c>
      <c r="P59" s="89" t="s">
        <v>179</v>
      </c>
      <c r="Q59" s="90"/>
      <c r="R59" s="292">
        <f>I97/M76-R58</f>
        <v>3441.1434429661085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dados'!I11</f>
        <v>1.3234659831121185</v>
      </c>
      <c r="P60" s="89" t="s">
        <v>168</v>
      </c>
      <c r="Q60" s="90"/>
      <c r="R60" s="142">
        <f>SUM(H82:H87)</f>
        <v>68065.599999999991</v>
      </c>
      <c r="S60" s="143">
        <f>R60/H97</f>
        <v>0.37293110309723648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dados'!I12</f>
        <v>1</v>
      </c>
      <c r="P61" s="89" t="s">
        <v>169</v>
      </c>
      <c r="Q61" s="90"/>
      <c r="R61" s="142">
        <f>SUM(H88:H91)</f>
        <v>44113.49</v>
      </c>
      <c r="S61" s="143">
        <f>R61/H97</f>
        <v>0.24169760476905974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dados'!I13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0.38537129213370364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dados'!I14</f>
        <v>20818.83121718714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dados'!I15</f>
        <v>12491.298730312285</v>
      </c>
      <c r="P64" s="89" t="s">
        <v>177</v>
      </c>
      <c r="Q64" s="90"/>
      <c r="R64" s="142">
        <f>SUM(R60:S63)</f>
        <v>182516.21376122074</v>
      </c>
      <c r="S64" s="144">
        <f>SUM(S60:S63)</f>
        <v>0.99999999999999978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dados'!I16</f>
        <v>15730.27452445744</v>
      </c>
      <c r="P65" s="89" t="s">
        <v>99</v>
      </c>
      <c r="Q65" s="90"/>
      <c r="R65" s="142">
        <f>I97-H97</f>
        <v>196145.17624906817</v>
      </c>
      <c r="S65" s="144">
        <f>R65/R64</f>
        <v>1.0746726124051516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dados'!I17</f>
        <v>9438.1647146744654</v>
      </c>
      <c r="P66" s="89" t="s">
        <v>180</v>
      </c>
      <c r="Q66" s="90"/>
      <c r="R66" s="292">
        <f>R64*12</f>
        <v>2190194.5651346492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dados'!I18</f>
        <v>333639.12266374228</v>
      </c>
      <c r="P67" s="147" t="s">
        <v>181</v>
      </c>
      <c r="Q67" s="148"/>
      <c r="R67" s="335">
        <f>R65*12</f>
        <v>2353742.1149888178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dados'!I19</f>
        <v>200183.47359824541</v>
      </c>
      <c r="P68" s="344" t="s">
        <v>183</v>
      </c>
      <c r="Q68" s="345"/>
      <c r="R68" s="337">
        <f>R66+R67</f>
        <v>4543936.680123467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23</v>
      </c>
      <c r="N69" s="131">
        <f t="shared" ref="N69:N75" si="11">M69/$M$76</f>
        <v>0.40350877192982454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10</v>
      </c>
      <c r="N70" s="131">
        <f t="shared" si="11"/>
        <v>0.17543859649122806</v>
      </c>
      <c r="R70" s="113">
        <f>R66</f>
        <v>2190194.5651346492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1.7543859649122806E-2</v>
      </c>
      <c r="R71" s="113">
        <f t="shared" ref="R71:R72" si="12">R67</f>
        <v>2353742.1149888178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8</v>
      </c>
      <c r="N72" s="131">
        <f t="shared" si="11"/>
        <v>0.14035087719298245</v>
      </c>
      <c r="R72" s="113">
        <f t="shared" si="12"/>
        <v>4543936.680123467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11</v>
      </c>
      <c r="N73" s="131">
        <f t="shared" si="11"/>
        <v>0.19298245614035087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5.2631578947368418E-2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0.59650000000000003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1.7543859649122806E-2</v>
      </c>
      <c r="P75" s="206" t="str">
        <f>D82</f>
        <v>Área técnica - Manutenção de Redes - Operacional</v>
      </c>
      <c r="Q75" s="90"/>
      <c r="R75" s="213">
        <f>I82*12</f>
        <v>1101492.3651731999</v>
      </c>
      <c r="S75" s="207">
        <f>R75/$R$90</f>
        <v>0.24240990833133044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0.33329999999999999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57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2.5099548881365039E-2</v>
      </c>
    </row>
    <row r="77" spans="3:19" ht="16.5" thickTop="1" thickBot="1" x14ac:dyDescent="0.3">
      <c r="C77" s="21" t="s">
        <v>42</v>
      </c>
      <c r="D77" s="22"/>
      <c r="E77" s="46">
        <f>ROUND((M74+M75)/M76,4)</f>
        <v>7.0199999999999999E-2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442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2.6528134270466075E-2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9.326870015989884E-2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208917.75313199998</v>
      </c>
      <c r="S80" s="207">
        <f t="shared" si="15"/>
        <v>4.5977380313074037E-2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5.6231917997605789E-2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38080.769999999997</v>
      </c>
      <c r="I82" s="342">
        <f t="shared" ref="I82:I95" si="16">(F82+1)*H82</f>
        <v>91791.030431099993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6.5801013671704531E-2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438045.07499999995</v>
      </c>
      <c r="S83" s="207">
        <f t="shared" si="15"/>
        <v>9.6402362679149284E-2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7222.6999999999989</v>
      </c>
      <c r="I87" s="283">
        <f>(F87+1)*H87</f>
        <v>17409.812760999997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9.2883411304373081E-2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0.18112265204352751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7.4274970347505284E-2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19468.669999999998</v>
      </c>
      <c r="I90" s="283">
        <f t="shared" si="16"/>
        <v>36503.756249999999</v>
      </c>
      <c r="J90" s="283"/>
      <c r="K90" s="284"/>
      <c r="P90" s="346" t="s">
        <v>34</v>
      </c>
      <c r="Q90" s="347"/>
      <c r="R90" s="214">
        <f t="shared" si="14"/>
        <v>4543924.6801234679</v>
      </c>
      <c r="S90" s="208">
        <f>SUM(S75:S89)</f>
        <v>0.99999999999999989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11.999999999068677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182515.2137612208</v>
      </c>
      <c r="I97" s="315">
        <f>SUM(I82:K96)</f>
        <v>378660.39001028897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3202.0212940565052</v>
      </c>
      <c r="I98" s="315">
        <f>(I97-I92-I93)/$M$76</f>
        <v>6643.1647370226137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3202.0212940565052</v>
      </c>
      <c r="I101" s="130"/>
      <c r="J101" s="294">
        <f>I97/M76</f>
        <v>6643.1647370226137</v>
      </c>
      <c r="K101" s="294"/>
    </row>
    <row r="102" spans="3:11" x14ac:dyDescent="0.25">
      <c r="I102" s="132">
        <f>J101/H101-1</f>
        <v>1.0746785005313533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107"/>
  <sheetViews>
    <sheetView topLeftCell="A43" zoomScale="80" zoomScaleNormal="80" workbookViewId="0">
      <selection activeCell="M61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8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4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2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0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19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9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4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0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0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0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3</v>
      </c>
      <c r="K37" s="49" t="s">
        <v>34</v>
      </c>
      <c r="L37" s="50"/>
      <c r="M37" s="28">
        <f>ROUND(SUM(M22:N36),0)</f>
        <v>6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1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4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1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1</v>
      </c>
      <c r="V41" s="6">
        <f t="shared" si="6"/>
        <v>43</v>
      </c>
      <c r="W41" s="37" t="s">
        <v>80</v>
      </c>
      <c r="X41" s="115">
        <f>E22+E43+I13+I32+I42+M7+M23</f>
        <v>6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2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11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24</v>
      </c>
      <c r="G52" s="303" t="s">
        <v>171</v>
      </c>
      <c r="H52" s="304"/>
      <c r="I52" s="102">
        <f>ROUND(I19+I37+I50,0)</f>
        <v>11</v>
      </c>
      <c r="K52" s="303" t="s">
        <v>5</v>
      </c>
      <c r="L52" s="304"/>
      <c r="M52" s="102">
        <f>ROUND(M17+M37+M50,0)</f>
        <v>20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1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dados'!J6</f>
        <v>48635</v>
      </c>
      <c r="P55" s="272" t="s">
        <v>122</v>
      </c>
      <c r="Q55" s="302"/>
      <c r="R55" s="302"/>
      <c r="S55" s="302"/>
      <c r="T55" s="273"/>
      <c r="U55" s="118">
        <f>ROUND(SUM(R36:R54)+SUM(U36:U54),0)</f>
        <v>35</v>
      </c>
      <c r="V55" s="272" t="s">
        <v>35</v>
      </c>
      <c r="W55" s="273"/>
      <c r="X55" s="119">
        <f>SUM(X36:X54)</f>
        <v>20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dados'!J7</f>
        <v>34045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dados'!J8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dados'!J9</f>
        <v>21.21</v>
      </c>
      <c r="P58" s="145" t="s">
        <v>178</v>
      </c>
      <c r="Q58" s="146"/>
      <c r="R58" s="290">
        <f>H97/M76</f>
        <v>3122.5109112071323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dados'!J10</f>
        <v>1.3235788108651088</v>
      </c>
      <c r="P59" s="89" t="s">
        <v>179</v>
      </c>
      <c r="Q59" s="90"/>
      <c r="R59" s="292">
        <f>I97/M76-R58</f>
        <v>3365.4431204909861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dados'!J11</f>
        <v>1.3235788108651088</v>
      </c>
      <c r="P60" s="89" t="s">
        <v>168</v>
      </c>
      <c r="Q60" s="90"/>
      <c r="R60" s="142">
        <f>SUM(H82:H87)</f>
        <v>69778.53</v>
      </c>
      <c r="S60" s="143">
        <f>R60/H97</f>
        <v>0.37876151045868633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dados'!J12</f>
        <v>1</v>
      </c>
      <c r="P61" s="89" t="s">
        <v>169</v>
      </c>
      <c r="Q61" s="90"/>
      <c r="R61" s="142">
        <f>SUM(H88:H91)</f>
        <v>44113.49</v>
      </c>
      <c r="S61" s="143">
        <f>R61/H97</f>
        <v>0.23945033098295643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dados'!J13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0.38178815855835718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dados'!J14</f>
        <v>21223.448012917201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dados'!J15</f>
        <v>14856.41360904204</v>
      </c>
      <c r="P64" s="89" t="s">
        <v>177</v>
      </c>
      <c r="Q64" s="90"/>
      <c r="R64" s="142">
        <f>SUM(R60:S63)</f>
        <v>184229.14376122077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dados'!J16</f>
        <v>16034.858398967119</v>
      </c>
      <c r="P65" s="89" t="s">
        <v>99</v>
      </c>
      <c r="Q65" s="90"/>
      <c r="R65" s="142">
        <f>I97-H97</f>
        <v>198561.1441089682</v>
      </c>
      <c r="S65" s="144">
        <f>R65/R64</f>
        <v>1.0777944252203828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dados'!J17</f>
        <v>11224.400879276984</v>
      </c>
      <c r="P66" s="89" t="s">
        <v>180</v>
      </c>
      <c r="Q66" s="90"/>
      <c r="R66" s="292">
        <f>R64*12</f>
        <v>2210749.7251346493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dados'!J18</f>
        <v>340099.34664209257</v>
      </c>
      <c r="P67" s="147" t="s">
        <v>181</v>
      </c>
      <c r="Q67" s="148"/>
      <c r="R67" s="335">
        <f>R65*12</f>
        <v>2382733.7293076185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dados'!J19</f>
        <v>238069.54264946483</v>
      </c>
      <c r="P68" s="344" t="s">
        <v>183</v>
      </c>
      <c r="Q68" s="345"/>
      <c r="R68" s="337">
        <f>R66+R67</f>
        <v>4593483.4544422682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24</v>
      </c>
      <c r="N69" s="131">
        <f t="shared" ref="N69:N75" si="11">M69/$M$76</f>
        <v>0.40677966101694918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10</v>
      </c>
      <c r="N70" s="131">
        <f t="shared" si="11"/>
        <v>0.16949152542372881</v>
      </c>
      <c r="R70" s="113">
        <f>R66</f>
        <v>2210749.7251346493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1.6949152542372881E-2</v>
      </c>
      <c r="R71" s="113">
        <f t="shared" ref="R71:R72" si="12">R67</f>
        <v>2382733.7293076185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9</v>
      </c>
      <c r="N72" s="131">
        <f t="shared" si="11"/>
        <v>0.15254237288135594</v>
      </c>
      <c r="R72" s="113">
        <f t="shared" si="12"/>
        <v>4593483.4544422682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11</v>
      </c>
      <c r="N73" s="131">
        <f t="shared" si="11"/>
        <v>0.1864406779661017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5.0847457627118647E-2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0.59319999999999995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1.6949152542372881E-2</v>
      </c>
      <c r="P75" s="206" t="str">
        <f>D82</f>
        <v>Área técnica - Manutenção de Redes - Operacional</v>
      </c>
      <c r="Q75" s="90"/>
      <c r="R75" s="213">
        <f>I82*12</f>
        <v>1151039.139492</v>
      </c>
      <c r="S75" s="207">
        <f>R75/$R$90</f>
        <v>0.25058153749466527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0.33900000000000002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59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2.4828816452468365E-2</v>
      </c>
    </row>
    <row r="77" spans="3:19" ht="16.5" thickTop="1" thickBot="1" x14ac:dyDescent="0.3">
      <c r="C77" s="21" t="s">
        <v>42</v>
      </c>
      <c r="D77" s="22"/>
      <c r="E77" s="46">
        <f>ROUND((M74+M75)/M76,4)</f>
        <v>6.7799999999999999E-2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462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2.624199262469042E-2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9.226267165103301E-2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208917.75313199998</v>
      </c>
      <c r="S80" s="207">
        <f t="shared" si="15"/>
        <v>4.5481452362125634E-2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5.5625381050947234E-2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39793.700000000004</v>
      </c>
      <c r="I82" s="342">
        <f t="shared" ref="I82:I95" si="16">(F82+1)*H82</f>
        <v>95919.928291000004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6.5091261144302345E-2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438045.07499999995</v>
      </c>
      <c r="S83" s="207">
        <f t="shared" si="15"/>
        <v>9.5362533400827815E-2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7222.6999999999989</v>
      </c>
      <c r="I87" s="283">
        <f>(F87+1)*H87</f>
        <v>17409.812760999997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9.1881538654569744E-2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0.17916900037641101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7.347381478795903E-2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19468.669999999998</v>
      </c>
      <c r="I90" s="283">
        <f t="shared" si="16"/>
        <v>36503.756249999999</v>
      </c>
      <c r="J90" s="283"/>
      <c r="K90" s="284"/>
      <c r="P90" s="346" t="s">
        <v>34</v>
      </c>
      <c r="Q90" s="347"/>
      <c r="R90" s="214">
        <f t="shared" si="14"/>
        <v>4593471.4544422682</v>
      </c>
      <c r="S90" s="208">
        <f>SUM(S75:S89)</f>
        <v>0.99999999999999978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184228.1437612208</v>
      </c>
      <c r="I97" s="315">
        <f>SUM(I82:K96)</f>
        <v>382789.287870189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3122.5109112071323</v>
      </c>
      <c r="I98" s="315">
        <f>(I97-I92-I93)/$M$76</f>
        <v>6487.9540316981183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3122.5109112071323</v>
      </c>
      <c r="I101" s="130"/>
      <c r="J101" s="294">
        <f>I97/M76</f>
        <v>6487.9540316981183</v>
      </c>
      <c r="K101" s="294"/>
    </row>
    <row r="102" spans="3:11" x14ac:dyDescent="0.25">
      <c r="I102" s="132">
        <f>J101/H101-1</f>
        <v>1.0778002755448943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107"/>
  <sheetViews>
    <sheetView topLeftCell="A37" zoomScale="80" zoomScaleNormal="80" workbookViewId="0">
      <selection activeCell="M61" sqref="M56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8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4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20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4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6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4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6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11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25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21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dados'!K6</f>
        <v>49105</v>
      </c>
      <c r="P55" s="272" t="s">
        <v>122</v>
      </c>
      <c r="Q55" s="302"/>
      <c r="R55" s="302"/>
      <c r="S55" s="302"/>
      <c r="T55" s="273"/>
      <c r="U55" s="118">
        <f>ROUND(SUM(R36:R54)+SUM(U36:U54),0)</f>
        <v>40</v>
      </c>
      <c r="V55" s="272" t="s">
        <v>35</v>
      </c>
      <c r="W55" s="273"/>
      <c r="X55" s="119">
        <f>SUM(X36:X54)</f>
        <v>20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dados'!K7</f>
        <v>39284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dados'!K8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dados'!K9</f>
        <v>21.21</v>
      </c>
      <c r="P58" s="145" t="s">
        <v>178</v>
      </c>
      <c r="Q58" s="146"/>
      <c r="R58" s="290">
        <f>H97/M76</f>
        <v>3012.4900587690749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dados'!K10</f>
        <v>1.3236845126015813</v>
      </c>
      <c r="P59" s="89" t="s">
        <v>179</v>
      </c>
      <c r="Q59" s="90"/>
      <c r="R59" s="292">
        <f>I97/M76-R58</f>
        <v>3291.4101552120023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dados'!K11</f>
        <v>1.3236845126015813</v>
      </c>
      <c r="P60" s="89" t="s">
        <v>168</v>
      </c>
      <c r="Q60" s="90"/>
      <c r="R60" s="142">
        <f>SUM(H82:H87)</f>
        <v>78349.75</v>
      </c>
      <c r="S60" s="143">
        <f>R60/H97</f>
        <v>0.40637971241977244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dados'!K12</f>
        <v>1</v>
      </c>
      <c r="P61" s="89" t="s">
        <v>169</v>
      </c>
      <c r="Q61" s="90"/>
      <c r="R61" s="142">
        <f>SUM(H88:H91)</f>
        <v>44113.49</v>
      </c>
      <c r="S61" s="143">
        <f>R61/H97</f>
        <v>0.22880516376928459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dados'!K13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0.36481512381094294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dados'!K14</f>
        <v>21623.30872139279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dados'!K15</f>
        <v>17298.646977114233</v>
      </c>
      <c r="P64" s="89" t="s">
        <v>177</v>
      </c>
      <c r="Q64" s="90"/>
      <c r="R64" s="142">
        <f>SUM(R60:S63)</f>
        <v>192800.3637612208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dados'!K16</f>
        <v>16335.678051152905</v>
      </c>
      <c r="P65" s="89" t="s">
        <v>99</v>
      </c>
      <c r="Q65" s="90"/>
      <c r="R65" s="142">
        <f>I97-H97</f>
        <v>210650.24993356815</v>
      </c>
      <c r="S65" s="144">
        <f>R65/R64</f>
        <v>1.0925822224819766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dados'!K17</f>
        <v>13068.542440922325</v>
      </c>
      <c r="P66" s="89" t="s">
        <v>180</v>
      </c>
      <c r="Q66" s="90"/>
      <c r="R66" s="292">
        <f>R64*12</f>
        <v>2313604.3651346494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dados'!K18</f>
        <v>346479.7314649531</v>
      </c>
      <c r="P67" s="147" t="s">
        <v>181</v>
      </c>
      <c r="Q67" s="148"/>
      <c r="R67" s="335">
        <f>R65*12</f>
        <v>2527802.9992028177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dados'!K19</f>
        <v>277183.78517196252</v>
      </c>
      <c r="P68" s="344" t="s">
        <v>183</v>
      </c>
      <c r="Q68" s="345"/>
      <c r="R68" s="337">
        <f>R66+R67</f>
        <v>4841407.3643374667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25</v>
      </c>
      <c r="N69" s="131">
        <f t="shared" ref="N69:N75" si="11">M69/$M$76</f>
        <v>0.390625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0.203125</v>
      </c>
      <c r="R70" s="113">
        <f>R66</f>
        <v>2313604.3651346494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1.5625E-2</v>
      </c>
      <c r="R71" s="113">
        <f t="shared" ref="R71:R72" si="12">R67</f>
        <v>2527802.9992028177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0.15625</v>
      </c>
      <c r="R72" s="113">
        <f t="shared" si="12"/>
        <v>4841407.3643374667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11</v>
      </c>
      <c r="N73" s="131">
        <f t="shared" si="11"/>
        <v>0.171875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4.6875E-2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0.60940000000000005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1.5625E-2</v>
      </c>
      <c r="P75" s="206" t="str">
        <f>D82</f>
        <v>Área técnica - Manutenção de Redes - Operacional</v>
      </c>
      <c r="Q75" s="90"/>
      <c r="R75" s="213">
        <f>I82*12</f>
        <v>1221748.4286215999</v>
      </c>
      <c r="S75" s="207">
        <f>R75/$R$90</f>
        <v>0.25235460785153063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0.3281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64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2.355735300242464E-2</v>
      </c>
    </row>
    <row r="77" spans="3:19" ht="16.5" thickTop="1" thickBot="1" x14ac:dyDescent="0.3">
      <c r="C77" s="21" t="s">
        <v>42</v>
      </c>
      <c r="D77" s="22"/>
      <c r="E77" s="46">
        <f>ROUND((M74+M75)/M76,4)</f>
        <v>6.25E-2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459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2.4898161574890467E-2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8.7537975448447339E-2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7.9756422444222583E-2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5.2776850633219533E-2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42238.26</v>
      </c>
      <c r="I82" s="342">
        <f t="shared" ref="I82:I95" si="16">(F82+1)*H82</f>
        <v>101812.36905179999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6.1757990723593101E-2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438045.07499999995</v>
      </c>
      <c r="S83" s="207">
        <f t="shared" si="15"/>
        <v>9.0479095805046955E-2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8.7176359962032796E-2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0.16999390192596395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6.9711280628628025E-2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19468.669999999998</v>
      </c>
      <c r="I90" s="283">
        <f t="shared" si="16"/>
        <v>36503.756249999999</v>
      </c>
      <c r="J90" s="283"/>
      <c r="K90" s="284"/>
      <c r="P90" s="346" t="s">
        <v>34</v>
      </c>
      <c r="Q90" s="347"/>
      <c r="R90" s="214">
        <f t="shared" si="14"/>
        <v>4841395.3643374676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11.999999999068677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192799.3637612208</v>
      </c>
      <c r="I97" s="315">
        <f>SUM(I82:K96)</f>
        <v>403449.61369478895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3012.4900587690749</v>
      </c>
      <c r="I98" s="315">
        <f>(I97-I92-I93)/$M$76</f>
        <v>6303.9002139810773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3012.4900587690749</v>
      </c>
      <c r="I101" s="130"/>
      <c r="J101" s="294">
        <f>I97/M76</f>
        <v>6303.9002139810773</v>
      </c>
      <c r="K101" s="294"/>
    </row>
    <row r="102" spans="3:11" x14ac:dyDescent="0.25">
      <c r="I102" s="132">
        <f>J101/H101-1</f>
        <v>1.0925878894209187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107"/>
  <sheetViews>
    <sheetView topLeftCell="A43" zoomScale="80" zoomScaleNormal="80" workbookViewId="0">
      <selection activeCell="M61" sqref="M56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9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22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4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6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6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12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27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21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dados'!L6</f>
        <v>49558</v>
      </c>
      <c r="P55" s="272" t="s">
        <v>122</v>
      </c>
      <c r="Q55" s="302"/>
      <c r="R55" s="302"/>
      <c r="S55" s="302"/>
      <c r="T55" s="273"/>
      <c r="U55" s="118">
        <f>ROUND(SUM(R36:R54)+SUM(U36:U54),0)</f>
        <v>42</v>
      </c>
      <c r="V55" s="272" t="s">
        <v>35</v>
      </c>
      <c r="W55" s="273"/>
      <c r="X55" s="119">
        <f>SUM(X36:X54)</f>
        <v>20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dados'!L7</f>
        <v>44602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dados'!L8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dados'!L9</f>
        <v>21.21</v>
      </c>
      <c r="P58" s="145" t="s">
        <v>178</v>
      </c>
      <c r="Q58" s="146"/>
      <c r="R58" s="290">
        <f>H97/M76</f>
        <v>2982.1097539578909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dados'!L10</f>
        <v>1.3237837758895576</v>
      </c>
      <c r="P59" s="89" t="s">
        <v>179</v>
      </c>
      <c r="Q59" s="90"/>
      <c r="R59" s="292">
        <f>I97/M76-R58</f>
        <v>3277.575898211639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dados'!L11</f>
        <v>1.3237837758895581</v>
      </c>
      <c r="P60" s="89" t="s">
        <v>168</v>
      </c>
      <c r="Q60" s="90"/>
      <c r="R60" s="142">
        <f>SUM(H82:H87)</f>
        <v>82369.63</v>
      </c>
      <c r="S60" s="143">
        <f>R60/H97</f>
        <v>0.41850394517281064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dados'!L12</f>
        <v>1</v>
      </c>
      <c r="P61" s="89" t="s">
        <v>169</v>
      </c>
      <c r="Q61" s="90"/>
      <c r="R61" s="142">
        <f>SUM(H88:H91)</f>
        <v>44113.49</v>
      </c>
      <c r="S61" s="143">
        <f>R61/H97</f>
        <v>0.22413199622653798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dados'!L13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0.35736405860065135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dados'!L14</f>
        <v>22017.015715024689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dados'!L15</f>
        <v>19815.314143522224</v>
      </c>
      <c r="P64" s="89" t="s">
        <v>177</v>
      </c>
      <c r="Q64" s="90"/>
      <c r="R64" s="142">
        <f>SUM(R60:S63)</f>
        <v>196820.24376122077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dados'!L16</f>
        <v>16631.863418293153</v>
      </c>
      <c r="P65" s="89" t="s">
        <v>99</v>
      </c>
      <c r="Q65" s="90"/>
      <c r="R65" s="142">
        <f>I97-H97</f>
        <v>216320.0092819682</v>
      </c>
      <c r="S65" s="144">
        <f>R65/R64</f>
        <v>1.0990739831843936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dados'!L17</f>
        <v>14968.677076463839</v>
      </c>
      <c r="P66" s="89" t="s">
        <v>180</v>
      </c>
      <c r="Q66" s="90"/>
      <c r="R66" s="292">
        <f>R64*12</f>
        <v>2361842.9251346495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dados'!L18</f>
        <v>352761.82310199778</v>
      </c>
      <c r="P67" s="147" t="s">
        <v>181</v>
      </c>
      <c r="Q67" s="148"/>
      <c r="R67" s="335">
        <f>R65*12</f>
        <v>2595840.1113836183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dados'!L19</f>
        <v>317485.64079179801</v>
      </c>
      <c r="P68" s="344" t="s">
        <v>183</v>
      </c>
      <c r="Q68" s="345"/>
      <c r="R68" s="337">
        <f>R66+R67</f>
        <v>4957683.0365182683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27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0.19696969696969696</v>
      </c>
      <c r="R70" s="113">
        <f>R66</f>
        <v>2361842.9251346495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1.5151515151515152E-2</v>
      </c>
      <c r="R71" s="113">
        <f t="shared" ref="R71:R72" si="12">R67</f>
        <v>2595840.1113836183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0.15151515151515152</v>
      </c>
      <c r="R72" s="113">
        <f t="shared" si="12"/>
        <v>4957683.0365182683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11</v>
      </c>
      <c r="N73" s="131">
        <f t="shared" si="11"/>
        <v>0.16666666666666666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4.5454545454545456E-2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0.62119999999999997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1.5151515151515152E-2</v>
      </c>
      <c r="P75" s="206" t="str">
        <f>D82</f>
        <v>Área técnica - Manutenção de Redes - Operacional</v>
      </c>
      <c r="Q75" s="90"/>
      <c r="R75" s="213">
        <f>I82*12</f>
        <v>1338024.1008024001</v>
      </c>
      <c r="S75" s="207">
        <f>R75/$R$90</f>
        <v>0.26988964998816933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0.31819999999999998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66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2.3004846183198289E-2</v>
      </c>
    </row>
    <row r="77" spans="3:19" ht="16.5" thickTop="1" thickBot="1" x14ac:dyDescent="0.3">
      <c r="C77" s="21" t="s">
        <v>42</v>
      </c>
      <c r="D77" s="22"/>
      <c r="E77" s="46">
        <f>ROUND((M74+M75)/M76,4)</f>
        <v>6.0600000000000001E-2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479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2.4314207849066065E-2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8.5484887040273544E-2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7.7885840156263694E-2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5.1539038818405561E-2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46258.140000000007</v>
      </c>
      <c r="I82" s="342">
        <f t="shared" ref="I82:I95" si="16">(F82+1)*H82</f>
        <v>111502.00840020001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6.0309538046715905E-2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438045.07499999995</v>
      </c>
      <c r="S83" s="207">
        <f t="shared" si="15"/>
        <v>8.8357027276185593E-2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8.5131752770834485E-2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0.16600691790312724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6.8076293967760201E-2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19468.669999999998</v>
      </c>
      <c r="I90" s="283">
        <f t="shared" si="16"/>
        <v>36503.756249999999</v>
      </c>
      <c r="J90" s="283"/>
      <c r="K90" s="284"/>
      <c r="P90" s="346" t="s">
        <v>34</v>
      </c>
      <c r="Q90" s="347"/>
      <c r="R90" s="214">
        <f t="shared" si="14"/>
        <v>4957671.0365182683</v>
      </c>
      <c r="S90" s="208">
        <f>SUM(S75:S89)</f>
        <v>0.99999999999999989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196819.2437612208</v>
      </c>
      <c r="I97" s="315">
        <f>SUM(I82:K96)</f>
        <v>413139.253043189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2982.1097539578909</v>
      </c>
      <c r="I98" s="315">
        <f>(I97-I92-I93)/$M$76</f>
        <v>6259.6856521695299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2982.1097539578909</v>
      </c>
      <c r="I101" s="130"/>
      <c r="J101" s="294">
        <f>I97/M76</f>
        <v>6259.6856521695299</v>
      </c>
      <c r="K101" s="294"/>
    </row>
    <row r="102" spans="3:11" x14ac:dyDescent="0.25">
      <c r="I102" s="132">
        <f>J101/H101-1</f>
        <v>1.0990795673638778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107"/>
  <sheetViews>
    <sheetView topLeftCell="A43" zoomScale="80" zoomScaleNormal="80" workbookViewId="0">
      <selection activeCell="M56" sqref="M56:M63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9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22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4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6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6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12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27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21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dados'!M6</f>
        <v>49993</v>
      </c>
      <c r="P55" s="272" t="s">
        <v>122</v>
      </c>
      <c r="Q55" s="302"/>
      <c r="R55" s="302"/>
      <c r="S55" s="302"/>
      <c r="T55" s="273"/>
      <c r="U55" s="118">
        <f>ROUND(SUM(R36:R54)+SUM(U36:U54),0)</f>
        <v>42</v>
      </c>
      <c r="V55" s="272" t="s">
        <v>35</v>
      </c>
      <c r="W55" s="273"/>
      <c r="X55" s="119">
        <f>SUM(X36:X54)</f>
        <v>20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dados'!M7</f>
        <v>45994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dados'!M8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dados'!M9</f>
        <v>21.209999999999997</v>
      </c>
      <c r="P58" s="145" t="s">
        <v>178</v>
      </c>
      <c r="Q58" s="146"/>
      <c r="R58" s="290">
        <f>H97/M76</f>
        <v>2982.1097539578909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dados'!M10</f>
        <v>1.3238782880055873</v>
      </c>
      <c r="P59" s="89" t="s">
        <v>179</v>
      </c>
      <c r="Q59" s="90"/>
      <c r="R59" s="292">
        <f>I97/M76-R58</f>
        <v>3277.575898211639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dados'!M11</f>
        <v>1.3238782880055873</v>
      </c>
      <c r="P60" s="89" t="s">
        <v>168</v>
      </c>
      <c r="Q60" s="90"/>
      <c r="R60" s="142">
        <f>SUM(H82:H87)</f>
        <v>82369.63</v>
      </c>
      <c r="S60" s="143">
        <f>R60/H97</f>
        <v>0.41850394517281064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dados'!M12</f>
        <v>1</v>
      </c>
      <c r="P61" s="89" t="s">
        <v>169</v>
      </c>
      <c r="Q61" s="90"/>
      <c r="R61" s="142">
        <f>SUM(H88:H91)</f>
        <v>44113.49</v>
      </c>
      <c r="S61" s="143">
        <f>R61/H97</f>
        <v>0.22413199622653798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dados'!M13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0.35736405860065135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dados'!M14</f>
        <v>22403.194748111968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dados'!M15</f>
        <v>20610.939168263008</v>
      </c>
      <c r="P64" s="89" t="s">
        <v>177</v>
      </c>
      <c r="Q64" s="90"/>
      <c r="R64" s="142">
        <f>SUM(R60:S63)</f>
        <v>196820.24376122077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dados'!M16</f>
        <v>16922.134187526706</v>
      </c>
      <c r="P65" s="89" t="s">
        <v>99</v>
      </c>
      <c r="Q65" s="90"/>
      <c r="R65" s="142">
        <f>I97-H97</f>
        <v>216320.0092819682</v>
      </c>
      <c r="S65" s="144">
        <f>R65/R64</f>
        <v>1.0990739831843936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dados'!M17</f>
        <v>15568.363452524569</v>
      </c>
      <c r="P66" s="89" t="s">
        <v>180</v>
      </c>
      <c r="Q66" s="90"/>
      <c r="R66" s="292">
        <f>R64*12</f>
        <v>2361842.9251346495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dados'!M18</f>
        <v>358918.46611744148</v>
      </c>
      <c r="P67" s="147" t="s">
        <v>181</v>
      </c>
      <c r="Q67" s="148"/>
      <c r="R67" s="335">
        <f>R65*12</f>
        <v>2595840.1113836183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dados'!M19</f>
        <v>330204.98882804613</v>
      </c>
      <c r="P68" s="344" t="s">
        <v>183</v>
      </c>
      <c r="Q68" s="345"/>
      <c r="R68" s="337">
        <f>R66+R67</f>
        <v>4957683.0365182683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27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0.19696969696969696</v>
      </c>
      <c r="R70" s="113">
        <f>R66</f>
        <v>2361842.9251346495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1.5151515151515152E-2</v>
      </c>
      <c r="R71" s="113">
        <f t="shared" ref="R71:R72" si="12">R67</f>
        <v>2595840.1113836183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0.15151515151515152</v>
      </c>
      <c r="R72" s="113">
        <f t="shared" si="12"/>
        <v>4957683.0365182683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11</v>
      </c>
      <c r="N73" s="131">
        <f t="shared" si="11"/>
        <v>0.16666666666666666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4.5454545454545456E-2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0.62119999999999997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1.5151515151515152E-2</v>
      </c>
      <c r="P75" s="206" t="str">
        <f>D82</f>
        <v>Área técnica - Manutenção de Redes - Operacional</v>
      </c>
      <c r="Q75" s="90"/>
      <c r="R75" s="213">
        <f>I82*12</f>
        <v>1338024.1008024001</v>
      </c>
      <c r="S75" s="207">
        <f>R75/$R$90</f>
        <v>0.26988964998816933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0.31819999999999998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66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2.3004846183198289E-2</v>
      </c>
    </row>
    <row r="77" spans="3:19" ht="16.5" thickTop="1" thickBot="1" x14ac:dyDescent="0.3">
      <c r="C77" s="21" t="s">
        <v>42</v>
      </c>
      <c r="D77" s="22"/>
      <c r="E77" s="46">
        <f>ROUND((M74+M75)/M76,4)</f>
        <v>6.0600000000000001E-2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492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2.4314207849066065E-2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8.5484887040273544E-2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7.7885840156263694E-2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5.1539038818405561E-2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46258.140000000007</v>
      </c>
      <c r="I82" s="342">
        <f t="shared" ref="I82:I95" si="16">(F82+1)*H82</f>
        <v>111502.00840020001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6.0309538046715905E-2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438045.07499999995</v>
      </c>
      <c r="S83" s="207">
        <f t="shared" si="15"/>
        <v>8.8357027276185593E-2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8.5131752770834485E-2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0.16600691790312724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6.8076293967760201E-2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19468.669999999998</v>
      </c>
      <c r="I90" s="283">
        <f t="shared" si="16"/>
        <v>36503.756249999999</v>
      </c>
      <c r="J90" s="283"/>
      <c r="K90" s="284"/>
      <c r="P90" s="346" t="s">
        <v>34</v>
      </c>
      <c r="Q90" s="347"/>
      <c r="R90" s="214">
        <f t="shared" si="14"/>
        <v>4957671.0365182683</v>
      </c>
      <c r="S90" s="208">
        <f>SUM(S75:S89)</f>
        <v>0.99999999999999989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196819.2437612208</v>
      </c>
      <c r="I97" s="315">
        <f>SUM(I82:K96)</f>
        <v>413139.253043189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2982.1097539578909</v>
      </c>
      <c r="I98" s="315">
        <f>(I97-I92-I93)/$M$76</f>
        <v>6259.6856521695299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2982.1097539578909</v>
      </c>
      <c r="I101" s="130"/>
      <c r="J101" s="294">
        <f>I97/M76</f>
        <v>6259.6856521695299</v>
      </c>
      <c r="K101" s="294"/>
    </row>
    <row r="102" spans="3:11" x14ac:dyDescent="0.25">
      <c r="I102" s="132">
        <f>J101/H101-1</f>
        <v>1.0990795673638778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107"/>
  <sheetViews>
    <sheetView topLeftCell="A31" zoomScale="80" zoomScaleNormal="80" workbookViewId="0">
      <selection activeCell="M61" sqref="M56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9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22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4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6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2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3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6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2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3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5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12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27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21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dados'!N6</f>
        <v>50412</v>
      </c>
      <c r="P55" s="272" t="s">
        <v>122</v>
      </c>
      <c r="Q55" s="302"/>
      <c r="R55" s="302"/>
      <c r="S55" s="302"/>
      <c r="T55" s="273"/>
      <c r="U55" s="118">
        <f>ROUND(SUM(R36:R54)+SUM(U36:U54),0)</f>
        <v>42</v>
      </c>
      <c r="V55" s="272" t="s">
        <v>35</v>
      </c>
      <c r="W55" s="273"/>
      <c r="X55" s="119">
        <f>SUM(X36:X54)</f>
        <v>20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dados'!N7</f>
        <v>47387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dados'!N8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dados'!N9</f>
        <v>21.21</v>
      </c>
      <c r="P58" s="145" t="s">
        <v>178</v>
      </c>
      <c r="Q58" s="146"/>
      <c r="R58" s="290">
        <f>H97/M76</f>
        <v>2982.1097539578909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dados'!N10</f>
        <v>1.3239686018156127</v>
      </c>
      <c r="P59" s="89" t="s">
        <v>179</v>
      </c>
      <c r="Q59" s="90"/>
      <c r="R59" s="292">
        <f>I97/M76-R58</f>
        <v>3277.575898211639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dados'!N11</f>
        <v>1.3239686018156132</v>
      </c>
      <c r="P60" s="89" t="s">
        <v>168</v>
      </c>
      <c r="Q60" s="90"/>
      <c r="R60" s="142">
        <f>SUM(H82:H87)</f>
        <v>82369.63</v>
      </c>
      <c r="S60" s="143">
        <f>R60/H97</f>
        <v>0.41850394517281064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dados'!N12</f>
        <v>1</v>
      </c>
      <c r="P61" s="89" t="s">
        <v>169</v>
      </c>
      <c r="Q61" s="90"/>
      <c r="R61" s="142">
        <f>SUM(H88:H91)</f>
        <v>44113.49</v>
      </c>
      <c r="S61" s="143">
        <f>R61/H97</f>
        <v>0.22413199622653798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dados'!N13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0.35736405860065135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dados'!N14</f>
        <v>22785.496120146072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dados'!N15</f>
        <v>21418.366352937304</v>
      </c>
      <c r="P64" s="89" t="s">
        <v>177</v>
      </c>
      <c r="Q64" s="90"/>
      <c r="R64" s="142">
        <f>SUM(R60:S63)</f>
        <v>196820.24376122077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dados'!N16</f>
        <v>17209.978534797559</v>
      </c>
      <c r="P65" s="89" t="s">
        <v>99</v>
      </c>
      <c r="Q65" s="90"/>
      <c r="R65" s="142">
        <f>I97-H97</f>
        <v>216320.0092819682</v>
      </c>
      <c r="S65" s="144">
        <f>R65/R64</f>
        <v>1.0990739831843936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dados'!N17</f>
        <v>16177.3798227097</v>
      </c>
      <c r="P66" s="89" t="s">
        <v>180</v>
      </c>
      <c r="Q66" s="90"/>
      <c r="R66" s="292">
        <f>R64*12</f>
        <v>2361842.9251346495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dados'!N18</f>
        <v>365023.64472305629</v>
      </c>
      <c r="P67" s="147" t="s">
        <v>181</v>
      </c>
      <c r="Q67" s="148"/>
      <c r="R67" s="335">
        <f>R65*12</f>
        <v>2595840.1113836183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dados'!N19</f>
        <v>343122.22603967268</v>
      </c>
      <c r="P68" s="344" t="s">
        <v>183</v>
      </c>
      <c r="Q68" s="345"/>
      <c r="R68" s="337">
        <f>R66+R67</f>
        <v>4957683.0365182683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27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0.19696969696969696</v>
      </c>
      <c r="R70" s="113">
        <f>R66</f>
        <v>2361842.9251346495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1.5151515151515152E-2</v>
      </c>
      <c r="R71" s="113">
        <f t="shared" ref="R71:R72" si="12">R67</f>
        <v>2595840.1113836183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0.15151515151515152</v>
      </c>
      <c r="R72" s="113">
        <f t="shared" si="12"/>
        <v>4957683.0365182683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11</v>
      </c>
      <c r="N73" s="131">
        <f t="shared" si="11"/>
        <v>0.16666666666666666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4.5454545454545456E-2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0.62119999999999997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1.5151515151515152E-2</v>
      </c>
      <c r="P75" s="206" t="str">
        <f>D82</f>
        <v>Área técnica - Manutenção de Redes - Operacional</v>
      </c>
      <c r="Q75" s="90"/>
      <c r="R75" s="213">
        <f>I82*12</f>
        <v>1338024.1008024001</v>
      </c>
      <c r="S75" s="207">
        <f>R75/$R$90</f>
        <v>0.26988964998816933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0.31819999999999998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66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2.3004846183198289E-2</v>
      </c>
    </row>
    <row r="77" spans="3:19" ht="16.5" thickTop="1" thickBot="1" x14ac:dyDescent="0.3">
      <c r="C77" s="21" t="s">
        <v>42</v>
      </c>
      <c r="D77" s="22"/>
      <c r="E77" s="46">
        <f>ROUND((M74+M75)/M76,4)</f>
        <v>6.0600000000000001E-2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506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2.4314207849066065E-2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8.5484887040273544E-2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7.7885840156263694E-2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5.1539038818405561E-2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46258.140000000007</v>
      </c>
      <c r="I82" s="342">
        <f t="shared" ref="I82:I95" si="16">(F82+1)*H82</f>
        <v>111502.00840020001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6.0309538046715905E-2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438045.07499999995</v>
      </c>
      <c r="S83" s="207">
        <f t="shared" si="15"/>
        <v>8.8357027276185593E-2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8.5131752770834485E-2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0.16600691790312724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6.8076293967760201E-2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19468.669999999998</v>
      </c>
      <c r="I90" s="283">
        <f t="shared" si="16"/>
        <v>36503.756249999999</v>
      </c>
      <c r="J90" s="283"/>
      <c r="K90" s="284"/>
      <c r="P90" s="346" t="s">
        <v>34</v>
      </c>
      <c r="Q90" s="347"/>
      <c r="R90" s="214">
        <f t="shared" si="14"/>
        <v>4957671.0365182683</v>
      </c>
      <c r="S90" s="208">
        <f>SUM(S75:S89)</f>
        <v>0.99999999999999989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196819.2437612208</v>
      </c>
      <c r="I97" s="315">
        <f>SUM(I82:K96)</f>
        <v>413139.253043189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2982.1097539578909</v>
      </c>
      <c r="I98" s="315">
        <f>(I97-I92-I93)/$M$76</f>
        <v>6259.6856521695299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2982.1097539578909</v>
      </c>
      <c r="I101" s="130"/>
      <c r="J101" s="294">
        <f>I97/M76</f>
        <v>6259.6856521695299</v>
      </c>
      <c r="K101" s="294"/>
    </row>
    <row r="102" spans="3:11" x14ac:dyDescent="0.25">
      <c r="I102" s="132">
        <f>J101/H101-1</f>
        <v>1.0990795673638778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</mergeCell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107"/>
  <sheetViews>
    <sheetView topLeftCell="A43" zoomScale="80" zoomScaleNormal="80" workbookViewId="0">
      <selection activeCell="M57" sqref="M57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9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22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4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6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6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12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27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23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dados'!O6</f>
        <v>50814</v>
      </c>
      <c r="P55" s="272" t="s">
        <v>122</v>
      </c>
      <c r="Q55" s="302"/>
      <c r="R55" s="302"/>
      <c r="S55" s="302"/>
      <c r="T55" s="273"/>
      <c r="U55" s="118">
        <f>ROUND(SUM(R36:R54)+SUM(U36:U54),0)</f>
        <v>42</v>
      </c>
      <c r="V55" s="272" t="s">
        <v>35</v>
      </c>
      <c r="W55" s="273"/>
      <c r="X55" s="119">
        <f>SUM(X36:X54)</f>
        <v>22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dados'!O7</f>
        <v>48781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dados'!O8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dados'!O9</f>
        <v>21.21</v>
      </c>
      <c r="P58" s="145" t="s">
        <v>178</v>
      </c>
      <c r="Q58" s="146"/>
      <c r="R58" s="290">
        <f>H97/M76</f>
        <v>2894.4006435473648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dados'!O10</f>
        <v>1.3240526317763555</v>
      </c>
      <c r="P59" s="89" t="s">
        <v>179</v>
      </c>
      <c r="Q59" s="90"/>
      <c r="R59" s="292">
        <f>I97/M76-R58</f>
        <v>3181.1766070877675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dados'!O11</f>
        <v>1.3240526317763555</v>
      </c>
      <c r="P60" s="89" t="s">
        <v>168</v>
      </c>
      <c r="Q60" s="90"/>
      <c r="R60" s="142">
        <f>SUM(H82:H87)</f>
        <v>82369.63</v>
      </c>
      <c r="S60" s="143">
        <f>R60/H97</f>
        <v>0.41850394517281064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dados'!O12</f>
        <v>1</v>
      </c>
      <c r="P61" s="89" t="s">
        <v>169</v>
      </c>
      <c r="Q61" s="90"/>
      <c r="R61" s="142">
        <f>SUM(H88:H91)</f>
        <v>44113.49</v>
      </c>
      <c r="S61" s="143">
        <f>R61/H97</f>
        <v>0.22413199622653798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dados'!O13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0.35736405860065135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dados'!O14</f>
        <v>23159.595619313262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dados'!O15</f>
        <v>22233.211794540734</v>
      </c>
      <c r="P64" s="89" t="s">
        <v>177</v>
      </c>
      <c r="Q64" s="90"/>
      <c r="R64" s="142">
        <f>SUM(R60:S63)</f>
        <v>196820.24376122077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dados'!O16</f>
        <v>17491.42752810369</v>
      </c>
      <c r="P65" s="89" t="s">
        <v>99</v>
      </c>
      <c r="Q65" s="90"/>
      <c r="R65" s="142">
        <f>I97-H97</f>
        <v>216320.0092819682</v>
      </c>
      <c r="S65" s="144">
        <f>R65/R64</f>
        <v>1.0990739831843936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dados'!O17</f>
        <v>16791.770426979547</v>
      </c>
      <c r="P66" s="89" t="s">
        <v>180</v>
      </c>
      <c r="Q66" s="90"/>
      <c r="R66" s="292">
        <f>R64*12</f>
        <v>2361842.9251346495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dados'!O18</f>
        <v>370993.1778710793</v>
      </c>
      <c r="P67" s="147" t="s">
        <v>181</v>
      </c>
      <c r="Q67" s="148"/>
      <c r="R67" s="335">
        <f>R65*12</f>
        <v>2595840.1113836183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dados'!O19</f>
        <v>356153.45075623621</v>
      </c>
      <c r="P68" s="344" t="s">
        <v>183</v>
      </c>
      <c r="Q68" s="345"/>
      <c r="R68" s="337">
        <f>R66+R67</f>
        <v>4957683.0365182683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27</v>
      </c>
      <c r="N69" s="131">
        <f t="shared" ref="N69:N75" si="11">M69/$M$76</f>
        <v>0.39705882352941174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0.19117647058823528</v>
      </c>
      <c r="R70" s="113">
        <f>R66</f>
        <v>2361842.9251346495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1.4705882352941176E-2</v>
      </c>
      <c r="R71" s="113">
        <f t="shared" ref="R71:R72" si="12">R67</f>
        <v>2595840.1113836183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0.14705882352941177</v>
      </c>
      <c r="R72" s="113">
        <f t="shared" si="12"/>
        <v>4957683.0365182683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13</v>
      </c>
      <c r="N73" s="131">
        <f t="shared" si="11"/>
        <v>0.19117647058823528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4.4117647058823532E-2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0.60289999999999999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1.4705882352941176E-2</v>
      </c>
      <c r="P75" s="206" t="str">
        <f>D82</f>
        <v>Área técnica - Manutenção de Redes - Operacional</v>
      </c>
      <c r="Q75" s="90"/>
      <c r="R75" s="213">
        <f>I82*12</f>
        <v>1338024.1008024001</v>
      </c>
      <c r="S75" s="207">
        <f>R75/$R$90</f>
        <v>0.26988964998816933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0.3382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68</v>
      </c>
      <c r="N76" s="131">
        <f>SUM(N69:N75)</f>
        <v>0.99999999999999978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2.3004846183198289E-2</v>
      </c>
    </row>
    <row r="77" spans="3:19" ht="16.5" thickTop="1" thickBot="1" x14ac:dyDescent="0.3">
      <c r="C77" s="21" t="s">
        <v>42</v>
      </c>
      <c r="D77" s="22"/>
      <c r="E77" s="46">
        <f>ROUND((M74+M75)/M76,4)</f>
        <v>5.8799999999999998E-2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504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2.4314207849066065E-2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8.5484887040273544E-2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7.7885840156263694E-2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5.1539038818405561E-2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46258.140000000007</v>
      </c>
      <c r="I82" s="342">
        <f t="shared" ref="I82:I95" si="16">(F82+1)*H82</f>
        <v>111502.00840020001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6.0309538046715905E-2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438045.07499999995</v>
      </c>
      <c r="S83" s="207">
        <f t="shared" si="15"/>
        <v>8.8357027276185593E-2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8.5131752770834485E-2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0.16600691790312724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6.8076293967760201E-2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19468.669999999998</v>
      </c>
      <c r="I90" s="283">
        <f t="shared" si="16"/>
        <v>36503.756249999999</v>
      </c>
      <c r="J90" s="283"/>
      <c r="K90" s="284"/>
      <c r="P90" s="346" t="s">
        <v>34</v>
      </c>
      <c r="Q90" s="347"/>
      <c r="R90" s="214">
        <f t="shared" si="14"/>
        <v>4957671.0365182683</v>
      </c>
      <c r="S90" s="208">
        <f>SUM(S75:S89)</f>
        <v>0.99999999999999989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196819.2437612208</v>
      </c>
      <c r="I97" s="315">
        <f>SUM(I82:K96)</f>
        <v>413139.253043189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2894.4006435473648</v>
      </c>
      <c r="I98" s="315">
        <f>(I97-I92-I93)/$M$76</f>
        <v>6075.5772506351323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2894.4006435473648</v>
      </c>
      <c r="I101" s="130"/>
      <c r="J101" s="294">
        <f>I97/M76</f>
        <v>6075.5772506351323</v>
      </c>
      <c r="K101" s="294"/>
    </row>
    <row r="102" spans="3:11" x14ac:dyDescent="0.25">
      <c r="I102" s="132">
        <f>J101/H101-1</f>
        <v>1.0990795673638778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</mergeCells>
  <pageMargins left="0.511811024" right="0.511811024" top="0.78740157499999996" bottom="0.78740157499999996" header="0.31496062000000002" footer="0.31496062000000002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107"/>
  <sheetViews>
    <sheetView topLeftCell="A40" zoomScale="80" zoomScaleNormal="80" workbookViewId="0">
      <selection activeCell="M57" sqref="M57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10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23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7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13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28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24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dados'!P6</f>
        <v>51200</v>
      </c>
      <c r="P55" s="272" t="s">
        <v>122</v>
      </c>
      <c r="Q55" s="302"/>
      <c r="R55" s="302"/>
      <c r="S55" s="302"/>
      <c r="T55" s="273"/>
      <c r="U55" s="118">
        <f>ROUND(SUM(R36:R54)+SUM(U36:U54),0)</f>
        <v>43</v>
      </c>
      <c r="V55" s="272" t="s">
        <v>35</v>
      </c>
      <c r="W55" s="273"/>
      <c r="X55" s="119">
        <f>SUM(X36:X54)</f>
        <v>23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dados'!P7</f>
        <v>50176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dados'!P8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dados'!P9</f>
        <v>21.21</v>
      </c>
      <c r="P58" s="145" t="s">
        <v>178</v>
      </c>
      <c r="Q58" s="146"/>
      <c r="R58" s="290">
        <f>H97/M76</f>
        <v>2874.4770537317258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dados'!P10</f>
        <v>1.324149238538044</v>
      </c>
      <c r="P59" s="89" t="s">
        <v>179</v>
      </c>
      <c r="Q59" s="90"/>
      <c r="R59" s="292">
        <f>I97/M76-R58</f>
        <v>3158.3149234552598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dados'!P11</f>
        <v>1.324149238538044</v>
      </c>
      <c r="P60" s="89" t="s">
        <v>168</v>
      </c>
      <c r="Q60" s="90"/>
      <c r="R60" s="142">
        <f>SUM(H82:H87)</f>
        <v>84082.559999999998</v>
      </c>
      <c r="S60" s="143">
        <f>R60/H97</f>
        <v>0.41787754993974441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dados'!P12</f>
        <v>1</v>
      </c>
      <c r="P61" s="89" t="s">
        <v>169</v>
      </c>
      <c r="Q61" s="90"/>
      <c r="R61" s="142">
        <f>SUM(H88:H91)</f>
        <v>46794.71</v>
      </c>
      <c r="S61" s="143">
        <f>R61/H97</f>
        <v>0.23256259996057277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dados'!P13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0.34955985009968282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dados'!P14</f>
        <v>23526.195245757965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dados'!P15</f>
        <v>23055.671340842808</v>
      </c>
      <c r="P64" s="89" t="s">
        <v>177</v>
      </c>
      <c r="Q64" s="90"/>
      <c r="R64" s="142">
        <f>SUM(R60:S63)</f>
        <v>201214.39376122077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dados'!P16</f>
        <v>17767.008067569303</v>
      </c>
      <c r="P65" s="89" t="s">
        <v>99</v>
      </c>
      <c r="Q65" s="90"/>
      <c r="R65" s="142">
        <f>I97-H97</f>
        <v>221082.04464186821</v>
      </c>
      <c r="S65" s="144">
        <f>R65/R64</f>
        <v>1.0987387159997322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dados'!P17</f>
        <v>17411.667906217917</v>
      </c>
      <c r="P66" s="89" t="s">
        <v>180</v>
      </c>
      <c r="Q66" s="90"/>
      <c r="R66" s="292">
        <f>R64*12</f>
        <v>2414572.7251346493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dados'!P18</f>
        <v>376838.24111314496</v>
      </c>
      <c r="P67" s="147" t="s">
        <v>181</v>
      </c>
      <c r="Q67" s="148"/>
      <c r="R67" s="335">
        <f>R65*12</f>
        <v>2652984.5357024185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dados'!P19</f>
        <v>369301.47629088204</v>
      </c>
      <c r="P68" s="344" t="s">
        <v>183</v>
      </c>
      <c r="Q68" s="345"/>
      <c r="R68" s="337">
        <f>R66+R67</f>
        <v>5067557.2608370678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28</v>
      </c>
      <c r="N69" s="131">
        <f t="shared" ref="N69:N75" si="11">M69/$M$76</f>
        <v>0.4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0.18571428571428572</v>
      </c>
      <c r="R70" s="113">
        <f>R66</f>
        <v>2414572.7251346493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1.4285714285714285E-2</v>
      </c>
      <c r="R71" s="113">
        <f t="shared" ref="R71:R72" si="12">R67</f>
        <v>2652984.5357024185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0.14285714285714285</v>
      </c>
      <c r="R72" s="113">
        <f t="shared" si="12"/>
        <v>5067557.2608370678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0.2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4.2857142857142858E-2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1.4285714285714285E-2</v>
      </c>
      <c r="P75" s="206" t="str">
        <f>D82</f>
        <v>Área técnica - Manutenção de Redes - Operacional</v>
      </c>
      <c r="Q75" s="90"/>
      <c r="R75" s="213">
        <f>I82*12</f>
        <v>1387570.8751212</v>
      </c>
      <c r="S75" s="207">
        <f>R75/$R$90</f>
        <v>0.27381519132046156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0.34289999999999998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70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2.2506056433950997E-2</v>
      </c>
    </row>
    <row r="77" spans="3:19" ht="16.5" thickTop="1" thickBot="1" x14ac:dyDescent="0.3">
      <c r="C77" s="21" t="s">
        <v>42</v>
      </c>
      <c r="D77" s="22"/>
      <c r="E77" s="46">
        <f>ROUND((M74+M75)/M76,4)</f>
        <v>5.7099999999999998E-2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503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2.3787028595633818E-2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8.3631408645691074E-2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7.6197123858311192E-2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5.0421572348777345E-2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47971.07</v>
      </c>
      <c r="I82" s="342">
        <f t="shared" ref="I82:I95" si="16">(F82+1)*H82</f>
        <v>115630.90626009999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5.9001910118235704E-2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9.8345944505225338E-2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8.3285931013131989E-2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0.16240756547560739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6.6600267684973583E-2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5067545.2608370678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201213.3937612208</v>
      </c>
      <c r="I97" s="315">
        <f>SUM(I82:K96)</f>
        <v>422295.43840308901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2874.4770537317258</v>
      </c>
      <c r="I98" s="315">
        <f>(I97-I92-I93)/$M$76</f>
        <v>6032.7919771869856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2874.4770537317258</v>
      </c>
      <c r="I101" s="130"/>
      <c r="J101" s="294">
        <f>I97/M76</f>
        <v>6032.7919771869856</v>
      </c>
      <c r="K101" s="294"/>
    </row>
    <row r="102" spans="3:11" x14ac:dyDescent="0.25">
      <c r="I102" s="132">
        <f>J101/H101-1</f>
        <v>1.0987441765642374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</mergeCells>
  <pageMargins left="0.511811024" right="0.511811024" top="0.78740157499999996" bottom="0.78740157499999996" header="0.31496062000000002" footer="0.31496062000000002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107"/>
  <sheetViews>
    <sheetView topLeftCell="A40" zoomScale="80" zoomScaleNormal="80" workbookViewId="0">
      <selection activeCell="M56" sqref="M56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10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23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7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13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28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24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dados'!Q6</f>
        <v>51570</v>
      </c>
      <c r="P55" s="272" t="s">
        <v>122</v>
      </c>
      <c r="Q55" s="302"/>
      <c r="R55" s="302"/>
      <c r="S55" s="302"/>
      <c r="T55" s="273"/>
      <c r="U55" s="118">
        <f>ROUND(SUM(R36:R54)+SUM(U36:U54),0)</f>
        <v>43</v>
      </c>
      <c r="V55" s="272" t="s">
        <v>35</v>
      </c>
      <c r="W55" s="273"/>
      <c r="X55" s="119">
        <f>SUM(X36:X54)</f>
        <v>23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dados'!Q7</f>
        <v>51570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dados'!Q8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dados'!Q9</f>
        <v>21.21</v>
      </c>
      <c r="P58" s="145" t="s">
        <v>178</v>
      </c>
      <c r="Q58" s="146"/>
      <c r="R58" s="290">
        <f>H97/M76</f>
        <v>2874.4770537317258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dados'!Q10</f>
        <v>1.3242232589975516</v>
      </c>
      <c r="P59" s="89" t="s">
        <v>179</v>
      </c>
      <c r="Q59" s="90"/>
      <c r="R59" s="292">
        <f>I97/M76-R58</f>
        <v>3158.3149234552598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dados'!Q11</f>
        <v>1.3242232589975516</v>
      </c>
      <c r="P60" s="89" t="s">
        <v>168</v>
      </c>
      <c r="Q60" s="90"/>
      <c r="R60" s="142">
        <f>SUM(H82:H87)</f>
        <v>84082.559999999998</v>
      </c>
      <c r="S60" s="143">
        <f>R60/H97</f>
        <v>0.41787754993974441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dados'!Q12</f>
        <v>1</v>
      </c>
      <c r="P61" s="89" t="s">
        <v>169</v>
      </c>
      <c r="Q61" s="90"/>
      <c r="R61" s="142">
        <f>SUM(H88:H91)</f>
        <v>46794.71</v>
      </c>
      <c r="S61" s="143">
        <f>R61/H97</f>
        <v>0.23256259996057277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dados'!Q13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0.34955985009968282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dados'!Q14</f>
        <v>23887.023717160399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dados'!Q15</f>
        <v>23887.023717160399</v>
      </c>
      <c r="P64" s="89" t="s">
        <v>177</v>
      </c>
      <c r="Q64" s="90"/>
      <c r="R64" s="142">
        <f>SUM(R60:S63)</f>
        <v>201214.39376122077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dados'!Q16</f>
        <v>18038.516960684621</v>
      </c>
      <c r="P65" s="89" t="s">
        <v>99</v>
      </c>
      <c r="Q65" s="90"/>
      <c r="R65" s="142">
        <f>I97-H97</f>
        <v>221082.04464186821</v>
      </c>
      <c r="S65" s="144">
        <f>R65/R64</f>
        <v>1.0987387159997322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dados'!Q17</f>
        <v>18038.516960684621</v>
      </c>
      <c r="P66" s="89" t="s">
        <v>180</v>
      </c>
      <c r="Q66" s="90"/>
      <c r="R66" s="292">
        <f>R64*12</f>
        <v>2414572.7251346493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dados'!Q18</f>
        <v>382596.94473612087</v>
      </c>
      <c r="P67" s="147" t="s">
        <v>181</v>
      </c>
      <c r="Q67" s="148"/>
      <c r="R67" s="335">
        <f>R65*12</f>
        <v>2652984.5357024185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dados'!Q19</f>
        <v>382596.94473612081</v>
      </c>
      <c r="P68" s="344" t="s">
        <v>183</v>
      </c>
      <c r="Q68" s="345"/>
      <c r="R68" s="337">
        <f>R66+R67</f>
        <v>5067557.2608370678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28</v>
      </c>
      <c r="N69" s="131">
        <f t="shared" ref="N69:N75" si="11">M69/$M$76</f>
        <v>0.4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0.18571428571428572</v>
      </c>
      <c r="R70" s="113">
        <f>R66</f>
        <v>2414572.7251346493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1.4285714285714285E-2</v>
      </c>
      <c r="R71" s="113">
        <f t="shared" ref="R71:R72" si="12">R67</f>
        <v>2652984.5357024185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0.14285714285714285</v>
      </c>
      <c r="R72" s="113">
        <f t="shared" si="12"/>
        <v>5067557.2608370678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0.2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4.2857142857142858E-2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1.4285714285714285E-2</v>
      </c>
      <c r="P75" s="206" t="str">
        <f>D82</f>
        <v>Área técnica - Manutenção de Redes - Operacional</v>
      </c>
      <c r="Q75" s="90"/>
      <c r="R75" s="213">
        <f>I82*12</f>
        <v>1387570.8751212</v>
      </c>
      <c r="S75" s="207">
        <f>R75/$R$90</f>
        <v>0.27381519132046156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0.34289999999999998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70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2.2506056433950997E-2</v>
      </c>
    </row>
    <row r="77" spans="3:19" ht="16.5" thickTop="1" thickBot="1" x14ac:dyDescent="0.3">
      <c r="C77" s="21" t="s">
        <v>42</v>
      </c>
      <c r="D77" s="22"/>
      <c r="E77" s="46">
        <f>ROUND((M74+M75)/M76,4)</f>
        <v>5.7099999999999998E-2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515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2.3787028595633818E-2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8.3631408645691074E-2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7.6197123858311192E-2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5.0421572348777345E-2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47971.07</v>
      </c>
      <c r="I82" s="342">
        <f t="shared" ref="I82:I95" si="16">(F82+1)*H82</f>
        <v>115630.90626009999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5.9001910118235704E-2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9.8345944505225338E-2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8.3285931013131989E-2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0.16240756547560739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6.6600267684973583E-2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5067545.2608370678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201213.3937612208</v>
      </c>
      <c r="I97" s="315">
        <f>SUM(I82:K96)</f>
        <v>422295.43840308901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2874.4770537317258</v>
      </c>
      <c r="I98" s="315">
        <f>(I97-I92-I93)/$M$76</f>
        <v>6032.7919771869856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2874.4770537317258</v>
      </c>
      <c r="I101" s="130"/>
      <c r="J101" s="294">
        <f>I97/M76</f>
        <v>6032.7919771869856</v>
      </c>
      <c r="K101" s="294"/>
    </row>
    <row r="102" spans="3:11" x14ac:dyDescent="0.25">
      <c r="I102" s="132">
        <f>J101/H101-1</f>
        <v>1.0987441765642374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</mergeCells>
  <pageMargins left="0.511811024" right="0.511811024" top="0.78740157499999996" bottom="0.78740157499999996" header="0.31496062000000002" footer="0.31496062000000002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X107"/>
  <sheetViews>
    <sheetView topLeftCell="A37" zoomScale="80" zoomScaleNormal="80" workbookViewId="0">
      <selection activeCell="M61" sqref="M56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10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23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7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13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28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24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dados'!R6</f>
        <v>51925</v>
      </c>
      <c r="P55" s="272" t="s">
        <v>122</v>
      </c>
      <c r="Q55" s="302"/>
      <c r="R55" s="302"/>
      <c r="S55" s="302"/>
      <c r="T55" s="273"/>
      <c r="U55" s="118">
        <f>ROUND(SUM(R36:R54)+SUM(U36:U54),0)</f>
        <v>43</v>
      </c>
      <c r="V55" s="272" t="s">
        <v>35</v>
      </c>
      <c r="W55" s="273"/>
      <c r="X55" s="119">
        <f>SUM(X36:X54)</f>
        <v>23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dados'!R7</f>
        <v>51925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dados'!R8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dados'!R9</f>
        <v>21.21</v>
      </c>
      <c r="P58" s="145" t="s">
        <v>178</v>
      </c>
      <c r="Q58" s="146"/>
      <c r="R58" s="290">
        <f>H97/M76</f>
        <v>2874.4770537317258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dados'!R10</f>
        <v>1.3243266675096268</v>
      </c>
      <c r="P59" s="89" t="s">
        <v>179</v>
      </c>
      <c r="Q59" s="90"/>
      <c r="R59" s="292">
        <f>I97/M76-R58</f>
        <v>3158.3149234552598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dados'!R11</f>
        <v>1.3243266675096268</v>
      </c>
      <c r="P60" s="89" t="s">
        <v>168</v>
      </c>
      <c r="Q60" s="90"/>
      <c r="R60" s="142">
        <f>SUM(H82:H87)</f>
        <v>84082.559999999998</v>
      </c>
      <c r="S60" s="143">
        <f>R60/H97</f>
        <v>0.41787754993974441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dados'!R12</f>
        <v>1</v>
      </c>
      <c r="P61" s="89" t="s">
        <v>169</v>
      </c>
      <c r="Q61" s="90"/>
      <c r="R61" s="142">
        <f>SUM(H88:H91)</f>
        <v>46794.71</v>
      </c>
      <c r="S61" s="143">
        <f>R61/H97</f>
        <v>0.23256259996057277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dados'!R13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0.34955985009968282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dados'!R14</f>
        <v>24237.83676195889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dados'!R15</f>
        <v>24237.83676195889</v>
      </c>
      <c r="P64" s="89" t="s">
        <v>177</v>
      </c>
      <c r="Q64" s="90"/>
      <c r="R64" s="142">
        <f>SUM(R60:S63)</f>
        <v>201214.39376122077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dados'!R16</f>
        <v>18302.007621380697</v>
      </c>
      <c r="P65" s="89" t="s">
        <v>99</v>
      </c>
      <c r="Q65" s="90"/>
      <c r="R65" s="142">
        <f>I97-H97</f>
        <v>221082.04464186821</v>
      </c>
      <c r="S65" s="144">
        <f>R65/R64</f>
        <v>1.0987387159997322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dados'!R17</f>
        <v>18302.007621380697</v>
      </c>
      <c r="P66" s="89" t="s">
        <v>180</v>
      </c>
      <c r="Q66" s="90"/>
      <c r="R66" s="292">
        <f>R64*12</f>
        <v>2414572.7251346493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dados'!R18</f>
        <v>388185.58164948464</v>
      </c>
      <c r="P67" s="147" t="s">
        <v>181</v>
      </c>
      <c r="Q67" s="148"/>
      <c r="R67" s="335">
        <f>R65*12</f>
        <v>2652984.5357024185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dados'!R19</f>
        <v>388185.58164948458</v>
      </c>
      <c r="P68" s="344" t="s">
        <v>183</v>
      </c>
      <c r="Q68" s="345"/>
      <c r="R68" s="337">
        <f>R66+R67</f>
        <v>5067557.2608370678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28</v>
      </c>
      <c r="N69" s="131">
        <f t="shared" ref="N69:N75" si="11">M69/$M$76</f>
        <v>0.4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0.18571428571428572</v>
      </c>
      <c r="R70" s="113">
        <f>R66</f>
        <v>2414572.7251346493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1.4285714285714285E-2</v>
      </c>
      <c r="R71" s="113">
        <f t="shared" ref="R71:R72" si="12">R67</f>
        <v>2652984.5357024185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0.14285714285714285</v>
      </c>
      <c r="R72" s="113">
        <f t="shared" si="12"/>
        <v>5067557.2608370678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0.2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4.2857142857142858E-2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1.4285714285714285E-2</v>
      </c>
      <c r="P75" s="206" t="str">
        <f>D82</f>
        <v>Área técnica - Manutenção de Redes - Operacional</v>
      </c>
      <c r="Q75" s="90"/>
      <c r="R75" s="213">
        <f>I82*12</f>
        <v>1387570.8751212</v>
      </c>
      <c r="S75" s="207">
        <f>R75/$R$90</f>
        <v>0.27381519132046156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0.34289999999999998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70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2.2506056433950997E-2</v>
      </c>
    </row>
    <row r="77" spans="3:19" ht="16.5" thickTop="1" thickBot="1" x14ac:dyDescent="0.3">
      <c r="C77" s="21" t="s">
        <v>42</v>
      </c>
      <c r="D77" s="22"/>
      <c r="E77" s="46">
        <f>ROUND((M74+M75)/M76,4)</f>
        <v>5.7099999999999998E-2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523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2.3787028595633818E-2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8.3631408645691074E-2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7.6197123858311192E-2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5.0421572348777345E-2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47971.07</v>
      </c>
      <c r="I82" s="342">
        <f t="shared" ref="I82:I95" si="16">(F82+1)*H82</f>
        <v>115630.90626009999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5.9001910118235704E-2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9.8345944505225338E-2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8.3285931013131989E-2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0.16240756547560739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6.6600267684973583E-2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5067545.2608370678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201213.3937612208</v>
      </c>
      <c r="I97" s="315">
        <f>SUM(I82:K96)</f>
        <v>422295.43840308901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2874.4770537317258</v>
      </c>
      <c r="I98" s="315">
        <f>(I97-I92-I93)/$M$76</f>
        <v>6032.7919771869856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2874.4770537317258</v>
      </c>
      <c r="I101" s="130"/>
      <c r="J101" s="294">
        <f>I97/M76</f>
        <v>6032.7919771869856</v>
      </c>
      <c r="K101" s="294"/>
    </row>
    <row r="102" spans="3:11" x14ac:dyDescent="0.25">
      <c r="I102" s="132">
        <f>J101/H101-1</f>
        <v>1.0987441765642374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X107"/>
  <sheetViews>
    <sheetView topLeftCell="A40" zoomScale="80" zoomScaleNormal="80" workbookViewId="0">
      <selection activeCell="H83" sqref="H83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10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1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1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0</v>
      </c>
      <c r="K7" s="4">
        <v>1</v>
      </c>
      <c r="L7" s="5" t="str">
        <f>W41</f>
        <v>Assistente Administrativo</v>
      </c>
      <c r="M7" s="104">
        <f>ROUND(($M$65+$M$66)/25000+1,0)</f>
        <v>2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2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0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23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10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7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0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1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0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2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1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1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1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2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6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0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0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7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0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0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0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0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1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3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0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13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28</v>
      </c>
      <c r="G52" s="303" t="s">
        <v>171</v>
      </c>
      <c r="H52" s="304"/>
      <c r="I52" s="102">
        <f>ROUND(I19+I37+I50,0)</f>
        <v>14</v>
      </c>
      <c r="K52" s="303" t="s">
        <v>5</v>
      </c>
      <c r="L52" s="304"/>
      <c r="M52" s="102">
        <f>ROUND(M17+M37+M50,0)</f>
        <v>24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dados'!S6</f>
        <v>52265</v>
      </c>
      <c r="P55" s="272" t="s">
        <v>122</v>
      </c>
      <c r="Q55" s="302"/>
      <c r="R55" s="302"/>
      <c r="S55" s="302"/>
      <c r="T55" s="273"/>
      <c r="U55" s="118">
        <f>ROUND(SUM(R36:R54)+SUM(U36:U54),0)</f>
        <v>43</v>
      </c>
      <c r="V55" s="272" t="s">
        <v>35</v>
      </c>
      <c r="W55" s="273"/>
      <c r="X55" s="119">
        <f>SUM(X36:X54)</f>
        <v>23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dados'!S7</f>
        <v>52265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dados'!S8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dados'!S9</f>
        <v>21.21</v>
      </c>
      <c r="P58" s="145" t="s">
        <v>178</v>
      </c>
      <c r="Q58" s="146"/>
      <c r="R58" s="290">
        <f>H97/M76</f>
        <v>2874.4770537317258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dados'!S10</f>
        <v>1.324407295299312</v>
      </c>
      <c r="P59" s="89" t="s">
        <v>179</v>
      </c>
      <c r="Q59" s="90"/>
      <c r="R59" s="292">
        <f>I97/M76-R58</f>
        <v>3158.3149234552598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dados'!S11</f>
        <v>1.324407295299312</v>
      </c>
      <c r="P60" s="89" t="s">
        <v>168</v>
      </c>
      <c r="Q60" s="90"/>
      <c r="R60" s="142">
        <f>SUM(H82:H87)</f>
        <v>84082.559999999998</v>
      </c>
      <c r="S60" s="143">
        <f>R60/H97</f>
        <v>0.41787754993974441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dados'!S12</f>
        <v>1</v>
      </c>
      <c r="P61" s="89" t="s">
        <v>169</v>
      </c>
      <c r="Q61" s="90"/>
      <c r="R61" s="142">
        <f>SUM(H88:H91)</f>
        <v>46794.71</v>
      </c>
      <c r="S61" s="143">
        <f>R61/H97</f>
        <v>0.23256259996057277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dados'!S13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0.34955985009968282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dados'!S14</f>
        <v>24581.417208064111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dados'!S15</f>
        <v>24581.417208064111</v>
      </c>
      <c r="P64" s="89" t="s">
        <v>177</v>
      </c>
      <c r="Q64" s="90"/>
      <c r="R64" s="142">
        <f>SUM(R60:S63)</f>
        <v>201214.39376122077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dados'!S16</f>
        <v>18560.296408482667</v>
      </c>
      <c r="P65" s="89" t="s">
        <v>99</v>
      </c>
      <c r="Q65" s="90"/>
      <c r="R65" s="142">
        <f>I97-H97</f>
        <v>221082.04464186821</v>
      </c>
      <c r="S65" s="144">
        <f>R65/R64</f>
        <v>1.0987387159997322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dados'!S17</f>
        <v>18560.296408482667</v>
      </c>
      <c r="P66" s="89" t="s">
        <v>180</v>
      </c>
      <c r="Q66" s="90"/>
      <c r="R66" s="292">
        <f>R64*12</f>
        <v>2414572.7251346493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dados'!S18</f>
        <v>393663.88682391745</v>
      </c>
      <c r="P67" s="147" t="s">
        <v>181</v>
      </c>
      <c r="Q67" s="148"/>
      <c r="R67" s="335">
        <f>R65*12</f>
        <v>2652984.5357024185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dados'!S19</f>
        <v>393663.88682391739</v>
      </c>
      <c r="P68" s="344" t="s">
        <v>183</v>
      </c>
      <c r="Q68" s="345"/>
      <c r="R68" s="337">
        <f>R66+R67</f>
        <v>5067557.2608370678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28</v>
      </c>
      <c r="N69" s="131">
        <f t="shared" ref="N69:N75" si="11">M69/$M$76</f>
        <v>0.4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13</v>
      </c>
      <c r="N70" s="131">
        <f t="shared" si="11"/>
        <v>0.18571428571428572</v>
      </c>
      <c r="R70" s="113">
        <f>R66</f>
        <v>2414572.7251346493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1.4285714285714285E-2</v>
      </c>
      <c r="R71" s="113">
        <f t="shared" ref="R71:R72" si="12">R67</f>
        <v>2652984.5357024185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10</v>
      </c>
      <c r="N72" s="131">
        <f t="shared" si="11"/>
        <v>0.14285714285714285</v>
      </c>
      <c r="R72" s="113">
        <f t="shared" si="12"/>
        <v>5067557.2608370678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0.2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4.2857142857142858E-2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1.4285714285714285E-2</v>
      </c>
      <c r="P75" s="206" t="str">
        <f>D82</f>
        <v>Área técnica - Manutenção de Redes - Operacional</v>
      </c>
      <c r="Q75" s="90"/>
      <c r="R75" s="213">
        <f>I82*12</f>
        <v>1387570.8751212</v>
      </c>
      <c r="S75" s="207">
        <f>R75/$R$90</f>
        <v>0.27381519132046156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0.34289999999999998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70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114050.45962199998</v>
      </c>
      <c r="S76" s="207">
        <f t="shared" ref="S76:S89" si="15">R76/$R$90</f>
        <v>2.2506056433950997E-2</v>
      </c>
    </row>
    <row r="77" spans="3:19" ht="16.5" thickTop="1" thickBot="1" x14ac:dyDescent="0.3">
      <c r="C77" s="21" t="s">
        <v>42</v>
      </c>
      <c r="D77" s="22"/>
      <c r="E77" s="46">
        <f>ROUND((M74+M75)/M76,4)</f>
        <v>5.7099999999999998E-2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530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2.3787028595633818E-2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0</v>
      </c>
      <c r="S78" s="207">
        <f t="shared" si="15"/>
        <v>0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423805.94853960001</v>
      </c>
      <c r="S79" s="207">
        <f t="shared" si="15"/>
        <v>8.3631408645691074E-2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386132.37389759999</v>
      </c>
      <c r="S80" s="207">
        <f t="shared" si="15"/>
        <v>7.6197123858311192E-2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5.0421572348777345E-2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47971.07</v>
      </c>
      <c r="I82" s="342">
        <f t="shared" ref="I82:I95" si="16">(F82+1)*H82</f>
        <v>115630.90626009999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298994.84999999998</v>
      </c>
      <c r="S82" s="207">
        <f t="shared" si="15"/>
        <v>5.9001910118235704E-2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3942.95</v>
      </c>
      <c r="I83" s="283">
        <f>(F83+1)*H83</f>
        <v>9504.2049684999984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9.8345944505225338E-2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0</v>
      </c>
      <c r="I85" s="283">
        <f>(F85+1)*H85</f>
        <v>0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14651.810000000001</v>
      </c>
      <c r="I86" s="283">
        <f t="shared" si="16"/>
        <v>35317.162378300003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13349.36</v>
      </c>
      <c r="I87" s="283">
        <f>(F87+1)*H87</f>
        <v>32177.697824799998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8.3285931013131989E-2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0.16240756547560739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13288.66</v>
      </c>
      <c r="I89" s="283">
        <f t="shared" si="16"/>
        <v>24916.237499999999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6.6600267684973583E-2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5067545.2608370678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201213.3937612208</v>
      </c>
      <c r="I97" s="315">
        <f>SUM(I82:K96)</f>
        <v>422295.43840308901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2874.4770537317258</v>
      </c>
      <c r="I98" s="315">
        <f>(I97-I92-I93)/$M$76</f>
        <v>6032.7919771869856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2874.4770537317258</v>
      </c>
      <c r="I101" s="130"/>
      <c r="J101" s="294">
        <f>I97/M76</f>
        <v>6032.7919771869856</v>
      </c>
      <c r="K101" s="294"/>
    </row>
    <row r="102" spans="3:11" x14ac:dyDescent="0.25">
      <c r="I102" s="132">
        <f>J101/H101-1</f>
        <v>1.0987441765642374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</mergeCells>
  <pageMargins left="0.511811024" right="0.511811024" top="0.78740157499999996" bottom="0.78740157499999996" header="0.31496062000000002" footer="0.31496062000000002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X107"/>
  <sheetViews>
    <sheetView topLeftCell="A58" zoomScale="80" zoomScaleNormal="80" workbookViewId="0">
      <selection activeCell="L75" sqref="L75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10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24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12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15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33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26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dados'!T6</f>
        <v>52590</v>
      </c>
      <c r="P55" s="272" t="s">
        <v>122</v>
      </c>
      <c r="Q55" s="302"/>
      <c r="R55" s="302"/>
      <c r="S55" s="302"/>
      <c r="T55" s="273"/>
      <c r="U55" s="118">
        <f>ROUND(SUM(R36:R54)+SUM(U36:U54),0)</f>
        <v>52</v>
      </c>
      <c r="V55" s="272" t="s">
        <v>35</v>
      </c>
      <c r="W55" s="273"/>
      <c r="X55" s="119">
        <f>SUM(X36:X54)</f>
        <v>28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dados'!T7</f>
        <v>52590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dados'!T8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dados'!T9</f>
        <v>21.21</v>
      </c>
      <c r="P58" s="145" t="s">
        <v>178</v>
      </c>
      <c r="Q58" s="146"/>
      <c r="R58" s="290">
        <f>H97/M76</f>
        <v>2733.0057590621523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dados'!T10</f>
        <v>1.324466665396214</v>
      </c>
      <c r="P59" s="89" t="s">
        <v>179</v>
      </c>
      <c r="Q59" s="90"/>
      <c r="R59" s="292">
        <f>I97/M76-R58</f>
        <v>3079.0481499210505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dados'!T11</f>
        <v>1.324466665396214</v>
      </c>
      <c r="P60" s="89" t="s">
        <v>168</v>
      </c>
      <c r="Q60" s="90"/>
      <c r="R60" s="142">
        <f>SUM(H82:H87)</f>
        <v>107883.61</v>
      </c>
      <c r="S60" s="143">
        <f>R60/H97</f>
        <v>0.4699326689003816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dados'!T12</f>
        <v>1</v>
      </c>
      <c r="P61" s="89" t="s">
        <v>169</v>
      </c>
      <c r="Q61" s="90"/>
      <c r="R61" s="142">
        <f>SUM(H88:H91)</f>
        <v>51352.75</v>
      </c>
      <c r="S61" s="143">
        <f>R61/H97</f>
        <v>0.22368861092870429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dados'!T13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0.30637872017091411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dados'!T14</f>
        <v>24917.574877135074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dados'!T15</f>
        <v>24917.574877135074</v>
      </c>
      <c r="P64" s="89" t="s">
        <v>177</v>
      </c>
      <c r="Q64" s="90"/>
      <c r="R64" s="142">
        <f>SUM(R60:S63)</f>
        <v>229573.48376122079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dados'!T16</f>
        <v>18813.025479432843</v>
      </c>
      <c r="P65" s="89" t="s">
        <v>99</v>
      </c>
      <c r="Q65" s="90"/>
      <c r="R65" s="142">
        <f>I97-H97</f>
        <v>258640.04459336822</v>
      </c>
      <c r="S65" s="144">
        <f>R65/R64</f>
        <v>1.1266111414782534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dados'!T17</f>
        <v>18813.025479432843</v>
      </c>
      <c r="P66" s="89" t="s">
        <v>180</v>
      </c>
      <c r="Q66" s="90"/>
      <c r="R66" s="292">
        <f>R64*12</f>
        <v>2754881.8051346494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dados'!T18</f>
        <v>399024.27041877067</v>
      </c>
      <c r="P67" s="147" t="s">
        <v>181</v>
      </c>
      <c r="Q67" s="148"/>
      <c r="R67" s="335">
        <f>R65*12</f>
        <v>3103680.5351204188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dados'!T19</f>
        <v>399024.27041877061</v>
      </c>
      <c r="P68" s="344" t="s">
        <v>183</v>
      </c>
      <c r="Q68" s="345"/>
      <c r="R68" s="337">
        <f>R66+R67</f>
        <v>5858562.3402550686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33</v>
      </c>
      <c r="N69" s="131">
        <f t="shared" ref="N69:N75" si="11">M69/$M$76</f>
        <v>0.39285714285714285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0.23809523809523808</v>
      </c>
      <c r="R70" s="113">
        <f>R66</f>
        <v>2754881.8051346494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1.1904761904761904E-2</v>
      </c>
      <c r="R71" s="113">
        <f t="shared" ref="R71:R72" si="12">R67</f>
        <v>3103680.5351204188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12</v>
      </c>
      <c r="N72" s="131">
        <f t="shared" si="11"/>
        <v>0.14285714285714285</v>
      </c>
      <c r="R72" s="113">
        <f t="shared" si="12"/>
        <v>5858562.3402550686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0.16666666666666666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3.5714285714285712E-2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0.64290000000000003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1.1904761904761904E-2</v>
      </c>
      <c r="P75" s="206" t="str">
        <f>D82</f>
        <v>Área técnica - Manutenção de Redes - Operacional</v>
      </c>
      <c r="Q75" s="90"/>
      <c r="R75" s="213">
        <f>I82*12</f>
        <v>1453528.3389659999</v>
      </c>
      <c r="S75" s="207">
        <f>R75/$R$90</f>
        <v>0.24810375511815033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0.3095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84</v>
      </c>
      <c r="N76" s="131">
        <f>SUM(N69:N75)</f>
        <v>0.99999999999999978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3.2705219890430764E-2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4.7600000000000003E-2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448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2.0575370531671806E-2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1.323786824230368E-2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0.10524599471908866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0.11278074036643561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4.3613792689349062E-2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50251.35</v>
      </c>
      <c r="I82" s="342">
        <f t="shared" ref="I82:I95" si="16">(F82+1)*H82</f>
        <v>121127.36158049999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401550.74999999988</v>
      </c>
      <c r="S82" s="207">
        <f t="shared" si="15"/>
        <v>6.8540974589034132E-2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8.506755017117458E-2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7.2040897574949331E-2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0.1404797502711512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17846.699999999997</v>
      </c>
      <c r="I89" s="283">
        <f t="shared" si="16"/>
        <v>33462.562499999993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5.7608085836260647E-2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5858550.3402550686</v>
      </c>
      <c r="S90" s="208">
        <f>SUM(S75:S89)</f>
        <v>0.99999999999999978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229572.48376122079</v>
      </c>
      <c r="I97" s="315">
        <f>SUM(I82:K96)</f>
        <v>488212.52835458901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2733.0057590621523</v>
      </c>
      <c r="I98" s="315">
        <f>(I97-I92-I93)/$M$76</f>
        <v>5812.0539089832027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2733.0057590621523</v>
      </c>
      <c r="I101" s="130"/>
      <c r="J101" s="294">
        <f>I97/M76</f>
        <v>5812.0539089832027</v>
      </c>
      <c r="K101" s="294"/>
    </row>
    <row r="102" spans="3:11" x14ac:dyDescent="0.25">
      <c r="I102" s="132">
        <f>J101/H101-1</f>
        <v>1.1266160489093315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X107"/>
  <sheetViews>
    <sheetView topLeftCell="A43" zoomScale="80" zoomScaleNormal="80" workbookViewId="0">
      <selection activeCell="M61" sqref="M55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10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5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24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12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5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15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33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26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dados'!U6</f>
        <v>52902</v>
      </c>
      <c r="P55" s="272" t="s">
        <v>122</v>
      </c>
      <c r="Q55" s="302"/>
      <c r="R55" s="302"/>
      <c r="S55" s="302"/>
      <c r="T55" s="273"/>
      <c r="U55" s="118">
        <f>ROUND(SUM(R36:R54)+SUM(U36:U54),0)</f>
        <v>52</v>
      </c>
      <c r="V55" s="272" t="s">
        <v>35</v>
      </c>
      <c r="W55" s="273"/>
      <c r="X55" s="119">
        <f>SUM(X36:X54)</f>
        <v>28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dados'!U7</f>
        <v>52902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dados'!U8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dados'!U9</f>
        <v>21.21</v>
      </c>
      <c r="P58" s="145" t="s">
        <v>178</v>
      </c>
      <c r="Q58" s="146"/>
      <c r="R58" s="290">
        <f>H97/M76</f>
        <v>2733.0057590621523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dados'!U10</f>
        <v>1.3245383278622753</v>
      </c>
      <c r="P59" s="89" t="s">
        <v>179</v>
      </c>
      <c r="Q59" s="90"/>
      <c r="R59" s="292">
        <f>I97/M76-R58</f>
        <v>3079.0481499210505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dados'!U11</f>
        <v>1.3245383278622753</v>
      </c>
      <c r="P60" s="89" t="s">
        <v>168</v>
      </c>
      <c r="Q60" s="90"/>
      <c r="R60" s="142">
        <f>SUM(H82:H87)</f>
        <v>107883.61</v>
      </c>
      <c r="S60" s="143">
        <f>R60/H97</f>
        <v>0.4699326689003816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dados'!U12</f>
        <v>1</v>
      </c>
      <c r="P61" s="89" t="s">
        <v>169</v>
      </c>
      <c r="Q61" s="90"/>
      <c r="R61" s="142">
        <f>SUM(H88:H91)</f>
        <v>51352.75</v>
      </c>
      <c r="S61" s="143">
        <f>R61/H97</f>
        <v>0.22368861092870429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dados'!U13</f>
        <v>1</v>
      </c>
      <c r="P62" s="89" t="s">
        <v>170</v>
      </c>
      <c r="Q62" s="90"/>
      <c r="R62" s="142">
        <f>+SUM(H94:H96)</f>
        <v>70336.123761220791</v>
      </c>
      <c r="S62" s="143">
        <f>R62/H97</f>
        <v>0.30637872017091411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dados'!U14</f>
        <v>25246.146296389066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dados'!U15</f>
        <v>25246.146296389066</v>
      </c>
      <c r="P64" s="89" t="s">
        <v>177</v>
      </c>
      <c r="Q64" s="90"/>
      <c r="R64" s="142">
        <f>SUM(R60:S63)</f>
        <v>229573.48376122079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dados'!U16</f>
        <v>19060.082880698832</v>
      </c>
      <c r="P65" s="89" t="s">
        <v>99</v>
      </c>
      <c r="Q65" s="90"/>
      <c r="R65" s="142">
        <f>I97-H97</f>
        <v>258640.04459336822</v>
      </c>
      <c r="S65" s="144">
        <f>R65/R64</f>
        <v>1.1266111414782534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dados'!U17</f>
        <v>19060.082880698832</v>
      </c>
      <c r="P66" s="89" t="s">
        <v>180</v>
      </c>
      <c r="Q66" s="90"/>
      <c r="R66" s="292">
        <f>R64*12</f>
        <v>2754881.8051346494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dados'!U18</f>
        <v>404264.35789962229</v>
      </c>
      <c r="P67" s="147" t="s">
        <v>181</v>
      </c>
      <c r="Q67" s="148"/>
      <c r="R67" s="335">
        <f>R65*12</f>
        <v>3103680.5351204188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dados'!U19</f>
        <v>404264.35789962223</v>
      </c>
      <c r="P68" s="344" t="s">
        <v>183</v>
      </c>
      <c r="Q68" s="345"/>
      <c r="R68" s="337">
        <f>R66+R67</f>
        <v>5858562.3402550686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33</v>
      </c>
      <c r="N69" s="131">
        <f t="shared" ref="N69:N75" si="11">M69/$M$76</f>
        <v>0.39285714285714285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0.23809523809523808</v>
      </c>
      <c r="R70" s="113">
        <f>R66</f>
        <v>2754881.8051346494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1.1904761904761904E-2</v>
      </c>
      <c r="R71" s="113">
        <f t="shared" ref="R71:R72" si="12">R67</f>
        <v>3103680.5351204188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12</v>
      </c>
      <c r="N72" s="131">
        <f t="shared" si="11"/>
        <v>0.14285714285714285</v>
      </c>
      <c r="R72" s="113">
        <f t="shared" si="12"/>
        <v>5858562.3402550686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0.16666666666666666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8</v>
      </c>
      <c r="K74" s="32" t="s">
        <v>175</v>
      </c>
      <c r="L74" s="33"/>
      <c r="M74" s="97">
        <f>$E$72</f>
        <v>3</v>
      </c>
      <c r="N74" s="131">
        <f t="shared" si="11"/>
        <v>3.5714285714285712E-2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0.64290000000000003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1.1904761904761904E-2</v>
      </c>
      <c r="P75" s="206" t="str">
        <f>D82</f>
        <v>Área técnica - Manutenção de Redes - Operacional</v>
      </c>
      <c r="Q75" s="90"/>
      <c r="R75" s="213">
        <f>I82*12</f>
        <v>1453528.3389659999</v>
      </c>
      <c r="S75" s="207">
        <f>R75/$R$90</f>
        <v>0.24810375511815033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0.3095</v>
      </c>
      <c r="G76" s="3">
        <f>G75+1</f>
        <v>4</v>
      </c>
      <c r="H76" s="2" t="s">
        <v>28</v>
      </c>
      <c r="I76" s="61">
        <f>IF(M55&lt;400000,(IF(M55&lt;25000,0,I74)),(I74+2))</f>
        <v>8</v>
      </c>
      <c r="K76" s="29" t="s">
        <v>23</v>
      </c>
      <c r="L76" s="30"/>
      <c r="M76" s="34">
        <f>SUM($M$69:$M$75)</f>
        <v>84</v>
      </c>
      <c r="N76" s="131">
        <f>SUM(N69:N75)</f>
        <v>0.99999999999999978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3.2705219890430764E-2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4.7600000000000003E-2</v>
      </c>
      <c r="G77" s="70" t="s">
        <v>34</v>
      </c>
      <c r="H77" s="72"/>
      <c r="I77" s="34">
        <f>SUM(I73:I76)</f>
        <v>16</v>
      </c>
      <c r="K77" s="29" t="s">
        <v>157</v>
      </c>
      <c r="L77" s="30"/>
      <c r="M77" s="34">
        <f>ROUND(($M$65+$M$66)/($M$76),0)</f>
        <v>454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2.0575370531671806E-2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1.323786824230368E-2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0.10524599471908866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0.11278074036643561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4.3613792689349062E-2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50251.35</v>
      </c>
      <c r="I82" s="342">
        <f t="shared" ref="I82:I95" si="16">(F82+1)*H82</f>
        <v>121127.36158049999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401550.74999999988</v>
      </c>
      <c r="S82" s="207">
        <f t="shared" si="15"/>
        <v>6.8540974589034132E-2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8.506755017117458E-2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7.2040897574949331E-2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0.1404797502711512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17846.699999999997</v>
      </c>
      <c r="I89" s="283">
        <f t="shared" si="16"/>
        <v>33462.562499999993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337499.87087746803</v>
      </c>
      <c r="S89" s="207">
        <f t="shared" si="15"/>
        <v>5.7608085836260647E-2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5858550.3402550686</v>
      </c>
      <c r="S90" s="208">
        <f>SUM(S75:S89)</f>
        <v>0.99999999999999978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14999.9942612208</v>
      </c>
      <c r="I96" s="326">
        <f>(F96+1)*H96</f>
        <v>28124.989239789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229572.48376122079</v>
      </c>
      <c r="I97" s="315">
        <f>SUM(I82:K96)</f>
        <v>488212.52835458901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2733.0057590621523</v>
      </c>
      <c r="I98" s="315">
        <f>(I97-I92-I93)/$M$76</f>
        <v>5812.0539089832027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2733.0057590621523</v>
      </c>
      <c r="I101" s="130"/>
      <c r="J101" s="294">
        <f>I97/M76</f>
        <v>5812.0539089832027</v>
      </c>
      <c r="K101" s="294"/>
    </row>
    <row r="102" spans="3:11" x14ac:dyDescent="0.25">
      <c r="I102" s="132">
        <f>J101/H101-1</f>
        <v>1.1266160489093315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X107"/>
  <sheetViews>
    <sheetView topLeftCell="D46" zoomScale="90" zoomScaleNormal="90" workbookViewId="0">
      <selection activeCell="M57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26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12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35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26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dados'!V6</f>
        <v>53200</v>
      </c>
      <c r="P55" s="272" t="s">
        <v>122</v>
      </c>
      <c r="Q55" s="302"/>
      <c r="R55" s="302"/>
      <c r="S55" s="302"/>
      <c r="T55" s="273"/>
      <c r="U55" s="118">
        <f>ROUND(SUM(R36:R54)+SUM(U36:U54),0)</f>
        <v>54</v>
      </c>
      <c r="V55" s="272" t="s">
        <v>35</v>
      </c>
      <c r="W55" s="273"/>
      <c r="X55" s="119">
        <f>SUM(X36:X54)</f>
        <v>28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dados'!V7</f>
        <v>53200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dados'!V8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dados'!V9</f>
        <v>21.21</v>
      </c>
      <c r="P58" s="145" t="s">
        <v>178</v>
      </c>
      <c r="Q58" s="146"/>
      <c r="R58" s="290">
        <f>H97/M76</f>
        <v>2737.9925935334118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dados'!V10</f>
        <v>1.3246224258863193</v>
      </c>
      <c r="P59" s="89" t="s">
        <v>179</v>
      </c>
      <c r="Q59" s="90"/>
      <c r="R59" s="292">
        <f>I97/M76-R58</f>
        <v>3092.4468408615016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dados'!V11</f>
        <v>1.3246224258863193</v>
      </c>
      <c r="P60" s="89" t="s">
        <v>168</v>
      </c>
      <c r="Q60" s="90"/>
      <c r="R60" s="142">
        <f>SUM(H82:H87)</f>
        <v>111903.49</v>
      </c>
      <c r="S60" s="143">
        <f>R60/H97</f>
        <v>0.47523991670620447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dados'!V12</f>
        <v>1</v>
      </c>
      <c r="P61" s="89" t="s">
        <v>169</v>
      </c>
      <c r="Q61" s="90"/>
      <c r="R61" s="142">
        <f>SUM(H88:H91)</f>
        <v>51352.75</v>
      </c>
      <c r="S61" s="143">
        <f>R61/H97</f>
        <v>0.21808861039664215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dados'!V13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0.30667147289715335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dados'!V14</f>
        <v>25565.99424148638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dados'!V15</f>
        <v>25565.99424148638</v>
      </c>
      <c r="P64" s="89" t="s">
        <v>177</v>
      </c>
      <c r="Q64" s="90"/>
      <c r="R64" s="142">
        <f>SUM(R60:S63)</f>
        <v>235468.3630438734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dados'!V16</f>
        <v>19300.368861944557</v>
      </c>
      <c r="P65" s="89" t="s">
        <v>99</v>
      </c>
      <c r="Q65" s="90"/>
      <c r="R65" s="142">
        <f>I97-H97</f>
        <v>265950.42831408919</v>
      </c>
      <c r="S65" s="144">
        <f>R65/R64</f>
        <v>1.1294529119588617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dados'!V17</f>
        <v>19300.368861944557</v>
      </c>
      <c r="P66" s="89" t="s">
        <v>180</v>
      </c>
      <c r="Q66" s="90"/>
      <c r="R66" s="292">
        <f>R64*12</f>
        <v>2825620.356526481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dados'!V18</f>
        <v>409360.82356184412</v>
      </c>
      <c r="P67" s="147" t="s">
        <v>181</v>
      </c>
      <c r="Q67" s="148"/>
      <c r="R67" s="335">
        <f>R65*12</f>
        <v>3191405.1397690703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dados'!V19</f>
        <v>409360.82356184407</v>
      </c>
      <c r="P68" s="344" t="s">
        <v>183</v>
      </c>
      <c r="Q68" s="345"/>
      <c r="R68" s="337">
        <f>R66+R67</f>
        <v>6017025.4962955508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35</v>
      </c>
      <c r="N69" s="131">
        <f t="shared" ref="N69:N75" si="11">M69/$M$76</f>
        <v>0.40697674418604651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0.23255813953488372</v>
      </c>
      <c r="R70" s="113">
        <f>R66</f>
        <v>2825620.356526481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1.1627906976744186E-2</v>
      </c>
      <c r="R71" s="113">
        <f t="shared" ref="R71:R72" si="12">R67</f>
        <v>3191405.1397690703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12</v>
      </c>
      <c r="N72" s="131">
        <f t="shared" si="11"/>
        <v>0.13953488372093023</v>
      </c>
      <c r="R72" s="113">
        <f t="shared" si="12"/>
        <v>6017025.4962955508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0.16279069767441862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3.4883720930232558E-2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0.6512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1.1627906976744186E-2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0.26089421473182162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0.30230000000000001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86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3.1843900173261053E-2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4.65E-2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449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2.003350068990423E-2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1.2889237749416305E-2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0.1024742521437937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0.10981056387106121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4.2465186451270238E-2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401550.74999999988</v>
      </c>
      <c r="S82" s="207">
        <f t="shared" si="15"/>
        <v>6.6735889864169257E-2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8.2827224055061405E-2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7.0143639408461272E-2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0.1367800968464995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17846.699999999997</v>
      </c>
      <c r="I89" s="283">
        <f t="shared" si="16"/>
        <v>33462.562499999993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6.3102294015280294E-2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6017013.4962955508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235467.3630438734</v>
      </c>
      <c r="I97" s="315">
        <f>SUM(I82:K96)</f>
        <v>501417.79135796259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2737.9925935334118</v>
      </c>
      <c r="I98" s="315">
        <f>(I97-I92-I93)/$M$76</f>
        <v>5830.4394343949134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2737.9925935334118</v>
      </c>
      <c r="I101" s="130"/>
      <c r="J101" s="294">
        <f>I97/M76</f>
        <v>5830.4394343949134</v>
      </c>
      <c r="K101" s="294"/>
    </row>
    <row r="102" spans="3:11" x14ac:dyDescent="0.25">
      <c r="I102" s="132">
        <f>J101/H101-1</f>
        <v>1.1294577086020028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X107"/>
  <sheetViews>
    <sheetView topLeftCell="A37" zoomScale="80" zoomScaleNormal="80" workbookViewId="0">
      <selection activeCell="M61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26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12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35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26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dados'!W6</f>
        <v>53485</v>
      </c>
      <c r="P55" s="272" t="s">
        <v>122</v>
      </c>
      <c r="Q55" s="302"/>
      <c r="R55" s="302"/>
      <c r="S55" s="302"/>
      <c r="T55" s="273"/>
      <c r="U55" s="118">
        <f>ROUND(SUM(R36:R54)+SUM(U36:U54),0)</f>
        <v>54</v>
      </c>
      <c r="V55" s="272" t="s">
        <v>35</v>
      </c>
      <c r="W55" s="273"/>
      <c r="X55" s="119">
        <f>SUM(X36:X54)</f>
        <v>28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dados'!W7</f>
        <v>53485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dados'!W8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dados'!W9</f>
        <v>21.21</v>
      </c>
      <c r="P58" s="145" t="s">
        <v>178</v>
      </c>
      <c r="Q58" s="146"/>
      <c r="R58" s="290">
        <f>H97/M76</f>
        <v>2737.9925935334118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dados'!W10</f>
        <v>1.324700422664701</v>
      </c>
      <c r="P59" s="89" t="s">
        <v>179</v>
      </c>
      <c r="Q59" s="90"/>
      <c r="R59" s="292">
        <f>I97/M76-R58</f>
        <v>3092.4468408615016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dados'!W11</f>
        <v>1.324700422664701</v>
      </c>
      <c r="P60" s="89" t="s">
        <v>168</v>
      </c>
      <c r="Q60" s="90"/>
      <c r="R60" s="142">
        <f>SUM(H82:H87)</f>
        <v>111903.49</v>
      </c>
      <c r="S60" s="143">
        <f>R60/H97</f>
        <v>0.47523991670620447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dados'!W12</f>
        <v>1</v>
      </c>
      <c r="P61" s="89" t="s">
        <v>169</v>
      </c>
      <c r="Q61" s="90"/>
      <c r="R61" s="142">
        <f>SUM(H88:H91)</f>
        <v>51352.75</v>
      </c>
      <c r="S61" s="143">
        <f>R61/H97</f>
        <v>0.21808861039664215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dados'!W13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0.30667147289715335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dados'!W14</f>
        <v>25878.007125258897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dados'!W15</f>
        <v>25878.007125258897</v>
      </c>
      <c r="P64" s="89" t="s">
        <v>177</v>
      </c>
      <c r="Q64" s="90"/>
      <c r="R64" s="142">
        <f>SUM(R60:S63)</f>
        <v>235468.3630438734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dados'!W16</f>
        <v>19534.98819997656</v>
      </c>
      <c r="P65" s="89" t="s">
        <v>99</v>
      </c>
      <c r="Q65" s="90"/>
      <c r="R65" s="142">
        <f>I97-H97</f>
        <v>265950.42831408919</v>
      </c>
      <c r="S65" s="144">
        <f>R65/R64</f>
        <v>1.1294529119588617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dados'!W17</f>
        <v>19534.98819997656</v>
      </c>
      <c r="P66" s="89" t="s">
        <v>180</v>
      </c>
      <c r="Q66" s="90"/>
      <c r="R66" s="292">
        <f>R64*12</f>
        <v>2825620.356526481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dados'!W18</f>
        <v>414337.09972150292</v>
      </c>
      <c r="P67" s="147" t="s">
        <v>181</v>
      </c>
      <c r="Q67" s="148"/>
      <c r="R67" s="335">
        <f>R65*12</f>
        <v>3191405.1397690703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dados'!W19</f>
        <v>414337.09972150286</v>
      </c>
      <c r="P68" s="344" t="s">
        <v>183</v>
      </c>
      <c r="Q68" s="345"/>
      <c r="R68" s="337">
        <f>R66+R67</f>
        <v>6017025.4962955508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35</v>
      </c>
      <c r="N69" s="131">
        <f t="shared" ref="N69:N75" si="11">M69/$M$76</f>
        <v>0.40697674418604651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0.23255813953488372</v>
      </c>
      <c r="R70" s="113">
        <f>R66</f>
        <v>2825620.356526481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1.1627906976744186E-2</v>
      </c>
      <c r="R71" s="113">
        <f t="shared" ref="R71:R72" si="12">R67</f>
        <v>3191405.1397690703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12</v>
      </c>
      <c r="N72" s="131">
        <f t="shared" si="11"/>
        <v>0.13953488372093023</v>
      </c>
      <c r="R72" s="113">
        <f t="shared" si="12"/>
        <v>6017025.4962955508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0.16279069767441862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3.4883720930232558E-2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0.6512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1.1627906976744186E-2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0.26089421473182162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0.30230000000000001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86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3.1843900173261053E-2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4.65E-2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454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2.003350068990423E-2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1.2889237749416305E-2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0.1024742521437937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0.10981056387106121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4.2465186451270238E-2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401550.74999999988</v>
      </c>
      <c r="S82" s="207">
        <f t="shared" si="15"/>
        <v>6.6735889864169257E-2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8.2827224055061405E-2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7.0143639408461272E-2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0.1367800968464995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17846.699999999997</v>
      </c>
      <c r="I89" s="283">
        <f t="shared" si="16"/>
        <v>33462.562499999993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6.3102294015280294E-2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6017013.4962955508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235467.3630438734</v>
      </c>
      <c r="I97" s="315">
        <f>SUM(I82:K96)</f>
        <v>501417.79135796259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2737.9925935334118</v>
      </c>
      <c r="I98" s="315">
        <f>(I97-I92-I93)/$M$76</f>
        <v>5830.4394343949134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2737.9925935334118</v>
      </c>
      <c r="I101" s="130"/>
      <c r="J101" s="294">
        <f>I97/M76</f>
        <v>5830.4394343949134</v>
      </c>
      <c r="K101" s="294"/>
    </row>
    <row r="102" spans="3:11" x14ac:dyDescent="0.25">
      <c r="I102" s="132">
        <f>J101/H101-1</f>
        <v>1.1294577086020028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X107"/>
  <sheetViews>
    <sheetView topLeftCell="A40" zoomScale="80" zoomScaleNormal="80" workbookViewId="0">
      <selection activeCell="M62" sqref="M56:M62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0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26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12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0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35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26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dados'!X6</f>
        <v>53758</v>
      </c>
      <c r="P55" s="272" t="s">
        <v>122</v>
      </c>
      <c r="Q55" s="302"/>
      <c r="R55" s="302"/>
      <c r="S55" s="302"/>
      <c r="T55" s="273"/>
      <c r="U55" s="118">
        <f>ROUND(SUM(R36:R54)+SUM(U36:U54),0)</f>
        <v>54</v>
      </c>
      <c r="V55" s="272" t="s">
        <v>35</v>
      </c>
      <c r="W55" s="273"/>
      <c r="X55" s="119">
        <f>SUM(X36:X54)</f>
        <v>28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dados'!X7</f>
        <v>53758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dados'!X8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dados'!X9</f>
        <v>21.21</v>
      </c>
      <c r="P58" s="145" t="s">
        <v>178</v>
      </c>
      <c r="Q58" s="146"/>
      <c r="R58" s="290">
        <f>H97/M76</f>
        <v>2737.9925935334118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dados'!X10</f>
        <v>1.3247743826535872</v>
      </c>
      <c r="P59" s="89" t="s">
        <v>179</v>
      </c>
      <c r="Q59" s="90"/>
      <c r="R59" s="292">
        <f>I97/M76-R58</f>
        <v>3092.4468408615016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dados'!X11</f>
        <v>1.3247743826535872</v>
      </c>
      <c r="P60" s="89" t="s">
        <v>168</v>
      </c>
      <c r="Q60" s="90"/>
      <c r="R60" s="142">
        <f>SUM(H82:H87)</f>
        <v>111903.49</v>
      </c>
      <c r="S60" s="143">
        <f>R60/H97</f>
        <v>0.47523991670620447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dados'!X12</f>
        <v>1</v>
      </c>
      <c r="P61" s="89" t="s">
        <v>169</v>
      </c>
      <c r="Q61" s="90"/>
      <c r="R61" s="142">
        <f>SUM(H88:H91)</f>
        <v>51352.75</v>
      </c>
      <c r="S61" s="143">
        <f>R61/H97</f>
        <v>0.21808861039664215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dados'!X13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0.30667147289715335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dados'!X14</f>
        <v>26180.098247944901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dados'!X15</f>
        <v>26180.098247944901</v>
      </c>
      <c r="P64" s="89" t="s">
        <v>177</v>
      </c>
      <c r="Q64" s="90"/>
      <c r="R64" s="142">
        <f>SUM(R60:S63)</f>
        <v>235468.3630438734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dados'!X16</f>
        <v>19761.91045420547</v>
      </c>
      <c r="P65" s="89" t="s">
        <v>99</v>
      </c>
      <c r="Q65" s="90"/>
      <c r="R65" s="142">
        <f>I97-H97</f>
        <v>265950.42831408919</v>
      </c>
      <c r="S65" s="144">
        <f>R65/R64</f>
        <v>1.1294529119588617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dados'!X17</f>
        <v>19761.91045420547</v>
      </c>
      <c r="P66" s="89" t="s">
        <v>180</v>
      </c>
      <c r="Q66" s="90"/>
      <c r="R66" s="292">
        <f>R64*12</f>
        <v>2825620.356526481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dados'!X18</f>
        <v>419150.12073369807</v>
      </c>
      <c r="P67" s="147" t="s">
        <v>181</v>
      </c>
      <c r="Q67" s="148"/>
      <c r="R67" s="335">
        <f>R65*12</f>
        <v>3191405.1397690703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dados'!X19</f>
        <v>419150.12073369802</v>
      </c>
      <c r="P68" s="344" t="s">
        <v>183</v>
      </c>
      <c r="Q68" s="345"/>
      <c r="R68" s="337">
        <f>R66+R67</f>
        <v>6017025.4962955508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35</v>
      </c>
      <c r="N69" s="131">
        <f t="shared" ref="N69:N75" si="11">M69/$M$76</f>
        <v>0.40697674418604651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0.23255813953488372</v>
      </c>
      <c r="R70" s="113">
        <f>R66</f>
        <v>2825620.356526481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1.1627906976744186E-2</v>
      </c>
      <c r="R71" s="113">
        <f t="shared" ref="R71:R72" si="12">R67</f>
        <v>3191405.1397690703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12</v>
      </c>
      <c r="N72" s="131">
        <f t="shared" si="11"/>
        <v>0.13953488372093023</v>
      </c>
      <c r="R72" s="113">
        <f t="shared" si="12"/>
        <v>6017025.4962955508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0.16279069767441862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3.4883720930232558E-2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0.6512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1.1627906976744186E-2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0.26089421473182162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0.30230000000000001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86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3.1843900173261053E-2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4.65E-2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460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2.003350068990423E-2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1.2889237749416305E-2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0.1024742521437937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0.10981056387106121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4.2465186451270238E-2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401550.74999999988</v>
      </c>
      <c r="S82" s="207">
        <f t="shared" si="15"/>
        <v>6.6735889864169257E-2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8.2827224055061405E-2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7.0143639408461272E-2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0.1367800968464995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17846.699999999997</v>
      </c>
      <c r="I89" s="283">
        <f t="shared" si="16"/>
        <v>33462.562499999993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6.3102294015280294E-2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6017013.4962955508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235467.3630438734</v>
      </c>
      <c r="I97" s="315">
        <f>SUM(I82:K96)</f>
        <v>501417.79135796259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2737.9925935334118</v>
      </c>
      <c r="I98" s="315">
        <f>(I97-I92-I93)/$M$76</f>
        <v>5830.4394343949134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2737.9925935334118</v>
      </c>
      <c r="I101" s="130"/>
      <c r="J101" s="294">
        <f>I97/M76</f>
        <v>5830.4394343949134</v>
      </c>
      <c r="K101" s="294"/>
    </row>
    <row r="102" spans="3:11" x14ac:dyDescent="0.25">
      <c r="I102" s="132">
        <f>J101/H101-1</f>
        <v>1.1294577086020028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X107"/>
  <sheetViews>
    <sheetView topLeftCell="A37" zoomScale="80" zoomScaleNormal="80" workbookViewId="0">
      <selection activeCell="M61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1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27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12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1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1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36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26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dados'!Y6</f>
        <v>54018</v>
      </c>
      <c r="P55" s="272" t="s">
        <v>122</v>
      </c>
      <c r="Q55" s="302"/>
      <c r="R55" s="302"/>
      <c r="S55" s="302"/>
      <c r="T55" s="273"/>
      <c r="U55" s="118">
        <f>ROUND(SUM(R36:R54)+SUM(U36:U54),0)</f>
        <v>55</v>
      </c>
      <c r="V55" s="272" t="s">
        <v>35</v>
      </c>
      <c r="W55" s="273"/>
      <c r="X55" s="119">
        <f>SUM(X36:X54)</f>
        <v>28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dados'!Y7</f>
        <v>54018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dados'!Y8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dados'!Y9</f>
        <v>21.21</v>
      </c>
      <c r="P58" s="145" t="s">
        <v>178</v>
      </c>
      <c r="Q58" s="146"/>
      <c r="R58" s="290">
        <f>H97/M76</f>
        <v>2706.5214142973955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dados'!Y10</f>
        <v>1.3248293100509081</v>
      </c>
      <c r="P59" s="89" t="s">
        <v>179</v>
      </c>
      <c r="Q59" s="90"/>
      <c r="R59" s="292">
        <f>I97/M76-R58</f>
        <v>3056.9014748745885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dados'!Y11</f>
        <v>1.3248293100509081</v>
      </c>
      <c r="P60" s="89" t="s">
        <v>168</v>
      </c>
      <c r="Q60" s="90"/>
      <c r="R60" s="142">
        <f>SUM(H82:H87)</f>
        <v>111903.49</v>
      </c>
      <c r="S60" s="143">
        <f>R60/H97</f>
        <v>0.47523991670620447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dados'!Y12</f>
        <v>1</v>
      </c>
      <c r="P61" s="89" t="s">
        <v>169</v>
      </c>
      <c r="Q61" s="90"/>
      <c r="R61" s="142">
        <f>SUM(H88:H91)</f>
        <v>51352.75</v>
      </c>
      <c r="S61" s="143">
        <f>R61/H97</f>
        <v>0.21808861039664215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dados'!Y13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0.30667147289715335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dados'!Y14</f>
        <v>26476.204925161077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dados'!Y15</f>
        <v>26476.204925161077</v>
      </c>
      <c r="P64" s="89" t="s">
        <v>177</v>
      </c>
      <c r="Q64" s="90"/>
      <c r="R64" s="142">
        <f>SUM(R60:S63)</f>
        <v>235468.3630438734</v>
      </c>
      <c r="S64" s="144">
        <f>SUM(S60:S63)</f>
        <v>1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dados'!Y16</f>
        <v>19984.615923196699</v>
      </c>
      <c r="P65" s="89" t="s">
        <v>99</v>
      </c>
      <c r="Q65" s="90"/>
      <c r="R65" s="142">
        <f>I97-H97</f>
        <v>265950.42831408919</v>
      </c>
      <c r="S65" s="144">
        <f>R65/R64</f>
        <v>1.1294529119588617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dados'!Y17</f>
        <v>19984.615923196699</v>
      </c>
      <c r="P66" s="89" t="s">
        <v>180</v>
      </c>
      <c r="Q66" s="90"/>
      <c r="R66" s="292">
        <f>R64*12</f>
        <v>2825620.356526481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dados'!Y18</f>
        <v>423873.70373100205</v>
      </c>
      <c r="P67" s="147" t="s">
        <v>181</v>
      </c>
      <c r="Q67" s="148"/>
      <c r="R67" s="335">
        <f>R65*12</f>
        <v>3191405.1397690703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dados'!Y19</f>
        <v>423873.703731002</v>
      </c>
      <c r="P68" s="344" t="s">
        <v>183</v>
      </c>
      <c r="Q68" s="345"/>
      <c r="R68" s="337">
        <f>R66+R67</f>
        <v>6017025.4962955508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36</v>
      </c>
      <c r="N69" s="131">
        <f t="shared" ref="N69:N75" si="11">M69/$M$76</f>
        <v>0.41379310344827586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0.22988505747126436</v>
      </c>
      <c r="R70" s="113">
        <f>R66</f>
        <v>2825620.356526481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1.1494252873563218E-2</v>
      </c>
      <c r="R71" s="113">
        <f t="shared" ref="R71:R72" si="12">R67</f>
        <v>3191405.1397690703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12</v>
      </c>
      <c r="N72" s="131">
        <f t="shared" si="11"/>
        <v>0.13793103448275862</v>
      </c>
      <c r="R72" s="113">
        <f t="shared" si="12"/>
        <v>6017025.4962955508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0.16091954022988506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3.4482758620689655E-2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0.6552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1.1494252873563218E-2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0.26089421473182162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0.2989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87</v>
      </c>
      <c r="N76" s="131">
        <f>SUM(N69:N75)</f>
        <v>1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3.1843900173261053E-2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4.5999999999999999E-2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459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2.003350068990423E-2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1.2889237749416305E-2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0.1024742521437937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0.10981056387106121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4.2465186451270238E-2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401550.74999999988</v>
      </c>
      <c r="S82" s="207">
        <f t="shared" si="15"/>
        <v>6.6735889864169257E-2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8.2827224055061405E-2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7.0143639408461272E-2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0.1367800968464995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17846.699999999997</v>
      </c>
      <c r="I89" s="283">
        <f t="shared" si="16"/>
        <v>33462.562499999993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6.3102294015280294E-2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6017013.4962955508</v>
      </c>
      <c r="S90" s="208">
        <f>SUM(S75:S89)</f>
        <v>1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235467.3630438734</v>
      </c>
      <c r="I97" s="315">
        <f>SUM(I82:K96)</f>
        <v>501417.79135796259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2706.5214142973955</v>
      </c>
      <c r="I98" s="315">
        <f>(I97-I92-I93)/$M$76</f>
        <v>5763.422889171984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2706.5214142973955</v>
      </c>
      <c r="I101" s="130"/>
      <c r="J101" s="294">
        <f>I97/M76</f>
        <v>5763.422889171984</v>
      </c>
      <c r="K101" s="294"/>
    </row>
    <row r="102" spans="3:11" x14ac:dyDescent="0.25">
      <c r="I102" s="132">
        <f>J101/H101-1</f>
        <v>1.1294577086020028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X107"/>
  <sheetViews>
    <sheetView topLeftCell="A37" zoomScale="80" zoomScaleNormal="80" workbookViewId="0">
      <selection activeCell="M61" sqref="M56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27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1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36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dados'!Z6</f>
        <v>54266</v>
      </c>
      <c r="P55" s="272" t="s">
        <v>122</v>
      </c>
      <c r="Q55" s="302"/>
      <c r="R55" s="302"/>
      <c r="S55" s="302"/>
      <c r="T55" s="273"/>
      <c r="U55" s="118">
        <f>ROUND(SUM(R36:R54)+SUM(U36:U54),0)</f>
        <v>55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dados'!Z7</f>
        <v>54266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dados'!Z8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dados'!Z9</f>
        <v>21.21</v>
      </c>
      <c r="P58" s="145" t="s">
        <v>178</v>
      </c>
      <c r="Q58" s="146"/>
      <c r="R58" s="290">
        <f>H97/M76</f>
        <v>2723.1811709531071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dados'!Z10</f>
        <v>1.3248953866944169</v>
      </c>
      <c r="P59" s="89" t="s">
        <v>179</v>
      </c>
      <c r="Q59" s="90"/>
      <c r="R59" s="292">
        <f>I97/M76-R58</f>
        <v>3063.6526797055581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dados'!Z11</f>
        <v>1.3248953866944169</v>
      </c>
      <c r="P60" s="89" t="s">
        <v>168</v>
      </c>
      <c r="Q60" s="90"/>
      <c r="R60" s="142">
        <f>SUM(H82:H87)</f>
        <v>111903.49</v>
      </c>
      <c r="S60" s="143">
        <f>R60/H97</f>
        <v>0.46696510013571757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dados'!Z12</f>
        <v>1</v>
      </c>
      <c r="P61" s="89" t="s">
        <v>169</v>
      </c>
      <c r="Q61" s="90"/>
      <c r="R61" s="142">
        <f>SUM(H88:H91)</f>
        <v>55525.33</v>
      </c>
      <c r="S61" s="143">
        <f>R61/H97</f>
        <v>0.23170315138087974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dados'!Z13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0.30133174848340261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dados'!Z14</f>
        <v>26762.287510105863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dados'!Z15</f>
        <v>26762.287510105863</v>
      </c>
      <c r="P64" s="89" t="s">
        <v>177</v>
      </c>
      <c r="Q64" s="90"/>
      <c r="R64" s="142">
        <f>SUM(R60:S63)</f>
        <v>239640.94304387341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dados'!Z16</f>
        <v>20199.547661553224</v>
      </c>
      <c r="P65" s="89" t="s">
        <v>99</v>
      </c>
      <c r="Q65" s="90"/>
      <c r="R65" s="142">
        <f>I97-H97</f>
        <v>269601.43581408914</v>
      </c>
      <c r="S65" s="144">
        <f>R65/R64</f>
        <v>1.1250224289291442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dados'!Z17</f>
        <v>20199.547661553224</v>
      </c>
      <c r="P66" s="89" t="s">
        <v>180</v>
      </c>
      <c r="Q66" s="90"/>
      <c r="R66" s="292">
        <f>R64*12</f>
        <v>2875691.316526481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dados'!Z18</f>
        <v>428432.40590154397</v>
      </c>
      <c r="P67" s="147" t="s">
        <v>181</v>
      </c>
      <c r="Q67" s="148"/>
      <c r="R67" s="335">
        <f>R65*12</f>
        <v>3235217.2297690697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dados'!Z19</f>
        <v>428432.40590154391</v>
      </c>
      <c r="P68" s="344" t="s">
        <v>183</v>
      </c>
      <c r="Q68" s="345"/>
      <c r="R68" s="337">
        <f>R66+R67</f>
        <v>6110908.5462955507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36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0.22727272727272727</v>
      </c>
      <c r="R70" s="113">
        <f>R66</f>
        <v>2875691.316526481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1.1363636363636364E-2</v>
      </c>
      <c r="R71" s="113">
        <f t="shared" ref="R71:R72" si="12">R67</f>
        <v>3235217.2297690697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0.14772727272727273</v>
      </c>
      <c r="R72" s="113">
        <f t="shared" si="12"/>
        <v>6110908.5462955507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0.15909090909090909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3.4090909090909088E-2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0.64770000000000005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1.1363636363636364E-2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0.25688603943040428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0.30680000000000002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88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3.135467531901711E-2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4.5499999999999999E-2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459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1.9725721605002938E-2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1.2691217550101379E-2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0.1008999176308718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0.10812351998472924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4.1812784435844089E-2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8.1073832005932725E-2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8.1554731163320932E-2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6.9066007222107456E-2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0.13467871408310952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6.2132839569558646E-2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6110896.5462955507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239639.94304387341</v>
      </c>
      <c r="I97" s="315">
        <f>SUM(I82:K96)</f>
        <v>509241.37885796255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2723.1811709531071</v>
      </c>
      <c r="I98" s="315">
        <f>(I97-I92-I93)/$M$76</f>
        <v>5786.8338506586651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2723.1811709531071</v>
      </c>
      <c r="I101" s="130"/>
      <c r="J101" s="294">
        <f>I97/M76</f>
        <v>5786.8338506586651</v>
      </c>
      <c r="K101" s="294"/>
    </row>
    <row r="102" spans="3:11" x14ac:dyDescent="0.25">
      <c r="I102" s="132">
        <f>J101/H101-1</f>
        <v>1.1250271235656668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X107"/>
  <sheetViews>
    <sheetView topLeftCell="A37" zoomScale="80" zoomScaleNormal="80" workbookViewId="0">
      <selection activeCell="M61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27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1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36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dados'!AA6</f>
        <v>54503</v>
      </c>
      <c r="P55" s="272" t="s">
        <v>122</v>
      </c>
      <c r="Q55" s="302"/>
      <c r="R55" s="302"/>
      <c r="S55" s="302"/>
      <c r="T55" s="273"/>
      <c r="U55" s="118">
        <f>ROUND(SUM(R36:R54)+SUM(U36:U54),0)</f>
        <v>55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dados'!AA7</f>
        <v>54503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dados'!AA8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dados'!AA9</f>
        <v>21.21</v>
      </c>
      <c r="P58" s="145" t="s">
        <v>178</v>
      </c>
      <c r="Q58" s="146"/>
      <c r="R58" s="290">
        <f>H97/M76</f>
        <v>2723.1811709531071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dados'!AA10</f>
        <v>1.3249574591958111</v>
      </c>
      <c r="P59" s="89" t="s">
        <v>179</v>
      </c>
      <c r="Q59" s="90"/>
      <c r="R59" s="292">
        <f>I97/M76-R58</f>
        <v>3063.6526797055581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dados'!AA11</f>
        <v>1.3249574591958111</v>
      </c>
      <c r="P60" s="89" t="s">
        <v>168</v>
      </c>
      <c r="Q60" s="90"/>
      <c r="R60" s="142">
        <f>SUM(H82:H87)</f>
        <v>111903.49</v>
      </c>
      <c r="S60" s="143">
        <f>R60/H97</f>
        <v>0.46696510013571757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dados'!AA12</f>
        <v>1</v>
      </c>
      <c r="P61" s="89" t="s">
        <v>169</v>
      </c>
      <c r="Q61" s="90"/>
      <c r="R61" s="142">
        <f>SUM(H88:H91)</f>
        <v>55525.33</v>
      </c>
      <c r="S61" s="143">
        <f>R61/H97</f>
        <v>0.23170315138087974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dados'!AA13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0.30133174848340261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dados'!AA14</f>
        <v>27040.328326469567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dados'!AA15</f>
        <v>27040.328326469567</v>
      </c>
      <c r="P64" s="89" t="s">
        <v>177</v>
      </c>
      <c r="Q64" s="90"/>
      <c r="R64" s="142">
        <f>SUM(R60:S63)</f>
        <v>239640.94304387341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dados'!AA16</f>
        <v>20408.469574957722</v>
      </c>
      <c r="P65" s="89" t="s">
        <v>99</v>
      </c>
      <c r="Q65" s="90"/>
      <c r="R65" s="142">
        <f>I97-H97</f>
        <v>269601.43581408914</v>
      </c>
      <c r="S65" s="144">
        <f>R65/R64</f>
        <v>1.1250224289291442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dados'!AA17</f>
        <v>20408.469574957722</v>
      </c>
      <c r="P66" s="89" t="s">
        <v>180</v>
      </c>
      <c r="Q66" s="90"/>
      <c r="R66" s="292">
        <f>R64*12</f>
        <v>2875691.316526481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dados'!AA18</f>
        <v>432863.63968485338</v>
      </c>
      <c r="P67" s="147" t="s">
        <v>181</v>
      </c>
      <c r="Q67" s="148"/>
      <c r="R67" s="335">
        <f>R65*12</f>
        <v>3235217.2297690697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dados'!AA19</f>
        <v>432863.63968485332</v>
      </c>
      <c r="P68" s="344" t="s">
        <v>183</v>
      </c>
      <c r="Q68" s="345"/>
      <c r="R68" s="337">
        <f>R66+R67</f>
        <v>6110908.5462955507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36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0.22727272727272727</v>
      </c>
      <c r="R70" s="113">
        <f>R66</f>
        <v>2875691.316526481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1.1363636363636364E-2</v>
      </c>
      <c r="R71" s="113">
        <f t="shared" ref="R71:R72" si="12">R67</f>
        <v>3235217.2297690697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0.14772727272727273</v>
      </c>
      <c r="R72" s="113">
        <f t="shared" si="12"/>
        <v>6110908.5462955507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0.15909090909090909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3.4090909090909088E-2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0.64770000000000005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1.1363636363636364E-2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0.25688603943040428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0.30680000000000002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88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3.135467531901711E-2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4.5499999999999999E-2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464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1.9725721605002938E-2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1.2691217550101379E-2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0.1008999176308718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0.10812351998472924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4.1812784435844089E-2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8.1073832005932725E-2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8.1554731163320932E-2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6.9066007222107456E-2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0.13467871408310952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6.2132839569558646E-2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6110896.5462955507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239639.94304387341</v>
      </c>
      <c r="I97" s="315">
        <f>SUM(I82:K96)</f>
        <v>509241.37885796255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2723.1811709531071</v>
      </c>
      <c r="I98" s="315">
        <f>(I97-I92-I93)/$M$76</f>
        <v>5786.8338506586651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2723.1811709531071</v>
      </c>
      <c r="I101" s="130"/>
      <c r="J101" s="294">
        <f>I97/M76</f>
        <v>5786.8338506586651</v>
      </c>
      <c r="K101" s="294"/>
    </row>
    <row r="102" spans="3:11" x14ac:dyDescent="0.25">
      <c r="I102" s="132">
        <f>J101/H101-1</f>
        <v>1.1250271235656668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X107"/>
  <sheetViews>
    <sheetView topLeftCell="A37" zoomScale="80" zoomScaleNormal="80" workbookViewId="0">
      <selection activeCell="M60" sqref="M57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27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1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36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dados'!AB6</f>
        <v>54730</v>
      </c>
      <c r="P55" s="272" t="s">
        <v>122</v>
      </c>
      <c r="Q55" s="302"/>
      <c r="R55" s="302"/>
      <c r="S55" s="302"/>
      <c r="T55" s="273"/>
      <c r="U55" s="118">
        <f>ROUND(SUM(R36:R54)+SUM(U36:U54),0)</f>
        <v>55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dados'!AB7</f>
        <v>54730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dados'!AB8</f>
        <v>21.210000000000008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dados'!AB9</f>
        <v>21.21</v>
      </c>
      <c r="P58" s="145" t="s">
        <v>178</v>
      </c>
      <c r="Q58" s="146"/>
      <c r="R58" s="290">
        <f>H97/M76</f>
        <v>2723.1811709531071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dados'!AB10</f>
        <v>1.3250149546535646</v>
      </c>
      <c r="P59" s="89" t="s">
        <v>179</v>
      </c>
      <c r="Q59" s="90"/>
      <c r="R59" s="292">
        <f>I97/M76-R58</f>
        <v>3063.6526797055581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dados'!AB11</f>
        <v>1.3250149546535646</v>
      </c>
      <c r="P60" s="89" t="s">
        <v>168</v>
      </c>
      <c r="Q60" s="90"/>
      <c r="R60" s="142">
        <f>SUM(H82:H87)</f>
        <v>111903.49</v>
      </c>
      <c r="S60" s="143">
        <f>R60/H97</f>
        <v>0.46696510013571757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dados'!AB12</f>
        <v>1</v>
      </c>
      <c r="P61" s="89" t="s">
        <v>169</v>
      </c>
      <c r="Q61" s="90"/>
      <c r="R61" s="142">
        <f>SUM(H88:H91)</f>
        <v>55525.33</v>
      </c>
      <c r="S61" s="143">
        <f>R61/H97</f>
        <v>0.23170315138087974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dados'!AB13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0.30133174848340261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dados'!AB14</f>
        <v>27309.33052825378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dados'!AB15</f>
        <v>27309.33052825378</v>
      </c>
      <c r="P64" s="89" t="s">
        <v>177</v>
      </c>
      <c r="Q64" s="90"/>
      <c r="R64" s="142">
        <f>SUM(R60:S63)</f>
        <v>239640.94304387341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dados'!AB16</f>
        <v>20610.58287103938</v>
      </c>
      <c r="P65" s="89" t="s">
        <v>99</v>
      </c>
      <c r="Q65" s="90"/>
      <c r="R65" s="142">
        <f>I97-H97</f>
        <v>269601.43581408914</v>
      </c>
      <c r="S65" s="144">
        <f>R65/R64</f>
        <v>1.1250224289291442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dados'!AB17</f>
        <v>20610.58287103938</v>
      </c>
      <c r="P66" s="89" t="s">
        <v>180</v>
      </c>
      <c r="Q66" s="90"/>
      <c r="R66" s="292">
        <f>R64*12</f>
        <v>2875691.316526481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dados'!AB18</f>
        <v>437150.46269474534</v>
      </c>
      <c r="P67" s="147" t="s">
        <v>181</v>
      </c>
      <c r="Q67" s="148"/>
      <c r="R67" s="335">
        <f>R65*12</f>
        <v>3235217.2297690697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dados'!AB19</f>
        <v>437150.46269474528</v>
      </c>
      <c r="P68" s="344" t="s">
        <v>183</v>
      </c>
      <c r="Q68" s="345"/>
      <c r="R68" s="337">
        <f>R66+R67</f>
        <v>6110908.5462955507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36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0.22727272727272727</v>
      </c>
      <c r="R70" s="113">
        <f>R66</f>
        <v>2875691.316526481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1.1363636363636364E-2</v>
      </c>
      <c r="R71" s="113">
        <f t="shared" ref="R71:R72" si="12">R67</f>
        <v>3235217.2297690697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0.14772727272727273</v>
      </c>
      <c r="R72" s="113">
        <f t="shared" si="12"/>
        <v>6110908.5462955507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0.15909090909090909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3.4090909090909088E-2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0.64770000000000005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1.1363636363636364E-2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0.25688603943040428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0.30680000000000002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88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3.135467531901711E-2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4.5499999999999999E-2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468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1.9725721605002938E-2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1.2691217550101379E-2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0.1008999176308718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0.10812351998472924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4.1812784435844089E-2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8.1073832005932725E-2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8.1554731163320932E-2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6.9066007222107456E-2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0.13467871408310952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6.2132839569558646E-2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6110896.5462955507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239639.94304387341</v>
      </c>
      <c r="I97" s="315">
        <f>SUM(I82:K96)</f>
        <v>509241.37885796255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2723.1811709531071</v>
      </c>
      <c r="I98" s="315">
        <f>(I97-I92-I93)/$M$76</f>
        <v>5786.8338506586651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2723.1811709531071</v>
      </c>
      <c r="I101" s="130"/>
      <c r="J101" s="294">
        <f>I97/M76</f>
        <v>5786.8338506586651</v>
      </c>
      <c r="K101" s="294"/>
    </row>
    <row r="102" spans="3:11" x14ac:dyDescent="0.25">
      <c r="I102" s="132">
        <f>J101/H101-1</f>
        <v>1.1250271235656668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X107"/>
  <sheetViews>
    <sheetView topLeftCell="A34" zoomScale="80" zoomScaleNormal="80" workbookViewId="0">
      <selection activeCell="M57" sqref="M57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27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1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36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dados'!AC6</f>
        <v>54945</v>
      </c>
      <c r="P55" s="272" t="s">
        <v>122</v>
      </c>
      <c r="Q55" s="302"/>
      <c r="R55" s="302"/>
      <c r="S55" s="302"/>
      <c r="T55" s="273"/>
      <c r="U55" s="118">
        <f>ROUND(SUM(R36:R54)+SUM(U36:U54),0)</f>
        <v>55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dados'!AC7</f>
        <v>54945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dados'!AC8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dados'!AC9</f>
        <v>21.21</v>
      </c>
      <c r="P58" s="145" t="s">
        <v>178</v>
      </c>
      <c r="Q58" s="146"/>
      <c r="R58" s="290">
        <f>H97/M76</f>
        <v>2723.1811709531071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dados'!AC10</f>
        <v>1.3250856746336042</v>
      </c>
      <c r="P59" s="89" t="s">
        <v>179</v>
      </c>
      <c r="Q59" s="90"/>
      <c r="R59" s="292">
        <f>I97/M76-R58</f>
        <v>3063.6526797055581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dados'!AC11</f>
        <v>1.3250856746336042</v>
      </c>
      <c r="P60" s="89" t="s">
        <v>168</v>
      </c>
      <c r="Q60" s="90"/>
      <c r="R60" s="142">
        <f>SUM(H82:H87)</f>
        <v>111903.49</v>
      </c>
      <c r="S60" s="143">
        <f>R60/H97</f>
        <v>0.46696510013571757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dados'!AC12</f>
        <v>1</v>
      </c>
      <c r="P61" s="89" t="s">
        <v>169</v>
      </c>
      <c r="Q61" s="90"/>
      <c r="R61" s="142">
        <f>SUM(H88:H91)</f>
        <v>55525.33</v>
      </c>
      <c r="S61" s="143">
        <f>R61/H97</f>
        <v>0.23170315138087974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dados'!AC13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0.30133174848340261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dados'!AC14</f>
        <v>27570.31690220728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dados'!AC15</f>
        <v>27570.31690220728</v>
      </c>
      <c r="P64" s="89" t="s">
        <v>177</v>
      </c>
      <c r="Q64" s="90"/>
      <c r="R64" s="142">
        <f>SUM(R60:S63)</f>
        <v>239640.94304387341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dados'!AC16</f>
        <v>20806.705771987272</v>
      </c>
      <c r="P65" s="89" t="s">
        <v>99</v>
      </c>
      <c r="Q65" s="90"/>
      <c r="R65" s="142">
        <f>I97-H97</f>
        <v>269601.43581408914</v>
      </c>
      <c r="S65" s="144">
        <f>R65/R64</f>
        <v>1.1250224289291442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dados'!AC17</f>
        <v>20806.705771987272</v>
      </c>
      <c r="P66" s="89" t="s">
        <v>180</v>
      </c>
      <c r="Q66" s="90"/>
      <c r="R66" s="292">
        <f>R64*12</f>
        <v>2875691.316526481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dados'!AC18</f>
        <v>441310.22942385013</v>
      </c>
      <c r="P67" s="147" t="s">
        <v>181</v>
      </c>
      <c r="Q67" s="148"/>
      <c r="R67" s="335">
        <f>R65*12</f>
        <v>3235217.2297690697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dados'!AC19</f>
        <v>441310.22942385008</v>
      </c>
      <c r="P68" s="344" t="s">
        <v>183</v>
      </c>
      <c r="Q68" s="345"/>
      <c r="R68" s="337">
        <f>R66+R67</f>
        <v>6110908.5462955507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36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0.22727272727272727</v>
      </c>
      <c r="R70" s="113">
        <f>R66</f>
        <v>2875691.316526481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1.1363636363636364E-2</v>
      </c>
      <c r="R71" s="113">
        <f t="shared" ref="R71:R72" si="12">R67</f>
        <v>3235217.2297690697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0.14772727272727273</v>
      </c>
      <c r="R72" s="113">
        <f t="shared" si="12"/>
        <v>6110908.5462955507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0.15909090909090909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3.4090909090909088E-2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0.64770000000000005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1.1363636363636364E-2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0.25688603943040428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0.30680000000000002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88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3.135467531901711E-2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4.5499999999999999E-2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473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1.9725721605002938E-2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1.2691217550101379E-2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0.1008999176308718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0.10812351998472924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4.1812784435844089E-2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8.1073832005932725E-2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8.1554731163320932E-2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6.9066007222107456E-2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0.13467871408310952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6.2132839569558646E-2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6110896.5462955507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239639.94304387341</v>
      </c>
      <c r="I97" s="315">
        <f>SUM(I82:K96)</f>
        <v>509241.37885796255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2723.1811709531071</v>
      </c>
      <c r="I98" s="315">
        <f>(I97-I92-I93)/$M$76</f>
        <v>5786.8338506586651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2723.1811709531071</v>
      </c>
      <c r="I101" s="130"/>
      <c r="J101" s="294">
        <f>I97/M76</f>
        <v>5786.8338506586651</v>
      </c>
      <c r="K101" s="294"/>
    </row>
    <row r="102" spans="3:11" x14ac:dyDescent="0.25">
      <c r="I102" s="132">
        <f>J101/H101-1</f>
        <v>1.1250271235656668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X107"/>
  <sheetViews>
    <sheetView topLeftCell="A40" zoomScale="80" zoomScaleNormal="80" workbookViewId="0">
      <selection activeCell="M61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27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1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36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dados'!AD6</f>
        <v>55151</v>
      </c>
      <c r="P55" s="272" t="s">
        <v>122</v>
      </c>
      <c r="Q55" s="302"/>
      <c r="R55" s="302"/>
      <c r="S55" s="302"/>
      <c r="T55" s="273"/>
      <c r="U55" s="118">
        <f>ROUND(SUM(R36:R54)+SUM(U36:U54),0)</f>
        <v>55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dados'!AD7</f>
        <v>55151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dados'!AD8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dados'!AD9</f>
        <v>21.21</v>
      </c>
      <c r="P58" s="145" t="s">
        <v>178</v>
      </c>
      <c r="Q58" s="146"/>
      <c r="R58" s="290">
        <f>H97/M76</f>
        <v>2723.1811709531071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dados'!AD10</f>
        <v>1.3251363925948305</v>
      </c>
      <c r="P59" s="89" t="s">
        <v>179</v>
      </c>
      <c r="Q59" s="90"/>
      <c r="R59" s="292">
        <f>I97/M76-R58</f>
        <v>3063.6526797055581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dados'!AD11</f>
        <v>1.3251363925948305</v>
      </c>
      <c r="P60" s="89" t="s">
        <v>168</v>
      </c>
      <c r="Q60" s="90"/>
      <c r="R60" s="142">
        <f>SUM(H82:H87)</f>
        <v>111903.49</v>
      </c>
      <c r="S60" s="143">
        <f>R60/H97</f>
        <v>0.46696510013571757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dados'!AD12</f>
        <v>1</v>
      </c>
      <c r="P61" s="89" t="s">
        <v>169</v>
      </c>
      <c r="Q61" s="90"/>
      <c r="R61" s="142">
        <f>SUM(H88:H91)</f>
        <v>55525.33</v>
      </c>
      <c r="S61" s="143">
        <f>R61/H97</f>
        <v>0.23170315138087974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dados'!AD13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0.30133174848340261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dados'!AD14</f>
        <v>27822.328627899238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dados'!AD15</f>
        <v>27822.328627899238</v>
      </c>
      <c r="P64" s="89" t="s">
        <v>177</v>
      </c>
      <c r="Q64" s="90"/>
      <c r="R64" s="142">
        <f>SUM(R60:S63)</f>
        <v>239640.94304387341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dados'!AD16</f>
        <v>20995.842080508257</v>
      </c>
      <c r="P65" s="89" t="s">
        <v>99</v>
      </c>
      <c r="Q65" s="90"/>
      <c r="R65" s="142">
        <f>I97-H97</f>
        <v>269601.43581408914</v>
      </c>
      <c r="S65" s="144">
        <f>R65/R64</f>
        <v>1.1250224289291442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dados'!AD17</f>
        <v>20995.842080508257</v>
      </c>
      <c r="P66" s="89" t="s">
        <v>180</v>
      </c>
      <c r="Q66" s="90"/>
      <c r="R66" s="292">
        <f>R64*12</f>
        <v>2875691.316526481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dados'!AD18</f>
        <v>445321.81052758021</v>
      </c>
      <c r="P67" s="147" t="s">
        <v>181</v>
      </c>
      <c r="Q67" s="148"/>
      <c r="R67" s="335">
        <f>R65*12</f>
        <v>3235217.2297690697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dados'!AD19</f>
        <v>445321.81052758015</v>
      </c>
      <c r="P68" s="344" t="s">
        <v>183</v>
      </c>
      <c r="Q68" s="345"/>
      <c r="R68" s="337">
        <f>R66+R67</f>
        <v>6110908.5462955507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36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0.22727272727272727</v>
      </c>
      <c r="R70" s="113">
        <f>R66</f>
        <v>2875691.316526481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1.1363636363636364E-2</v>
      </c>
      <c r="R71" s="113">
        <f t="shared" ref="R71:R72" si="12">R67</f>
        <v>3235217.2297690697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0.14772727272727273</v>
      </c>
      <c r="R72" s="113">
        <f t="shared" si="12"/>
        <v>6110908.5462955507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0.15909090909090909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3.4090909090909088E-2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0.64770000000000005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1.1363636363636364E-2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0.25688603943040428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0.30680000000000002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88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3.135467531901711E-2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4.5499999999999999E-2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477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1.9725721605002938E-2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1.2691217550101379E-2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0.1008999176308718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0.10812351998472924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4.1812784435844089E-2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8.1073832005932725E-2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8.1554731163320932E-2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6.9066007222107456E-2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0.13467871408310952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6.2132839569558646E-2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6110896.5462955507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239639.94304387341</v>
      </c>
      <c r="I97" s="315">
        <f>SUM(I82:K96)</f>
        <v>509241.37885796255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2723.1811709531071</v>
      </c>
      <c r="I98" s="315">
        <f>(I97-I92-I93)/$M$76</f>
        <v>5786.8338506586651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2723.1811709531071</v>
      </c>
      <c r="I101" s="130"/>
      <c r="J101" s="294">
        <f>I97/M76</f>
        <v>5786.8338506586651</v>
      </c>
      <c r="K101" s="294"/>
    </row>
    <row r="102" spans="3:11" x14ac:dyDescent="0.25">
      <c r="I102" s="132">
        <f>J101/H101-1</f>
        <v>1.1250271235656668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X107"/>
  <sheetViews>
    <sheetView topLeftCell="A37" zoomScale="80" zoomScaleNormal="80" workbookViewId="0">
      <selection activeCell="M60" sqref="M55:M60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11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27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0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0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0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0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1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3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2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16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36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0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0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dados'!AE6</f>
        <v>55347</v>
      </c>
      <c r="P55" s="272" t="s">
        <v>122</v>
      </c>
      <c r="Q55" s="302"/>
      <c r="R55" s="302"/>
      <c r="S55" s="302"/>
      <c r="T55" s="273"/>
      <c r="U55" s="118">
        <f>ROUND(SUM(R36:R54)+SUM(U36:U54),0)</f>
        <v>55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dados'!AE7</f>
        <v>55347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dados'!AE8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dados'!AE9</f>
        <v>21.21</v>
      </c>
      <c r="P58" s="145" t="s">
        <v>178</v>
      </c>
      <c r="Q58" s="146"/>
      <c r="R58" s="290">
        <f>H97/M76</f>
        <v>2723.1811709531071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dados'!AE10</f>
        <v>1.3251687278007684</v>
      </c>
      <c r="P59" s="89" t="s">
        <v>179</v>
      </c>
      <c r="Q59" s="90"/>
      <c r="R59" s="292">
        <f>I97/M76-R58</f>
        <v>3063.6526797055581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dados'!AE11</f>
        <v>1.3251687278007684</v>
      </c>
      <c r="P60" s="89" t="s">
        <v>168</v>
      </c>
      <c r="Q60" s="90"/>
      <c r="R60" s="142">
        <f>SUM(H82:H87)</f>
        <v>111903.49</v>
      </c>
      <c r="S60" s="143">
        <f>R60/H97</f>
        <v>0.46696510013571757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dados'!AE12</f>
        <v>1</v>
      </c>
      <c r="P61" s="89" t="s">
        <v>169</v>
      </c>
      <c r="Q61" s="90"/>
      <c r="R61" s="142">
        <f>SUM(H88:H91)</f>
        <v>55525.33</v>
      </c>
      <c r="S61" s="143">
        <f>R61/H97</f>
        <v>0.23170315138087974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dados'!AE13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0.30133174848340261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dados'!AE14</f>
        <v>28068.424009607454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dados'!AE15</f>
        <v>28068.424009607454</v>
      </c>
      <c r="P64" s="89" t="s">
        <v>177</v>
      </c>
      <c r="Q64" s="90"/>
      <c r="R64" s="142">
        <f>SUM(R60:S63)</f>
        <v>239640.94304387341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dados'!AE16</f>
        <v>21181.038498679936</v>
      </c>
      <c r="P65" s="89" t="s">
        <v>99</v>
      </c>
      <c r="Q65" s="90"/>
      <c r="R65" s="142">
        <f>I97-H97</f>
        <v>269601.43581408914</v>
      </c>
      <c r="S65" s="144">
        <f>R65/R64</f>
        <v>1.1250224289291442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dados'!AE17</f>
        <v>21181.038498679936</v>
      </c>
      <c r="P66" s="89" t="s">
        <v>180</v>
      </c>
      <c r="Q66" s="90"/>
      <c r="R66" s="292">
        <f>R64*12</f>
        <v>2875691.316526481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dados'!AE18</f>
        <v>449249.82655700151</v>
      </c>
      <c r="P67" s="147" t="s">
        <v>181</v>
      </c>
      <c r="Q67" s="148"/>
      <c r="R67" s="335">
        <f>R65*12</f>
        <v>3235217.2297690697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dados'!AE19</f>
        <v>449249.82655700145</v>
      </c>
      <c r="P68" s="344" t="s">
        <v>183</v>
      </c>
      <c r="Q68" s="345"/>
      <c r="R68" s="337">
        <f>R66+R67</f>
        <v>6110908.5462955507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36</v>
      </c>
      <c r="N69" s="131">
        <f t="shared" ref="N69:N75" si="11">M69/$M$76</f>
        <v>0.40909090909090912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0.22727272727272727</v>
      </c>
      <c r="R70" s="113">
        <f>R66</f>
        <v>2875691.316526481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1.1363636363636364E-2</v>
      </c>
      <c r="R71" s="113">
        <f t="shared" ref="R71:R72" si="12">R67</f>
        <v>3235217.2297690697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0.14772727272727273</v>
      </c>
      <c r="R72" s="113">
        <f t="shared" si="12"/>
        <v>6110908.5462955507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0.15909090909090909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3.4090909090909088E-2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0.64770000000000005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1.1363636363636364E-2</v>
      </c>
      <c r="P75" s="206" t="str">
        <f>D82</f>
        <v>Área técnica - Manutenção de Redes - Operacional</v>
      </c>
      <c r="Q75" s="90"/>
      <c r="R75" s="213">
        <f>I82*12</f>
        <v>1569804.0111468001</v>
      </c>
      <c r="S75" s="207">
        <f>R75/$R$90</f>
        <v>0.25688603943040428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0.30680000000000002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88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3.135467531901711E-2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4.5499999999999999E-2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481</v>
      </c>
      <c r="P77" s="206" t="str">
        <f t="shared" si="13"/>
        <v>Área técnica - Manut Eletromecânica - Operacional</v>
      </c>
      <c r="Q77" s="90"/>
      <c r="R77" s="213">
        <f t="shared" si="14"/>
        <v>120541.84402919997</v>
      </c>
      <c r="S77" s="207">
        <f t="shared" si="15"/>
        <v>1.9725721605002938E-2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1.2691217550101379E-2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0.1008999176308718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0.10812351998472924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4.1812784435844089E-2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54271.23</v>
      </c>
      <c r="I82" s="342">
        <f t="shared" ref="I82:I95" si="16">(F82+1)*H82</f>
        <v>130817.0009289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8.1073832005932725E-2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8.1554731163320932E-2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4167.37</v>
      </c>
      <c r="I84" s="283">
        <f t="shared" si="16"/>
        <v>10045.153669099998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6.9066007222107456E-2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0.13467871408310952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6.2132839569558646E-2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6110896.5462955507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239639.94304387341</v>
      </c>
      <c r="I97" s="315">
        <f>SUM(I82:K96)</f>
        <v>509241.37885796255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2723.1811709531071</v>
      </c>
      <c r="I98" s="315">
        <f>(I97-I92-I93)/$M$76</f>
        <v>5786.8338506586651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2723.1811709531071</v>
      </c>
      <c r="I101" s="130"/>
      <c r="J101" s="294">
        <f>I97/M76</f>
        <v>5786.8338506586651</v>
      </c>
      <c r="K101" s="294"/>
    </row>
    <row r="102" spans="3:11" x14ac:dyDescent="0.25">
      <c r="I102" s="132">
        <f>J101/H101-1</f>
        <v>1.1250271235656668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X107"/>
  <sheetViews>
    <sheetView topLeftCell="A37" zoomScale="80" zoomScaleNormal="80" workbookViewId="0">
      <selection activeCell="M61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12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1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1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1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1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2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7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3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41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1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1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dados'!AF6</f>
        <v>55534</v>
      </c>
      <c r="P55" s="272" t="s">
        <v>122</v>
      </c>
      <c r="Q55" s="302"/>
      <c r="R55" s="302"/>
      <c r="S55" s="302"/>
      <c r="T55" s="273"/>
      <c r="U55" s="118">
        <f>ROUND(SUM(R36:R54)+SUM(U36:U54),0)</f>
        <v>60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dados'!AF7</f>
        <v>55534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dados'!AF8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dados'!AF9</f>
        <v>21.21</v>
      </c>
      <c r="P58" s="145" t="s">
        <v>178</v>
      </c>
      <c r="Q58" s="146"/>
      <c r="R58" s="290">
        <f>H97/M76</f>
        <v>2681.3508929448753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dados'!AF10</f>
        <v>1.3252273037502742</v>
      </c>
      <c r="P59" s="89" t="s">
        <v>179</v>
      </c>
      <c r="Q59" s="90"/>
      <c r="R59" s="292">
        <f>I97/M76-R58</f>
        <v>3046.4391479654741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dados'!AF11</f>
        <v>1.3252273037502742</v>
      </c>
      <c r="P60" s="89" t="s">
        <v>168</v>
      </c>
      <c r="Q60" s="90"/>
      <c r="R60" s="142">
        <f>SUM(H82:H87)</f>
        <v>121629.18</v>
      </c>
      <c r="S60" s="143">
        <f>R60/H97</f>
        <v>0.4877543810481717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dados'!AF12</f>
        <v>1</v>
      </c>
      <c r="P61" s="89" t="s">
        <v>169</v>
      </c>
      <c r="Q61" s="90"/>
      <c r="R61" s="142">
        <f>SUM(H88:H91)</f>
        <v>55525.33</v>
      </c>
      <c r="S61" s="143">
        <f>R61/H97</f>
        <v>0.22266632864453648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dados'!AF13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0.28957929030729168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dados'!AF14</f>
        <v>28303.677193231466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dados'!AF15</f>
        <v>28303.677193231466</v>
      </c>
      <c r="P64" s="89" t="s">
        <v>177</v>
      </c>
      <c r="Q64" s="90"/>
      <c r="R64" s="142">
        <f>SUM(R60:S63)</f>
        <v>249366.63304387341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dados'!AF16</f>
        <v>21357.621435708657</v>
      </c>
      <c r="P65" s="89" t="s">
        <v>99</v>
      </c>
      <c r="Q65" s="90"/>
      <c r="R65" s="142">
        <f>I97-H97</f>
        <v>283318.84076078905</v>
      </c>
      <c r="S65" s="144">
        <f>R65/R64</f>
        <v>1.136153772068383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dados'!AF17</f>
        <v>21357.621435708657</v>
      </c>
      <c r="P66" s="89" t="s">
        <v>180</v>
      </c>
      <c r="Q66" s="90"/>
      <c r="R66" s="292">
        <f>R64*12</f>
        <v>2992399.5965264812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dados'!AF18</f>
        <v>452995.15065138065</v>
      </c>
      <c r="P67" s="147" t="s">
        <v>181</v>
      </c>
      <c r="Q67" s="148"/>
      <c r="R67" s="335">
        <f>R65*12</f>
        <v>3399826.0891294684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dados'!AF19</f>
        <v>452995.15065138065</v>
      </c>
      <c r="P68" s="344" t="s">
        <v>183</v>
      </c>
      <c r="Q68" s="345"/>
      <c r="R68" s="337">
        <f>R66+R67</f>
        <v>6392225.6856559496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41</v>
      </c>
      <c r="N69" s="131">
        <f t="shared" ref="N69:N75" si="11">M69/$M$76</f>
        <v>0.44086021505376344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0.21505376344086022</v>
      </c>
      <c r="R70" s="113">
        <f>R66</f>
        <v>2992399.5965264812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1.0752688172043012E-2</v>
      </c>
      <c r="R71" s="113">
        <f t="shared" ref="R71:R72" si="12">R67</f>
        <v>3399826.0891294684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0.13978494623655913</v>
      </c>
      <c r="R72" s="113">
        <f t="shared" si="12"/>
        <v>6392225.6856559496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0.15053763440860216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3.2258064516129031E-2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0.66669999999999996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1.0752688172043012E-2</v>
      </c>
      <c r="P75" s="206" t="str">
        <f>D82</f>
        <v>Área técnica - Manutenção de Redes - Operacional</v>
      </c>
      <c r="Q75" s="90"/>
      <c r="R75" s="213">
        <f>I82*12</f>
        <v>1619350.7854655995</v>
      </c>
      <c r="S75" s="207">
        <f>R75/$R$90</f>
        <v>0.25333176659901141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0.2903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93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2.9974776585951702E-2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4.2999999999999997E-2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459</v>
      </c>
      <c r="P77" s="206" t="str">
        <f t="shared" si="13"/>
        <v>Área técnica - Manut Eletromecânica - Operacional</v>
      </c>
      <c r="Q77" s="90"/>
      <c r="R77" s="213">
        <f t="shared" si="14"/>
        <v>352312.20907079999</v>
      </c>
      <c r="S77" s="207">
        <f t="shared" si="15"/>
        <v>5.5115837235132539E-2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1.2132685374588125E-2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9.645937831452947E-2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0.10336507465804433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3.9972631167410656E-2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55984.159999999996</v>
      </c>
      <c r="I82" s="342">
        <f t="shared" ref="I82:I95" si="16">(F82+1)*H82</f>
        <v>134945.89878879997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7.7505825737920406E-2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7.7965560838233847E-2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12180.130000000001</v>
      </c>
      <c r="I84" s="283">
        <f t="shared" si="16"/>
        <v>29359.350755899999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6.6026457461377863E-2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0.12875159204968684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5.9398413978112984E-2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6392213.6856559496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249365.63304387341</v>
      </c>
      <c r="I97" s="315">
        <f>SUM(I82:K96)</f>
        <v>532684.47380466247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2681.3508929448753</v>
      </c>
      <c r="I98" s="315">
        <f>(I97-I92-I93)/$M$76</f>
        <v>5727.7900409103495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2681.3508929448753</v>
      </c>
      <c r="I101" s="130"/>
      <c r="J101" s="294">
        <f>I97/M76</f>
        <v>5727.7900409103495</v>
      </c>
      <c r="K101" s="294"/>
    </row>
    <row r="102" spans="3:11" x14ac:dyDescent="0.25">
      <c r="I102" s="132">
        <f>J101/H101-1</f>
        <v>1.1361583282446222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X107"/>
  <sheetViews>
    <sheetView topLeftCell="A22" zoomScale="80" zoomScaleNormal="80" workbookViewId="0">
      <selection activeCell="M62" sqref="M55:M62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12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1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1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1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1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2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7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3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41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1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1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dados'!AG6</f>
        <v>55712</v>
      </c>
      <c r="P55" s="272" t="s">
        <v>122</v>
      </c>
      <c r="Q55" s="302"/>
      <c r="R55" s="302"/>
      <c r="S55" s="302"/>
      <c r="T55" s="273"/>
      <c r="U55" s="118">
        <f>ROUND(SUM(R36:R54)+SUM(U36:U54),0)</f>
        <v>60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dados'!AG7</f>
        <v>55712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dados'!AG8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dados'!AG9</f>
        <v>21.21</v>
      </c>
      <c r="P58" s="145" t="s">
        <v>178</v>
      </c>
      <c r="Q58" s="146"/>
      <c r="R58" s="290">
        <f>H97/M76</f>
        <v>2681.3508929448753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dados'!AG10</f>
        <v>1.3252837492931022</v>
      </c>
      <c r="P59" s="89" t="s">
        <v>179</v>
      </c>
      <c r="Q59" s="90"/>
      <c r="R59" s="292">
        <f>I97/M76-R58</f>
        <v>3046.4391479654741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dados'!AG11</f>
        <v>1.3252837492931022</v>
      </c>
      <c r="P60" s="89" t="s">
        <v>168</v>
      </c>
      <c r="Q60" s="90"/>
      <c r="R60" s="142">
        <f>SUM(H82:H87)</f>
        <v>121629.18</v>
      </c>
      <c r="S60" s="143">
        <f>R60/H97</f>
        <v>0.4877543810481717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dados'!AG12</f>
        <v>1</v>
      </c>
      <c r="P61" s="89" t="s">
        <v>169</v>
      </c>
      <c r="Q61" s="90"/>
      <c r="R61" s="142">
        <f>SUM(H88:H91)</f>
        <v>55525.33</v>
      </c>
      <c r="S61" s="143">
        <f>R61/H97</f>
        <v>0.22266632864453648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dados'!AG13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0.28957929030729168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dados'!AG14</f>
        <v>28532.176880379982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dados'!AG15</f>
        <v>28532.176880379982</v>
      </c>
      <c r="P64" s="89" t="s">
        <v>177</v>
      </c>
      <c r="Q64" s="90"/>
      <c r="R64" s="142">
        <f>SUM(R60:S63)</f>
        <v>249366.63304387341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dados'!AG16</f>
        <v>21529.362447034182</v>
      </c>
      <c r="P65" s="89" t="s">
        <v>99</v>
      </c>
      <c r="Q65" s="90"/>
      <c r="R65" s="142">
        <f>I97-H97</f>
        <v>283318.84076078905</v>
      </c>
      <c r="S65" s="144">
        <f>R65/R64</f>
        <v>1.136153772068383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dados'!AG17</f>
        <v>21529.362447034182</v>
      </c>
      <c r="P66" s="89" t="s">
        <v>180</v>
      </c>
      <c r="Q66" s="90"/>
      <c r="R66" s="292">
        <f>R64*12</f>
        <v>2992399.5965264812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dados'!AG18</f>
        <v>456637.77750159503</v>
      </c>
      <c r="P67" s="147" t="s">
        <v>181</v>
      </c>
      <c r="Q67" s="148"/>
      <c r="R67" s="335">
        <f>R65*12</f>
        <v>3399826.0891294684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dados'!AG19</f>
        <v>456637.77750159503</v>
      </c>
      <c r="P68" s="344" t="s">
        <v>183</v>
      </c>
      <c r="Q68" s="345"/>
      <c r="R68" s="337">
        <f>R66+R67</f>
        <v>6392225.6856559496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41</v>
      </c>
      <c r="N69" s="131">
        <f t="shared" ref="N69:N75" si="11">M69/$M$76</f>
        <v>0.44086021505376344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0.21505376344086022</v>
      </c>
      <c r="R70" s="113">
        <f>R66</f>
        <v>2992399.5965264812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1.0752688172043012E-2</v>
      </c>
      <c r="R71" s="113">
        <f t="shared" ref="R71:R72" si="12">R67</f>
        <v>3399826.0891294684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0.13978494623655913</v>
      </c>
      <c r="R72" s="113">
        <f t="shared" si="12"/>
        <v>6392225.6856559496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0.15053763440860216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3.2258064516129031E-2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0.66669999999999996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1.0752688172043012E-2</v>
      </c>
      <c r="P75" s="206" t="str">
        <f>D82</f>
        <v>Área técnica - Manutenção de Redes - Operacional</v>
      </c>
      <c r="Q75" s="90"/>
      <c r="R75" s="213">
        <f>I82*12</f>
        <v>1619350.7854655995</v>
      </c>
      <c r="S75" s="207">
        <f>R75/$R$90</f>
        <v>0.25333176659901141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0.2903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93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2.9974776585951702E-2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4.2999999999999997E-2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463</v>
      </c>
      <c r="P77" s="206" t="str">
        <f t="shared" si="13"/>
        <v>Área técnica - Manut Eletromecânica - Operacional</v>
      </c>
      <c r="Q77" s="90"/>
      <c r="R77" s="213">
        <f t="shared" si="14"/>
        <v>352312.20907079999</v>
      </c>
      <c r="S77" s="207">
        <f t="shared" si="15"/>
        <v>5.5115837235132539E-2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1.2132685374588125E-2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9.645937831452947E-2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0.10336507465804433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3.9972631167410656E-2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55984.159999999996</v>
      </c>
      <c r="I82" s="342">
        <f t="shared" ref="I82:I95" si="16">(F82+1)*H82</f>
        <v>134945.89878879997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7.7505825737920406E-2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7.7965560838233847E-2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12180.130000000001</v>
      </c>
      <c r="I84" s="283">
        <f t="shared" si="16"/>
        <v>29359.350755899999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6.6026457461377863E-2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0.12875159204968684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5.9398413978112984E-2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6392213.6856559496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249365.63304387341</v>
      </c>
      <c r="I97" s="315">
        <f>SUM(I82:K96)</f>
        <v>532684.47380466247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2681.3508929448753</v>
      </c>
      <c r="I98" s="315">
        <f>(I97-I92-I93)/$M$76</f>
        <v>5727.7900409103495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2681.3508929448753</v>
      </c>
      <c r="I101" s="130"/>
      <c r="J101" s="294">
        <f>I97/M76</f>
        <v>5727.7900409103495</v>
      </c>
      <c r="K101" s="294"/>
    </row>
    <row r="102" spans="3:11" x14ac:dyDescent="0.25">
      <c r="I102" s="132">
        <f>J101/H101-1</f>
        <v>1.1361583282446222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P90:Q90"/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G21:I21"/>
    <mergeCell ref="G22:I22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</mergeCells>
  <pageMargins left="0.511811024" right="0.511811024" top="0.78740157499999996" bottom="0.78740157499999996" header="0.31496062000000002" footer="0.31496062000000002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X107"/>
  <sheetViews>
    <sheetView topLeftCell="A46" zoomScale="80" zoomScaleNormal="80" workbookViewId="0">
      <selection activeCell="M62" sqref="M56:M62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12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1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1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1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1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2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7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3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41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1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1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dados'!AH6</f>
        <v>55881</v>
      </c>
      <c r="P55" s="272" t="s">
        <v>122</v>
      </c>
      <c r="Q55" s="302"/>
      <c r="R55" s="302"/>
      <c r="S55" s="302"/>
      <c r="T55" s="273"/>
      <c r="U55" s="118">
        <f>ROUND(SUM(R36:R54)+SUM(U36:U54),0)</f>
        <v>60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dados'!AH7</f>
        <v>55881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dados'!AH8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dados'!AH9</f>
        <v>21.21</v>
      </c>
      <c r="P58" s="145" t="s">
        <v>178</v>
      </c>
      <c r="Q58" s="146"/>
      <c r="R58" s="290">
        <f>H97/M76</f>
        <v>2681.3508929448753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dados'!AH10</f>
        <v>1.3253221010566296</v>
      </c>
      <c r="P59" s="89" t="s">
        <v>179</v>
      </c>
      <c r="Q59" s="90"/>
      <c r="R59" s="292">
        <f>I97/M76-R58</f>
        <v>3046.4391479654741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dados'!AH11</f>
        <v>1.3253221010566296</v>
      </c>
      <c r="P60" s="89" t="s">
        <v>168</v>
      </c>
      <c r="Q60" s="90"/>
      <c r="R60" s="142">
        <f>SUM(H82:H87)</f>
        <v>121629.18</v>
      </c>
      <c r="S60" s="143">
        <f>R60/H97</f>
        <v>0.4877543810481717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dados'!AH12</f>
        <v>1</v>
      </c>
      <c r="P61" s="89" t="s">
        <v>169</v>
      </c>
      <c r="Q61" s="90"/>
      <c r="R61" s="142">
        <f>SUM(H88:H91)</f>
        <v>55525.33</v>
      </c>
      <c r="S61" s="143">
        <f>R61/H97</f>
        <v>0.22266632864453648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dados'!AH13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0.28957929030729168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dados'!AH14</f>
        <v>28752.025050658256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dados'!AH15</f>
        <v>28752.025050658256</v>
      </c>
      <c r="P64" s="89" t="s">
        <v>177</v>
      </c>
      <c r="Q64" s="90"/>
      <c r="R64" s="142">
        <f>SUM(R60:S63)</f>
        <v>249366.63304387341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dados'!AH16</f>
        <v>21694.406912528382</v>
      </c>
      <c r="P65" s="89" t="s">
        <v>99</v>
      </c>
      <c r="Q65" s="90"/>
      <c r="R65" s="142">
        <f>I97-H97</f>
        <v>283318.84076078905</v>
      </c>
      <c r="S65" s="144">
        <f>R65/R64</f>
        <v>1.136153772068383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dados'!AH17</f>
        <v>21694.406912528382</v>
      </c>
      <c r="P66" s="89" t="s">
        <v>180</v>
      </c>
      <c r="Q66" s="90"/>
      <c r="R66" s="292">
        <f>R64*12</f>
        <v>2992399.5965264812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dados'!AH18</f>
        <v>460138.37061472703</v>
      </c>
      <c r="P67" s="147" t="s">
        <v>181</v>
      </c>
      <c r="Q67" s="148"/>
      <c r="R67" s="335">
        <f>R65*12</f>
        <v>3399826.0891294684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dados'!AH19</f>
        <v>460138.37061472703</v>
      </c>
      <c r="P68" s="344" t="s">
        <v>183</v>
      </c>
      <c r="Q68" s="345"/>
      <c r="R68" s="337">
        <f>R66+R67</f>
        <v>6392225.6856559496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41</v>
      </c>
      <c r="N69" s="131">
        <f t="shared" ref="N69:N75" si="11">M69/$M$76</f>
        <v>0.44086021505376344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0.21505376344086022</v>
      </c>
      <c r="R70" s="113">
        <f>R66</f>
        <v>2992399.5965264812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1.0752688172043012E-2</v>
      </c>
      <c r="R71" s="113">
        <f t="shared" ref="R71:R72" si="12">R67</f>
        <v>3399826.0891294684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0.13978494623655913</v>
      </c>
      <c r="R72" s="113">
        <f t="shared" si="12"/>
        <v>6392225.6856559496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0.15053763440860216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3.2258064516129031E-2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0.66669999999999996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1.0752688172043012E-2</v>
      </c>
      <c r="P75" s="206" t="str">
        <f>D82</f>
        <v>Área técnica - Manutenção de Redes - Operacional</v>
      </c>
      <c r="Q75" s="90"/>
      <c r="R75" s="213">
        <f>I82*12</f>
        <v>1619350.7854655995</v>
      </c>
      <c r="S75" s="207">
        <f>R75/$R$90</f>
        <v>0.25333176659901141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0.2903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93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2.9974776585951702E-2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4.2999999999999997E-2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467</v>
      </c>
      <c r="P77" s="206" t="str">
        <f t="shared" si="13"/>
        <v>Área técnica - Manut Eletromecânica - Operacional</v>
      </c>
      <c r="Q77" s="90"/>
      <c r="R77" s="213">
        <f t="shared" si="14"/>
        <v>352312.20907079999</v>
      </c>
      <c r="S77" s="207">
        <f t="shared" si="15"/>
        <v>5.5115837235132539E-2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1.2132685374588125E-2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9.645937831452947E-2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0.10336507465804433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3.9972631167410656E-2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55984.159999999996</v>
      </c>
      <c r="I82" s="342">
        <f t="shared" ref="I82:I95" si="16">(F82+1)*H82</f>
        <v>134945.89878879997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7.7505825737920406E-2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7.7965560838233847E-2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12180.130000000001</v>
      </c>
      <c r="I84" s="283">
        <f t="shared" si="16"/>
        <v>29359.350755899999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6.6026457461377863E-2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0.12875159204968684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5.9398413978112984E-2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6392213.6856559496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249365.63304387341</v>
      </c>
      <c r="I97" s="315">
        <f>SUM(I82:K96)</f>
        <v>532684.47380466247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2681.3508929448753</v>
      </c>
      <c r="I98" s="315">
        <f>(I97-I92-I93)/$M$76</f>
        <v>5727.7900409103495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2681.3508929448753</v>
      </c>
      <c r="I101" s="130"/>
      <c r="J101" s="294">
        <f>I97/M76</f>
        <v>5727.7900409103495</v>
      </c>
      <c r="K101" s="294"/>
    </row>
    <row r="102" spans="3:11" x14ac:dyDescent="0.25">
      <c r="I102" s="132">
        <f>J101/H101-1</f>
        <v>1.1361583282446222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P90:Q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G21:I21"/>
    <mergeCell ref="G22:I22"/>
  </mergeCells>
  <pageMargins left="0.511811024" right="0.511811024" top="0.78740157499999996" bottom="0.78740157499999996" header="0.31496062000000002" footer="0.31496062000000002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X107"/>
  <sheetViews>
    <sheetView topLeftCell="A43" zoomScale="80" zoomScaleNormal="80" workbookViewId="0">
      <selection activeCell="M62" sqref="M57:M62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12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1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1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1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1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2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7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3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41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1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1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dados'!AI6</f>
        <v>56042</v>
      </c>
      <c r="P55" s="272" t="s">
        <v>122</v>
      </c>
      <c r="Q55" s="302"/>
      <c r="R55" s="302"/>
      <c r="S55" s="302"/>
      <c r="T55" s="273"/>
      <c r="U55" s="118">
        <f>ROUND(SUM(R36:R54)+SUM(U36:U54),0)</f>
        <v>60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dados'!AI7</f>
        <v>56042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dados'!AI8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dados'!AI9</f>
        <v>21.21</v>
      </c>
      <c r="P58" s="145" t="s">
        <v>178</v>
      </c>
      <c r="Q58" s="146"/>
      <c r="R58" s="290">
        <f>H97/M76</f>
        <v>2681.3508929448753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dados'!AI10</f>
        <v>1.3253704205413326</v>
      </c>
      <c r="P59" s="89" t="s">
        <v>179</v>
      </c>
      <c r="Q59" s="90"/>
      <c r="R59" s="292">
        <f>I97/M76-R58</f>
        <v>3046.4391479654741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dados'!AI11</f>
        <v>1.3253704205413326</v>
      </c>
      <c r="P60" s="89" t="s">
        <v>168</v>
      </c>
      <c r="Q60" s="90"/>
      <c r="R60" s="142">
        <f>SUM(H82:H87)</f>
        <v>121629.18</v>
      </c>
      <c r="S60" s="143">
        <f>R60/H97</f>
        <v>0.4877543810481717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dados'!AI12</f>
        <v>1</v>
      </c>
      <c r="P61" s="89" t="s">
        <v>169</v>
      </c>
      <c r="Q61" s="90"/>
      <c r="R61" s="142">
        <f>SUM(H88:H91)</f>
        <v>55525.33</v>
      </c>
      <c r="S61" s="143">
        <f>R61/H97</f>
        <v>0.22266632864453648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dados'!AI13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0.28957929030729168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dados'!AI14</f>
        <v>28964.335702021512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dados'!AI15</f>
        <v>28964.335702021512</v>
      </c>
      <c r="P64" s="89" t="s">
        <v>177</v>
      </c>
      <c r="Q64" s="90"/>
      <c r="R64" s="142">
        <f>SUM(R60:S63)</f>
        <v>249366.63304387341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dados'!AI16</f>
        <v>21854.007596324689</v>
      </c>
      <c r="P65" s="89" t="s">
        <v>99</v>
      </c>
      <c r="Q65" s="90"/>
      <c r="R65" s="142">
        <f>I97-H97</f>
        <v>283318.84076078905</v>
      </c>
      <c r="S65" s="144">
        <f>R65/R64</f>
        <v>1.136153772068383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dados'!AI17</f>
        <v>21854.007596324689</v>
      </c>
      <c r="P66" s="89" t="s">
        <v>180</v>
      </c>
      <c r="Q66" s="90"/>
      <c r="R66" s="292">
        <f>R64*12</f>
        <v>2992399.5965264812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dados'!AI18</f>
        <v>463523.5011180467</v>
      </c>
      <c r="P67" s="147" t="s">
        <v>181</v>
      </c>
      <c r="Q67" s="148"/>
      <c r="R67" s="335">
        <f>R65*12</f>
        <v>3399826.0891294684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dados'!AI19</f>
        <v>463523.5011180467</v>
      </c>
      <c r="P68" s="344" t="s">
        <v>183</v>
      </c>
      <c r="Q68" s="345"/>
      <c r="R68" s="337">
        <f>R66+R67</f>
        <v>6392225.6856559496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41</v>
      </c>
      <c r="N69" s="131">
        <f t="shared" ref="N69:N75" si="11">M69/$M$76</f>
        <v>0.44086021505376344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0.21505376344086022</v>
      </c>
      <c r="R70" s="113">
        <f>R66</f>
        <v>2992399.5965264812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1.0752688172043012E-2</v>
      </c>
      <c r="R71" s="113">
        <f t="shared" ref="R71:R72" si="12">R67</f>
        <v>3399826.0891294684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0.13978494623655913</v>
      </c>
      <c r="R72" s="113">
        <f t="shared" si="12"/>
        <v>6392225.6856559496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0.15053763440860216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3.2258064516129031E-2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0.66669999999999996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1.0752688172043012E-2</v>
      </c>
      <c r="P75" s="206" t="str">
        <f>D82</f>
        <v>Área técnica - Manutenção de Redes - Operacional</v>
      </c>
      <c r="Q75" s="90"/>
      <c r="R75" s="213">
        <f>I82*12</f>
        <v>1619350.7854655995</v>
      </c>
      <c r="S75" s="207">
        <f>R75/$R$90</f>
        <v>0.25333176659901141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0.2903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93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2.9974776585951702E-2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4.2999999999999997E-2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470</v>
      </c>
      <c r="P77" s="206" t="str">
        <f t="shared" si="13"/>
        <v>Área técnica - Manut Eletromecânica - Operacional</v>
      </c>
      <c r="Q77" s="90"/>
      <c r="R77" s="213">
        <f t="shared" si="14"/>
        <v>352312.20907079999</v>
      </c>
      <c r="S77" s="207">
        <f t="shared" si="15"/>
        <v>5.5115837235132539E-2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1.2132685374588125E-2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9.645937831452947E-2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0.10336507465804433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3.9972631167410656E-2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55984.159999999996</v>
      </c>
      <c r="I82" s="342">
        <f t="shared" ref="I82:I95" si="16">(F82+1)*H82</f>
        <v>134945.89878879997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7.7505825737920406E-2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7.7965560838233847E-2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12180.130000000001</v>
      </c>
      <c r="I84" s="283">
        <f t="shared" si="16"/>
        <v>29359.350755899999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6.6026457461377863E-2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0.12875159204968684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5.9398413978112984E-2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6392213.6856559496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249365.63304387341</v>
      </c>
      <c r="I97" s="315">
        <f>SUM(I82:K96)</f>
        <v>532684.47380466247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2681.3508929448753</v>
      </c>
      <c r="I98" s="315">
        <f>(I97-I92-I93)/$M$76</f>
        <v>5727.7900409103495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2681.3508929448753</v>
      </c>
      <c r="I101" s="130"/>
      <c r="J101" s="294">
        <f>I97/M76</f>
        <v>5727.7900409103495</v>
      </c>
      <c r="K101" s="294"/>
    </row>
    <row r="102" spans="3:11" x14ac:dyDescent="0.25">
      <c r="I102" s="132">
        <f>J101/H101-1</f>
        <v>1.1361583282446222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P90:Q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G21:I21"/>
    <mergeCell ref="G22:I22"/>
  </mergeCells>
  <pageMargins left="0.511811024" right="0.511811024" top="0.78740157499999996" bottom="0.78740157499999996" header="0.31496062000000002" footer="0.31496062000000002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X107"/>
  <sheetViews>
    <sheetView topLeftCell="A34" zoomScale="80" zoomScaleNormal="80" workbookViewId="0">
      <selection activeCell="M62" sqref="M57:M62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12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1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1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1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1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2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7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3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41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1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1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dados'!AJ6</f>
        <v>56196</v>
      </c>
      <c r="P55" s="272" t="s">
        <v>122</v>
      </c>
      <c r="Q55" s="302"/>
      <c r="R55" s="302"/>
      <c r="S55" s="302"/>
      <c r="T55" s="273"/>
      <c r="U55" s="118">
        <f>ROUND(SUM(R36:R54)+SUM(U36:U54),0)</f>
        <v>60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dados'!AJ7</f>
        <v>56196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dados'!AJ8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dados'!AJ9</f>
        <v>21.21</v>
      </c>
      <c r="P58" s="145" t="s">
        <v>178</v>
      </c>
      <c r="Q58" s="146"/>
      <c r="R58" s="290">
        <f>H97/M76</f>
        <v>2681.3508929448753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dados'!AJ10</f>
        <v>1.3254182260960861</v>
      </c>
      <c r="P59" s="89" t="s">
        <v>179</v>
      </c>
      <c r="Q59" s="90"/>
      <c r="R59" s="292">
        <f>I97/M76-R58</f>
        <v>3046.4391479654741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dados'!AJ11</f>
        <v>1.3254182260960861</v>
      </c>
      <c r="P60" s="89" t="s">
        <v>168</v>
      </c>
      <c r="Q60" s="90"/>
      <c r="R60" s="142">
        <f>SUM(H82:H87)</f>
        <v>121629.18</v>
      </c>
      <c r="S60" s="143">
        <f>R60/H97</f>
        <v>0.4877543810481717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dados'!AJ12</f>
        <v>1</v>
      </c>
      <c r="P61" s="89" t="s">
        <v>169</v>
      </c>
      <c r="Q61" s="90"/>
      <c r="R61" s="142">
        <f>SUM(H88:H91)</f>
        <v>55525.33</v>
      </c>
      <c r="S61" s="143">
        <f>R61/H97</f>
        <v>0.22266632864453648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dados'!AJ13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0.28957929030729168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dados'!AJ14</f>
        <v>29169.233617889797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dados'!AJ15</f>
        <v>29169.233617889797</v>
      </c>
      <c r="P64" s="89" t="s">
        <v>177</v>
      </c>
      <c r="Q64" s="90"/>
      <c r="R64" s="142">
        <f>SUM(R60:S63)</f>
        <v>249366.63304387341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dados'!AJ16</f>
        <v>22007.843719348963</v>
      </c>
      <c r="P65" s="89" t="s">
        <v>99</v>
      </c>
      <c r="Q65" s="90"/>
      <c r="R65" s="142">
        <f>I97-H97</f>
        <v>283318.84076078905</v>
      </c>
      <c r="S65" s="144">
        <f>R65/R64</f>
        <v>1.136153772068383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dados'!AJ17</f>
        <v>22007.843719348963</v>
      </c>
      <c r="P66" s="89" t="s">
        <v>180</v>
      </c>
      <c r="Q66" s="90"/>
      <c r="R66" s="292">
        <f>R64*12</f>
        <v>2992399.5965264812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dados'!AJ18</f>
        <v>466786.36528739153</v>
      </c>
      <c r="P67" s="147" t="s">
        <v>181</v>
      </c>
      <c r="Q67" s="148"/>
      <c r="R67" s="335">
        <f>R65*12</f>
        <v>3399826.0891294684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dados'!AJ19</f>
        <v>466786.36528739153</v>
      </c>
      <c r="P68" s="344" t="s">
        <v>183</v>
      </c>
      <c r="Q68" s="345"/>
      <c r="R68" s="337">
        <f>R66+R67</f>
        <v>6392225.6856559496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41</v>
      </c>
      <c r="N69" s="131">
        <f t="shared" ref="N69:N75" si="11">M69/$M$76</f>
        <v>0.44086021505376344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0.21505376344086022</v>
      </c>
      <c r="R70" s="113">
        <f>R66</f>
        <v>2992399.5965264812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1.0752688172043012E-2</v>
      </c>
      <c r="R71" s="113">
        <f t="shared" ref="R71:R72" si="12">R67</f>
        <v>3399826.0891294684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0.13978494623655913</v>
      </c>
      <c r="R72" s="113">
        <f t="shared" si="12"/>
        <v>6392225.6856559496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0.15053763440860216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3.2258064516129031E-2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0.66669999999999996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1.0752688172043012E-2</v>
      </c>
      <c r="P75" s="206" t="str">
        <f>D82</f>
        <v>Área técnica - Manutenção de Redes - Operacional</v>
      </c>
      <c r="Q75" s="90"/>
      <c r="R75" s="213">
        <f>I82*12</f>
        <v>1619350.7854655995</v>
      </c>
      <c r="S75" s="207">
        <f>R75/$R$90</f>
        <v>0.25333176659901141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0.2903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93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2.9974776585951702E-2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4.2999999999999997E-2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473</v>
      </c>
      <c r="P77" s="206" t="str">
        <f t="shared" si="13"/>
        <v>Área técnica - Manut Eletromecânica - Operacional</v>
      </c>
      <c r="Q77" s="90"/>
      <c r="R77" s="213">
        <f t="shared" si="14"/>
        <v>352312.20907079999</v>
      </c>
      <c r="S77" s="207">
        <f t="shared" si="15"/>
        <v>5.5115837235132539E-2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1.2132685374588125E-2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9.645937831452947E-2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0.10336507465804433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3.9972631167410656E-2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55984.159999999996</v>
      </c>
      <c r="I82" s="342">
        <f t="shared" ref="I82:I95" si="16">(F82+1)*H82</f>
        <v>134945.89878879997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7.7505825737920406E-2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7.7965560838233847E-2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12180.130000000001</v>
      </c>
      <c r="I84" s="283">
        <f t="shared" si="16"/>
        <v>29359.350755899999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6.6026457461377863E-2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0.12875159204968684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5.9398413978112984E-2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6392213.6856559496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249365.63304387341</v>
      </c>
      <c r="I97" s="315">
        <f>SUM(I82:K96)</f>
        <v>532684.47380466247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2681.3508929448753</v>
      </c>
      <c r="I98" s="315">
        <f>(I97-I92-I93)/$M$76</f>
        <v>5727.7900409103495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2681.3508929448753</v>
      </c>
      <c r="I101" s="130"/>
      <c r="J101" s="294">
        <f>I97/M76</f>
        <v>5727.7900409103495</v>
      </c>
      <c r="K101" s="294"/>
    </row>
    <row r="102" spans="3:11" x14ac:dyDescent="0.25">
      <c r="I102" s="132">
        <f>J101/H101-1</f>
        <v>1.1361583282446222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P90:Q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G21:I21"/>
    <mergeCell ref="G22:I22"/>
  </mergeCells>
  <pageMargins left="0.511811024" right="0.511811024" top="0.78740157499999996" bottom="0.78740157499999996" header="0.31496062000000002" footer="0.31496062000000002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X107"/>
  <sheetViews>
    <sheetView topLeftCell="A34" zoomScale="80" zoomScaleNormal="80" workbookViewId="0">
      <selection activeCell="M61" sqref="M57:M61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15.710937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12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1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1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1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1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2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7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3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41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1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1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dados'!AK6</f>
        <v>56342</v>
      </c>
      <c r="P55" s="272" t="s">
        <v>122</v>
      </c>
      <c r="Q55" s="302"/>
      <c r="R55" s="302"/>
      <c r="S55" s="302"/>
      <c r="T55" s="273"/>
      <c r="U55" s="118">
        <f>ROUND(SUM(R36:R54)+SUM(U36:U54),0)</f>
        <v>60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dados'!AK7</f>
        <v>56342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dados'!AK8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dados'!AK9</f>
        <v>21.21</v>
      </c>
      <c r="P58" s="145" t="s">
        <v>178</v>
      </c>
      <c r="Q58" s="146"/>
      <c r="R58" s="290">
        <f>H97/M76</f>
        <v>2681.3508929448753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dados'!AK10</f>
        <v>1.3254475003782522</v>
      </c>
      <c r="P59" s="89" t="s">
        <v>179</v>
      </c>
      <c r="Q59" s="90"/>
      <c r="R59" s="292">
        <f>I97/M76-R58</f>
        <v>3046.4391479654741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dados'!AK11</f>
        <v>1.3254475003782522</v>
      </c>
      <c r="P60" s="89" t="s">
        <v>168</v>
      </c>
      <c r="Q60" s="90"/>
      <c r="R60" s="142">
        <f>SUM(H82:H87)</f>
        <v>121629.18</v>
      </c>
      <c r="S60" s="143">
        <f>R60/H97</f>
        <v>0.4877543810481717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dados'!AK12</f>
        <v>1</v>
      </c>
      <c r="P61" s="89" t="s">
        <v>169</v>
      </c>
      <c r="Q61" s="90"/>
      <c r="R61" s="142">
        <f>SUM(H88:H91)</f>
        <v>55525.33</v>
      </c>
      <c r="S61" s="143">
        <f>R61/H97</f>
        <v>0.22266632864453648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dados'!AK13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0.28957929030729168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dados'!AK14</f>
        <v>29365.853168559057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dados'!AK15</f>
        <v>29365.853168559057</v>
      </c>
      <c r="P64" s="89" t="s">
        <v>177</v>
      </c>
      <c r="Q64" s="90"/>
      <c r="R64" s="142">
        <f>SUM(R60:S63)</f>
        <v>249366.63304387341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dados'!AK16</f>
        <v>22155.464666957148</v>
      </c>
      <c r="P65" s="89" t="s">
        <v>99</v>
      </c>
      <c r="Q65" s="90"/>
      <c r="R65" s="142">
        <f>I97-H97</f>
        <v>283318.84076078905</v>
      </c>
      <c r="S65" s="144">
        <f>R65/R64</f>
        <v>1.136153772068383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dados'!AK17</f>
        <v>22155.464666957148</v>
      </c>
      <c r="P66" s="89" t="s">
        <v>180</v>
      </c>
      <c r="Q66" s="90"/>
      <c r="R66" s="292">
        <f>R64*12</f>
        <v>2992399.5965264812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dados'!AK18</f>
        <v>469917.40558616113</v>
      </c>
      <c r="P67" s="147" t="s">
        <v>181</v>
      </c>
      <c r="Q67" s="148"/>
      <c r="R67" s="335">
        <f>R65*12</f>
        <v>3399826.0891294684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dados'!AK19</f>
        <v>469917.40558616113</v>
      </c>
      <c r="P68" s="344" t="s">
        <v>183</v>
      </c>
      <c r="Q68" s="345"/>
      <c r="R68" s="337">
        <f>R66+R67</f>
        <v>6392225.6856559496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41</v>
      </c>
      <c r="N69" s="131">
        <f t="shared" ref="N69:N75" si="11">M69/$M$76</f>
        <v>0.44086021505376344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0.21505376344086022</v>
      </c>
      <c r="R70" s="113">
        <f>R66</f>
        <v>2992399.5965264812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1.0752688172043012E-2</v>
      </c>
      <c r="R71" s="113">
        <f t="shared" ref="R71:R72" si="12">R67</f>
        <v>3399826.0891294684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0.13978494623655913</v>
      </c>
      <c r="R72" s="113">
        <f t="shared" si="12"/>
        <v>6392225.6856559496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0.15053763440860216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3.2258064516129031E-2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0.66669999999999996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1.0752688172043012E-2</v>
      </c>
      <c r="P75" s="206" t="str">
        <f>D82</f>
        <v>Área técnica - Manutenção de Redes - Operacional</v>
      </c>
      <c r="Q75" s="90"/>
      <c r="R75" s="213">
        <f>I82*12</f>
        <v>1619350.7854655995</v>
      </c>
      <c r="S75" s="207">
        <f>R75/$R$90</f>
        <v>0.25333176659901141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0.2903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93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2.9974776585951702E-2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4.2999999999999997E-2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476</v>
      </c>
      <c r="P77" s="206" t="str">
        <f t="shared" si="13"/>
        <v>Área técnica - Manut Eletromecânica - Operacional</v>
      </c>
      <c r="Q77" s="90"/>
      <c r="R77" s="213">
        <f t="shared" si="14"/>
        <v>352312.20907079999</v>
      </c>
      <c r="S77" s="207">
        <f t="shared" si="15"/>
        <v>5.5115837235132539E-2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1.2132685374588125E-2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9.645937831452947E-2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0.10336507465804433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3.9972631167410656E-2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55984.159999999996</v>
      </c>
      <c r="I82" s="342">
        <f t="shared" ref="I82:I95" si="16">(F82+1)*H82</f>
        <v>134945.89878879997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7.7505825737920406E-2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7.7965560838233847E-2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12180.130000000001</v>
      </c>
      <c r="I84" s="283">
        <f t="shared" si="16"/>
        <v>29359.350755899999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6.6026457461377863E-2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0.12875159204968684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5.9398413978112984E-2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6392213.6856559496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>
        <f>R68-R90</f>
        <v>12</v>
      </c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249365.63304387341</v>
      </c>
      <c r="I97" s="315">
        <f>SUM(I82:K96)</f>
        <v>532684.47380466247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2681.3508929448753</v>
      </c>
      <c r="I98" s="315">
        <f>(I97-I92-I93)/$M$76</f>
        <v>5727.7900409103495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2681.3508929448753</v>
      </c>
      <c r="I101" s="130"/>
      <c r="J101" s="294">
        <f>I97/M76</f>
        <v>5727.7900409103495</v>
      </c>
      <c r="K101" s="294"/>
    </row>
    <row r="102" spans="3:11" x14ac:dyDescent="0.25">
      <c r="I102" s="132">
        <f>J101/H101-1</f>
        <v>1.1361583282446222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P90:Q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G21:I21"/>
    <mergeCell ref="G22:I22"/>
  </mergeCells>
  <pageMargins left="0.511811024" right="0.511811024" top="0.78740157499999996" bottom="0.78740157499999996" header="0.31496062000000002" footer="0.31496062000000002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X107"/>
  <sheetViews>
    <sheetView topLeftCell="A34" zoomScale="80" zoomScaleNormal="80" workbookViewId="0">
      <selection activeCell="M62" sqref="M56:M62"/>
    </sheetView>
  </sheetViews>
  <sheetFormatPr defaultRowHeight="15" x14ac:dyDescent="0.25"/>
  <cols>
    <col min="1" max="1" width="8.7109375" customWidth="1"/>
    <col min="3" max="3" width="6.7109375" customWidth="1"/>
    <col min="4" max="4" width="45.7109375" customWidth="1"/>
    <col min="5" max="5" width="12.7109375" customWidth="1"/>
    <col min="6" max="7" width="6.7109375" customWidth="1"/>
    <col min="8" max="8" width="45.7109375" customWidth="1"/>
    <col min="9" max="9" width="12.7109375" customWidth="1"/>
    <col min="10" max="11" width="6.7109375" customWidth="1"/>
    <col min="12" max="12" width="45.7109375" customWidth="1"/>
    <col min="13" max="13" width="14.42578125" customWidth="1"/>
    <col min="14" max="15" width="6.7109375" customWidth="1"/>
    <col min="16" max="16" width="8.7109375" customWidth="1"/>
    <col min="17" max="17" width="45.7109375" customWidth="1"/>
    <col min="18" max="18" width="20.5703125" customWidth="1"/>
    <col min="19" max="19" width="8.7109375" customWidth="1"/>
    <col min="20" max="20" width="45.7109375" customWidth="1"/>
    <col min="21" max="21" width="15.7109375" customWidth="1"/>
    <col min="22" max="22" width="8.7109375" customWidth="1"/>
    <col min="23" max="23" width="45.7109375" customWidth="1"/>
    <col min="24" max="24" width="15.7109375" customWidth="1"/>
  </cols>
  <sheetData>
    <row r="1" spans="1:24" ht="15.75" thickBot="1" x14ac:dyDescent="0.3">
      <c r="C1" s="287" t="s">
        <v>174</v>
      </c>
      <c r="D1" s="288"/>
      <c r="E1" s="289"/>
      <c r="F1" s="218">
        <f>'Folha de dados'!$D$5</f>
        <v>1</v>
      </c>
    </row>
    <row r="2" spans="1:24" ht="16.5" thickTop="1" thickBot="1" x14ac:dyDescent="0.3">
      <c r="P2" s="303" t="s">
        <v>141</v>
      </c>
      <c r="Q2" s="309"/>
      <c r="R2" s="309"/>
      <c r="S2" s="309"/>
      <c r="T2" s="309"/>
      <c r="U2" s="309"/>
      <c r="V2" s="309"/>
      <c r="W2" s="309"/>
      <c r="X2" s="310"/>
    </row>
    <row r="3" spans="1:24" ht="15.75" thickTop="1" x14ac:dyDescent="0.25">
      <c r="A3">
        <v>0</v>
      </c>
      <c r="C3" s="277" t="s">
        <v>6</v>
      </c>
      <c r="D3" s="278"/>
      <c r="E3" s="279"/>
      <c r="G3" s="277" t="s">
        <v>6</v>
      </c>
      <c r="H3" s="278"/>
      <c r="I3" s="279"/>
      <c r="K3" s="277" t="s">
        <v>6</v>
      </c>
      <c r="L3" s="278"/>
      <c r="M3" s="279"/>
      <c r="P3" s="311" t="s">
        <v>0</v>
      </c>
      <c r="Q3" s="312"/>
      <c r="R3" s="312"/>
      <c r="S3" s="312"/>
      <c r="T3" s="313"/>
      <c r="U3" s="300" t="s">
        <v>3</v>
      </c>
      <c r="V3" s="312"/>
      <c r="W3" s="312"/>
      <c r="X3" s="314"/>
    </row>
    <row r="4" spans="1:24" ht="15.75" thickBot="1" x14ac:dyDescent="0.3">
      <c r="C4" s="280" t="s">
        <v>143</v>
      </c>
      <c r="D4" s="281"/>
      <c r="E4" s="282"/>
      <c r="G4" s="280" t="s">
        <v>52</v>
      </c>
      <c r="H4" s="281"/>
      <c r="I4" s="282"/>
      <c r="K4" s="280" t="s">
        <v>31</v>
      </c>
      <c r="L4" s="281"/>
      <c r="M4" s="282"/>
      <c r="P4" s="42" t="s">
        <v>148</v>
      </c>
      <c r="Q4" s="40" t="s">
        <v>1</v>
      </c>
      <c r="R4" s="40" t="s">
        <v>45</v>
      </c>
      <c r="S4" s="40" t="s">
        <v>148</v>
      </c>
      <c r="T4" s="40" t="s">
        <v>1</v>
      </c>
      <c r="U4" s="40" t="s">
        <v>45</v>
      </c>
      <c r="V4" s="42" t="s">
        <v>148</v>
      </c>
      <c r="W4" s="40" t="s">
        <v>1</v>
      </c>
      <c r="X4" s="40" t="s">
        <v>45</v>
      </c>
    </row>
    <row r="5" spans="1:24" ht="16.5" thickTop="1" thickBot="1" x14ac:dyDescent="0.3">
      <c r="C5" s="25" t="s">
        <v>4</v>
      </c>
      <c r="D5" s="26" t="s">
        <v>1</v>
      </c>
      <c r="E5" s="27" t="s">
        <v>2</v>
      </c>
      <c r="F5" s="12"/>
      <c r="G5" s="25" t="s">
        <v>4</v>
      </c>
      <c r="H5" s="26" t="s">
        <v>1</v>
      </c>
      <c r="I5" s="27" t="s">
        <v>2</v>
      </c>
      <c r="J5" s="12"/>
      <c r="K5" s="25" t="s">
        <v>4</v>
      </c>
      <c r="L5" s="26" t="s">
        <v>1</v>
      </c>
      <c r="M5" s="27" t="s">
        <v>2</v>
      </c>
      <c r="P5" s="122" t="str">
        <f>Resumo!AO5</f>
        <v>C</v>
      </c>
      <c r="Q5" s="38" t="str">
        <f>Resumo!AP5</f>
        <v>Auxiliar Operacional (Calceteiro/Pedreiro)</v>
      </c>
      <c r="R5" s="186">
        <f>Resumo!AQ5</f>
        <v>2280.2800000000002</v>
      </c>
      <c r="S5" s="124" t="str">
        <f>Resumo!AR5</f>
        <v>C</v>
      </c>
      <c r="T5" s="38" t="str">
        <f>Resumo!AS5</f>
        <v>Assistente Técnico (Desenhista)</v>
      </c>
      <c r="U5" s="186">
        <f>Resumo!AT5</f>
        <v>3797.55</v>
      </c>
      <c r="V5" s="122" t="str">
        <f>Resumo!AU5</f>
        <v>B</v>
      </c>
      <c r="W5" s="38" t="str">
        <f>Resumo!AV5</f>
        <v>Auxiliar Administrativo (Call Center)</v>
      </c>
      <c r="X5" s="187">
        <f>Resumo!AW5</f>
        <v>1876.82</v>
      </c>
    </row>
    <row r="6" spans="1:24" ht="15.75" thickTop="1" x14ac:dyDescent="0.25">
      <c r="C6" s="87">
        <v>1</v>
      </c>
      <c r="D6" s="88" t="str">
        <f>Q51</f>
        <v>Auxiliar Operacional (Servente/Ajudante)</v>
      </c>
      <c r="E6" s="103">
        <f>IF($M$67+$M$68&lt;81000,1,ROUND((($M$67/25000)*0.31724)+(($M$68/30000)*0.31724)+1,0))</f>
        <v>12</v>
      </c>
      <c r="G6" s="23">
        <v>1</v>
      </c>
      <c r="H6" s="24" t="str">
        <f>Q51</f>
        <v>Auxiliar Operacional (Servente/Ajudante)</v>
      </c>
      <c r="I6" s="104">
        <f>ROUND(($M$65)/15000*IF($M$61&lt;0.6,1,(1.4-$M$61))+1,0)</f>
        <v>2</v>
      </c>
      <c r="K6" s="87">
        <v>1</v>
      </c>
      <c r="L6" s="88" t="str">
        <f>W46</f>
        <v>Analista (Advogado)</v>
      </c>
      <c r="M6" s="104">
        <f>ROUND(($M$65+$M$66)/400000,0)</f>
        <v>0</v>
      </c>
      <c r="P6" s="123">
        <f>Resumo!AO6</f>
        <v>0</v>
      </c>
      <c r="Q6" s="38" t="str">
        <f>Resumo!AP6</f>
        <v>Auxiliar Operacional (Encarregado Turma)</v>
      </c>
      <c r="R6" s="186">
        <f>Resumo!AQ6</f>
        <v>0</v>
      </c>
      <c r="S6" s="125">
        <f>Resumo!AR6</f>
        <v>0</v>
      </c>
      <c r="T6" s="38" t="str">
        <f>Resumo!AS6</f>
        <v>Assistente Técnico (Edificações)</v>
      </c>
      <c r="U6" s="188">
        <f>Resumo!AT6</f>
        <v>0</v>
      </c>
      <c r="V6" s="123">
        <f>Resumo!AU6</f>
        <v>0</v>
      </c>
      <c r="W6" s="38" t="str">
        <f>Resumo!AV6</f>
        <v>Auxiliar Operacional (Copeiro/Faxineiro)</v>
      </c>
      <c r="X6" s="187">
        <f>Resumo!AW6</f>
        <v>0</v>
      </c>
    </row>
    <row r="7" spans="1:24" x14ac:dyDescent="0.25">
      <c r="C7" s="4">
        <f t="shared" ref="C7:C16" si="0">C6+1</f>
        <v>2</v>
      </c>
      <c r="D7" s="5" t="str">
        <f>Q36</f>
        <v>Auxiliar Operacional (Calceteiro/Pedreiro)</v>
      </c>
      <c r="E7" s="104">
        <f>IF($M$67+$M$68&lt;81000,1,ROUND((($M$67/25000)*0.01717)+(($M$68/30000)*0.01717)+1,0))</f>
        <v>2</v>
      </c>
      <c r="G7" s="4">
        <f t="shared" ref="G7:G17" si="1">G6+1</f>
        <v>2</v>
      </c>
      <c r="H7" s="5" t="str">
        <f>Q46</f>
        <v>Auxiliar Operacional (Operador de bombas)</v>
      </c>
      <c r="I7" s="104">
        <f>ROUND(($M$65)/15000*IF($M$61&lt;0.6,1,(1.4-$M$61)),0)</f>
        <v>1</v>
      </c>
      <c r="K7" s="4">
        <v>1</v>
      </c>
      <c r="L7" s="5" t="str">
        <f>W41</f>
        <v>Assistente Administrativo</v>
      </c>
      <c r="M7" s="104">
        <f>ROUND(($M$65+$M$66)/25000+1,0)</f>
        <v>3</v>
      </c>
      <c r="P7" s="123">
        <f>Resumo!AO7</f>
        <v>0</v>
      </c>
      <c r="Q7" s="38" t="str">
        <f>Resumo!AP7</f>
        <v>Auxiliar Operacional (Encanador)</v>
      </c>
      <c r="R7" s="186">
        <f>Resumo!AQ7</f>
        <v>0</v>
      </c>
      <c r="S7" s="125">
        <f>Resumo!AR7</f>
        <v>0</v>
      </c>
      <c r="T7" s="38" t="str">
        <f>Resumo!AS7</f>
        <v>Assistente Técnico (Eletrônica)</v>
      </c>
      <c r="U7" s="188">
        <f>Resumo!AT7</f>
        <v>0</v>
      </c>
      <c r="V7" s="123">
        <f>Resumo!AU7</f>
        <v>0</v>
      </c>
      <c r="W7" s="39" t="str">
        <f>Resumo!AV7</f>
        <v>Auxiliar Operacional (Vigia)</v>
      </c>
      <c r="X7" s="189">
        <f>Resumo!AW7</f>
        <v>0</v>
      </c>
    </row>
    <row r="8" spans="1:24" x14ac:dyDescent="0.25">
      <c r="C8" s="4">
        <f t="shared" si="0"/>
        <v>3</v>
      </c>
      <c r="D8" s="5" t="str">
        <f>Q38</f>
        <v>Auxiliar Operacional (Encanador)</v>
      </c>
      <c r="E8" s="104">
        <f>IF($M$67+$M$68&lt;81000,1,ROUND((($M$67/25000)*0.1515)+(($M$68/30000)*0.1515)+1,0))</f>
        <v>6</v>
      </c>
      <c r="G8" s="4">
        <f t="shared" si="1"/>
        <v>3</v>
      </c>
      <c r="H8" s="5" t="str">
        <f>Q47</f>
        <v>Auxiliar Operacional (Operador de ETA)</v>
      </c>
      <c r="I8" s="104">
        <f>ROUND((($M$65)/15000+1)*IF($M$61&lt;0.6,1,(1.4-$M$61)),0)</f>
        <v>1</v>
      </c>
      <c r="K8" s="4">
        <f>K7+1</f>
        <v>2</v>
      </c>
      <c r="L8" s="5" t="str">
        <f>W47</f>
        <v>Analista (Administração/Ecomonia)</v>
      </c>
      <c r="M8" s="104">
        <f>ROUND(($M$65+$M$66)/100000,0)</f>
        <v>0</v>
      </c>
      <c r="P8" s="123">
        <f>Resumo!AO8</f>
        <v>0</v>
      </c>
      <c r="Q8" s="38" t="str">
        <f>Resumo!AP8</f>
        <v>Auxiliar Operacional (Eletricista)</v>
      </c>
      <c r="R8" s="186">
        <f>Resumo!AQ8</f>
        <v>0</v>
      </c>
      <c r="S8" s="125">
        <f>Resumo!AR8</f>
        <v>0</v>
      </c>
      <c r="T8" s="38" t="str">
        <f>Resumo!AS8</f>
        <v>Assistente Técnico (Eletrotécnica)</v>
      </c>
      <c r="U8" s="188">
        <f>Resumo!AT8</f>
        <v>0</v>
      </c>
      <c r="V8" s="123">
        <f>Resumo!AU8</f>
        <v>0</v>
      </c>
      <c r="W8" s="38" t="str">
        <f>Resumo!AV8</f>
        <v>Auxiliar Operacional (Leiturista)</v>
      </c>
      <c r="X8" s="187">
        <f>Resumo!AW8</f>
        <v>0</v>
      </c>
    </row>
    <row r="9" spans="1:24" x14ac:dyDescent="0.25">
      <c r="C9" s="4">
        <f t="shared" si="0"/>
        <v>4</v>
      </c>
      <c r="D9" s="5" t="str">
        <f>Q50</f>
        <v>Auxiliar Operacional (Pedreiro)</v>
      </c>
      <c r="E9" s="104">
        <f>IF($M$67+$M$68&lt;81000,0,ROUND((($M$67/25000)*0.02842)+(($M$68/30000)*0.02842)+1,0))</f>
        <v>2</v>
      </c>
      <c r="G9" s="4">
        <f t="shared" si="1"/>
        <v>4</v>
      </c>
      <c r="H9" s="5" t="str">
        <f>Q49</f>
        <v>Auxiliar Operacional (Oper de microsistemas)</v>
      </c>
      <c r="I9" s="104">
        <f>ROUND(($M$65)/9500*IF($M$61&lt;0.6,1,(1.4-$M$61))+1,0)</f>
        <v>2</v>
      </c>
      <c r="K9" s="4">
        <f>K12+1</f>
        <v>5</v>
      </c>
      <c r="L9" s="5" t="str">
        <f>W36</f>
        <v>Auxiliar Administrativo (Call Center)</v>
      </c>
      <c r="M9" s="104">
        <f>ROUND(($M$65+$M$66)/25000+1,0)</f>
        <v>3</v>
      </c>
      <c r="P9" s="123">
        <f>Resumo!AO9</f>
        <v>0</v>
      </c>
      <c r="Q9" s="38" t="str">
        <f>Resumo!AP9</f>
        <v>Auxiliar Operacional (Laboratorista)</v>
      </c>
      <c r="R9" s="186">
        <f>Resumo!AQ9</f>
        <v>0</v>
      </c>
      <c r="S9" s="125">
        <f>Resumo!AR9</f>
        <v>0</v>
      </c>
      <c r="T9" s="38" t="str">
        <f>Resumo!AS9</f>
        <v>Assistente Técnico (Mecânica)</v>
      </c>
      <c r="U9" s="188">
        <f>Resumo!AT9</f>
        <v>0</v>
      </c>
      <c r="V9" s="123">
        <f>Resumo!AU9</f>
        <v>0</v>
      </c>
      <c r="W9" s="38" t="str">
        <f>Resumo!AV9</f>
        <v>Auxiliar Operacional (Motorista classe A-D)</v>
      </c>
      <c r="X9" s="187">
        <f>Resumo!AW9</f>
        <v>0</v>
      </c>
    </row>
    <row r="10" spans="1:24" x14ac:dyDescent="0.25">
      <c r="C10" s="4">
        <f t="shared" si="0"/>
        <v>5</v>
      </c>
      <c r="D10" s="5" t="str">
        <f>Q43</f>
        <v>Auxiliar Operacional (Motorista classe E)</v>
      </c>
      <c r="E10" s="104">
        <f>IF($M$67+$M$68&lt;81000,1,ROUND((($M$67/25000)*0.02842)+(($M$68/30000)*0.02842)+1,0))</f>
        <v>2</v>
      </c>
      <c r="G10" s="4">
        <f t="shared" si="1"/>
        <v>5</v>
      </c>
      <c r="H10" s="5" t="str">
        <f>Q40</f>
        <v>Auxiliar Operacional (Laboratorista)</v>
      </c>
      <c r="I10" s="104">
        <f>ROUND(($M$65)/25000,0)</f>
        <v>1</v>
      </c>
      <c r="K10" s="4">
        <f>K7+1</f>
        <v>2</v>
      </c>
      <c r="L10" s="5" t="str">
        <f>W48</f>
        <v>Analista (Assistente Social)</v>
      </c>
      <c r="M10" s="104">
        <f>ROUND(($M$65+$M$66)/150000,0)</f>
        <v>0</v>
      </c>
      <c r="P10" s="123" t="str">
        <f>Resumo!AO10</f>
        <v>C</v>
      </c>
      <c r="Q10" s="38" t="str">
        <f>Resumo!AP10</f>
        <v>Auxiliar Operacional (Mecânico)</v>
      </c>
      <c r="R10" s="186">
        <f>Resumo!AQ10</f>
        <v>2454.44</v>
      </c>
      <c r="S10" s="125" t="str">
        <f>Resumo!AR10</f>
        <v>C</v>
      </c>
      <c r="T10" s="38" t="str">
        <f>Resumo!AS10</f>
        <v>Assistente Técnico (Quimica)</v>
      </c>
      <c r="U10" s="188">
        <f>Resumo!AT10</f>
        <v>3685.61</v>
      </c>
      <c r="V10" s="123" t="str">
        <f>Resumo!AU10</f>
        <v>B</v>
      </c>
      <c r="W10" s="38" t="str">
        <f>Resumo!AV10</f>
        <v>Assistente Administrativo</v>
      </c>
      <c r="X10" s="187">
        <f>Resumo!AW10</f>
        <v>2681.22</v>
      </c>
    </row>
    <row r="11" spans="1:24" x14ac:dyDescent="0.25">
      <c r="C11" s="4">
        <f t="shared" si="0"/>
        <v>6</v>
      </c>
      <c r="D11" s="5" t="str">
        <f>Q42</f>
        <v>Auxiliar Operacional (Motorista classe D)</v>
      </c>
      <c r="E11" s="104">
        <f>IF($M$67+$M$68&lt;81000,0,ROUND((($M$67/25000)*0.06842)+(($M$68/30000)*0.06842+1),0))</f>
        <v>3</v>
      </c>
      <c r="G11" s="4">
        <f t="shared" si="1"/>
        <v>6</v>
      </c>
      <c r="H11" s="5" t="str">
        <f>Q54</f>
        <v>Assistente Técnico (Bioquimica)</v>
      </c>
      <c r="I11" s="104">
        <f>ROUND(($M$65)/25000,0)</f>
        <v>1</v>
      </c>
      <c r="K11" s="4">
        <f>K10+1</f>
        <v>3</v>
      </c>
      <c r="L11" s="5" t="str">
        <f>W42</f>
        <v>Assistente Técnico (Fiscal de Postura)</v>
      </c>
      <c r="M11" s="104">
        <f>(IF($M$65+$M$66&lt;5000,0,ROUND(((($M$65+$M$66)/4000)/20)+1,0)))</f>
        <v>2</v>
      </c>
      <c r="P11" s="123" t="str">
        <f>Resumo!AO11</f>
        <v>C</v>
      </c>
      <c r="Q11" s="38" t="str">
        <f>Resumo!AP11</f>
        <v>Auxiliar Operacional (Motorista classe D)</v>
      </c>
      <c r="R11" s="186">
        <f>Resumo!AQ11</f>
        <v>2444.56</v>
      </c>
      <c r="S11" s="125" t="str">
        <f>Resumo!AR11</f>
        <v>C</v>
      </c>
      <c r="T11" s="38" t="str">
        <f>Resumo!AS11</f>
        <v>Assistente Técnico (Saneamento)</v>
      </c>
      <c r="U11" s="188">
        <f>Resumo!AT11</f>
        <v>3942.95</v>
      </c>
      <c r="V11" s="123" t="str">
        <f>Resumo!AU11</f>
        <v>B</v>
      </c>
      <c r="W11" s="38" t="str">
        <f>Resumo!AV11</f>
        <v>Assistente Técnico (Fiscal de Postura)</v>
      </c>
      <c r="X11" s="187">
        <f>Resumo!AW11</f>
        <v>4172.58</v>
      </c>
    </row>
    <row r="12" spans="1:24" x14ac:dyDescent="0.25">
      <c r="C12" s="4">
        <f t="shared" si="0"/>
        <v>7</v>
      </c>
      <c r="D12" s="5" t="str">
        <f>Q45</f>
        <v>Auxiliar Operacional (Nivelador)</v>
      </c>
      <c r="E12" s="104">
        <f>IF($M$67+$M$68&lt;81000,0,ROUND((($M$67/25000)*0.00741)+(($M$68/30000)*0.00741),0))</f>
        <v>0</v>
      </c>
      <c r="G12" s="4">
        <f t="shared" si="1"/>
        <v>7</v>
      </c>
      <c r="H12" s="5" t="str">
        <f>T41</f>
        <v>Assistente Técnico (Quimica)</v>
      </c>
      <c r="I12" s="104">
        <f>ROUND(($M$65)/25000,0)</f>
        <v>1</v>
      </c>
      <c r="K12" s="4">
        <f>K11+1</f>
        <v>4</v>
      </c>
      <c r="L12" s="5" t="str">
        <f>W39</f>
        <v>Auxiliar Operacional (Leiturista)</v>
      </c>
      <c r="M12" s="104">
        <f>ROUND((($M$65/320)/20)+1,0)</f>
        <v>4</v>
      </c>
      <c r="P12" s="123" t="str">
        <f>Resumo!AO12</f>
        <v>D</v>
      </c>
      <c r="Q12" s="38" t="str">
        <f>Resumo!AP12</f>
        <v>Auxiliar Operacional (Motorista classe E)</v>
      </c>
      <c r="R12" s="188">
        <f>Resumo!AQ12</f>
        <v>2539.58</v>
      </c>
      <c r="S12" s="125" t="str">
        <f>Resumo!AR12</f>
        <v>C</v>
      </c>
      <c r="T12" s="38" t="str">
        <f>Resumo!AS12</f>
        <v>Assistente Técnico (Topógrafo)</v>
      </c>
      <c r="U12" s="188">
        <f>Resumo!AT12</f>
        <v>4042.27</v>
      </c>
      <c r="V12" s="123" t="str">
        <f>Resumo!AU12</f>
        <v>B</v>
      </c>
      <c r="W12" s="38" t="str">
        <f>Resumo!AV12</f>
        <v>Assistente Técnico (Computação/TI)</v>
      </c>
      <c r="X12" s="187">
        <f>Resumo!AW12</f>
        <v>7892.5</v>
      </c>
    </row>
    <row r="13" spans="1:24" x14ac:dyDescent="0.25">
      <c r="C13" s="4">
        <f t="shared" si="0"/>
        <v>8</v>
      </c>
      <c r="D13" s="5" t="str">
        <f>T43</f>
        <v>Assistente Técnico (Topógrafo)</v>
      </c>
      <c r="E13" s="104">
        <f>IF($M$67+$M$68&lt;81000,0,ROUND((($M$67/25000)*0.00575)+(($M$68/30000)*0.00575),0))</f>
        <v>0</v>
      </c>
      <c r="G13" s="23">
        <f t="shared" si="1"/>
        <v>8</v>
      </c>
      <c r="H13" s="24" t="str">
        <f>W41</f>
        <v>Assistente Administrativo</v>
      </c>
      <c r="I13" s="104">
        <f>ROUND(($M$65+$M$66)/75000,0)</f>
        <v>1</v>
      </c>
      <c r="K13" s="4">
        <f>K12+1</f>
        <v>5</v>
      </c>
      <c r="L13" s="5" t="str">
        <f>T37</f>
        <v>Assistente Técnico (Edificações)</v>
      </c>
      <c r="M13" s="104">
        <f>ROUND(($M$65+$M$66)/55000,0)</f>
        <v>1</v>
      </c>
      <c r="P13" s="123" t="str">
        <f>Resumo!AO13</f>
        <v>E</v>
      </c>
      <c r="Q13" s="36" t="str">
        <f>Resumo!AP13</f>
        <v>Auxiliar Operacional (Mestre de Obras)</v>
      </c>
      <c r="R13" s="190">
        <f>Resumo!AQ13</f>
        <v>4126.4399999999996</v>
      </c>
      <c r="S13" s="125" t="str">
        <f>Resumo!AR13</f>
        <v>B</v>
      </c>
      <c r="T13" s="38" t="str">
        <f>Resumo!AS13</f>
        <v>Analista (Biólogo)</v>
      </c>
      <c r="U13" s="186">
        <f>Resumo!AT13</f>
        <v>4813.1899999999996</v>
      </c>
      <c r="V13" s="123" t="str">
        <f>Resumo!AU13</f>
        <v>C</v>
      </c>
      <c r="W13" s="38" t="str">
        <f>Resumo!AV13</f>
        <v>Assistente Técnico (Contabilidade)</v>
      </c>
      <c r="X13" s="187">
        <f>Resumo!AW13</f>
        <v>4657.63</v>
      </c>
    </row>
    <row r="14" spans="1:24" x14ac:dyDescent="0.25">
      <c r="C14" s="23">
        <f t="shared" si="0"/>
        <v>9</v>
      </c>
      <c r="D14" s="24" t="str">
        <f>T36</f>
        <v>Assistente Técnico (Desenhista)</v>
      </c>
      <c r="E14" s="105">
        <f>IF($M$67+$M$68&lt;81000,0,ROUND(($M$65+$M$66)/145000,0))</f>
        <v>0</v>
      </c>
      <c r="G14" s="4">
        <f t="shared" si="1"/>
        <v>9</v>
      </c>
      <c r="H14" s="5" t="str">
        <f>Q42</f>
        <v>Auxiliar Operacional (Motorista classe D)</v>
      </c>
      <c r="I14" s="104">
        <f>ROUND(($M$65+$M$66)/100000,0)</f>
        <v>0</v>
      </c>
      <c r="K14" s="4">
        <f>K13+1</f>
        <v>6</v>
      </c>
      <c r="L14" s="5" t="str">
        <f>T47</f>
        <v>Analista (Eng Civil )</v>
      </c>
      <c r="M14" s="104">
        <f>ROUND(($M$65+$M$66)/200000,0)</f>
        <v>0</v>
      </c>
      <c r="P14" s="123" t="str">
        <f>Resumo!AO14</f>
        <v>D</v>
      </c>
      <c r="Q14" s="38" t="str">
        <f>Resumo!AP14</f>
        <v>Auxiliar Operacional (Nivelador)</v>
      </c>
      <c r="R14" s="188">
        <f>Resumo!AQ14</f>
        <v>2857.51</v>
      </c>
      <c r="S14" s="125" t="str">
        <f>Resumo!AR14</f>
        <v>C</v>
      </c>
      <c r="T14" s="38" t="str">
        <f>Resumo!AS14</f>
        <v>Analista (Quimico)</v>
      </c>
      <c r="U14" s="186">
        <f>Resumo!AT14</f>
        <v>6713.01</v>
      </c>
      <c r="V14" s="123" t="str">
        <f>Resumo!AU14</f>
        <v>B</v>
      </c>
      <c r="W14" s="38" t="str">
        <f>Resumo!AV14</f>
        <v>Assistente Técnico (Seg. trabalho)</v>
      </c>
      <c r="X14" s="187">
        <f>Resumo!AW14</f>
        <v>4086.16</v>
      </c>
    </row>
    <row r="15" spans="1:24" x14ac:dyDescent="0.25">
      <c r="C15" s="4">
        <f t="shared" si="0"/>
        <v>10</v>
      </c>
      <c r="D15" s="5" t="str">
        <f>Q37</f>
        <v>Auxiliar Operacional (Encarregado Turma)</v>
      </c>
      <c r="E15" s="104">
        <f>IF($M$67+$M$68&lt;81000,0,ROUND((($M$67/25000)*0.014827)+(($M$68/25000)*0.014827)+0,0))</f>
        <v>1</v>
      </c>
      <c r="G15" s="4">
        <f t="shared" si="1"/>
        <v>10</v>
      </c>
      <c r="H15" s="5" t="str">
        <f>T44</f>
        <v>Analista (Biólogo)</v>
      </c>
      <c r="I15" s="104">
        <f>ROUND(($M$65+$M$66)/200000,0)</f>
        <v>0</v>
      </c>
      <c r="K15" s="89"/>
      <c r="L15" s="90"/>
      <c r="M15" s="104"/>
      <c r="P15" s="123" t="str">
        <f>Resumo!AO15</f>
        <v>C</v>
      </c>
      <c r="Q15" s="38" t="str">
        <f>Resumo!AP15</f>
        <v>Auxiliar Operacional (Operador de bombas)</v>
      </c>
      <c r="R15" s="188">
        <f>Resumo!AQ15</f>
        <v>2270.7399999999998</v>
      </c>
      <c r="S15" s="125" t="str">
        <f>Resumo!AR15</f>
        <v>D</v>
      </c>
      <c r="T15" s="38" t="str">
        <f>Resumo!AS15</f>
        <v>Analista (Eng Ambiental)</v>
      </c>
      <c r="U15" s="186">
        <f>Resumo!AT15</f>
        <v>9683.34</v>
      </c>
      <c r="V15" s="123" t="str">
        <f>Resumo!AU15</f>
        <v>C</v>
      </c>
      <c r="W15" s="36" t="str">
        <f>Resumo!AV15</f>
        <v>Analista (Advogado)</v>
      </c>
      <c r="X15" s="191">
        <f>Resumo!AW15</f>
        <v>6875.48</v>
      </c>
    </row>
    <row r="16" spans="1:24" ht="15.75" thickBot="1" x14ac:dyDescent="0.3">
      <c r="C16" s="4">
        <f t="shared" si="0"/>
        <v>11</v>
      </c>
      <c r="D16" s="5" t="str">
        <f>Q44</f>
        <v>Auxiliar Operacional (Mestre de Obras)</v>
      </c>
      <c r="E16" s="104">
        <f>IF($M$67+$M$68&lt;81000,0,ROUND((($M$67/22000)*0.00603)+(($M$68/25000)*0.00603),0))</f>
        <v>0</v>
      </c>
      <c r="G16" s="4">
        <f t="shared" si="1"/>
        <v>11</v>
      </c>
      <c r="H16" s="5" t="str">
        <f>T45</f>
        <v>Analista (Quimico)</v>
      </c>
      <c r="I16" s="104">
        <f>ROUND(($M$65+$M$66)/200000,0)</f>
        <v>0</v>
      </c>
      <c r="K16" s="91"/>
      <c r="L16" s="92"/>
      <c r="M16" s="104"/>
      <c r="P16" s="123" t="str">
        <f>Resumo!AO16</f>
        <v>C</v>
      </c>
      <c r="Q16" s="38" t="str">
        <f>Resumo!AP16</f>
        <v>Auxiliar Operacional (Operador de ETA)</v>
      </c>
      <c r="R16" s="188">
        <f>Resumo!AQ16</f>
        <v>2270.7399999999998</v>
      </c>
      <c r="S16" s="125" t="str">
        <f>Resumo!AR16</f>
        <v>D</v>
      </c>
      <c r="T16" s="38" t="str">
        <f>Resumo!AS16</f>
        <v>Analista (Eng Civil )</v>
      </c>
      <c r="U16" s="186">
        <f>Resumo!AT16</f>
        <v>11356.16</v>
      </c>
      <c r="V16" s="123" t="str">
        <f>Resumo!AU16</f>
        <v>C</v>
      </c>
      <c r="W16" s="38" t="str">
        <f>Resumo!AV16</f>
        <v>Analista (Administração/Ecomonia)</v>
      </c>
      <c r="X16" s="187">
        <f>Resumo!AW16</f>
        <v>6500.17</v>
      </c>
    </row>
    <row r="17" spans="3:24" ht="16.5" thickTop="1" thickBot="1" x14ac:dyDescent="0.3">
      <c r="C17" s="49" t="s">
        <v>34</v>
      </c>
      <c r="D17" s="50"/>
      <c r="E17" s="28">
        <f>ROUND(SUM(E6:E16),0)</f>
        <v>28</v>
      </c>
      <c r="G17" s="4">
        <f t="shared" si="1"/>
        <v>12</v>
      </c>
      <c r="H17" s="5" t="str">
        <f>T52</f>
        <v>Analista (Eng Quimico)</v>
      </c>
      <c r="I17" s="104">
        <f>ROUND(($M$65+$M$66)/200000,0)</f>
        <v>0</v>
      </c>
      <c r="K17" s="49" t="s">
        <v>34</v>
      </c>
      <c r="L17" s="50"/>
      <c r="M17" s="28">
        <f>ROUND(SUM(M6:M16),0)</f>
        <v>13</v>
      </c>
      <c r="P17" s="123" t="str">
        <f>Resumo!AO17</f>
        <v>C</v>
      </c>
      <c r="Q17" s="38" t="str">
        <f>Resumo!AP17</f>
        <v>Auxiliar Operacional (Operador de ETE)</v>
      </c>
      <c r="R17" s="188">
        <f>Resumo!AQ17</f>
        <v>2270.7399999999998</v>
      </c>
      <c r="S17" s="125" t="str">
        <f>Resumo!AR17</f>
        <v>D</v>
      </c>
      <c r="T17" s="38" t="str">
        <f>Resumo!AS17</f>
        <v>Analista (Eng Cartografia)</v>
      </c>
      <c r="U17" s="186">
        <f>Resumo!AT17</f>
        <v>7879.82</v>
      </c>
      <c r="V17" s="123" t="str">
        <f>Resumo!AU17</f>
        <v>A</v>
      </c>
      <c r="W17" s="38" t="str">
        <f>Resumo!AV17</f>
        <v>Analista (Assistente Social)</v>
      </c>
      <c r="X17" s="187">
        <f>Resumo!AW17</f>
        <v>3989.87</v>
      </c>
    </row>
    <row r="18" spans="3:24" ht="16.5" thickTop="1" thickBot="1" x14ac:dyDescent="0.3">
      <c r="G18" s="7">
        <f>G49+1</f>
        <v>14</v>
      </c>
      <c r="H18" s="8" t="str">
        <f>T47</f>
        <v>Analista (Eng Civil )</v>
      </c>
      <c r="I18" s="104">
        <f>ROUND(($M$65+$M$66)/200000,0)</f>
        <v>0</v>
      </c>
      <c r="P18" s="123" t="str">
        <f>Resumo!AO18</f>
        <v>C</v>
      </c>
      <c r="Q18" s="38" t="str">
        <f>Resumo!AP18</f>
        <v>Auxiliar Operacional (Oper de microsistemas)</v>
      </c>
      <c r="R18" s="188">
        <f>Resumo!AQ18</f>
        <v>2270.7399999999998</v>
      </c>
      <c r="S18" s="125" t="str">
        <f>Resumo!AR18</f>
        <v>D</v>
      </c>
      <c r="T18" s="38" t="str">
        <f>Resumo!AS18</f>
        <v>Analista (Eng de Automação/Mecatrônica)</v>
      </c>
      <c r="U18" s="186">
        <f>Resumo!AT18</f>
        <v>11550.24</v>
      </c>
      <c r="V18" s="123" t="str">
        <f>Resumo!AU18</f>
        <v>D</v>
      </c>
      <c r="W18" s="38" t="str">
        <f>Resumo!AV18</f>
        <v>Analista (Eng Computação/Sistemas/TI)</v>
      </c>
      <c r="X18" s="187">
        <f>Resumo!AW18</f>
        <v>9147.26</v>
      </c>
    </row>
    <row r="19" spans="3:24" ht="16.5" thickTop="1" thickBot="1" x14ac:dyDescent="0.3">
      <c r="C19" s="277" t="s">
        <v>6</v>
      </c>
      <c r="D19" s="278"/>
      <c r="E19" s="279"/>
      <c r="G19" s="49" t="s">
        <v>34</v>
      </c>
      <c r="H19" s="50"/>
      <c r="I19" s="98">
        <f>SUM(I6:I18)</f>
        <v>10</v>
      </c>
      <c r="K19" s="277" t="s">
        <v>6</v>
      </c>
      <c r="L19" s="278"/>
      <c r="M19" s="279"/>
      <c r="P19" s="123" t="str">
        <f>Resumo!AO19</f>
        <v>B</v>
      </c>
      <c r="Q19" s="38" t="str">
        <f>Resumo!AP19</f>
        <v>Auxiliar Operacional (Pedreiro)</v>
      </c>
      <c r="R19" s="188">
        <f>Resumo!AQ19</f>
        <v>2306.9499999999998</v>
      </c>
      <c r="S19" s="125" t="str">
        <f>Resumo!AR19</f>
        <v>D</v>
      </c>
      <c r="T19" s="38" t="str">
        <f>Resumo!AS19</f>
        <v>Analista (Eng Eletricista)</v>
      </c>
      <c r="U19" s="186">
        <f>Resumo!AT19</f>
        <v>11205.77</v>
      </c>
      <c r="V19" s="123" t="str">
        <f>Resumo!AU19</f>
        <v>C</v>
      </c>
      <c r="W19" s="38" t="str">
        <f>Resumo!AV19</f>
        <v>Analista (Contador)</v>
      </c>
      <c r="X19" s="187">
        <f>Resumo!AW19</f>
        <v>6337.04</v>
      </c>
    </row>
    <row r="20" spans="3:24" ht="16.5" thickTop="1" thickBot="1" x14ac:dyDescent="0.3">
      <c r="C20" s="280" t="s">
        <v>55</v>
      </c>
      <c r="D20" s="281"/>
      <c r="E20" s="282"/>
      <c r="K20" s="280" t="s">
        <v>32</v>
      </c>
      <c r="L20" s="281"/>
      <c r="M20" s="282"/>
      <c r="P20" s="123" t="str">
        <f>Resumo!AO20</f>
        <v>A</v>
      </c>
      <c r="Q20" s="36" t="str">
        <f>Resumo!AP20</f>
        <v>Auxiliar Operacional (Servente/Ajudante)</v>
      </c>
      <c r="R20" s="192">
        <f>Resumo!AQ20</f>
        <v>1712.93</v>
      </c>
      <c r="S20" s="125" t="str">
        <f>Resumo!AR20</f>
        <v>D</v>
      </c>
      <c r="T20" s="38" t="str">
        <f>Resumo!AS20</f>
        <v>Analista (Eng Mecânico)</v>
      </c>
      <c r="U20" s="186">
        <f>Resumo!AT20</f>
        <v>9799.94</v>
      </c>
      <c r="V20" s="123" t="str">
        <f>Resumo!AU20</f>
        <v>D</v>
      </c>
      <c r="W20" s="38" t="str">
        <f>Resumo!AV20</f>
        <v>Analista (Eng Segurança do Trab.)</v>
      </c>
      <c r="X20" s="187">
        <f>Resumo!AW20</f>
        <v>9138.48</v>
      </c>
    </row>
    <row r="21" spans="3:24" ht="16.5" thickTop="1" thickBot="1" x14ac:dyDescent="0.3">
      <c r="C21" s="25" t="s">
        <v>4</v>
      </c>
      <c r="D21" s="26" t="s">
        <v>1</v>
      </c>
      <c r="E21" s="27" t="s">
        <v>2</v>
      </c>
      <c r="G21" s="277" t="s">
        <v>6</v>
      </c>
      <c r="H21" s="278"/>
      <c r="I21" s="279"/>
      <c r="K21" s="25" t="s">
        <v>4</v>
      </c>
      <c r="L21" s="26" t="s">
        <v>1</v>
      </c>
      <c r="M21" s="27" t="s">
        <v>2</v>
      </c>
      <c r="P21" s="123" t="str">
        <f>Resumo!AO21</f>
        <v>D</v>
      </c>
      <c r="Q21" s="38" t="str">
        <f>Resumo!AP21</f>
        <v>Auxiliar Operacional (Soldador)</v>
      </c>
      <c r="R21" s="188">
        <f>Resumo!AQ21</f>
        <v>3016.31</v>
      </c>
      <c r="S21" s="125" t="str">
        <f>Resumo!AR21</f>
        <v>D</v>
      </c>
      <c r="T21" s="38" t="str">
        <f>Resumo!AS21</f>
        <v>Analista (Eng Quimico)</v>
      </c>
      <c r="U21" s="186">
        <f>Resumo!AT21</f>
        <v>9768.34</v>
      </c>
      <c r="V21" s="123" t="str">
        <f>Resumo!AU21</f>
        <v>C</v>
      </c>
      <c r="W21" s="38" t="str">
        <f>Resumo!AV21</f>
        <v>Analista (Jornalista)</v>
      </c>
      <c r="X21" s="187">
        <f>Resumo!AW21</f>
        <v>5318</v>
      </c>
    </row>
    <row r="22" spans="3:24" ht="15.75" thickTop="1" x14ac:dyDescent="0.25">
      <c r="C22" s="23">
        <v>1</v>
      </c>
      <c r="D22" s="24" t="str">
        <f>W41</f>
        <v>Assistente Administrativo</v>
      </c>
      <c r="E22" s="104">
        <f>IF($M$67+$M$68&lt;81000,0,ROUND(($M$65+$M$66)/75000,0))</f>
        <v>1</v>
      </c>
      <c r="G22" s="280" t="s">
        <v>53</v>
      </c>
      <c r="H22" s="281"/>
      <c r="I22" s="282"/>
      <c r="K22" s="87">
        <v>1</v>
      </c>
      <c r="L22" s="88" t="str">
        <f>W46</f>
        <v>Analista (Advogado)</v>
      </c>
      <c r="M22" s="104">
        <f>IF(M55&lt;450000,ROUND(($M$65+$M$66)/100000,0),ROUND(($M$65+$M$66)/100000+1,0))</f>
        <v>0</v>
      </c>
      <c r="P22" s="123" t="str">
        <f>Resumo!AO22</f>
        <v>D</v>
      </c>
      <c r="Q22" s="38" t="str">
        <f>Resumo!AP22</f>
        <v>Auxiliar Operacional (Serralheiro)</v>
      </c>
      <c r="R22" s="188">
        <f>Resumo!AQ22</f>
        <v>2689.5</v>
      </c>
      <c r="S22" s="125" t="str">
        <f>Resumo!AR22</f>
        <v>D</v>
      </c>
      <c r="T22" s="38" t="str">
        <f>Resumo!AS22</f>
        <v>Analista (Eng Sanitarista)</v>
      </c>
      <c r="U22" s="186">
        <f>Resumo!AT22</f>
        <v>11353.37</v>
      </c>
      <c r="V22" s="123" t="str">
        <f>Resumo!AU22</f>
        <v>B</v>
      </c>
      <c r="W22" s="38" t="str">
        <f>Resumo!AV22</f>
        <v>Analista (Psicológo)</v>
      </c>
      <c r="X22" s="187">
        <f>Resumo!AW22</f>
        <v>4397.28</v>
      </c>
    </row>
    <row r="23" spans="3:24" ht="15.75" thickBot="1" x14ac:dyDescent="0.3">
      <c r="C23" s="4">
        <f>C22+1</f>
        <v>2</v>
      </c>
      <c r="D23" s="5" t="str">
        <f>T37</f>
        <v>Assistente Técnico (Edificações)</v>
      </c>
      <c r="E23" s="104">
        <f>IF($M$67+$M$68&lt;81000,0,ROUND(IF($M65+$M66&lt;150000,1,($M$65)/75000),0))</f>
        <v>1</v>
      </c>
      <c r="G23" s="25" t="s">
        <v>4</v>
      </c>
      <c r="H23" s="26" t="s">
        <v>1</v>
      </c>
      <c r="I23" s="27" t="s">
        <v>2</v>
      </c>
      <c r="K23" s="4">
        <f>K24+1</f>
        <v>3</v>
      </c>
      <c r="L23" s="5" t="str">
        <f>W41</f>
        <v>Assistente Administrativo</v>
      </c>
      <c r="M23" s="104">
        <f>ROUND(($M$65+$M$66)/10000+1,0)</f>
        <v>5</v>
      </c>
      <c r="P23" s="123" t="str">
        <f>Resumo!AO23</f>
        <v>C</v>
      </c>
      <c r="Q23" s="38" t="str">
        <f>Resumo!AP23</f>
        <v>Assistente Técnico (Bioquimica)</v>
      </c>
      <c r="R23" s="188">
        <f>Resumo!AQ23</f>
        <v>2441.0500000000002</v>
      </c>
      <c r="S23" s="125" t="str">
        <f>Resumo!AR23</f>
        <v>D</v>
      </c>
      <c r="T23" s="38" t="str">
        <f>Resumo!AS23</f>
        <v>Analista (Geólogo)</v>
      </c>
      <c r="U23" s="186">
        <f>Resumo!AT23</f>
        <v>9809.1</v>
      </c>
      <c r="V23" s="126" t="str">
        <f>Resumo!AU23</f>
        <v>C</v>
      </c>
      <c r="W23" s="38" t="str">
        <f>Resumo!AV23</f>
        <v>Analista (Secretária)</v>
      </c>
      <c r="X23" s="187">
        <f>Resumo!AW23</f>
        <v>3469.15</v>
      </c>
    </row>
    <row r="24" spans="3:24" ht="16.5" thickTop="1" thickBot="1" x14ac:dyDescent="0.3">
      <c r="C24" s="4">
        <f>C23+1</f>
        <v>3</v>
      </c>
      <c r="D24" s="5" t="str">
        <f>T42</f>
        <v>Assistente Técnico (Saneamento)</v>
      </c>
      <c r="E24" s="104">
        <f>IF($M$67+$M$68&lt;81000,0,ROUND(IF($M$65+$M$66&lt;150000,1,($M$66)/75000),0))</f>
        <v>1</v>
      </c>
      <c r="G24" s="23">
        <v>1</v>
      </c>
      <c r="H24" s="24" t="str">
        <f>Q51</f>
        <v>Auxiliar Operacional (Servente/Ajudante)</v>
      </c>
      <c r="I24" s="104">
        <f>IF($M$66&lt;1,0,ROUND(($M$66)/15000*IF($M62&lt;0.6,1,(1.4-$M$62))+1,0))</f>
        <v>2</v>
      </c>
      <c r="K24" s="4">
        <f>K22+1</f>
        <v>2</v>
      </c>
      <c r="L24" s="5" t="str">
        <f>W47</f>
        <v>Analista (Administração/Ecomonia)</v>
      </c>
      <c r="M24" s="104">
        <f>ROUND(($M$65+$M$66)/100000,0)</f>
        <v>0</v>
      </c>
      <c r="P24" s="193"/>
      <c r="Q24" s="194"/>
      <c r="R24" s="194"/>
      <c r="S24" s="194"/>
      <c r="T24" s="194"/>
      <c r="U24" s="194"/>
      <c r="V24" s="194"/>
      <c r="W24" s="194"/>
      <c r="X24" s="195"/>
    </row>
    <row r="25" spans="3:24" ht="16.5" thickTop="1" thickBot="1" x14ac:dyDescent="0.3">
      <c r="C25" s="7">
        <f>C16+1</f>
        <v>12</v>
      </c>
      <c r="D25" s="8" t="str">
        <f>T47</f>
        <v>Analista (Eng Civil )</v>
      </c>
      <c r="E25" s="104">
        <f>ROUND(IF($M65+$M66&lt;75000,0,($M$65+$M$66)/75000),0)</f>
        <v>0</v>
      </c>
      <c r="G25" s="4">
        <f t="shared" ref="G25:G35" si="2">G24+1</f>
        <v>2</v>
      </c>
      <c r="H25" s="5" t="str">
        <f>Q46</f>
        <v>Auxiliar Operacional (Operador de bombas)</v>
      </c>
      <c r="I25" s="104">
        <f>IF($M$66&lt;1,0,ROUND(($M$66)/15000*IF($M$62&lt;0.6,1,(1.4-$M$62)),0))</f>
        <v>1</v>
      </c>
      <c r="K25" s="4">
        <f>K23+1</f>
        <v>4</v>
      </c>
      <c r="L25" s="5" t="str">
        <f>W49</f>
        <v>Analista (Eng Computação/Sistemas/TI)</v>
      </c>
      <c r="M25" s="104">
        <f>ROUND(($M$65+$M$66)/200000,0)</f>
        <v>0</v>
      </c>
      <c r="P25" s="196"/>
      <c r="Q25" s="196"/>
      <c r="R25" s="196"/>
      <c r="S25" s="196"/>
      <c r="T25" s="196"/>
      <c r="U25" s="196"/>
      <c r="V25" s="196"/>
      <c r="W25" s="196"/>
      <c r="X25" s="196"/>
    </row>
    <row r="26" spans="3:24" ht="16.5" thickTop="1" thickBot="1" x14ac:dyDescent="0.3">
      <c r="C26" s="49" t="s">
        <v>34</v>
      </c>
      <c r="D26" s="50"/>
      <c r="E26" s="28">
        <f>SUM(E22:E25)</f>
        <v>3</v>
      </c>
      <c r="G26" s="4">
        <f t="shared" si="2"/>
        <v>3</v>
      </c>
      <c r="H26" s="5" t="str">
        <f>Q48</f>
        <v>Auxiliar Operacional (Operador de ETE)</v>
      </c>
      <c r="I26" s="104">
        <f>IF($M$66&lt;1,0,ROUND((($M$66)/15000)*IF($M$62&lt;0.6,1,(1.4-$M$62))+1,0))</f>
        <v>2</v>
      </c>
      <c r="K26" s="4">
        <f t="shared" ref="K26:K34" si="3">K25+1</f>
        <v>5</v>
      </c>
      <c r="L26" s="5" t="str">
        <f>W50</f>
        <v>Analista (Contador)</v>
      </c>
      <c r="M26" s="104">
        <f>ROUND(($M$65+$M$66)/200000+0,0)</f>
        <v>0</v>
      </c>
      <c r="P26" s="274" t="s">
        <v>47</v>
      </c>
      <c r="Q26" s="275"/>
      <c r="R26" s="275"/>
      <c r="S26" s="275"/>
      <c r="T26" s="275"/>
      <c r="U26" s="275"/>
      <c r="V26" s="275"/>
      <c r="W26" s="275"/>
      <c r="X26" s="276"/>
    </row>
    <row r="27" spans="3:24" ht="16.5" thickTop="1" thickBot="1" x14ac:dyDescent="0.3">
      <c r="G27" s="4">
        <f t="shared" si="2"/>
        <v>4</v>
      </c>
      <c r="H27" s="5" t="str">
        <f>Q49</f>
        <v>Auxiliar Operacional (Oper de microsistemas)</v>
      </c>
      <c r="I27" s="104">
        <f>IF($M$66&lt;1,0,ROUND(($M$66)/15000*IF($M$62&lt;0.6,1,(1.4-$M$62))+1,0))</f>
        <v>2</v>
      </c>
      <c r="K27" s="4">
        <f t="shared" si="3"/>
        <v>6</v>
      </c>
      <c r="L27" s="5" t="str">
        <f>W51</f>
        <v>Analista (Eng Segurança do Trab.)</v>
      </c>
      <c r="M27" s="104">
        <f>ROUND(($M$65+$M$66)/300000,0)</f>
        <v>0</v>
      </c>
      <c r="P27" s="197" t="s">
        <v>4</v>
      </c>
      <c r="Q27" s="198" t="s">
        <v>1</v>
      </c>
      <c r="R27" s="198" t="s">
        <v>45</v>
      </c>
      <c r="S27" s="198" t="s">
        <v>4</v>
      </c>
      <c r="T27" s="198" t="s">
        <v>1</v>
      </c>
      <c r="U27" s="198" t="s">
        <v>45</v>
      </c>
      <c r="V27" s="198" t="s">
        <v>4</v>
      </c>
      <c r="W27" s="198" t="s">
        <v>1</v>
      </c>
      <c r="X27" s="199" t="s">
        <v>45</v>
      </c>
    </row>
    <row r="28" spans="3:24" ht="15.75" thickTop="1" x14ac:dyDescent="0.25">
      <c r="C28" s="277" t="s">
        <v>6</v>
      </c>
      <c r="D28" s="278"/>
      <c r="E28" s="279"/>
      <c r="G28" s="4">
        <f t="shared" si="2"/>
        <v>5</v>
      </c>
      <c r="H28" s="5" t="str">
        <f>Q40</f>
        <v>Auxiliar Operacional (Laboratorista)</v>
      </c>
      <c r="I28" s="104">
        <f>IF($M$66&lt;1,0,ROUND(($M$66)/25000,0))</f>
        <v>1</v>
      </c>
      <c r="K28" s="4">
        <f t="shared" si="3"/>
        <v>7</v>
      </c>
      <c r="L28" s="5" t="str">
        <f>W52</f>
        <v>Analista (Jornalista)</v>
      </c>
      <c r="M28" s="104">
        <f>ROUND(($M$65+$M$66)/250000,0)</f>
        <v>0</v>
      </c>
      <c r="P28" s="51">
        <f>Resumo!AO28</f>
        <v>1</v>
      </c>
      <c r="Q28" s="52" t="str">
        <f>Resumo!AP28</f>
        <v>Diretor Presidente</v>
      </c>
      <c r="R28" s="200">
        <f>Resumo!AQ28</f>
        <v>18758.009999999998</v>
      </c>
      <c r="S28" s="59">
        <f>Resumo!AR28</f>
        <v>5</v>
      </c>
      <c r="T28" s="52" t="str">
        <f>Resumo!AS28</f>
        <v>Ass. CS/ RC/ RI</v>
      </c>
      <c r="U28" s="200">
        <f>Resumo!AT28</f>
        <v>11254.805999999999</v>
      </c>
      <c r="V28" s="59">
        <f>Resumo!AU28</f>
        <v>9</v>
      </c>
      <c r="W28" s="52" t="str">
        <f>Resumo!AV28</f>
        <v>Supervisão Jurídica</v>
      </c>
      <c r="X28" s="201">
        <f>Resumo!AW28</f>
        <v>1219.2706499999999</v>
      </c>
    </row>
    <row r="29" spans="3:24" x14ac:dyDescent="0.25">
      <c r="C29" s="280" t="s">
        <v>56</v>
      </c>
      <c r="D29" s="281"/>
      <c r="E29" s="282"/>
      <c r="G29" s="4">
        <f t="shared" si="2"/>
        <v>6</v>
      </c>
      <c r="H29" s="5" t="str">
        <f>Q54</f>
        <v>Assistente Técnico (Bioquimica)</v>
      </c>
      <c r="I29" s="104">
        <f>IF($M$66&lt;1,0,ROUND(($M$66)/25000,0))</f>
        <v>1</v>
      </c>
      <c r="K29" s="4">
        <f t="shared" si="3"/>
        <v>8</v>
      </c>
      <c r="L29" s="5" t="str">
        <f>W40</f>
        <v>Auxiliar Operacional (Motorista classe A-D)</v>
      </c>
      <c r="M29" s="104">
        <f>ROUND(($M$65+$M$66)/100000,0)</f>
        <v>0</v>
      </c>
      <c r="P29" s="3">
        <f>Resumo!AO29</f>
        <v>2</v>
      </c>
      <c r="Q29" s="2" t="str">
        <f>Resumo!AP29</f>
        <v>Diretor</v>
      </c>
      <c r="R29" s="202">
        <f>Resumo!AQ29</f>
        <v>15006.407999999999</v>
      </c>
      <c r="S29" s="57">
        <f>Resumo!AR29</f>
        <v>6</v>
      </c>
      <c r="T29" s="2" t="str">
        <f>Resumo!AS29</f>
        <v>Secretário Executivo</v>
      </c>
      <c r="U29" s="202">
        <f>Resumo!AT29</f>
        <v>8441.1044999999995</v>
      </c>
      <c r="V29" s="57">
        <f>Resumo!AU29</f>
        <v>10</v>
      </c>
      <c r="W29" s="2" t="str">
        <f>Resumo!AV29</f>
        <v>Chefia de Divisão</v>
      </c>
      <c r="X29" s="203">
        <f>Resumo!AW29</f>
        <v>1219.2706499999999</v>
      </c>
    </row>
    <row r="30" spans="3:24" ht="15.75" thickBot="1" x14ac:dyDescent="0.3">
      <c r="C30" s="93" t="s">
        <v>4</v>
      </c>
      <c r="D30" s="94" t="s">
        <v>1</v>
      </c>
      <c r="E30" s="95" t="s">
        <v>2</v>
      </c>
      <c r="G30" s="4">
        <f t="shared" si="2"/>
        <v>7</v>
      </c>
      <c r="H30" s="5" t="str">
        <f>T41</f>
        <v>Assistente Técnico (Quimica)</v>
      </c>
      <c r="I30" s="104">
        <f>IF($M$66&lt;1,0,ROUND(($M$66)/25000,0))</f>
        <v>1</v>
      </c>
      <c r="K30" s="4">
        <f t="shared" si="3"/>
        <v>9</v>
      </c>
      <c r="L30" s="1" t="str">
        <f>W53</f>
        <v>Analista (Psicológo)</v>
      </c>
      <c r="M30" s="104">
        <f>ROUND(($M$65+$M$66)/200000,0)</f>
        <v>0</v>
      </c>
      <c r="P30" s="3">
        <f>Resumo!AO30</f>
        <v>3</v>
      </c>
      <c r="Q30" s="2" t="str">
        <f>Resumo!AP30</f>
        <v>Gerente /Ass Téc. / Ass. Amb/Chefe de Gabinete</v>
      </c>
      <c r="R30" s="202">
        <f>Resumo!AQ30</f>
        <v>12192.7065</v>
      </c>
      <c r="S30" s="57">
        <f>Resumo!AR30</f>
        <v>7</v>
      </c>
      <c r="T30" s="2" t="str">
        <f>Resumo!AS30</f>
        <v>Conselheiro Administração</v>
      </c>
      <c r="U30" s="202">
        <f>Resumo!AT30</f>
        <v>1875.8009999999999</v>
      </c>
      <c r="V30" s="57">
        <f>Resumo!AU30</f>
        <v>11</v>
      </c>
      <c r="W30" s="2" t="str">
        <f>Resumo!AV30</f>
        <v>Chefia de Setor</v>
      </c>
      <c r="X30" s="203">
        <f>Resumo!AW30</f>
        <v>1219.2706499999999</v>
      </c>
    </row>
    <row r="31" spans="3:24" ht="16.5" thickTop="1" thickBot="1" x14ac:dyDescent="0.3">
      <c r="C31" s="87">
        <v>1</v>
      </c>
      <c r="D31" s="88" t="str">
        <f>Q51</f>
        <v>Auxiliar Operacional (Servente/Ajudante)</v>
      </c>
      <c r="E31" s="104">
        <f>ROUND(($M$65+$M$66)/35000,0)</f>
        <v>1</v>
      </c>
      <c r="G31" s="4">
        <f t="shared" si="2"/>
        <v>8</v>
      </c>
      <c r="H31" s="5" t="str">
        <f>Q42</f>
        <v>Auxiliar Operacional (Motorista classe D)</v>
      </c>
      <c r="I31" s="104">
        <f>IF($M$66&lt;100000,0,ROUND(IF($M$66&lt;200000,1,($M$66)/100000),0))</f>
        <v>0</v>
      </c>
      <c r="K31" s="4">
        <f t="shared" si="3"/>
        <v>10</v>
      </c>
      <c r="L31" s="5" t="str">
        <f>W54</f>
        <v>Analista (Secretária Executiva)</v>
      </c>
      <c r="M31" s="104">
        <f>ROUND(($M$65+$M$66)/250000,0)</f>
        <v>0</v>
      </c>
      <c r="P31" s="19">
        <f>Resumo!AO31</f>
        <v>4</v>
      </c>
      <c r="Q31" s="20" t="str">
        <f>Resumo!AP31</f>
        <v>Auditor Geral /Ass Júridico/Corregedor Geral</v>
      </c>
      <c r="R31" s="204">
        <f>Resumo!AQ31</f>
        <v>11254.805999999999</v>
      </c>
      <c r="S31" s="58">
        <f>Resumo!AR31</f>
        <v>8</v>
      </c>
      <c r="T31" s="20" t="str">
        <f>Resumo!AS31</f>
        <v>Conselheiro Fiscal/Comitê Estatutário</v>
      </c>
      <c r="U31" s="204">
        <f>Resumo!AT31</f>
        <v>1875.8009999999999</v>
      </c>
      <c r="V31" s="58">
        <f>Resumo!AU31</f>
        <v>12</v>
      </c>
      <c r="W31" s="20" t="str">
        <f>Resumo!AV31</f>
        <v>Supervisão de Equipe</v>
      </c>
      <c r="X31" s="205">
        <f>Resumo!AW31</f>
        <v>655.72863265259991</v>
      </c>
    </row>
    <row r="32" spans="3:24" ht="16.5" thickTop="1" thickBot="1" x14ac:dyDescent="0.3">
      <c r="C32" s="4">
        <v>1</v>
      </c>
      <c r="D32" s="5" t="str">
        <f>Q39</f>
        <v>Auxiliar Operacional (Eletricista)</v>
      </c>
      <c r="E32" s="104">
        <f>ROUND(($M$65+$M$66)/35000,0)</f>
        <v>1</v>
      </c>
      <c r="G32" s="23">
        <f t="shared" si="2"/>
        <v>9</v>
      </c>
      <c r="H32" s="24" t="str">
        <f>W41</f>
        <v>Assistente Administrativo</v>
      </c>
      <c r="I32" s="104">
        <f>IF($M$66&lt;100000,0,ROUND(IF($M$66&lt;200000,1,($M$66)/200000),0))</f>
        <v>0</v>
      </c>
      <c r="K32" s="4">
        <f t="shared" si="3"/>
        <v>11</v>
      </c>
      <c r="L32" s="5" t="str">
        <f>W43</f>
        <v>Assistente Técnico (Computação/TI)</v>
      </c>
      <c r="M32" s="104">
        <f>ROUND(($M$65+$M$66)/250000,0)</f>
        <v>0</v>
      </c>
      <c r="X32" s="141"/>
    </row>
    <row r="33" spans="1:24" ht="16.5" thickTop="1" thickBot="1" x14ac:dyDescent="0.3">
      <c r="C33" s="4">
        <f>C32+1</f>
        <v>2</v>
      </c>
      <c r="D33" s="5" t="str">
        <f>Q41</f>
        <v>Auxiliar Operacional (Mecânico)</v>
      </c>
      <c r="E33" s="104">
        <f>ROUND(($M$65+$M$66)/35000,0)</f>
        <v>1</v>
      </c>
      <c r="G33" s="4">
        <f t="shared" si="2"/>
        <v>10</v>
      </c>
      <c r="H33" s="5" t="str">
        <f>T44</f>
        <v>Analista (Biólogo)</v>
      </c>
      <c r="I33" s="104">
        <f>IF($M$66&lt;100000,0,ROUND(IF($M$66&lt;200000,1,($M$66)/200000),0))</f>
        <v>0</v>
      </c>
      <c r="K33" s="4">
        <f t="shared" si="3"/>
        <v>12</v>
      </c>
      <c r="L33" s="5" t="str">
        <f>W44</f>
        <v>Assistente Técnico (Contabilidade)</v>
      </c>
      <c r="M33" s="104">
        <f>IF($M$55&lt;50000,1,ROUND(($M$65+$M$66)/55000,0))</f>
        <v>1</v>
      </c>
      <c r="P33" s="295" t="s">
        <v>6</v>
      </c>
      <c r="Q33" s="296"/>
      <c r="R33" s="296"/>
      <c r="S33" s="296"/>
      <c r="T33" s="296"/>
      <c r="U33" s="296"/>
      <c r="V33" s="296"/>
      <c r="W33" s="296"/>
      <c r="X33" s="297"/>
    </row>
    <row r="34" spans="1:24" ht="15.75" thickTop="1" x14ac:dyDescent="0.25">
      <c r="C34" s="4">
        <f>C33+1</f>
        <v>3</v>
      </c>
      <c r="D34" s="5" t="str">
        <f>Q52</f>
        <v>Auxiliar Operacional (Soldador)</v>
      </c>
      <c r="E34" s="104">
        <f>ROUND(($M$65+$M$66)/85000,0)</f>
        <v>1</v>
      </c>
      <c r="G34" s="4">
        <f t="shared" si="2"/>
        <v>11</v>
      </c>
      <c r="H34" s="5" t="str">
        <f>T45</f>
        <v>Analista (Quimico)</v>
      </c>
      <c r="I34" s="104">
        <f>IF($M$66&lt;5000,0,ROUND(IF($M$66&lt;200000,0,($M$66)/200000),0))</f>
        <v>0</v>
      </c>
      <c r="K34" s="4">
        <f t="shared" si="3"/>
        <v>13</v>
      </c>
      <c r="L34" s="5" t="str">
        <f>W45</f>
        <v>Assistente Técnico (Seg. trabalho)</v>
      </c>
      <c r="M34" s="104">
        <f>ROUND(($M$65+$M$66)/50000,0)</f>
        <v>1</v>
      </c>
      <c r="P34" s="298" t="s">
        <v>146</v>
      </c>
      <c r="Q34" s="299"/>
      <c r="R34" s="299"/>
      <c r="S34" s="299"/>
      <c r="T34" s="299"/>
      <c r="U34" s="300"/>
      <c r="V34" s="298" t="s">
        <v>3</v>
      </c>
      <c r="W34" s="299"/>
      <c r="X34" s="301"/>
    </row>
    <row r="35" spans="1:24" ht="15.75" thickBot="1" x14ac:dyDescent="0.3">
      <c r="C35" s="4">
        <f>C34+1</f>
        <v>4</v>
      </c>
      <c r="D35" s="5" t="str">
        <f>Q53</f>
        <v>Auxiliar Operacional (Serralheiro)</v>
      </c>
      <c r="E35" s="104">
        <f>ROUND(($M$65+$M$66)/85000,0)</f>
        <v>1</v>
      </c>
      <c r="G35" s="4">
        <f t="shared" si="2"/>
        <v>12</v>
      </c>
      <c r="H35" s="5" t="str">
        <f>T46</f>
        <v>Analista (Eng Ambiental)</v>
      </c>
      <c r="I35" s="104">
        <f>IF($M$66&lt;0,0,ROUND(($M$66)/200000,0))</f>
        <v>0</v>
      </c>
      <c r="K35" s="89"/>
      <c r="L35" s="90"/>
      <c r="M35" s="104"/>
      <c r="P35" s="42" t="s">
        <v>4</v>
      </c>
      <c r="Q35" s="40" t="s">
        <v>1</v>
      </c>
      <c r="R35" s="40" t="s">
        <v>2</v>
      </c>
      <c r="S35" s="40" t="s">
        <v>4</v>
      </c>
      <c r="T35" s="40" t="s">
        <v>1</v>
      </c>
      <c r="U35" s="41" t="s">
        <v>2</v>
      </c>
      <c r="V35" s="42" t="s">
        <v>4</v>
      </c>
      <c r="W35" s="40" t="s">
        <v>1</v>
      </c>
      <c r="X35" s="9" t="s">
        <v>2</v>
      </c>
    </row>
    <row r="36" spans="1:24" ht="16.5" thickTop="1" thickBot="1" x14ac:dyDescent="0.3">
      <c r="C36" s="4">
        <f>C35+1</f>
        <v>5</v>
      </c>
      <c r="D36" s="5" t="str">
        <f>Q50</f>
        <v>Auxiliar Operacional (Pedreiro)</v>
      </c>
      <c r="E36" s="104">
        <f>ROUND(($M$65+$M$66)/85000,0)</f>
        <v>1</v>
      </c>
      <c r="G36" s="7">
        <f>G35+1</f>
        <v>13</v>
      </c>
      <c r="H36" s="8" t="str">
        <f>T47</f>
        <v>Analista (Eng Civil )</v>
      </c>
      <c r="I36" s="104">
        <f>IF($M$66&lt;50000,0,ROUND(IF($M66&lt;100000,1,($M$66)/100000),0))</f>
        <v>0</v>
      </c>
      <c r="K36" s="89"/>
      <c r="L36" s="90"/>
      <c r="M36" s="104"/>
      <c r="P36" s="23">
        <v>1</v>
      </c>
      <c r="Q36" s="38" t="s">
        <v>102</v>
      </c>
      <c r="R36" s="101">
        <f>E7</f>
        <v>2</v>
      </c>
      <c r="S36" s="35">
        <f>P54+1</f>
        <v>20</v>
      </c>
      <c r="T36" s="38" t="s">
        <v>144</v>
      </c>
      <c r="U36" s="101">
        <f>E14+I43</f>
        <v>0</v>
      </c>
      <c r="V36" s="23">
        <f>S54+1</f>
        <v>38</v>
      </c>
      <c r="W36" s="120" t="s">
        <v>91</v>
      </c>
      <c r="X36" s="114">
        <f>M9</f>
        <v>3</v>
      </c>
    </row>
    <row r="37" spans="1:24" ht="16.5" thickTop="1" thickBot="1" x14ac:dyDescent="0.3">
      <c r="A37" s="48"/>
      <c r="C37" s="4">
        <f>C36+1</f>
        <v>6</v>
      </c>
      <c r="D37" s="5" t="str">
        <f>Q37</f>
        <v>Auxiliar Operacional (Encarregado Turma)</v>
      </c>
      <c r="E37" s="104">
        <f>ROUND(($M$65+$M$66)/85000,0)</f>
        <v>1</v>
      </c>
      <c r="G37" s="49" t="s">
        <v>34</v>
      </c>
      <c r="H37" s="50"/>
      <c r="I37" s="98">
        <f>SUM(I24:I36)</f>
        <v>10</v>
      </c>
      <c r="K37" s="49" t="s">
        <v>34</v>
      </c>
      <c r="L37" s="50"/>
      <c r="M37" s="28">
        <f>ROUND(SUM(M22:N36),0)</f>
        <v>7</v>
      </c>
      <c r="P37" s="6">
        <f t="shared" ref="P37:P54" si="4">P36+1</f>
        <v>2</v>
      </c>
      <c r="Q37" s="37" t="s">
        <v>105</v>
      </c>
      <c r="R37" s="100">
        <f>E15+E37</f>
        <v>2</v>
      </c>
      <c r="S37" s="18">
        <f t="shared" ref="S37:S44" si="5">S36+1</f>
        <v>21</v>
      </c>
      <c r="T37" s="37" t="s">
        <v>74</v>
      </c>
      <c r="U37" s="100">
        <f>E23+I44+M13</f>
        <v>2</v>
      </c>
      <c r="V37" s="6">
        <f t="shared" ref="V37:V53" si="6">V36+1</f>
        <v>39</v>
      </c>
      <c r="W37" s="37" t="s">
        <v>118</v>
      </c>
      <c r="X37" s="115">
        <f>M42</f>
        <v>3</v>
      </c>
    </row>
    <row r="38" spans="1:24" ht="16.5" thickTop="1" thickBot="1" x14ac:dyDescent="0.3">
      <c r="A38" s="47"/>
      <c r="C38" s="49" t="s">
        <v>34</v>
      </c>
      <c r="D38" s="50"/>
      <c r="E38" s="28">
        <f>SUM(E31:E37)</f>
        <v>7</v>
      </c>
      <c r="P38" s="4">
        <f t="shared" si="4"/>
        <v>3</v>
      </c>
      <c r="Q38" s="38" t="s">
        <v>104</v>
      </c>
      <c r="R38" s="101">
        <f>E8</f>
        <v>6</v>
      </c>
      <c r="S38" s="17">
        <f t="shared" si="5"/>
        <v>22</v>
      </c>
      <c r="T38" s="38" t="s">
        <v>75</v>
      </c>
      <c r="U38" s="101">
        <f>E45</f>
        <v>1</v>
      </c>
      <c r="V38" s="4">
        <f t="shared" si="6"/>
        <v>40</v>
      </c>
      <c r="W38" s="38" t="s">
        <v>120</v>
      </c>
      <c r="X38" s="116">
        <f>M43</f>
        <v>4</v>
      </c>
    </row>
    <row r="39" spans="1:24" ht="16.5" thickTop="1" thickBot="1" x14ac:dyDescent="0.3">
      <c r="A39" s="47"/>
      <c r="G39" s="277" t="s">
        <v>6</v>
      </c>
      <c r="H39" s="278"/>
      <c r="I39" s="279"/>
      <c r="K39" s="277" t="s">
        <v>6</v>
      </c>
      <c r="L39" s="278"/>
      <c r="M39" s="279"/>
      <c r="P39" s="6">
        <f t="shared" si="4"/>
        <v>4</v>
      </c>
      <c r="Q39" s="37" t="s">
        <v>103</v>
      </c>
      <c r="R39" s="100">
        <f>E32</f>
        <v>1</v>
      </c>
      <c r="S39" s="18">
        <f t="shared" si="5"/>
        <v>23</v>
      </c>
      <c r="T39" s="37" t="s">
        <v>76</v>
      </c>
      <c r="U39" s="100">
        <f>E44</f>
        <v>0</v>
      </c>
      <c r="V39" s="6">
        <f t="shared" si="6"/>
        <v>41</v>
      </c>
      <c r="W39" s="37" t="s">
        <v>119</v>
      </c>
      <c r="X39" s="115">
        <f>M12</f>
        <v>4</v>
      </c>
    </row>
    <row r="40" spans="1:24" ht="15.75" thickTop="1" x14ac:dyDescent="0.25">
      <c r="A40" s="47"/>
      <c r="C40" s="277" t="s">
        <v>6</v>
      </c>
      <c r="D40" s="278"/>
      <c r="E40" s="279"/>
      <c r="G40" s="280" t="s">
        <v>30</v>
      </c>
      <c r="H40" s="281"/>
      <c r="I40" s="282"/>
      <c r="K40" s="280" t="s">
        <v>54</v>
      </c>
      <c r="L40" s="281"/>
      <c r="M40" s="282"/>
      <c r="P40" s="4">
        <f t="shared" si="4"/>
        <v>5</v>
      </c>
      <c r="Q40" s="38" t="s">
        <v>106</v>
      </c>
      <c r="R40" s="101">
        <f>I10+I28</f>
        <v>2</v>
      </c>
      <c r="S40" s="17">
        <f t="shared" si="5"/>
        <v>24</v>
      </c>
      <c r="T40" s="38" t="s">
        <v>77</v>
      </c>
      <c r="U40" s="101">
        <f>E46</f>
        <v>1</v>
      </c>
      <c r="V40" s="4">
        <f t="shared" si="6"/>
        <v>42</v>
      </c>
      <c r="W40" s="38" t="s">
        <v>121</v>
      </c>
      <c r="X40" s="116">
        <f>M29</f>
        <v>0</v>
      </c>
    </row>
    <row r="41" spans="1:24" ht="15.75" thickBot="1" x14ac:dyDescent="0.3">
      <c r="A41" s="47"/>
      <c r="C41" s="280" t="s">
        <v>57</v>
      </c>
      <c r="D41" s="281"/>
      <c r="E41" s="282"/>
      <c r="G41" s="25" t="s">
        <v>4</v>
      </c>
      <c r="H41" s="26" t="s">
        <v>1</v>
      </c>
      <c r="I41" s="27" t="s">
        <v>2</v>
      </c>
      <c r="K41" s="25" t="s">
        <v>4</v>
      </c>
      <c r="L41" s="26" t="s">
        <v>1</v>
      </c>
      <c r="M41" s="27" t="s">
        <v>2</v>
      </c>
      <c r="P41" s="6">
        <f t="shared" si="4"/>
        <v>6</v>
      </c>
      <c r="Q41" s="37" t="s">
        <v>107</v>
      </c>
      <c r="R41" s="100">
        <f>E33</f>
        <v>1</v>
      </c>
      <c r="S41" s="18">
        <f t="shared" si="5"/>
        <v>25</v>
      </c>
      <c r="T41" s="37" t="s">
        <v>78</v>
      </c>
      <c r="U41" s="100">
        <f>I12+I30</f>
        <v>2</v>
      </c>
      <c r="V41" s="6">
        <f t="shared" si="6"/>
        <v>43</v>
      </c>
      <c r="W41" s="37" t="s">
        <v>80</v>
      </c>
      <c r="X41" s="115">
        <f>E22+E43+I13+I32+I42+M7+M23</f>
        <v>11</v>
      </c>
    </row>
    <row r="42" spans="1:24" ht="15.75" thickTop="1" x14ac:dyDescent="0.25">
      <c r="C42" s="66" t="s">
        <v>4</v>
      </c>
      <c r="D42" s="67" t="s">
        <v>1</v>
      </c>
      <c r="E42" s="68" t="s">
        <v>2</v>
      </c>
      <c r="G42" s="4">
        <v>1</v>
      </c>
      <c r="H42" s="5" t="str">
        <f>W41</f>
        <v>Assistente Administrativo</v>
      </c>
      <c r="I42" s="104">
        <f>ROUND(($M$65+$M$66)/150000,0)</f>
        <v>0</v>
      </c>
      <c r="K42" s="87">
        <v>1</v>
      </c>
      <c r="L42" s="88" t="str">
        <f>W37</f>
        <v>Auxiliar Operacional (Copeiro/Faxineiro)</v>
      </c>
      <c r="M42" s="104">
        <f>ROUND(IF(M55&lt;=10000, 1, ($M$65+$M$66)/13500+0),0)</f>
        <v>3</v>
      </c>
      <c r="P42" s="4">
        <f t="shared" si="4"/>
        <v>7</v>
      </c>
      <c r="Q42" s="38" t="s">
        <v>108</v>
      </c>
      <c r="R42" s="101">
        <f>E11+I14+I31</f>
        <v>3</v>
      </c>
      <c r="S42" s="17">
        <f t="shared" si="5"/>
        <v>26</v>
      </c>
      <c r="T42" s="38" t="s">
        <v>79</v>
      </c>
      <c r="U42" s="101">
        <f>E24+I45</f>
        <v>1</v>
      </c>
      <c r="V42" s="4">
        <f t="shared" si="6"/>
        <v>44</v>
      </c>
      <c r="W42" s="38" t="s">
        <v>84</v>
      </c>
      <c r="X42" s="116">
        <f>M11</f>
        <v>2</v>
      </c>
    </row>
    <row r="43" spans="1:24" x14ac:dyDescent="0.25">
      <c r="C43" s="23">
        <v>1</v>
      </c>
      <c r="D43" s="24" t="str">
        <f>W41</f>
        <v>Assistente Administrativo</v>
      </c>
      <c r="E43" s="104">
        <f>ROUND(($M$65+$M$66)/75000,0)</f>
        <v>1</v>
      </c>
      <c r="G43" s="23">
        <f t="shared" ref="G43:G48" si="7">G42+1</f>
        <v>2</v>
      </c>
      <c r="H43" s="24" t="str">
        <f>T36</f>
        <v>Assistente Técnico (Desenhista)</v>
      </c>
      <c r="I43" s="104">
        <f>ROUND(IF($M$65+$M$66&lt;50000,0,($M$65+$M$66)/50000),0)</f>
        <v>0</v>
      </c>
      <c r="K43" s="4">
        <f>K42+1</f>
        <v>2</v>
      </c>
      <c r="L43" s="5" t="str">
        <f>W38</f>
        <v>Auxiliar Operacional (Vigia)</v>
      </c>
      <c r="M43" s="104">
        <f>IF(M$55&lt;5000,2,ROUND(IF($M$55&lt;=10000, 4, ($M$65+$M$66)/13500+1),0))</f>
        <v>4</v>
      </c>
      <c r="P43" s="6">
        <f t="shared" si="4"/>
        <v>8</v>
      </c>
      <c r="Q43" s="37" t="s">
        <v>114</v>
      </c>
      <c r="R43" s="100">
        <f>E10</f>
        <v>2</v>
      </c>
      <c r="S43" s="18">
        <f t="shared" si="5"/>
        <v>27</v>
      </c>
      <c r="T43" s="37" t="s">
        <v>72</v>
      </c>
      <c r="U43" s="100">
        <f>E13</f>
        <v>0</v>
      </c>
      <c r="V43" s="6">
        <f t="shared" si="6"/>
        <v>45</v>
      </c>
      <c r="W43" s="37" t="s">
        <v>88</v>
      </c>
      <c r="X43" s="115">
        <f>M32</f>
        <v>0</v>
      </c>
    </row>
    <row r="44" spans="1:24" x14ac:dyDescent="0.25">
      <c r="C44" s="4">
        <f>C34+1</f>
        <v>4</v>
      </c>
      <c r="D44" s="5" t="str">
        <f>T39</f>
        <v>Assistente Técnico (Eletrotécnica)</v>
      </c>
      <c r="E44" s="104">
        <f>ROUND(IF($M65+$M66&lt;75000,0,($M$65+$M$66)/75000),0)</f>
        <v>0</v>
      </c>
      <c r="G44" s="4">
        <f t="shared" si="7"/>
        <v>3</v>
      </c>
      <c r="H44" s="5" t="str">
        <f>T37</f>
        <v>Assistente Técnico (Edificações)</v>
      </c>
      <c r="I44" s="104">
        <f>ROUND(IF($M$65+$M$66&lt;50000,0,($M$65+$M$66)/50000),0)</f>
        <v>0</v>
      </c>
      <c r="K44" s="89"/>
      <c r="L44" s="90"/>
      <c r="M44" s="104"/>
      <c r="P44" s="4">
        <f t="shared" si="4"/>
        <v>9</v>
      </c>
      <c r="Q44" s="36" t="s">
        <v>109</v>
      </c>
      <c r="R44" s="99">
        <f>E16</f>
        <v>0</v>
      </c>
      <c r="S44" s="17">
        <f t="shared" si="5"/>
        <v>28</v>
      </c>
      <c r="T44" t="s">
        <v>62</v>
      </c>
      <c r="U44" s="101">
        <f>I15+I33</f>
        <v>0</v>
      </c>
      <c r="V44" s="4">
        <f t="shared" si="6"/>
        <v>46</v>
      </c>
      <c r="W44" s="38" t="s">
        <v>145</v>
      </c>
      <c r="X44" s="116">
        <f>M33</f>
        <v>1</v>
      </c>
    </row>
    <row r="45" spans="1:24" x14ac:dyDescent="0.25">
      <c r="C45" s="4">
        <f>C44+1</f>
        <v>5</v>
      </c>
      <c r="D45" s="5" t="str">
        <f>T38</f>
        <v>Assistente Técnico (Eletrônica)</v>
      </c>
      <c r="E45" s="104">
        <f>ROUND(IF($M66+$M67&lt;75000,0,($M$65+$M$66)/75000),0)</f>
        <v>1</v>
      </c>
      <c r="G45" s="4">
        <f t="shared" si="7"/>
        <v>4</v>
      </c>
      <c r="H45" s="5" t="str">
        <f>T42</f>
        <v>Assistente Técnico (Saneamento)</v>
      </c>
      <c r="I45" s="104">
        <f>ROUND(IF($M$65+$M$66&lt;50000,0,($M$65+$M$66)/50000),0)</f>
        <v>0</v>
      </c>
      <c r="K45" s="89"/>
      <c r="L45" s="90"/>
      <c r="M45" s="104"/>
      <c r="P45" s="6">
        <f t="shared" si="4"/>
        <v>10</v>
      </c>
      <c r="Q45" s="37" t="s">
        <v>110</v>
      </c>
      <c r="R45" s="100">
        <f>E12</f>
        <v>0</v>
      </c>
      <c r="S45" s="18">
        <f>S44+1</f>
        <v>29</v>
      </c>
      <c r="T45" s="37" t="s">
        <v>71</v>
      </c>
      <c r="U45" s="100">
        <f>I16+I34</f>
        <v>0</v>
      </c>
      <c r="V45" s="6">
        <f t="shared" si="6"/>
        <v>47</v>
      </c>
      <c r="W45" s="37" t="s">
        <v>89</v>
      </c>
      <c r="X45" s="115">
        <f>M34</f>
        <v>1</v>
      </c>
    </row>
    <row r="46" spans="1:24" x14ac:dyDescent="0.25">
      <c r="C46" s="4">
        <f>C45+1</f>
        <v>6</v>
      </c>
      <c r="D46" s="5" t="str">
        <f>T40</f>
        <v>Assistente Técnico (Mecânica)</v>
      </c>
      <c r="E46" s="104">
        <f>ROUND(IF($M67+$M68&lt;75000,0,($M$65+$M$66)/75000),0)</f>
        <v>1</v>
      </c>
      <c r="G46" s="4">
        <f t="shared" si="7"/>
        <v>5</v>
      </c>
      <c r="H46" s="5" t="str">
        <f>T54</f>
        <v>Analista (Geólogo)</v>
      </c>
      <c r="I46" s="104">
        <f>ROUND(($M$65)/150000,0)</f>
        <v>0</v>
      </c>
      <c r="K46" s="89"/>
      <c r="L46" s="90"/>
      <c r="M46" s="104"/>
      <c r="P46" s="4">
        <f t="shared" si="4"/>
        <v>11</v>
      </c>
      <c r="Q46" s="38" t="s">
        <v>111</v>
      </c>
      <c r="R46" s="101">
        <f>I7+I25</f>
        <v>2</v>
      </c>
      <c r="S46" s="17">
        <f>S45+1</f>
        <v>30</v>
      </c>
      <c r="T46" s="38" t="s">
        <v>63</v>
      </c>
      <c r="U46" s="101">
        <f>I35</f>
        <v>0</v>
      </c>
      <c r="V46" s="4">
        <f t="shared" si="6"/>
        <v>48</v>
      </c>
      <c r="W46" s="38" t="s">
        <v>90</v>
      </c>
      <c r="X46" s="116">
        <f>M6+M22</f>
        <v>0</v>
      </c>
    </row>
    <row r="47" spans="1:24" x14ac:dyDescent="0.25">
      <c r="C47" s="4">
        <f>C46+1</f>
        <v>7</v>
      </c>
      <c r="D47" s="5" t="str">
        <f>T49</f>
        <v>Analista (Eng de Automação/Mecatrônica)</v>
      </c>
      <c r="E47" s="104">
        <f>ROUND(($M$65+$M$66)/200000,0)</f>
        <v>0</v>
      </c>
      <c r="G47" s="4">
        <f t="shared" si="7"/>
        <v>6</v>
      </c>
      <c r="H47" s="5" t="str">
        <f>T48</f>
        <v>Analista (Eng Cartografia)</v>
      </c>
      <c r="I47" s="104">
        <f>ROUND(($M$65+$M$66)/400000,0)</f>
        <v>0</v>
      </c>
      <c r="K47" s="89"/>
      <c r="L47" s="90"/>
      <c r="M47" s="104"/>
      <c r="P47" s="6">
        <f t="shared" si="4"/>
        <v>12</v>
      </c>
      <c r="Q47" s="37" t="s">
        <v>112</v>
      </c>
      <c r="R47" s="100">
        <f>I8</f>
        <v>1</v>
      </c>
      <c r="S47" s="18">
        <f>S45+1</f>
        <v>30</v>
      </c>
      <c r="T47" s="37" t="s">
        <v>65</v>
      </c>
      <c r="U47" s="100">
        <f>E25+I18+I36+I48+M14</f>
        <v>1</v>
      </c>
      <c r="V47" s="6">
        <f t="shared" si="6"/>
        <v>49</v>
      </c>
      <c r="W47" s="37" t="s">
        <v>92</v>
      </c>
      <c r="X47" s="115">
        <f>M8+M24</f>
        <v>0</v>
      </c>
    </row>
    <row r="48" spans="1:24" x14ac:dyDescent="0.25">
      <c r="C48" s="4">
        <f>C47+1</f>
        <v>8</v>
      </c>
      <c r="D48" s="5" t="str">
        <f>T50</f>
        <v>Analista (Eng Eletricista)</v>
      </c>
      <c r="E48" s="104">
        <f>ROUND(($M$65+$M$66)/200000,0)</f>
        <v>0</v>
      </c>
      <c r="G48" s="7">
        <f t="shared" si="7"/>
        <v>7</v>
      </c>
      <c r="H48" s="8" t="str">
        <f>T47</f>
        <v>Analista (Eng Civil )</v>
      </c>
      <c r="I48" s="104">
        <f>IF($M$65+$M$66&lt;5000,0,ROUND(IF($M$65+$M$66&lt;100000,1,($M$65+$M$66)/100000),0))</f>
        <v>1</v>
      </c>
      <c r="K48" s="89"/>
      <c r="L48" s="90"/>
      <c r="M48" s="104"/>
      <c r="P48" s="4">
        <f t="shared" si="4"/>
        <v>13</v>
      </c>
      <c r="Q48" s="38" t="s">
        <v>113</v>
      </c>
      <c r="R48" s="101">
        <f>I26</f>
        <v>2</v>
      </c>
      <c r="S48" s="17">
        <f t="shared" ref="S48:S54" si="8">S47+1</f>
        <v>31</v>
      </c>
      <c r="T48" s="38" t="s">
        <v>64</v>
      </c>
      <c r="U48" s="101">
        <f>I47</f>
        <v>0</v>
      </c>
      <c r="V48" s="4">
        <f t="shared" si="6"/>
        <v>50</v>
      </c>
      <c r="W48" s="38" t="s">
        <v>81</v>
      </c>
      <c r="X48" s="116">
        <f>M10</f>
        <v>0</v>
      </c>
    </row>
    <row r="49" spans="3:24" ht="15.75" thickBot="1" x14ac:dyDescent="0.3">
      <c r="C49" s="7">
        <f>C48+1</f>
        <v>9</v>
      </c>
      <c r="D49" s="8" t="str">
        <f>T51</f>
        <v>Analista (Eng Mecânico)</v>
      </c>
      <c r="E49" s="104">
        <f>ROUND(($M$65+$M$66)/200000,0)</f>
        <v>0</v>
      </c>
      <c r="G49" s="4">
        <f>G17+1</f>
        <v>13</v>
      </c>
      <c r="H49" s="5" t="str">
        <f>T53</f>
        <v>Analista (Eng Sanitarista)</v>
      </c>
      <c r="I49" s="104">
        <f>ROUND(($M$65+$M$66)/250000,0)</f>
        <v>0</v>
      </c>
      <c r="K49" s="91"/>
      <c r="L49" s="92"/>
      <c r="M49" s="104"/>
      <c r="P49" s="6">
        <f t="shared" si="4"/>
        <v>14</v>
      </c>
      <c r="Q49" s="37" t="s">
        <v>142</v>
      </c>
      <c r="R49" s="100">
        <f>I9+I27</f>
        <v>4</v>
      </c>
      <c r="S49" s="18">
        <f t="shared" si="8"/>
        <v>32</v>
      </c>
      <c r="T49" s="37" t="s">
        <v>147</v>
      </c>
      <c r="U49" s="100">
        <f>E47</f>
        <v>0</v>
      </c>
      <c r="V49" s="6">
        <f t="shared" si="6"/>
        <v>51</v>
      </c>
      <c r="W49" s="37" t="s">
        <v>93</v>
      </c>
      <c r="X49" s="115">
        <f>M25</f>
        <v>0</v>
      </c>
    </row>
    <row r="50" spans="3:24" ht="16.5" thickTop="1" thickBot="1" x14ac:dyDescent="0.3">
      <c r="C50" s="49" t="s">
        <v>34</v>
      </c>
      <c r="D50" s="50"/>
      <c r="E50" s="28">
        <f>ROUND(SUM(E43:E49),0)</f>
        <v>3</v>
      </c>
      <c r="G50" s="49" t="s">
        <v>34</v>
      </c>
      <c r="H50" s="50"/>
      <c r="I50" s="98">
        <f>SUM(I42:I49)</f>
        <v>1</v>
      </c>
      <c r="K50" s="49" t="s">
        <v>34</v>
      </c>
      <c r="L50" s="50"/>
      <c r="M50" s="28">
        <f>SUM(M42:M49)</f>
        <v>7</v>
      </c>
      <c r="P50" s="4">
        <f t="shared" si="4"/>
        <v>15</v>
      </c>
      <c r="Q50" t="s">
        <v>115</v>
      </c>
      <c r="R50" s="101">
        <f>E36+E9</f>
        <v>3</v>
      </c>
      <c r="S50" s="17">
        <f t="shared" si="8"/>
        <v>33</v>
      </c>
      <c r="T50" s="38" t="s">
        <v>66</v>
      </c>
      <c r="U50" s="101">
        <f>E48</f>
        <v>0</v>
      </c>
      <c r="V50" s="4">
        <f t="shared" si="6"/>
        <v>52</v>
      </c>
      <c r="W50" s="38" t="s">
        <v>82</v>
      </c>
      <c r="X50" s="116">
        <f>M26</f>
        <v>0</v>
      </c>
    </row>
    <row r="51" spans="3:24" ht="16.5" thickTop="1" thickBot="1" x14ac:dyDescent="0.3">
      <c r="P51" s="6">
        <f t="shared" si="4"/>
        <v>16</v>
      </c>
      <c r="Q51" s="37" t="s">
        <v>101</v>
      </c>
      <c r="R51" s="100">
        <f>E6+I6+E31+I24</f>
        <v>17</v>
      </c>
      <c r="S51" s="18">
        <f t="shared" si="8"/>
        <v>34</v>
      </c>
      <c r="T51" s="37" t="s">
        <v>67</v>
      </c>
      <c r="U51" s="100">
        <f>E49</f>
        <v>0</v>
      </c>
      <c r="V51" s="6">
        <f t="shared" si="6"/>
        <v>53</v>
      </c>
      <c r="W51" s="37" t="s">
        <v>83</v>
      </c>
      <c r="X51" s="115">
        <f>M27</f>
        <v>0</v>
      </c>
    </row>
    <row r="52" spans="3:24" ht="16.5" thickTop="1" thickBot="1" x14ac:dyDescent="0.3">
      <c r="C52" s="303" t="s">
        <v>36</v>
      </c>
      <c r="D52" s="304"/>
      <c r="E52" s="102">
        <f>ROUND(E17+E26+E38+E50,0)</f>
        <v>41</v>
      </c>
      <c r="G52" s="303" t="s">
        <v>171</v>
      </c>
      <c r="H52" s="304"/>
      <c r="I52" s="102">
        <f>ROUND(I19+I37+I50,0)</f>
        <v>21</v>
      </c>
      <c r="K52" s="303" t="s">
        <v>5</v>
      </c>
      <c r="L52" s="304"/>
      <c r="M52" s="102">
        <f>ROUND(M17+M37+M50,0)</f>
        <v>27</v>
      </c>
      <c r="P52" s="4">
        <f t="shared" si="4"/>
        <v>17</v>
      </c>
      <c r="Q52" s="38" t="s">
        <v>116</v>
      </c>
      <c r="R52" s="101">
        <f>E34</f>
        <v>1</v>
      </c>
      <c r="S52" s="17">
        <f t="shared" si="8"/>
        <v>35</v>
      </c>
      <c r="T52" s="38" t="s">
        <v>68</v>
      </c>
      <c r="U52" s="101">
        <f>I17</f>
        <v>0</v>
      </c>
      <c r="V52" s="4">
        <f t="shared" si="6"/>
        <v>54</v>
      </c>
      <c r="W52" s="38" t="s">
        <v>85</v>
      </c>
      <c r="X52" s="116">
        <f>M28</f>
        <v>0</v>
      </c>
    </row>
    <row r="53" spans="3:24" ht="16.5" thickTop="1" thickBot="1" x14ac:dyDescent="0.3">
      <c r="P53" s="6">
        <f t="shared" si="4"/>
        <v>18</v>
      </c>
      <c r="Q53" s="37" t="s">
        <v>117</v>
      </c>
      <c r="R53" s="100">
        <f>E35</f>
        <v>1</v>
      </c>
      <c r="S53" s="18">
        <f t="shared" si="8"/>
        <v>36</v>
      </c>
      <c r="T53" s="37" t="s">
        <v>69</v>
      </c>
      <c r="U53" s="100">
        <f>I49</f>
        <v>0</v>
      </c>
      <c r="V53" s="6">
        <f t="shared" si="6"/>
        <v>55</v>
      </c>
      <c r="W53" s="37" t="s">
        <v>86</v>
      </c>
      <c r="X53" s="115">
        <f>M30</f>
        <v>0</v>
      </c>
    </row>
    <row r="54" spans="3:24" ht="16.5" thickTop="1" thickBot="1" x14ac:dyDescent="0.3">
      <c r="C54" s="277" t="s">
        <v>29</v>
      </c>
      <c r="D54" s="278"/>
      <c r="E54" s="279"/>
      <c r="G54" s="277" t="s">
        <v>37</v>
      </c>
      <c r="H54" s="278"/>
      <c r="I54" s="279"/>
      <c r="K54" s="272" t="s">
        <v>33</v>
      </c>
      <c r="L54" s="302"/>
      <c r="M54" s="305"/>
      <c r="P54" s="4">
        <f t="shared" si="4"/>
        <v>19</v>
      </c>
      <c r="Q54" s="38" t="s">
        <v>73</v>
      </c>
      <c r="R54" s="101">
        <f>I11+I29</f>
        <v>2</v>
      </c>
      <c r="S54" s="17">
        <f t="shared" si="8"/>
        <v>37</v>
      </c>
      <c r="T54" s="38" t="s">
        <v>70</v>
      </c>
      <c r="U54" s="101">
        <f>I46</f>
        <v>0</v>
      </c>
      <c r="V54" s="7">
        <f>V53+1</f>
        <v>56</v>
      </c>
      <c r="W54" s="121" t="s">
        <v>87</v>
      </c>
      <c r="X54" s="117">
        <f>M31</f>
        <v>0</v>
      </c>
    </row>
    <row r="55" spans="3:24" ht="16.5" thickTop="1" thickBot="1" x14ac:dyDescent="0.3">
      <c r="C55" s="53" t="s">
        <v>4</v>
      </c>
      <c r="D55" s="54" t="s">
        <v>1</v>
      </c>
      <c r="E55" s="27" t="s">
        <v>2</v>
      </c>
      <c r="G55" s="13" t="s">
        <v>4</v>
      </c>
      <c r="H55" s="14" t="s">
        <v>1</v>
      </c>
      <c r="I55" s="27" t="s">
        <v>2</v>
      </c>
      <c r="K55" s="73" t="s">
        <v>172</v>
      </c>
      <c r="L55" s="74"/>
      <c r="M55" s="136">
        <f>'Folha de dados'!AL6</f>
        <v>56480</v>
      </c>
      <c r="P55" s="272" t="s">
        <v>122</v>
      </c>
      <c r="Q55" s="302"/>
      <c r="R55" s="302"/>
      <c r="S55" s="302"/>
      <c r="T55" s="273"/>
      <c r="U55" s="118">
        <f>ROUND(SUM(R36:R54)+SUM(U36:U54),0)</f>
        <v>60</v>
      </c>
      <c r="V55" s="272" t="s">
        <v>35</v>
      </c>
      <c r="W55" s="273"/>
      <c r="X55" s="119">
        <f>SUM(X36:X54)</f>
        <v>29</v>
      </c>
    </row>
    <row r="56" spans="3:24" ht="16.5" thickTop="1" thickBot="1" x14ac:dyDescent="0.3">
      <c r="C56" s="51">
        <v>1</v>
      </c>
      <c r="D56" s="52" t="s">
        <v>131</v>
      </c>
      <c r="E56" s="60">
        <f>IF(F1=1,0,ROUND(IF($M$55&lt;400000,IF($M$55&lt;25001,3,IF($M$55&lt;150001,3,5)),7),0))</f>
        <v>0</v>
      </c>
      <c r="G56" s="15">
        <v>1</v>
      </c>
      <c r="H56" s="16" t="s">
        <v>13</v>
      </c>
      <c r="I56" s="63">
        <f>IF($M$55&gt;=1,1,0)</f>
        <v>1</v>
      </c>
      <c r="K56" s="134" t="s">
        <v>173</v>
      </c>
      <c r="L56" s="135"/>
      <c r="M56" s="137">
        <f>'Folha de dados'!AL7</f>
        <v>56480</v>
      </c>
    </row>
    <row r="57" spans="3:24" ht="16.5" thickTop="1" thickBot="1" x14ac:dyDescent="0.3">
      <c r="C57" s="3">
        <f>C56+1</f>
        <v>2</v>
      </c>
      <c r="D57" s="2" t="s">
        <v>96</v>
      </c>
      <c r="E57" s="61">
        <f>IF(F1=1,0,ROUND(IF($M$55&lt;400000,IF($M$55&lt;25001,3,IF($M$55&lt;200001,5,7)),7),0))</f>
        <v>0</v>
      </c>
      <c r="G57" s="3">
        <f t="shared" ref="G57:G68" si="9">G56+1</f>
        <v>2</v>
      </c>
      <c r="H57" s="2" t="s">
        <v>128</v>
      </c>
      <c r="I57" s="31">
        <f>IF($M$55&lt;100000,0,1)</f>
        <v>0</v>
      </c>
      <c r="K57" s="77" t="s">
        <v>10</v>
      </c>
      <c r="L57" s="78"/>
      <c r="M57" s="247">
        <f>'Folha de dados'!AL8</f>
        <v>21.210000000000004</v>
      </c>
      <c r="P57" s="272" t="s">
        <v>182</v>
      </c>
      <c r="Q57" s="302"/>
      <c r="R57" s="302"/>
      <c r="S57" s="305"/>
    </row>
    <row r="58" spans="3:24" ht="15.75" thickTop="1" x14ac:dyDescent="0.25">
      <c r="C58" s="3">
        <f>C57+1</f>
        <v>3</v>
      </c>
      <c r="D58" s="2" t="s">
        <v>156</v>
      </c>
      <c r="E58" s="61">
        <f>IF(F1=1,0,IF($M$55&lt;200000,4,6))</f>
        <v>0</v>
      </c>
      <c r="G58" s="3">
        <f t="shared" si="9"/>
        <v>3</v>
      </c>
      <c r="H58" s="2" t="s">
        <v>129</v>
      </c>
      <c r="I58" s="31">
        <f>IF($M$55&lt;100000,0,1)</f>
        <v>0</v>
      </c>
      <c r="K58" s="77" t="s">
        <v>10</v>
      </c>
      <c r="L58" s="78"/>
      <c r="M58" s="247">
        <f>'Folha de dados'!AL9</f>
        <v>21.21</v>
      </c>
      <c r="P58" s="145" t="s">
        <v>178</v>
      </c>
      <c r="Q58" s="146"/>
      <c r="R58" s="290">
        <f>H97/M76</f>
        <v>2681.3508929448753</v>
      </c>
      <c r="S58" s="291"/>
    </row>
    <row r="59" spans="3:24" ht="15.75" thickBot="1" x14ac:dyDescent="0.3">
      <c r="C59" s="55">
        <f>C58+1</f>
        <v>4</v>
      </c>
      <c r="D59" s="56" t="s">
        <v>155</v>
      </c>
      <c r="E59" s="62">
        <f>IF(F1=1,0,ROUND(IF($M$55&lt;200000,IF($M$55&lt;25001,3,IF($M$55&lt;150000,5,7)),7),0))</f>
        <v>0</v>
      </c>
      <c r="G59" s="3">
        <f t="shared" si="9"/>
        <v>4</v>
      </c>
      <c r="H59" s="2" t="s">
        <v>130</v>
      </c>
      <c r="I59" s="31">
        <f>IF($M$55&lt;100000,0,1)</f>
        <v>0</v>
      </c>
      <c r="K59" s="77" t="s">
        <v>60</v>
      </c>
      <c r="L59" s="78"/>
      <c r="M59" s="248">
        <f>'Folha de dados'!AL10</f>
        <v>1.3254894793005445</v>
      </c>
      <c r="P59" s="89" t="s">
        <v>179</v>
      </c>
      <c r="Q59" s="90"/>
      <c r="R59" s="292">
        <f>I97/M76-R58</f>
        <v>3046.4391479654741</v>
      </c>
      <c r="S59" s="293"/>
    </row>
    <row r="60" spans="3:24" ht="16.5" thickTop="1" thickBot="1" x14ac:dyDescent="0.3">
      <c r="C60" s="70" t="s">
        <v>34</v>
      </c>
      <c r="D60" s="72"/>
      <c r="E60" s="34">
        <f>SUM(E56:E59)</f>
        <v>0</v>
      </c>
      <c r="G60" s="3">
        <f t="shared" si="9"/>
        <v>5</v>
      </c>
      <c r="H60" s="2" t="s">
        <v>7</v>
      </c>
      <c r="I60" s="31">
        <f>IF($M$55&lt;200000,0,1)</f>
        <v>0</v>
      </c>
      <c r="K60" s="32" t="s">
        <v>61</v>
      </c>
      <c r="L60" s="33"/>
      <c r="M60" s="249">
        <f>'Folha de dados'!AL11</f>
        <v>1.3254894793005445</v>
      </c>
      <c r="P60" s="89" t="s">
        <v>168</v>
      </c>
      <c r="Q60" s="90"/>
      <c r="R60" s="142">
        <f>SUM(H82:H87)</f>
        <v>121629.18</v>
      </c>
      <c r="S60" s="143">
        <f>R60/H97</f>
        <v>0.4877543810481717</v>
      </c>
    </row>
    <row r="61" spans="3:24" ht="16.5" thickTop="1" thickBot="1" x14ac:dyDescent="0.3">
      <c r="G61" s="3">
        <f t="shared" si="9"/>
        <v>6</v>
      </c>
      <c r="H61" s="2" t="s">
        <v>15</v>
      </c>
      <c r="I61" s="31">
        <f>IF($M$55&gt;=200000,1,0)</f>
        <v>0</v>
      </c>
      <c r="K61" s="73" t="s">
        <v>39</v>
      </c>
      <c r="L61" s="74"/>
      <c r="M61" s="140">
        <f>'Folha de dados'!AL12</f>
        <v>1</v>
      </c>
      <c r="P61" s="89" t="s">
        <v>169</v>
      </c>
      <c r="Q61" s="90"/>
      <c r="R61" s="142">
        <f>SUM(H88:H91)</f>
        <v>55525.33</v>
      </c>
      <c r="S61" s="143">
        <f>R61/H97</f>
        <v>0.22266632864453648</v>
      </c>
    </row>
    <row r="62" spans="3:24" ht="16.5" thickTop="1" thickBot="1" x14ac:dyDescent="0.3">
      <c r="C62" s="277" t="s">
        <v>38</v>
      </c>
      <c r="D62" s="278"/>
      <c r="E62" s="279"/>
      <c r="G62" s="3">
        <f t="shared" si="9"/>
        <v>7</v>
      </c>
      <c r="H62" s="2" t="s">
        <v>123</v>
      </c>
      <c r="I62" s="31">
        <f>IF($M$55&gt;=200000,1,0)</f>
        <v>0</v>
      </c>
      <c r="K62" s="75" t="s">
        <v>40</v>
      </c>
      <c r="L62" s="76"/>
      <c r="M62" s="133">
        <f>'Folha de dados'!AL13</f>
        <v>1</v>
      </c>
      <c r="P62" s="89" t="s">
        <v>170</v>
      </c>
      <c r="Q62" s="90"/>
      <c r="R62" s="142">
        <f>+SUM(H94:H96)</f>
        <v>72211.123043873391</v>
      </c>
      <c r="S62" s="143">
        <f>R62/H97</f>
        <v>0.28957929030729168</v>
      </c>
    </row>
    <row r="63" spans="3:24" ht="16.5" thickTop="1" thickBot="1" x14ac:dyDescent="0.3">
      <c r="C63" s="53" t="s">
        <v>4</v>
      </c>
      <c r="D63" s="54" t="s">
        <v>1</v>
      </c>
      <c r="E63" s="27" t="s">
        <v>2</v>
      </c>
      <c r="G63" s="3">
        <f t="shared" si="9"/>
        <v>8</v>
      </c>
      <c r="H63" s="2" t="s">
        <v>124</v>
      </c>
      <c r="I63" s="31">
        <f>IF($M$55&gt;=100000,1,0)</f>
        <v>0</v>
      </c>
      <c r="K63" s="73" t="s">
        <v>11</v>
      </c>
      <c r="L63" s="74"/>
      <c r="M63" s="136">
        <f>'Folha de dados'!AL14</f>
        <v>29555.33715331139</v>
      </c>
      <c r="P63" s="89" t="s">
        <v>167</v>
      </c>
      <c r="Q63" s="90"/>
      <c r="R63" s="142">
        <f>SUM(H92:H93)</f>
        <v>0</v>
      </c>
      <c r="S63" s="143">
        <f>R63/H97</f>
        <v>0</v>
      </c>
    </row>
    <row r="64" spans="3:24" ht="15.75" thickTop="1" x14ac:dyDescent="0.25">
      <c r="C64" s="51">
        <f>G68+1</f>
        <v>14</v>
      </c>
      <c r="D64" s="52" t="s">
        <v>132</v>
      </c>
      <c r="E64" s="63">
        <f>IF($M$55&lt;200000,0,1)</f>
        <v>0</v>
      </c>
      <c r="G64" s="3">
        <f t="shared" si="9"/>
        <v>9</v>
      </c>
      <c r="H64" s="2" t="s">
        <v>125</v>
      </c>
      <c r="I64" s="31">
        <f>IF($M$55&lt;400000,0,1)</f>
        <v>0</v>
      </c>
      <c r="K64" s="77" t="s">
        <v>12</v>
      </c>
      <c r="L64" s="78"/>
      <c r="M64" s="137">
        <f>'Folha de dados'!AL15</f>
        <v>29555.33715331139</v>
      </c>
      <c r="P64" s="89" t="s">
        <v>177</v>
      </c>
      <c r="Q64" s="90"/>
      <c r="R64" s="142">
        <f>SUM(R60:S63)</f>
        <v>249366.63304387341</v>
      </c>
      <c r="S64" s="144">
        <f>SUM(S60:S63)</f>
        <v>0.99999999999999989</v>
      </c>
    </row>
    <row r="65" spans="3:19" x14ac:dyDescent="0.25">
      <c r="C65" s="3">
        <f t="shared" ref="C65:C71" si="10">C64+1</f>
        <v>15</v>
      </c>
      <c r="D65" s="2" t="s">
        <v>133</v>
      </c>
      <c r="E65" s="31">
        <f>IF($M$55&lt;200000,0,1)</f>
        <v>0</v>
      </c>
      <c r="G65" s="3">
        <f t="shared" si="9"/>
        <v>10</v>
      </c>
      <c r="H65" s="2" t="s">
        <v>126</v>
      </c>
      <c r="I65" s="31">
        <f>IF($M$55&lt;400000,0,1)</f>
        <v>0</v>
      </c>
      <c r="K65" s="77" t="s">
        <v>8</v>
      </c>
      <c r="L65" s="78"/>
      <c r="M65" s="138">
        <f>'Folha de dados'!AL16</f>
        <v>22297.717012343659</v>
      </c>
      <c r="P65" s="89" t="s">
        <v>99</v>
      </c>
      <c r="Q65" s="90"/>
      <c r="R65" s="142">
        <f>I97-H97</f>
        <v>283318.84076078905</v>
      </c>
      <c r="S65" s="144">
        <f>R65/R64</f>
        <v>1.136153772068383</v>
      </c>
    </row>
    <row r="66" spans="3:19" x14ac:dyDescent="0.25">
      <c r="C66" s="3">
        <f t="shared" si="10"/>
        <v>16</v>
      </c>
      <c r="D66" s="2" t="s">
        <v>134</v>
      </c>
      <c r="E66" s="31">
        <f>IF($M$55&gt;=15000,1,0)</f>
        <v>1</v>
      </c>
      <c r="G66" s="3">
        <f t="shared" si="9"/>
        <v>11</v>
      </c>
      <c r="H66" s="2" t="s">
        <v>127</v>
      </c>
      <c r="I66" s="31">
        <f>IF($M$55&gt;=100000,1,0)</f>
        <v>0</v>
      </c>
      <c r="K66" s="77" t="s">
        <v>9</v>
      </c>
      <c r="L66" s="78"/>
      <c r="M66" s="138">
        <f>'Folha de dados'!AL17</f>
        <v>22297.717012343659</v>
      </c>
      <c r="P66" s="89" t="s">
        <v>180</v>
      </c>
      <c r="Q66" s="90"/>
      <c r="R66" s="292">
        <f>R64*12</f>
        <v>2992399.5965264812</v>
      </c>
      <c r="S66" s="293"/>
    </row>
    <row r="67" spans="3:19" ht="15.75" thickBot="1" x14ac:dyDescent="0.3">
      <c r="C67" s="3">
        <f t="shared" si="10"/>
        <v>17</v>
      </c>
      <c r="D67" s="2" t="s">
        <v>135</v>
      </c>
      <c r="E67" s="31">
        <f>IF($M$55&gt;=15000,1,0)</f>
        <v>1</v>
      </c>
      <c r="G67" s="3">
        <f t="shared" si="9"/>
        <v>12</v>
      </c>
      <c r="H67" s="2" t="s">
        <v>17</v>
      </c>
      <c r="I67" s="31">
        <f>IF($M$55&lt;200000,0,1)</f>
        <v>0</v>
      </c>
      <c r="K67" s="77" t="s">
        <v>20</v>
      </c>
      <c r="L67" s="78"/>
      <c r="M67" s="138">
        <f>'Folha de dados'!AL18</f>
        <v>472934.577831809</v>
      </c>
      <c r="P67" s="147" t="s">
        <v>181</v>
      </c>
      <c r="Q67" s="148"/>
      <c r="R67" s="335">
        <f>R65*12</f>
        <v>3399826.0891294684</v>
      </c>
      <c r="S67" s="336"/>
    </row>
    <row r="68" spans="3:19" ht="16.5" thickTop="1" thickBot="1" x14ac:dyDescent="0.3">
      <c r="C68" s="3">
        <f t="shared" si="10"/>
        <v>18</v>
      </c>
      <c r="D68" s="2" t="s">
        <v>136</v>
      </c>
      <c r="E68" s="31">
        <f>IF($M$55&lt;=200000,(IF($M$55&gt;=15000,1,0)),0)</f>
        <v>1</v>
      </c>
      <c r="G68" s="3">
        <f t="shared" si="9"/>
        <v>13</v>
      </c>
      <c r="H68" s="2" t="s">
        <v>16</v>
      </c>
      <c r="I68" s="31">
        <f>IF($M$55&lt;100000,0,1)</f>
        <v>0</v>
      </c>
      <c r="K68" s="75" t="s">
        <v>21</v>
      </c>
      <c r="L68" s="76"/>
      <c r="M68" s="139">
        <f>'Folha de dados'!AL19</f>
        <v>472934.577831809</v>
      </c>
      <c r="P68" s="344" t="s">
        <v>183</v>
      </c>
      <c r="Q68" s="345"/>
      <c r="R68" s="337">
        <f>R66+R67</f>
        <v>6392225.6856559496</v>
      </c>
      <c r="S68" s="338"/>
    </row>
    <row r="69" spans="3:19" ht="16.5" thickTop="1" thickBot="1" x14ac:dyDescent="0.3">
      <c r="C69" s="3">
        <f t="shared" si="10"/>
        <v>19</v>
      </c>
      <c r="D69" s="2" t="s">
        <v>137</v>
      </c>
      <c r="E69" s="31">
        <f>IF($M$55&gt;100000,1,0)</f>
        <v>0</v>
      </c>
      <c r="G69" s="10" t="s">
        <v>19</v>
      </c>
      <c r="H69" s="11"/>
      <c r="I69" s="34">
        <f>SUM(I56:I68)</f>
        <v>1</v>
      </c>
      <c r="K69" s="73" t="s">
        <v>43</v>
      </c>
      <c r="L69" s="74"/>
      <c r="M69" s="106">
        <f>$E$17+$E$26+$E$38+$E$50</f>
        <v>41</v>
      </c>
      <c r="N69" s="131">
        <f t="shared" ref="N69:N75" si="11">M69/$M$76</f>
        <v>0.44086021505376344</v>
      </c>
    </row>
    <row r="70" spans="3:19" ht="16.5" thickTop="1" thickBot="1" x14ac:dyDescent="0.3">
      <c r="C70" s="3">
        <f t="shared" si="10"/>
        <v>20</v>
      </c>
      <c r="D70" s="2" t="s">
        <v>138</v>
      </c>
      <c r="E70" s="31">
        <f>IF($M$55&gt;=200000,1,0)</f>
        <v>0</v>
      </c>
      <c r="K70" s="77" t="s">
        <v>44</v>
      </c>
      <c r="L70" s="78"/>
      <c r="M70" s="96">
        <f>$I$19+$I$37</f>
        <v>20</v>
      </c>
      <c r="N70" s="131">
        <f t="shared" si="11"/>
        <v>0.21505376344086022</v>
      </c>
      <c r="R70" s="113">
        <f>R66</f>
        <v>2992399.5965264812</v>
      </c>
    </row>
    <row r="71" spans="3:19" ht="16.5" thickTop="1" thickBot="1" x14ac:dyDescent="0.3">
      <c r="C71" s="19">
        <f t="shared" si="10"/>
        <v>21</v>
      </c>
      <c r="D71" s="20" t="s">
        <v>139</v>
      </c>
      <c r="E71" s="31">
        <f>IF($M$55&gt;=200000,1,0)</f>
        <v>0</v>
      </c>
      <c r="G71" s="277" t="s">
        <v>14</v>
      </c>
      <c r="H71" s="278"/>
      <c r="I71" s="279"/>
      <c r="K71" s="77" t="s">
        <v>58</v>
      </c>
      <c r="L71" s="78"/>
      <c r="M71" s="96">
        <f>$I$50</f>
        <v>1</v>
      </c>
      <c r="N71" s="131">
        <f t="shared" si="11"/>
        <v>1.0752688172043012E-2</v>
      </c>
      <c r="R71" s="113">
        <f t="shared" ref="R71:R72" si="12">R67</f>
        <v>3399826.0891294684</v>
      </c>
    </row>
    <row r="72" spans="3:19" ht="16.5" thickTop="1" thickBot="1" x14ac:dyDescent="0.3">
      <c r="C72" s="10" t="s">
        <v>19</v>
      </c>
      <c r="D72" s="11"/>
      <c r="E72" s="34">
        <f>SUM(E64:E71)</f>
        <v>3</v>
      </c>
      <c r="G72" s="53" t="s">
        <v>4</v>
      </c>
      <c r="H72" s="54" t="s">
        <v>1</v>
      </c>
      <c r="I72" s="27" t="s">
        <v>2</v>
      </c>
      <c r="K72" s="77" t="s">
        <v>59</v>
      </c>
      <c r="L72" s="78"/>
      <c r="M72" s="96">
        <f>$M$17</f>
        <v>13</v>
      </c>
      <c r="N72" s="131">
        <f t="shared" si="11"/>
        <v>0.13978494623655913</v>
      </c>
      <c r="R72" s="113">
        <f t="shared" si="12"/>
        <v>6392225.6856559496</v>
      </c>
    </row>
    <row r="73" spans="3:19" ht="16.5" thickTop="1" thickBot="1" x14ac:dyDescent="0.3">
      <c r="G73" s="51">
        <v>1</v>
      </c>
      <c r="H73" s="52" t="s">
        <v>25</v>
      </c>
      <c r="I73" s="60">
        <f>IF(M55&gt;=200000,4,0)</f>
        <v>0</v>
      </c>
      <c r="K73" s="77" t="s">
        <v>22</v>
      </c>
      <c r="L73" s="78"/>
      <c r="M73" s="96">
        <f>$M$37+$M$50</f>
        <v>14</v>
      </c>
      <c r="N73" s="131">
        <f t="shared" si="11"/>
        <v>0.15053763440860216</v>
      </c>
    </row>
    <row r="74" spans="3:19" ht="16.5" thickTop="1" thickBot="1" x14ac:dyDescent="0.3">
      <c r="C74" s="272" t="s">
        <v>41</v>
      </c>
      <c r="D74" s="302"/>
      <c r="E74" s="305"/>
      <c r="G74" s="3">
        <f>G73+1</f>
        <v>2</v>
      </c>
      <c r="H74" s="2" t="s">
        <v>26</v>
      </c>
      <c r="I74" s="61">
        <f>ROUND(IF(M55&lt;400000,IF(M55&lt;100000,M55/6250,IF(M55&lt;200000,M55/12500,16)),20),0)</f>
        <v>9</v>
      </c>
      <c r="K74" s="32" t="s">
        <v>175</v>
      </c>
      <c r="L74" s="33"/>
      <c r="M74" s="97">
        <f>$E$72</f>
        <v>3</v>
      </c>
      <c r="N74" s="131">
        <f t="shared" si="11"/>
        <v>3.2258064516129031E-2</v>
      </c>
      <c r="P74" s="330" t="s">
        <v>202</v>
      </c>
      <c r="Q74" s="331"/>
      <c r="R74" s="331"/>
      <c r="S74" s="332"/>
    </row>
    <row r="75" spans="3:19" ht="16.5" thickTop="1" thickBot="1" x14ac:dyDescent="0.3">
      <c r="C75" s="43" t="s">
        <v>95</v>
      </c>
      <c r="D75" s="44"/>
      <c r="E75" s="45">
        <f>ROUND((M69+M70+M71)/(M76),4)</f>
        <v>0.66669999999999996</v>
      </c>
      <c r="G75" s="3">
        <f>G74+1</f>
        <v>3</v>
      </c>
      <c r="H75" s="2" t="s">
        <v>27</v>
      </c>
      <c r="I75" s="61">
        <f>IF(M55&lt;400000,(IF(M55&lt;100000,0,2*I74)),(I74*2+2))</f>
        <v>0</v>
      </c>
      <c r="K75" s="32" t="s">
        <v>176</v>
      </c>
      <c r="L75" s="33"/>
      <c r="M75" s="97">
        <f>$I$69</f>
        <v>1</v>
      </c>
      <c r="N75" s="131">
        <f t="shared" si="11"/>
        <v>1.0752688172043012E-2</v>
      </c>
      <c r="P75" s="206" t="str">
        <f>D82</f>
        <v>Área técnica - Manutenção de Redes - Operacional</v>
      </c>
      <c r="Q75" s="90"/>
      <c r="R75" s="213">
        <f>I82*12</f>
        <v>1619350.7854655995</v>
      </c>
      <c r="S75" s="207">
        <f>R75/$R$90</f>
        <v>0.25333176659901141</v>
      </c>
    </row>
    <row r="76" spans="3:19" ht="16.5" thickTop="1" thickBot="1" x14ac:dyDescent="0.3">
      <c r="C76" s="80" t="s">
        <v>94</v>
      </c>
      <c r="D76" s="81"/>
      <c r="E76" s="107">
        <f>ROUND((M72+M73)/(M76),4)</f>
        <v>0.2903</v>
      </c>
      <c r="G76" s="3">
        <f>G75+1</f>
        <v>4</v>
      </c>
      <c r="H76" s="2" t="s">
        <v>28</v>
      </c>
      <c r="I76" s="61">
        <f>IF(M55&lt;400000,(IF(M55&lt;25000,0,I74)),(I74+2))</f>
        <v>9</v>
      </c>
      <c r="K76" s="29" t="s">
        <v>23</v>
      </c>
      <c r="L76" s="30"/>
      <c r="M76" s="34">
        <f>SUM($M$69:$M$75)</f>
        <v>93</v>
      </c>
      <c r="N76" s="131">
        <f>SUM(N69:N75)</f>
        <v>0.99999999999999989</v>
      </c>
      <c r="P76" s="206" t="str">
        <f t="shared" ref="P76:P89" si="13">D83</f>
        <v>Área técnica - Manut de Redes - Técnica</v>
      </c>
      <c r="Q76" s="90"/>
      <c r="R76" s="213">
        <f t="shared" ref="R76:R90" si="14">I83*12</f>
        <v>191605.17711719999</v>
      </c>
      <c r="S76" s="207">
        <f t="shared" ref="S76:S89" si="15">R76/$R$90</f>
        <v>2.9974776585951702E-2</v>
      </c>
    </row>
    <row r="77" spans="3:19" ht="16.5" thickTop="1" thickBot="1" x14ac:dyDescent="0.3">
      <c r="C77" s="21" t="s">
        <v>42</v>
      </c>
      <c r="D77" s="22"/>
      <c r="E77" s="46">
        <f>ROUND((M74+M75)/M76,4)</f>
        <v>4.2999999999999997E-2</v>
      </c>
      <c r="G77" s="70" t="s">
        <v>34</v>
      </c>
      <c r="H77" s="72"/>
      <c r="I77" s="34">
        <f>SUM(I73:I76)</f>
        <v>18</v>
      </c>
      <c r="K77" s="29" t="s">
        <v>157</v>
      </c>
      <c r="L77" s="30"/>
      <c r="M77" s="34">
        <f>ROUND(($M$65+$M$66)/($M$76),0)</f>
        <v>480</v>
      </c>
      <c r="P77" s="206" t="str">
        <f t="shared" si="13"/>
        <v>Área técnica - Manut Eletromecânica - Operacional</v>
      </c>
      <c r="Q77" s="90"/>
      <c r="R77" s="213">
        <f t="shared" si="14"/>
        <v>352312.20907079999</v>
      </c>
      <c r="S77" s="207">
        <f t="shared" si="15"/>
        <v>5.5115837235132539E-2</v>
      </c>
    </row>
    <row r="78" spans="3:19" ht="16.5" thickTop="1" thickBot="1" x14ac:dyDescent="0.3">
      <c r="P78" s="206" t="str">
        <f t="shared" si="13"/>
        <v>Área técnica - Manut Eletromecânica - Técnica</v>
      </c>
      <c r="Q78" s="90"/>
      <c r="R78" s="213">
        <f t="shared" si="14"/>
        <v>77554.717495199991</v>
      </c>
      <c r="S78" s="207">
        <f t="shared" si="15"/>
        <v>1.2132685374588125E-2</v>
      </c>
    </row>
    <row r="79" spans="3:19" ht="15.75" thickTop="1" x14ac:dyDescent="0.25">
      <c r="C79" s="277" t="s">
        <v>6</v>
      </c>
      <c r="D79" s="278"/>
      <c r="E79" s="278"/>
      <c r="F79" s="278"/>
      <c r="G79" s="278"/>
      <c r="H79" s="278"/>
      <c r="I79" s="278"/>
      <c r="J79" s="278"/>
      <c r="K79" s="279"/>
      <c r="L79" s="129"/>
      <c r="M79" s="128"/>
      <c r="P79" s="206" t="str">
        <f t="shared" si="13"/>
        <v>Área técnica - Operação Água</v>
      </c>
      <c r="Q79" s="90"/>
      <c r="R79" s="213">
        <f t="shared" si="14"/>
        <v>616588.95817200001</v>
      </c>
      <c r="S79" s="207">
        <f t="shared" si="15"/>
        <v>9.645937831452947E-2</v>
      </c>
    </row>
    <row r="80" spans="3:19" x14ac:dyDescent="0.25">
      <c r="C80" s="280" t="s">
        <v>48</v>
      </c>
      <c r="D80" s="281"/>
      <c r="E80" s="281"/>
      <c r="F80" s="281"/>
      <c r="G80" s="281"/>
      <c r="H80" s="281"/>
      <c r="I80" s="281"/>
      <c r="J80" s="281"/>
      <c r="K80" s="282"/>
      <c r="L80" s="129"/>
      <c r="M80" s="128"/>
      <c r="O80" s="113"/>
      <c r="P80" s="206" t="str">
        <f t="shared" si="13"/>
        <v>Área técnica - Operação Esgoto</v>
      </c>
      <c r="Q80" s="90"/>
      <c r="R80" s="213">
        <f t="shared" si="14"/>
        <v>660731.64484799991</v>
      </c>
      <c r="S80" s="207">
        <f t="shared" si="15"/>
        <v>0.10336507465804433</v>
      </c>
    </row>
    <row r="81" spans="3:20" ht="15.75" thickBot="1" x14ac:dyDescent="0.3">
      <c r="C81" s="25" t="s">
        <v>4</v>
      </c>
      <c r="D81" s="82" t="s">
        <v>1</v>
      </c>
      <c r="E81" s="83"/>
      <c r="F81" s="82" t="s">
        <v>49</v>
      </c>
      <c r="G81" s="83"/>
      <c r="H81" s="26" t="s">
        <v>50</v>
      </c>
      <c r="I81" s="82" t="s">
        <v>51</v>
      </c>
      <c r="J81" s="84"/>
      <c r="K81" s="85"/>
      <c r="M81" s="127"/>
      <c r="P81" s="206" t="str">
        <f t="shared" si="13"/>
        <v>Área técnica - Planejamento</v>
      </c>
      <c r="Q81" s="90"/>
      <c r="R81" s="213">
        <f t="shared" si="14"/>
        <v>255513.59999999998</v>
      </c>
      <c r="S81" s="207">
        <f t="shared" si="15"/>
        <v>3.9972631167410656E-2</v>
      </c>
    </row>
    <row r="82" spans="3:20" ht="15.75" thickTop="1" x14ac:dyDescent="0.25">
      <c r="C82" s="108">
        <v>1</v>
      </c>
      <c r="D82" s="257" t="s">
        <v>159</v>
      </c>
      <c r="E82" s="258"/>
      <c r="F82" s="306">
        <f>'Folha de dados'!R25</f>
        <v>1.4104300000000001</v>
      </c>
      <c r="G82" s="307"/>
      <c r="H82" s="109">
        <f>E6*R20+E7*R5+(E8+E9)*R19+E10*R12+E11*R11+E12*R14+E13*U12+E15*R6+E16*R13+E14*OC3740</f>
        <v>55984.159999999996</v>
      </c>
      <c r="I82" s="342">
        <f t="shared" ref="I82:I95" si="16">(F82+1)*H82</f>
        <v>134945.89878879997</v>
      </c>
      <c r="J82" s="342"/>
      <c r="K82" s="343"/>
      <c r="P82" s="206" t="str">
        <f t="shared" si="13"/>
        <v>Área Administrativa - Comercial</v>
      </c>
      <c r="Q82" s="90"/>
      <c r="R82" s="213">
        <f t="shared" si="14"/>
        <v>495433.79999999993</v>
      </c>
      <c r="S82" s="207">
        <f t="shared" si="15"/>
        <v>7.7505825737920406E-2</v>
      </c>
    </row>
    <row r="83" spans="3:20" x14ac:dyDescent="0.25">
      <c r="C83" s="108">
        <f>C82+1</f>
        <v>2</v>
      </c>
      <c r="D83" s="110" t="s">
        <v>158</v>
      </c>
      <c r="E83" s="111"/>
      <c r="F83" s="285">
        <f>'Folha de dados'!R26</f>
        <v>1.4104300000000001</v>
      </c>
      <c r="G83" s="286"/>
      <c r="H83" s="69">
        <f>E22*X10+E23*U6+E24*U11+E25*U16</f>
        <v>6624.17</v>
      </c>
      <c r="I83" s="283">
        <f>(F83+1)*H83</f>
        <v>15967.098093099999</v>
      </c>
      <c r="J83" s="283"/>
      <c r="K83" s="284"/>
      <c r="P83" s="206" t="str">
        <f t="shared" si="13"/>
        <v>Área Administrativa - Geral</v>
      </c>
      <c r="Q83" s="90"/>
      <c r="R83" s="213">
        <f t="shared" si="14"/>
        <v>498372.52499999997</v>
      </c>
      <c r="S83" s="207">
        <f t="shared" si="15"/>
        <v>7.7965560838233847E-2</v>
      </c>
    </row>
    <row r="84" spans="3:20" x14ac:dyDescent="0.25">
      <c r="C84" s="108">
        <f t="shared" ref="C84:C96" si="17">C83+1</f>
        <v>3</v>
      </c>
      <c r="D84" s="263" t="s">
        <v>160</v>
      </c>
      <c r="E84" s="264"/>
      <c r="F84" s="285">
        <f>'Folha de dados'!R27</f>
        <v>1.4104300000000001</v>
      </c>
      <c r="G84" s="286"/>
      <c r="H84" s="64">
        <f>E31*R20+E32*R8+E33*R10+E34*R21+E35*R22+E36*R19+E37*R6</f>
        <v>12180.130000000001</v>
      </c>
      <c r="I84" s="283">
        <f t="shared" si="16"/>
        <v>29359.350755899999</v>
      </c>
      <c r="J84" s="283"/>
      <c r="K84" s="284"/>
      <c r="P84" s="206" t="str">
        <f t="shared" si="13"/>
        <v>Área Administrativa - Pratimonial</v>
      </c>
      <c r="Q84" s="90"/>
      <c r="R84" s="213">
        <f t="shared" si="14"/>
        <v>0</v>
      </c>
      <c r="S84" s="207">
        <f t="shared" si="15"/>
        <v>0</v>
      </c>
    </row>
    <row r="85" spans="3:20" x14ac:dyDescent="0.25">
      <c r="C85" s="108">
        <f t="shared" si="17"/>
        <v>4</v>
      </c>
      <c r="D85" s="112" t="s">
        <v>161</v>
      </c>
      <c r="E85" s="86"/>
      <c r="F85" s="285">
        <f>'Folha de dados'!R28</f>
        <v>1.4104300000000001</v>
      </c>
      <c r="G85" s="286"/>
      <c r="H85" s="64">
        <f>E43*X10+E44*U8+E45*U7+E46*U9+E47*U18+E48*U19+E49*U20</f>
        <v>2681.22</v>
      </c>
      <c r="I85" s="283">
        <f>(F85+1)*H85</f>
        <v>6462.8931245999993</v>
      </c>
      <c r="J85" s="283"/>
      <c r="K85" s="284"/>
      <c r="P85" s="206" t="str">
        <f t="shared" si="13"/>
        <v>Conselheiro Administração</v>
      </c>
      <c r="Q85" s="90"/>
      <c r="R85" s="213">
        <f t="shared" si="14"/>
        <v>0</v>
      </c>
      <c r="S85" s="207">
        <f t="shared" si="15"/>
        <v>0</v>
      </c>
    </row>
    <row r="86" spans="3:20" x14ac:dyDescent="0.25">
      <c r="C86" s="108">
        <f t="shared" si="17"/>
        <v>5</v>
      </c>
      <c r="D86" s="263" t="s">
        <v>52</v>
      </c>
      <c r="E86" s="264"/>
      <c r="F86" s="285">
        <f>'Folha de dados'!R29</f>
        <v>1.4104300000000001</v>
      </c>
      <c r="G86" s="286"/>
      <c r="H86" s="64">
        <f>I6*R20+I7*R15+I8*R16+I9*R18+I10*R9+I11*R23+I12*U10+I13*X10+I14*R11+I15*U13+I16*U14+I17*U21+I18*U16</f>
        <v>21316.7</v>
      </c>
      <c r="I86" s="283">
        <f t="shared" si="16"/>
        <v>51382.413180999996</v>
      </c>
      <c r="J86" s="283"/>
      <c r="K86" s="284"/>
      <c r="P86" s="206" t="str">
        <f t="shared" si="13"/>
        <v>Conselheiro Fiscal</v>
      </c>
      <c r="Q86" s="90"/>
      <c r="R86" s="213">
        <f t="shared" si="14"/>
        <v>0</v>
      </c>
      <c r="S86" s="207">
        <f t="shared" si="15"/>
        <v>0</v>
      </c>
    </row>
    <row r="87" spans="3:20" x14ac:dyDescent="0.25">
      <c r="C87" s="108">
        <f t="shared" si="17"/>
        <v>6</v>
      </c>
      <c r="D87" s="112" t="s">
        <v>53</v>
      </c>
      <c r="E87" s="86"/>
      <c r="F87" s="285">
        <f>'Folha de dados'!R30</f>
        <v>1.4104300000000001</v>
      </c>
      <c r="G87" s="286"/>
      <c r="H87" s="64">
        <f>I24*X10+I25*R15+I26*R17+I27*R18+I28*R9+I29*R23+I30*U10+I31*R11+I32*X10+I33*U13+I34*U14+I35*U15+I36*U16</f>
        <v>22842.799999999999</v>
      </c>
      <c r="I87" s="283">
        <f>(F87+1)*H87</f>
        <v>55060.970403999992</v>
      </c>
      <c r="J87" s="283"/>
      <c r="K87" s="284"/>
      <c r="P87" s="206" t="str">
        <f t="shared" si="13"/>
        <v>Cargos Executivos</v>
      </c>
      <c r="Q87" s="90"/>
      <c r="R87" s="213">
        <f t="shared" si="14"/>
        <v>422055.22499999998</v>
      </c>
      <c r="S87" s="207">
        <f t="shared" si="15"/>
        <v>6.6026457461377863E-2</v>
      </c>
    </row>
    <row r="88" spans="3:20" x14ac:dyDescent="0.25">
      <c r="C88" s="108">
        <f t="shared" si="17"/>
        <v>7</v>
      </c>
      <c r="D88" s="263" t="s">
        <v>30</v>
      </c>
      <c r="E88" s="264"/>
      <c r="F88" s="285">
        <f>'Folha de dados'!R31</f>
        <v>0.875</v>
      </c>
      <c r="G88" s="286"/>
      <c r="H88" s="64">
        <f>I42*X10+I43*U5+I44*U6+I45*U11+I46*U23+I47*U17+I48*U16+I49*U22</f>
        <v>11356.16</v>
      </c>
      <c r="I88" s="283">
        <f t="shared" si="16"/>
        <v>21292.799999999999</v>
      </c>
      <c r="J88" s="283"/>
      <c r="K88" s="284"/>
      <c r="P88" s="206" t="str">
        <f t="shared" si="13"/>
        <v>Cargos Táticos</v>
      </c>
      <c r="Q88" s="90"/>
      <c r="R88" s="213">
        <f t="shared" si="14"/>
        <v>823007.68874999997</v>
      </c>
      <c r="S88" s="207">
        <f t="shared" si="15"/>
        <v>0.12875159204968684</v>
      </c>
      <c r="T88" s="113"/>
    </row>
    <row r="89" spans="3:20" x14ac:dyDescent="0.25">
      <c r="C89" s="108">
        <f t="shared" si="17"/>
        <v>8</v>
      </c>
      <c r="D89" s="263" t="s">
        <v>31</v>
      </c>
      <c r="E89" s="264"/>
      <c r="F89" s="285">
        <f>'Folha de dados'!R32</f>
        <v>0.875</v>
      </c>
      <c r="G89" s="286"/>
      <c r="H89" s="64">
        <f>M6*X15+M7*X10+M8*X16+M9*X5+M10*X17+M11*X11+M12*X8+M13*U6+M14*U16</f>
        <v>22019.279999999999</v>
      </c>
      <c r="I89" s="283">
        <f t="shared" si="16"/>
        <v>41286.149999999994</v>
      </c>
      <c r="J89" s="283"/>
      <c r="K89" s="284"/>
      <c r="P89" s="206" t="str">
        <f t="shared" si="13"/>
        <v>Funçoes Gratificadas</v>
      </c>
      <c r="Q89" s="90"/>
      <c r="R89" s="213">
        <f t="shared" si="14"/>
        <v>379687.35473715147</v>
      </c>
      <c r="S89" s="207">
        <f t="shared" si="15"/>
        <v>5.9398413978112984E-2</v>
      </c>
    </row>
    <row r="90" spans="3:20" ht="15.75" thickBot="1" x14ac:dyDescent="0.3">
      <c r="C90" s="108">
        <f t="shared" si="17"/>
        <v>9</v>
      </c>
      <c r="D90" s="263" t="s">
        <v>32</v>
      </c>
      <c r="E90" s="264"/>
      <c r="F90" s="285">
        <f>'Folha de dados'!R33</f>
        <v>0.875</v>
      </c>
      <c r="G90" s="286"/>
      <c r="H90" s="64">
        <f>M22*X15+M24*X16+M23*X10+M25*X18+M26*X19+M27*X20+M28*X21+M29*X9+M30*X22+M31*X23+M32*X12+M33*X13+M34*X14</f>
        <v>22149.89</v>
      </c>
      <c r="I90" s="283">
        <f t="shared" si="16"/>
        <v>41531.043749999997</v>
      </c>
      <c r="J90" s="283"/>
      <c r="K90" s="284"/>
      <c r="P90" s="346" t="s">
        <v>34</v>
      </c>
      <c r="Q90" s="347"/>
      <c r="R90" s="214">
        <f t="shared" si="14"/>
        <v>6392213.6856559496</v>
      </c>
      <c r="S90" s="208">
        <f>SUM(S75:S89)</f>
        <v>1.0000000000000002</v>
      </c>
    </row>
    <row r="91" spans="3:20" x14ac:dyDescent="0.25">
      <c r="C91" s="108">
        <f t="shared" si="17"/>
        <v>10</v>
      </c>
      <c r="D91" s="263" t="s">
        <v>54</v>
      </c>
      <c r="E91" s="264"/>
      <c r="F91" s="285">
        <f>'Folha de dados'!R34</f>
        <v>0.875</v>
      </c>
      <c r="G91" s="286"/>
      <c r="H91" s="64">
        <f>M42*X6+M43*X7</f>
        <v>0</v>
      </c>
      <c r="I91" s="283">
        <f>(F91+1)*H91</f>
        <v>0</v>
      </c>
      <c r="J91" s="283"/>
      <c r="K91" s="284"/>
    </row>
    <row r="92" spans="3:20" x14ac:dyDescent="0.25">
      <c r="C92" s="108">
        <f t="shared" si="17"/>
        <v>11</v>
      </c>
      <c r="D92" s="263" t="s">
        <v>24</v>
      </c>
      <c r="E92" s="264"/>
      <c r="F92" s="285">
        <f>'Folha de dados'!R35</f>
        <v>0.875</v>
      </c>
      <c r="G92" s="286"/>
      <c r="H92" s="64">
        <f>(E57*U30)</f>
        <v>0</v>
      </c>
      <c r="I92" s="283">
        <f t="shared" si="16"/>
        <v>0</v>
      </c>
      <c r="J92" s="283"/>
      <c r="K92" s="284"/>
      <c r="R92" s="113"/>
    </row>
    <row r="93" spans="3:20" x14ac:dyDescent="0.25">
      <c r="C93" s="108">
        <f t="shared" si="17"/>
        <v>12</v>
      </c>
      <c r="D93" s="263" t="s">
        <v>18</v>
      </c>
      <c r="E93" s="264"/>
      <c r="F93" s="285">
        <f>'Folha de dados'!R36</f>
        <v>0.875</v>
      </c>
      <c r="G93" s="286"/>
      <c r="H93" s="64">
        <f>(E58*U31)</f>
        <v>0</v>
      </c>
      <c r="I93" s="283">
        <f t="shared" si="16"/>
        <v>0</v>
      </c>
      <c r="J93" s="283"/>
      <c r="K93" s="284"/>
    </row>
    <row r="94" spans="3:20" x14ac:dyDescent="0.25">
      <c r="C94" s="108">
        <f t="shared" si="17"/>
        <v>13</v>
      </c>
      <c r="D94" s="263" t="s">
        <v>162</v>
      </c>
      <c r="E94" s="264"/>
      <c r="F94" s="285">
        <f>'Folha de dados'!R37</f>
        <v>0.875</v>
      </c>
      <c r="G94" s="286"/>
      <c r="H94" s="64">
        <f>I56*R28+I57*R29+I58*R29+I59*R30+I60*+I61*R30+I62*R30+I63*U28+I64*U28+I65*U28+I66*R31+I67*U29+I68*R31</f>
        <v>18758.009999999998</v>
      </c>
      <c r="I94" s="283">
        <f t="shared" si="16"/>
        <v>35171.268749999996</v>
      </c>
      <c r="J94" s="283"/>
      <c r="K94" s="284"/>
    </row>
    <row r="95" spans="3:20" x14ac:dyDescent="0.25">
      <c r="C95" s="108">
        <f t="shared" si="17"/>
        <v>14</v>
      </c>
      <c r="D95" s="263" t="s">
        <v>163</v>
      </c>
      <c r="E95" s="264"/>
      <c r="F95" s="285">
        <f>'Folha de dados'!R38</f>
        <v>0.875</v>
      </c>
      <c r="G95" s="286"/>
      <c r="H95" s="64">
        <f>E72*R30</f>
        <v>36578.119500000001</v>
      </c>
      <c r="I95" s="283">
        <f t="shared" si="16"/>
        <v>68583.974062499998</v>
      </c>
      <c r="J95" s="283"/>
      <c r="K95" s="284"/>
    </row>
    <row r="96" spans="3:20" ht="15.75" thickBot="1" x14ac:dyDescent="0.3">
      <c r="C96" s="108">
        <f t="shared" si="17"/>
        <v>15</v>
      </c>
      <c r="D96" s="267" t="s">
        <v>100</v>
      </c>
      <c r="E96" s="268"/>
      <c r="F96" s="324">
        <f>'Folha de dados'!R39</f>
        <v>0.875</v>
      </c>
      <c r="G96" s="325"/>
      <c r="H96" s="65">
        <f>I73*X28+I74*X29+I75*X30+I76*X31</f>
        <v>16874.993543873399</v>
      </c>
      <c r="I96" s="326">
        <f>(F96+1)*H96</f>
        <v>31640.612894762624</v>
      </c>
      <c r="J96" s="326"/>
      <c r="K96" s="327"/>
    </row>
    <row r="97" spans="3:11" ht="16.5" thickTop="1" thickBot="1" x14ac:dyDescent="0.3">
      <c r="C97" s="70" t="s">
        <v>34</v>
      </c>
      <c r="D97" s="71"/>
      <c r="E97" s="71"/>
      <c r="F97" s="71"/>
      <c r="G97" s="72"/>
      <c r="H97" s="79">
        <f>SUM(H82:H96)</f>
        <v>249365.63304387341</v>
      </c>
      <c r="I97" s="315">
        <f>SUM(I82:K96)</f>
        <v>532684.47380466247</v>
      </c>
      <c r="J97" s="316"/>
      <c r="K97" s="317"/>
    </row>
    <row r="98" spans="3:11" ht="16.5" thickTop="1" thickBot="1" x14ac:dyDescent="0.3">
      <c r="C98" s="321" t="s">
        <v>164</v>
      </c>
      <c r="D98" s="322"/>
      <c r="E98" s="322"/>
      <c r="F98" s="322"/>
      <c r="G98" s="323"/>
      <c r="H98" s="79">
        <f>(H97-H92-H93)/$M$76</f>
        <v>2681.3508929448753</v>
      </c>
      <c r="I98" s="315">
        <f>(I97-I92-I93)/$M$76</f>
        <v>5727.7900409103495</v>
      </c>
      <c r="J98" s="316">
        <f t="shared" ref="J98:K100" si="18">J97/$M$77</f>
        <v>0</v>
      </c>
      <c r="K98" s="317">
        <f t="shared" si="18"/>
        <v>0</v>
      </c>
    </row>
    <row r="99" spans="3:11" ht="16.5" thickTop="1" thickBot="1" x14ac:dyDescent="0.3">
      <c r="C99" s="321" t="s">
        <v>165</v>
      </c>
      <c r="D99" s="322"/>
      <c r="E99" s="322"/>
      <c r="F99" s="322"/>
      <c r="G99" s="323"/>
      <c r="H99" s="79" t="e">
        <f>H92/$E$57</f>
        <v>#DIV/0!</v>
      </c>
      <c r="I99" s="315" t="e">
        <f>(I92)/$E$57</f>
        <v>#DIV/0!</v>
      </c>
      <c r="J99" s="316">
        <f t="shared" si="18"/>
        <v>0</v>
      </c>
      <c r="K99" s="317">
        <f t="shared" si="18"/>
        <v>0</v>
      </c>
    </row>
    <row r="100" spans="3:11" ht="16.5" thickTop="1" thickBot="1" x14ac:dyDescent="0.3">
      <c r="C100" s="321" t="s">
        <v>166</v>
      </c>
      <c r="D100" s="322"/>
      <c r="E100" s="322"/>
      <c r="F100" s="322"/>
      <c r="G100" s="323"/>
      <c r="H100" s="79" t="e">
        <f>H93/$E$58</f>
        <v>#DIV/0!</v>
      </c>
      <c r="I100" s="315" t="e">
        <f>(I93)/$E$57</f>
        <v>#DIV/0!</v>
      </c>
      <c r="J100" s="316">
        <f t="shared" si="18"/>
        <v>0</v>
      </c>
      <c r="K100" s="317">
        <f t="shared" si="18"/>
        <v>0</v>
      </c>
    </row>
    <row r="101" spans="3:11" ht="15.75" thickTop="1" x14ac:dyDescent="0.25">
      <c r="H101" s="130">
        <f>H97/M76</f>
        <v>2681.3508929448753</v>
      </c>
      <c r="I101" s="130"/>
      <c r="J101" s="294">
        <f>I97/M76</f>
        <v>5727.7900409103495</v>
      </c>
      <c r="K101" s="294"/>
    </row>
    <row r="102" spans="3:11" x14ac:dyDescent="0.25">
      <c r="I102" s="132">
        <f>J101/H101-1</f>
        <v>1.1361583282446222</v>
      </c>
    </row>
    <row r="103" spans="3:11" x14ac:dyDescent="0.25">
      <c r="H103" s="113"/>
    </row>
    <row r="104" spans="3:11" x14ac:dyDescent="0.25">
      <c r="I104" s="339"/>
      <c r="J104" s="339"/>
    </row>
    <row r="105" spans="3:11" x14ac:dyDescent="0.25">
      <c r="I105" s="340"/>
      <c r="J105" s="340"/>
    </row>
    <row r="106" spans="3:11" x14ac:dyDescent="0.25">
      <c r="I106" s="341"/>
      <c r="J106" s="341"/>
    </row>
    <row r="107" spans="3:11" x14ac:dyDescent="0.25">
      <c r="I107" s="348"/>
      <c r="J107" s="348"/>
    </row>
  </sheetData>
  <mergeCells count="104">
    <mergeCell ref="I105:J105"/>
    <mergeCell ref="I106:J106"/>
    <mergeCell ref="I107:J107"/>
    <mergeCell ref="C99:G99"/>
    <mergeCell ref="I99:K99"/>
    <mergeCell ref="C100:G100"/>
    <mergeCell ref="I100:K100"/>
    <mergeCell ref="J101:K101"/>
    <mergeCell ref="I104:J104"/>
    <mergeCell ref="D96:E96"/>
    <mergeCell ref="F96:G96"/>
    <mergeCell ref="I96:K96"/>
    <mergeCell ref="I97:K97"/>
    <mergeCell ref="C98:G98"/>
    <mergeCell ref="I98:K98"/>
    <mergeCell ref="D94:E94"/>
    <mergeCell ref="F94:G94"/>
    <mergeCell ref="I94:K94"/>
    <mergeCell ref="D95:E95"/>
    <mergeCell ref="F95:G95"/>
    <mergeCell ref="I95:K95"/>
    <mergeCell ref="D92:E92"/>
    <mergeCell ref="F92:G92"/>
    <mergeCell ref="I92:K92"/>
    <mergeCell ref="D93:E93"/>
    <mergeCell ref="F93:G93"/>
    <mergeCell ref="I93:K93"/>
    <mergeCell ref="D90:E90"/>
    <mergeCell ref="F90:G90"/>
    <mergeCell ref="I90:K90"/>
    <mergeCell ref="P90:Q90"/>
    <mergeCell ref="D91:E91"/>
    <mergeCell ref="F91:G91"/>
    <mergeCell ref="I91:K91"/>
    <mergeCell ref="F87:G87"/>
    <mergeCell ref="I87:K87"/>
    <mergeCell ref="D88:E88"/>
    <mergeCell ref="F88:G88"/>
    <mergeCell ref="I88:K88"/>
    <mergeCell ref="D89:E89"/>
    <mergeCell ref="F89:G89"/>
    <mergeCell ref="I89:K89"/>
    <mergeCell ref="D84:E84"/>
    <mergeCell ref="F84:G84"/>
    <mergeCell ref="I84:K84"/>
    <mergeCell ref="F85:G85"/>
    <mergeCell ref="I85:K85"/>
    <mergeCell ref="D86:E86"/>
    <mergeCell ref="F86:G86"/>
    <mergeCell ref="I86:K86"/>
    <mergeCell ref="C79:K79"/>
    <mergeCell ref="C80:K80"/>
    <mergeCell ref="D82:E82"/>
    <mergeCell ref="F82:G82"/>
    <mergeCell ref="I82:K82"/>
    <mergeCell ref="F83:G83"/>
    <mergeCell ref="I83:K83"/>
    <mergeCell ref="R66:S66"/>
    <mergeCell ref="R67:S67"/>
    <mergeCell ref="P68:Q68"/>
    <mergeCell ref="R68:S68"/>
    <mergeCell ref="G71:I71"/>
    <mergeCell ref="C74:E74"/>
    <mergeCell ref="P74:S74"/>
    <mergeCell ref="P55:T55"/>
    <mergeCell ref="V55:W55"/>
    <mergeCell ref="P57:S57"/>
    <mergeCell ref="R58:S58"/>
    <mergeCell ref="R59:S59"/>
    <mergeCell ref="C62:E62"/>
    <mergeCell ref="C41:E41"/>
    <mergeCell ref="C52:D52"/>
    <mergeCell ref="G52:H52"/>
    <mergeCell ref="K52:L52"/>
    <mergeCell ref="C54:E54"/>
    <mergeCell ref="G54:I54"/>
    <mergeCell ref="K54:M54"/>
    <mergeCell ref="P34:U34"/>
    <mergeCell ref="V34:X34"/>
    <mergeCell ref="G39:I39"/>
    <mergeCell ref="K39:M39"/>
    <mergeCell ref="C40:E40"/>
    <mergeCell ref="G40:I40"/>
    <mergeCell ref="K40:M40"/>
    <mergeCell ref="P26:X26"/>
    <mergeCell ref="C28:E28"/>
    <mergeCell ref="C29:E29"/>
    <mergeCell ref="P33:X33"/>
    <mergeCell ref="C4:E4"/>
    <mergeCell ref="G4:I4"/>
    <mergeCell ref="K4:M4"/>
    <mergeCell ref="C19:E19"/>
    <mergeCell ref="K19:M19"/>
    <mergeCell ref="C20:E20"/>
    <mergeCell ref="K20:M20"/>
    <mergeCell ref="C1:E1"/>
    <mergeCell ref="P2:X2"/>
    <mergeCell ref="C3:E3"/>
    <mergeCell ref="G3:I3"/>
    <mergeCell ref="K3:M3"/>
    <mergeCell ref="P3:T3"/>
    <mergeCell ref="U3:X3"/>
    <mergeCell ref="G21:I21"/>
    <mergeCell ref="G22:I2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37</vt:i4>
      </vt:variant>
      <vt:variant>
        <vt:lpstr>Intervalos Nomeados</vt:lpstr>
      </vt:variant>
      <vt:variant>
        <vt:i4>1</vt:i4>
      </vt:variant>
    </vt:vector>
  </HeadingPairs>
  <TitlesOfParts>
    <vt:vector size="38" baseType="lpstr">
      <vt:lpstr>Folha de dados</vt:lpstr>
      <vt:lpstr>Resumo</vt:lpstr>
      <vt:lpstr>Ano 1</vt:lpstr>
      <vt:lpstr>Ano 2</vt:lpstr>
      <vt:lpstr>Ano 3</vt:lpstr>
      <vt:lpstr>Ano 4</vt:lpstr>
      <vt:lpstr>Ano 5</vt:lpstr>
      <vt:lpstr>Ano 6</vt:lpstr>
      <vt:lpstr>Ano 7</vt:lpstr>
      <vt:lpstr>Ano 8</vt:lpstr>
      <vt:lpstr>Ano 9</vt:lpstr>
      <vt:lpstr>Ano 10</vt:lpstr>
      <vt:lpstr>Ano 11</vt:lpstr>
      <vt:lpstr>Ano 12</vt:lpstr>
      <vt:lpstr>Ano 13</vt:lpstr>
      <vt:lpstr>Ano 14</vt:lpstr>
      <vt:lpstr>Ano 15</vt:lpstr>
      <vt:lpstr>Ano 16</vt:lpstr>
      <vt:lpstr>Ano 17</vt:lpstr>
      <vt:lpstr>Ano 18</vt:lpstr>
      <vt:lpstr>Ano 19</vt:lpstr>
      <vt:lpstr>Ano 20</vt:lpstr>
      <vt:lpstr>Ano 21</vt:lpstr>
      <vt:lpstr>Ano 22</vt:lpstr>
      <vt:lpstr>Ano 23</vt:lpstr>
      <vt:lpstr>Ano 24</vt:lpstr>
      <vt:lpstr>Ano 25</vt:lpstr>
      <vt:lpstr>Ano 26</vt:lpstr>
      <vt:lpstr>Ano 27</vt:lpstr>
      <vt:lpstr>Ano 28</vt:lpstr>
      <vt:lpstr>Ano 29</vt:lpstr>
      <vt:lpstr>Ano 30</vt:lpstr>
      <vt:lpstr>Ano 31</vt:lpstr>
      <vt:lpstr>Ano 32</vt:lpstr>
      <vt:lpstr>Ano 33</vt:lpstr>
      <vt:lpstr>Ano 34</vt:lpstr>
      <vt:lpstr>Ano 35</vt:lpstr>
      <vt:lpstr>'Ano 1'!Area_de_impressao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Waldo Villani Jr</dc:creator>
  <cp:lastModifiedBy>Waldo Villani Jr</cp:lastModifiedBy>
  <cp:lastPrinted>2018-12-17T14:46:52Z</cp:lastPrinted>
  <dcterms:created xsi:type="dcterms:W3CDTF">2016-01-29T16:22:19Z</dcterms:created>
  <dcterms:modified xsi:type="dcterms:W3CDTF">2025-12-17T21:42:49Z</dcterms:modified>
</cp:coreProperties>
</file>