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ldo V\Documents\EZUTE 2023-2024\Timbó\Licitação 2\"/>
    </mc:Choice>
  </mc:AlternateContent>
  <xr:revisionPtr revIDLastSave="0" documentId="13_ncr:1_{217CB6EF-02C3-4A6C-881E-B5B747EEB844}" xr6:coauthVersionLast="47" xr6:coauthVersionMax="47" xr10:uidLastSave="{00000000-0000-0000-0000-000000000000}"/>
  <bookViews>
    <workbookView xWindow="-108" yWindow="-108" windowWidth="23256" windowHeight="12576" tabRatio="912" xr2:uid="{00000000-000D-0000-FFFF-FFFF00000000}"/>
  </bookViews>
  <sheets>
    <sheet name="Resultados" sheetId="8" r:id="rId1"/>
    <sheet name="DADOS PARA CONTRATO" sheetId="30" r:id="rId2"/>
    <sheet name="FCD PROJETO" sheetId="1" r:id="rId3"/>
    <sheet name="DRE PROJETO" sheetId="19" r:id="rId4"/>
    <sheet name="FCD Acionista" sheetId="6" r:id="rId5"/>
    <sheet name="Matriz Tarifária" sheetId="29" r:id="rId6"/>
    <sheet name="Dados ME" sheetId="18" r:id="rId7"/>
    <sheet name="Histograma" sheetId="5" r:id="rId8"/>
    <sheet name="Base Física" sheetId="28" r:id="rId9"/>
    <sheet name="CAPEX" sheetId="25" r:id="rId10"/>
    <sheet name="Cronograma" sheetId="11" r:id="rId11"/>
    <sheet name="Financiamento " sheetId="7" r:id="rId12"/>
    <sheet name="Distribuição Custeio" sheetId="24" r:id="rId13"/>
    <sheet name="Mão de Obra" sheetId="12" r:id="rId14"/>
    <sheet name="Manut Rede" sheetId="22" r:id="rId15"/>
    <sheet name="Veículos" sheetId="26" r:id="rId16"/>
    <sheet name="Reposição de Ativos" sheetId="23" r:id="rId17"/>
    <sheet name="Energia Eletrica" sheetId="13" r:id="rId18"/>
    <sheet name="Produto Químico" sheetId="14" r:id="rId19"/>
    <sheet name="Legal e Regulação" sheetId="17" r:id="rId20"/>
    <sheet name="Despesas Diversas" sheetId="31" r:id="rId21"/>
    <sheet name="Recursos Hidricos" sheetId="15" r:id="rId22"/>
    <sheet name="Seguros e Garantias" sheetId="10" r:id="rId23"/>
    <sheet name="Depreciação " sheetId="21" r:id="rId24"/>
  </sheets>
  <externalReferences>
    <externalReference r:id="rId2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3" i="31" l="1"/>
  <c r="O53" i="31"/>
  <c r="N53" i="31"/>
  <c r="M53" i="31"/>
  <c r="M40" i="31"/>
  <c r="D40" i="31"/>
  <c r="G48" i="31"/>
  <c r="G53" i="31"/>
  <c r="F43" i="31"/>
  <c r="N39" i="31"/>
  <c r="O39" i="31"/>
  <c r="P39" i="31"/>
  <c r="Q39" i="31"/>
  <c r="R39" i="31"/>
  <c r="S39" i="31"/>
  <c r="T39" i="31"/>
  <c r="U39" i="31"/>
  <c r="V39" i="31"/>
  <c r="W39" i="31"/>
  <c r="X39" i="31"/>
  <c r="Y39" i="31"/>
  <c r="Z39" i="31"/>
  <c r="AA39" i="31"/>
  <c r="AB39" i="31"/>
  <c r="AC39" i="31"/>
  <c r="AD39" i="31"/>
  <c r="AE39" i="31"/>
  <c r="AF39" i="31"/>
  <c r="AG39" i="31"/>
  <c r="AH39" i="31"/>
  <c r="AI39" i="31"/>
  <c r="AJ39" i="31"/>
  <c r="AK39" i="31"/>
  <c r="AL39" i="31"/>
  <c r="AM39" i="31"/>
  <c r="AN39" i="31"/>
  <c r="AO39" i="31"/>
  <c r="AP39" i="31"/>
  <c r="AQ39" i="31"/>
  <c r="AR39" i="31"/>
  <c r="AS39" i="31"/>
  <c r="AT39" i="31"/>
  <c r="AU39" i="31"/>
  <c r="M39" i="31"/>
  <c r="N52" i="31"/>
  <c r="O52" i="31"/>
  <c r="P52" i="31"/>
  <c r="Q52" i="31"/>
  <c r="R52" i="31"/>
  <c r="S52" i="31"/>
  <c r="T52" i="31"/>
  <c r="U52" i="31"/>
  <c r="V52" i="31"/>
  <c r="W52" i="31"/>
  <c r="X52" i="31"/>
  <c r="Y52" i="31"/>
  <c r="Z52" i="31"/>
  <c r="AA52" i="31"/>
  <c r="AB52" i="31"/>
  <c r="AC52" i="31"/>
  <c r="AD52" i="31"/>
  <c r="AE52" i="31"/>
  <c r="AF52" i="31"/>
  <c r="AG52" i="31"/>
  <c r="AH52" i="31"/>
  <c r="AI52" i="31"/>
  <c r="AJ52" i="31"/>
  <c r="AK52" i="31"/>
  <c r="AL52" i="31"/>
  <c r="AM52" i="31"/>
  <c r="AN52" i="31"/>
  <c r="AO52" i="31"/>
  <c r="AP52" i="31"/>
  <c r="AQ52" i="31"/>
  <c r="AR52" i="31"/>
  <c r="AS52" i="31"/>
  <c r="AT52" i="31"/>
  <c r="AU52" i="31"/>
  <c r="M52" i="31"/>
  <c r="N51" i="31"/>
  <c r="O51" i="31"/>
  <c r="P51" i="31"/>
  <c r="Q51" i="31"/>
  <c r="R51" i="31"/>
  <c r="S51" i="31"/>
  <c r="T51" i="31"/>
  <c r="U51" i="31"/>
  <c r="V51" i="31"/>
  <c r="W51" i="31"/>
  <c r="X51" i="31"/>
  <c r="Y51" i="31"/>
  <c r="Z51" i="31"/>
  <c r="AA51" i="31"/>
  <c r="AB51" i="31"/>
  <c r="AC51" i="31"/>
  <c r="AD51" i="31"/>
  <c r="AE51" i="31"/>
  <c r="AF51" i="31"/>
  <c r="AG51" i="31"/>
  <c r="AH51" i="31"/>
  <c r="AI51" i="31"/>
  <c r="AJ51" i="31"/>
  <c r="AK51" i="31"/>
  <c r="AL51" i="31"/>
  <c r="AM51" i="31"/>
  <c r="AN51" i="31"/>
  <c r="AO51" i="31"/>
  <c r="AP51" i="31"/>
  <c r="AQ51" i="31"/>
  <c r="AR51" i="31"/>
  <c r="AS51" i="31"/>
  <c r="AT51" i="31"/>
  <c r="AU51" i="31"/>
  <c r="M51" i="31"/>
  <c r="D52" i="31"/>
  <c r="D51" i="31"/>
  <c r="M41" i="31"/>
  <c r="AF108" i="29"/>
  <c r="AG26" i="29"/>
  <c r="AG108" i="29" s="1"/>
  <c r="AF26" i="29"/>
  <c r="AD75" i="29"/>
  <c r="AD82" i="29"/>
  <c r="AD87" i="29"/>
  <c r="AD110" i="29"/>
  <c r="AD125" i="29"/>
  <c r="AD54" i="29"/>
  <c r="AD49" i="29"/>
  <c r="AD30" i="29"/>
  <c r="AD18" i="29"/>
  <c r="AD19" i="29"/>
  <c r="AD20" i="29"/>
  <c r="AD22" i="29"/>
  <c r="AD6" i="29"/>
  <c r="AD7" i="29"/>
  <c r="AD10" i="29"/>
  <c r="AD11" i="29"/>
  <c r="AD12" i="29"/>
  <c r="AD13" i="29"/>
  <c r="AG6" i="29"/>
  <c r="AG7" i="29"/>
  <c r="AG8" i="29"/>
  <c r="AD8" i="29" s="1"/>
  <c r="AG9" i="29"/>
  <c r="AD9" i="29" s="1"/>
  <c r="AG10" i="29"/>
  <c r="AG11" i="29"/>
  <c r="AG12" i="29"/>
  <c r="AG13" i="29"/>
  <c r="AG14" i="29"/>
  <c r="AD14" i="29" s="1"/>
  <c r="AG15" i="29"/>
  <c r="AD15" i="29" s="1"/>
  <c r="AG16" i="29"/>
  <c r="AG17" i="29"/>
  <c r="AD17" i="29" s="1"/>
  <c r="AG18" i="29"/>
  <c r="AG19" i="29"/>
  <c r="AG20" i="29"/>
  <c r="AG21" i="29"/>
  <c r="AD21" i="29" s="1"/>
  <c r="AG22" i="29"/>
  <c r="AG28" i="29"/>
  <c r="AD28" i="29" s="1"/>
  <c r="AG29" i="29"/>
  <c r="AD29" i="29" s="1"/>
  <c r="AG30" i="29"/>
  <c r="AG31" i="29"/>
  <c r="AD31" i="29" s="1"/>
  <c r="AG32" i="29"/>
  <c r="AD32" i="29" s="1"/>
  <c r="AG33" i="29"/>
  <c r="AD33" i="29" s="1"/>
  <c r="AG34" i="29"/>
  <c r="AD34" i="29" s="1"/>
  <c r="AG35" i="29"/>
  <c r="AD35" i="29" s="1"/>
  <c r="AG36" i="29"/>
  <c r="AD36" i="29" s="1"/>
  <c r="AG37" i="29"/>
  <c r="AD37" i="29" s="1"/>
  <c r="AG38" i="29"/>
  <c r="AD38" i="29" s="1"/>
  <c r="AG40" i="29"/>
  <c r="AD40" i="29" s="1"/>
  <c r="AG41" i="29"/>
  <c r="AD41" i="29" s="1"/>
  <c r="AG42" i="29"/>
  <c r="AD42" i="29" s="1"/>
  <c r="AG44" i="29"/>
  <c r="AD44" i="29" s="1"/>
  <c r="AG45" i="29"/>
  <c r="AD45" i="29" s="1"/>
  <c r="AG46" i="29"/>
  <c r="AD46" i="29" s="1"/>
  <c r="AG48" i="29"/>
  <c r="AD48" i="29" s="1"/>
  <c r="AG49" i="29"/>
  <c r="AG50" i="29"/>
  <c r="AD50" i="29" s="1"/>
  <c r="AG51" i="29"/>
  <c r="AD51" i="29" s="1"/>
  <c r="AG52" i="29"/>
  <c r="AD52" i="29" s="1"/>
  <c r="AG53" i="29"/>
  <c r="AD53" i="29" s="1"/>
  <c r="AG54" i="29"/>
  <c r="AG55" i="29"/>
  <c r="AD55" i="29" s="1"/>
  <c r="AG57" i="29"/>
  <c r="AD57" i="29" s="1"/>
  <c r="AG58" i="29"/>
  <c r="AD58" i="29" s="1"/>
  <c r="AG59" i="29"/>
  <c r="AD59" i="29" s="1"/>
  <c r="AG60" i="29"/>
  <c r="AD60" i="29" s="1"/>
  <c r="AG61" i="29"/>
  <c r="AD61" i="29" s="1"/>
  <c r="AG62" i="29"/>
  <c r="AD62" i="29" s="1"/>
  <c r="AG63" i="29"/>
  <c r="AD63" i="29" s="1"/>
  <c r="AG65" i="29"/>
  <c r="AD65" i="29" s="1"/>
  <c r="AG66" i="29"/>
  <c r="AD66" i="29" s="1"/>
  <c r="AG67" i="29"/>
  <c r="AD67" i="29" s="1"/>
  <c r="AG69" i="29"/>
  <c r="AD69" i="29" s="1"/>
  <c r="AG70" i="29"/>
  <c r="AD70" i="29" s="1"/>
  <c r="AG71" i="29"/>
  <c r="AD71" i="29" s="1"/>
  <c r="AG72" i="29"/>
  <c r="AD72" i="29" s="1"/>
  <c r="AG74" i="29"/>
  <c r="AD74" i="29" s="1"/>
  <c r="AG75" i="29"/>
  <c r="AG76" i="29"/>
  <c r="AD76" i="29" s="1"/>
  <c r="AG77" i="29"/>
  <c r="AD77" i="29" s="1"/>
  <c r="AG78" i="29"/>
  <c r="AD78" i="29" s="1"/>
  <c r="AG79" i="29"/>
  <c r="AD79" i="29" s="1"/>
  <c r="AG80" i="29"/>
  <c r="AD80" i="29" s="1"/>
  <c r="AG81" i="29"/>
  <c r="AD81" i="29" s="1"/>
  <c r="AG82" i="29"/>
  <c r="AG83" i="29"/>
  <c r="AD83" i="29" s="1"/>
  <c r="AG84" i="29"/>
  <c r="AD84" i="29" s="1"/>
  <c r="AG85" i="29"/>
  <c r="AD85" i="29" s="1"/>
  <c r="AG86" i="29"/>
  <c r="AD86" i="29" s="1"/>
  <c r="AG87" i="29"/>
  <c r="AG88" i="29"/>
  <c r="AD88" i="29" s="1"/>
  <c r="AG89" i="29"/>
  <c r="AD89" i="29" s="1"/>
  <c r="AG90" i="29"/>
  <c r="AD90" i="29" s="1"/>
  <c r="AG91" i="29"/>
  <c r="AD91" i="29" s="1"/>
  <c r="AG93" i="29"/>
  <c r="AD93" i="29" s="1"/>
  <c r="AG94" i="29"/>
  <c r="AD94" i="29" s="1"/>
  <c r="AG95" i="29"/>
  <c r="AD95" i="29" s="1"/>
  <c r="AG96" i="29"/>
  <c r="AD96" i="29" s="1"/>
  <c r="AG97" i="29"/>
  <c r="AD97" i="29" s="1"/>
  <c r="AG98" i="29"/>
  <c r="AD98" i="29" s="1"/>
  <c r="AG99" i="29"/>
  <c r="AD99" i="29" s="1"/>
  <c r="AG101" i="29"/>
  <c r="AD101" i="29" s="1"/>
  <c r="AG102" i="29"/>
  <c r="AD102" i="29" s="1"/>
  <c r="AG103" i="29"/>
  <c r="AD103" i="29" s="1"/>
  <c r="AG104" i="29"/>
  <c r="AD104" i="29" s="1"/>
  <c r="AG109" i="29"/>
  <c r="AG110" i="29"/>
  <c r="AG111" i="29"/>
  <c r="AD111" i="29" s="1"/>
  <c r="AG112" i="29"/>
  <c r="AD112" i="29" s="1"/>
  <c r="AG113" i="29"/>
  <c r="AD113" i="29" s="1"/>
  <c r="AG114" i="29"/>
  <c r="AD114" i="29" s="1"/>
  <c r="AG115" i="29"/>
  <c r="AD115" i="29" s="1"/>
  <c r="AG116" i="29"/>
  <c r="AD116" i="29" s="1"/>
  <c r="AG117" i="29"/>
  <c r="AD117" i="29" s="1"/>
  <c r="AG118" i="29"/>
  <c r="AD118" i="29" s="1"/>
  <c r="AG119" i="29"/>
  <c r="AD119" i="29" s="1"/>
  <c r="AG120" i="29"/>
  <c r="AD120" i="29" s="1"/>
  <c r="AG121" i="29"/>
  <c r="AD121" i="29" s="1"/>
  <c r="AG122" i="29"/>
  <c r="AD122" i="29" s="1"/>
  <c r="AG123" i="29"/>
  <c r="AD123" i="29" s="1"/>
  <c r="AG124" i="29"/>
  <c r="AD124" i="29" s="1"/>
  <c r="AG125" i="29"/>
  <c r="AG126" i="29"/>
  <c r="AD126" i="29" s="1"/>
  <c r="AG127" i="29"/>
  <c r="AD127" i="29" s="1"/>
  <c r="AG128" i="29"/>
  <c r="AD128" i="29" s="1"/>
  <c r="AG129" i="29"/>
  <c r="AD129" i="29" s="1"/>
  <c r="AG130" i="29"/>
  <c r="AD130" i="29" s="1"/>
  <c r="AG131" i="29"/>
  <c r="AD131" i="29" s="1"/>
  <c r="AG132" i="29"/>
  <c r="AD132" i="29" s="1"/>
  <c r="AG134" i="29"/>
  <c r="AD134" i="29" s="1"/>
  <c r="AG135" i="29"/>
  <c r="AD135" i="29" s="1"/>
  <c r="AG136" i="29"/>
  <c r="AD136" i="29" s="1"/>
  <c r="AG137" i="29"/>
  <c r="AD137" i="29" s="1"/>
  <c r="AG138" i="29"/>
  <c r="AD138" i="29" s="1"/>
  <c r="AG139" i="29"/>
  <c r="AD139" i="29" s="1"/>
  <c r="AG140" i="29"/>
  <c r="AD140" i="29" s="1"/>
  <c r="AG141" i="29"/>
  <c r="AD141" i="29" s="1"/>
  <c r="AG142" i="29"/>
  <c r="AD142" i="29" s="1"/>
  <c r="AG143" i="29"/>
  <c r="AD143" i="29" s="1"/>
  <c r="AG5" i="29"/>
  <c r="AD5" i="29" s="1"/>
  <c r="F54" i="29"/>
  <c r="K54" i="29" s="1"/>
  <c r="E54" i="29"/>
  <c r="X15" i="31"/>
  <c r="AG15" i="31"/>
  <c r="AH15" i="31"/>
  <c r="AL15" i="31"/>
  <c r="M11" i="31"/>
  <c r="H36" i="31"/>
  <c r="H35" i="31"/>
  <c r="H34" i="31"/>
  <c r="H33" i="31"/>
  <c r="H32" i="31"/>
  <c r="H31" i="31"/>
  <c r="H28" i="31"/>
  <c r="H27" i="31"/>
  <c r="H26" i="31"/>
  <c r="U26" i="31" s="1"/>
  <c r="H25" i="31"/>
  <c r="AD25" i="31" s="1"/>
  <c r="H24" i="31"/>
  <c r="S24" i="31" s="1"/>
  <c r="H23" i="31"/>
  <c r="Q23" i="31" s="1"/>
  <c r="H22" i="31"/>
  <c r="O22" i="31" s="1"/>
  <c r="H19" i="31"/>
  <c r="U19" i="31" s="1"/>
  <c r="H18" i="31"/>
  <c r="R18" i="31" s="1"/>
  <c r="H17" i="31"/>
  <c r="AL17" i="31" s="1"/>
  <c r="H16" i="31"/>
  <c r="Y16" i="31" s="1"/>
  <c r="H15" i="31"/>
  <c r="Y15" i="31" s="1"/>
  <c r="H12" i="31"/>
  <c r="X12" i="31" s="1"/>
  <c r="H11" i="31"/>
  <c r="V11" i="31" s="1"/>
  <c r="H10" i="31"/>
  <c r="T10" i="31" s="1"/>
  <c r="H9" i="31"/>
  <c r="O9" i="31" s="1"/>
  <c r="AE22" i="31" l="1"/>
  <c r="AU12" i="31"/>
  <c r="AA12" i="31"/>
  <c r="AI15" i="31"/>
  <c r="AI22" i="31"/>
  <c r="AD22" i="31"/>
  <c r="AC15" i="31"/>
  <c r="AB23" i="31"/>
  <c r="AA23" i="31"/>
  <c r="U12" i="31"/>
  <c r="N15" i="31"/>
  <c r="AT24" i="31"/>
  <c r="AI24" i="31"/>
  <c r="AO15" i="31"/>
  <c r="AH24" i="31"/>
  <c r="Z23" i="31"/>
  <c r="U23" i="31"/>
  <c r="V12" i="31"/>
  <c r="Q15" i="31"/>
  <c r="AG11" i="31"/>
  <c r="AF11" i="31"/>
  <c r="AT15" i="31"/>
  <c r="AN15" i="31"/>
  <c r="P24" i="31"/>
  <c r="M19" i="31"/>
  <c r="T23" i="31"/>
  <c r="R23" i="31"/>
  <c r="AP19" i="31"/>
  <c r="AS23" i="31"/>
  <c r="AJ19" i="31"/>
  <c r="AP23" i="31"/>
  <c r="AD19" i="31"/>
  <c r="AN23" i="31"/>
  <c r="AP22" i="31"/>
  <c r="AN12" i="31"/>
  <c r="X19" i="31"/>
  <c r="V15" i="31"/>
  <c r="AM23" i="31"/>
  <c r="AN22" i="31"/>
  <c r="W22" i="31"/>
  <c r="AT19" i="31"/>
  <c r="O24" i="31"/>
  <c r="S22" i="31"/>
  <c r="P23" i="31"/>
  <c r="R22" i="31"/>
  <c r="AU22" i="31"/>
  <c r="N22" i="31"/>
  <c r="AI12" i="31"/>
  <c r="V19" i="31"/>
  <c r="U15" i="31"/>
  <c r="AL23" i="31"/>
  <c r="AL22" i="31"/>
  <c r="Y22" i="31"/>
  <c r="R19" i="31"/>
  <c r="AF23" i="31"/>
  <c r="AJ22" i="31"/>
  <c r="AQ10" i="31"/>
  <c r="AT12" i="31"/>
  <c r="P12" i="31"/>
  <c r="AE11" i="31"/>
  <c r="AO10" i="31"/>
  <c r="AR19" i="31"/>
  <c r="T19" i="31"/>
  <c r="AF24" i="31"/>
  <c r="AS12" i="31"/>
  <c r="O12" i="31"/>
  <c r="AD11" i="31"/>
  <c r="AJ10" i="31"/>
  <c r="AQ19" i="31"/>
  <c r="S19" i="31"/>
  <c r="AJ15" i="31"/>
  <c r="P15" i="31"/>
  <c r="AD24" i="31"/>
  <c r="AR23" i="31"/>
  <c r="Y23" i="31"/>
  <c r="AK22" i="31"/>
  <c r="P22" i="31"/>
  <c r="AU11" i="31"/>
  <c r="Z11" i="31"/>
  <c r="AE10" i="31"/>
  <c r="AC24" i="31"/>
  <c r="AM12" i="31"/>
  <c r="AS11" i="31"/>
  <c r="Y11" i="31"/>
  <c r="AD10" i="31"/>
  <c r="AK19" i="31"/>
  <c r="AO18" i="31"/>
  <c r="AU24" i="31"/>
  <c r="AB24" i="31"/>
  <c r="AC10" i="31"/>
  <c r="AI18" i="31"/>
  <c r="AA24" i="31"/>
  <c r="AQ11" i="31"/>
  <c r="AH19" i="31"/>
  <c r="AR24" i="31"/>
  <c r="AG12" i="31"/>
  <c r="AP11" i="31"/>
  <c r="T11" i="31"/>
  <c r="S10" i="31"/>
  <c r="AF19" i="31"/>
  <c r="Q18" i="31"/>
  <c r="AB15" i="31"/>
  <c r="AP24" i="31"/>
  <c r="V24" i="31"/>
  <c r="AK23" i="31"/>
  <c r="O23" i="31"/>
  <c r="AB22" i="31"/>
  <c r="AP10" i="31"/>
  <c r="AR11" i="31"/>
  <c r="AH12" i="31"/>
  <c r="U11" i="31"/>
  <c r="X10" i="31"/>
  <c r="AC18" i="31"/>
  <c r="W24" i="31"/>
  <c r="AB12" i="31"/>
  <c r="AL11" i="31"/>
  <c r="S11" i="31"/>
  <c r="R10" i="31"/>
  <c r="AE19" i="31"/>
  <c r="AU15" i="31"/>
  <c r="Z15" i="31"/>
  <c r="AO24" i="31"/>
  <c r="T24" i="31"/>
  <c r="AG23" i="31"/>
  <c r="N23" i="31"/>
  <c r="Z22" i="31"/>
  <c r="W11" i="31"/>
  <c r="AK11" i="31"/>
  <c r="R11" i="31"/>
  <c r="Q10" i="31"/>
  <c r="AN24" i="31"/>
  <c r="R24" i="31"/>
  <c r="W12" i="31"/>
  <c r="AI11" i="31"/>
  <c r="N11" i="31"/>
  <c r="M18" i="31"/>
  <c r="Y19" i="31"/>
  <c r="AS15" i="31"/>
  <c r="W15" i="31"/>
  <c r="AM24" i="31"/>
  <c r="Q24" i="31"/>
  <c r="AD23" i="31"/>
  <c r="AQ22" i="31"/>
  <c r="X22" i="31"/>
  <c r="AM17" i="31"/>
  <c r="AN18" i="31"/>
  <c r="Z17" i="31"/>
  <c r="AF26" i="31"/>
  <c r="R25" i="31"/>
  <c r="AR12" i="31"/>
  <c r="AB10" i="31"/>
  <c r="Z9" i="31"/>
  <c r="AO19" i="31"/>
  <c r="AA18" i="31"/>
  <c r="Y17" i="31"/>
  <c r="AQ26" i="31"/>
  <c r="AC25" i="31"/>
  <c r="AQ12" i="31"/>
  <c r="AE12" i="31"/>
  <c r="S12" i="31"/>
  <c r="AO11" i="31"/>
  <c r="AC11" i="31"/>
  <c r="Q11" i="31"/>
  <c r="AM10" i="31"/>
  <c r="AA10" i="31"/>
  <c r="O10" i="31"/>
  <c r="AK9" i="31"/>
  <c r="Y9" i="31"/>
  <c r="M15" i="31"/>
  <c r="AN19" i="31"/>
  <c r="AB19" i="31"/>
  <c r="P19" i="31"/>
  <c r="AL18" i="31"/>
  <c r="Z18" i="31"/>
  <c r="N18" i="31"/>
  <c r="AJ17" i="31"/>
  <c r="X17" i="31"/>
  <c r="AT16" i="31"/>
  <c r="AH16" i="31"/>
  <c r="V16" i="31"/>
  <c r="AR15" i="31"/>
  <c r="AF15" i="31"/>
  <c r="T15" i="31"/>
  <c r="AP26" i="31"/>
  <c r="AD26" i="31"/>
  <c r="R26" i="31"/>
  <c r="AN25" i="31"/>
  <c r="AB25" i="31"/>
  <c r="P25" i="31"/>
  <c r="AL24" i="31"/>
  <c r="Z24" i="31"/>
  <c r="N24" i="31"/>
  <c r="AJ23" i="31"/>
  <c r="X23" i="31"/>
  <c r="AT22" i="31"/>
  <c r="AH22" i="31"/>
  <c r="V22" i="31"/>
  <c r="P9" i="31"/>
  <c r="AA17" i="31"/>
  <c r="AM9" i="31"/>
  <c r="AB18" i="31"/>
  <c r="AJ16" i="31"/>
  <c r="T26" i="31"/>
  <c r="AF12" i="31"/>
  <c r="AN10" i="31"/>
  <c r="AL9" i="31"/>
  <c r="Q19" i="31"/>
  <c r="O18" i="31"/>
  <c r="AI16" i="31"/>
  <c r="AE26" i="31"/>
  <c r="AO25" i="31"/>
  <c r="AP12" i="31"/>
  <c r="AD12" i="31"/>
  <c r="R12" i="31"/>
  <c r="AN11" i="31"/>
  <c r="AB11" i="31"/>
  <c r="P11" i="31"/>
  <c r="AL10" i="31"/>
  <c r="Z10" i="31"/>
  <c r="N10" i="31"/>
  <c r="AJ9" i="31"/>
  <c r="X9" i="31"/>
  <c r="M16" i="31"/>
  <c r="AM19" i="31"/>
  <c r="AA19" i="31"/>
  <c r="O19" i="31"/>
  <c r="AK18" i="31"/>
  <c r="Y18" i="31"/>
  <c r="AU17" i="31"/>
  <c r="AI17" i="31"/>
  <c r="W17" i="31"/>
  <c r="AS16" i="31"/>
  <c r="AG16" i="31"/>
  <c r="U16" i="31"/>
  <c r="AQ15" i="31"/>
  <c r="AE15" i="31"/>
  <c r="S15" i="31"/>
  <c r="AO26" i="31"/>
  <c r="AC26" i="31"/>
  <c r="Q26" i="31"/>
  <c r="AM25" i="31"/>
  <c r="AA25" i="31"/>
  <c r="O25" i="31"/>
  <c r="AK24" i="31"/>
  <c r="Y24" i="31"/>
  <c r="AU23" i="31"/>
  <c r="AI23" i="31"/>
  <c r="W23" i="31"/>
  <c r="AS22" i="31"/>
  <c r="AG22" i="31"/>
  <c r="U22" i="31"/>
  <c r="AN9" i="31"/>
  <c r="AA9" i="31"/>
  <c r="P18" i="31"/>
  <c r="N17" i="31"/>
  <c r="X16" i="31"/>
  <c r="AR26" i="31"/>
  <c r="AP25" i="31"/>
  <c r="T12" i="31"/>
  <c r="P10" i="31"/>
  <c r="N9" i="31"/>
  <c r="AC19" i="31"/>
  <c r="AM18" i="31"/>
  <c r="AK17" i="31"/>
  <c r="AU16" i="31"/>
  <c r="W16" i="31"/>
  <c r="S26" i="31"/>
  <c r="Q25" i="31"/>
  <c r="AO12" i="31"/>
  <c r="AC12" i="31"/>
  <c r="Q12" i="31"/>
  <c r="AM11" i="31"/>
  <c r="AA11" i="31"/>
  <c r="O11" i="31"/>
  <c r="O8" i="31" s="1"/>
  <c r="AK10" i="31"/>
  <c r="Y10" i="31"/>
  <c r="AU9" i="31"/>
  <c r="AI9" i="31"/>
  <c r="W9" i="31"/>
  <c r="M17" i="31"/>
  <c r="AL19" i="31"/>
  <c r="Z19" i="31"/>
  <c r="N19" i="31"/>
  <c r="AJ18" i="31"/>
  <c r="X18" i="31"/>
  <c r="AT17" i="31"/>
  <c r="AH17" i="31"/>
  <c r="V17" i="31"/>
  <c r="AR16" i="31"/>
  <c r="AF16" i="31"/>
  <c r="T16" i="31"/>
  <c r="AP15" i="31"/>
  <c r="AD15" i="31"/>
  <c r="R15" i="31"/>
  <c r="AN26" i="31"/>
  <c r="AB26" i="31"/>
  <c r="P26" i="31"/>
  <c r="AL25" i="31"/>
  <c r="Z25" i="31"/>
  <c r="N25" i="31"/>
  <c r="AJ24" i="31"/>
  <c r="X24" i="31"/>
  <c r="AT23" i="31"/>
  <c r="AH23" i="31"/>
  <c r="V23" i="31"/>
  <c r="AR22" i="31"/>
  <c r="AF22" i="31"/>
  <c r="T22" i="31"/>
  <c r="AU18" i="31"/>
  <c r="AS17" i="31"/>
  <c r="AG17" i="31"/>
  <c r="U17" i="31"/>
  <c r="AQ16" i="31"/>
  <c r="S16" i="31"/>
  <c r="AM26" i="31"/>
  <c r="AA26" i="31"/>
  <c r="O26" i="31"/>
  <c r="AK25" i="31"/>
  <c r="Y25" i="31"/>
  <c r="V9" i="31"/>
  <c r="AE16" i="31"/>
  <c r="AI10" i="31"/>
  <c r="AS9" i="31"/>
  <c r="V18" i="31"/>
  <c r="AT9" i="31"/>
  <c r="AU10" i="31"/>
  <c r="W10" i="31"/>
  <c r="AG9" i="31"/>
  <c r="U9" i="31"/>
  <c r="AT18" i="31"/>
  <c r="AH18" i="31"/>
  <c r="AR17" i="31"/>
  <c r="AF17" i="31"/>
  <c r="T17" i="31"/>
  <c r="AP16" i="31"/>
  <c r="AD16" i="31"/>
  <c r="R16" i="31"/>
  <c r="AL26" i="31"/>
  <c r="Z26" i="31"/>
  <c r="N26" i="31"/>
  <c r="AJ25" i="31"/>
  <c r="X25" i="31"/>
  <c r="M10" i="31"/>
  <c r="AL12" i="31"/>
  <c r="Z12" i="31"/>
  <c r="N12" i="31"/>
  <c r="AJ11" i="31"/>
  <c r="X11" i="31"/>
  <c r="AT10" i="31"/>
  <c r="AH10" i="31"/>
  <c r="V10" i="31"/>
  <c r="AR9" i="31"/>
  <c r="AF9" i="31"/>
  <c r="T9" i="31"/>
  <c r="AU19" i="31"/>
  <c r="AI19" i="31"/>
  <c r="W19" i="31"/>
  <c r="AS18" i="31"/>
  <c r="AG18" i="31"/>
  <c r="U18" i="31"/>
  <c r="AQ17" i="31"/>
  <c r="AE17" i="31"/>
  <c r="S17" i="31"/>
  <c r="AO16" i="31"/>
  <c r="AC16" i="31"/>
  <c r="Q16" i="31"/>
  <c r="AM15" i="31"/>
  <c r="AA15" i="31"/>
  <c r="O15" i="31"/>
  <c r="AK26" i="31"/>
  <c r="Y26" i="31"/>
  <c r="AU25" i="31"/>
  <c r="AI25" i="31"/>
  <c r="W25" i="31"/>
  <c r="AS24" i="31"/>
  <c r="AG24" i="31"/>
  <c r="U24" i="31"/>
  <c r="AQ23" i="31"/>
  <c r="AE23" i="31"/>
  <c r="S23" i="31"/>
  <c r="AO22" i="31"/>
  <c r="AC22" i="31"/>
  <c r="Q22" i="31"/>
  <c r="M9" i="31"/>
  <c r="AK12" i="31"/>
  <c r="U10" i="31"/>
  <c r="S9" i="31"/>
  <c r="AD17" i="31"/>
  <c r="AH9" i="31"/>
  <c r="W18" i="31"/>
  <c r="Y12" i="31"/>
  <c r="AS10" i="31"/>
  <c r="AG10" i="31"/>
  <c r="AQ9" i="31"/>
  <c r="AE9" i="31"/>
  <c r="AR18" i="31"/>
  <c r="AF18" i="31"/>
  <c r="T18" i="31"/>
  <c r="AP17" i="31"/>
  <c r="R17" i="31"/>
  <c r="AN16" i="31"/>
  <c r="AB16" i="31"/>
  <c r="P16" i="31"/>
  <c r="AJ26" i="31"/>
  <c r="X26" i="31"/>
  <c r="AT25" i="31"/>
  <c r="AH25" i="31"/>
  <c r="V25" i="31"/>
  <c r="M12" i="31"/>
  <c r="AJ12" i="31"/>
  <c r="AT11" i="31"/>
  <c r="AH11" i="31"/>
  <c r="AR10" i="31"/>
  <c r="AF10" i="31"/>
  <c r="AP9" i="31"/>
  <c r="AD9" i="31"/>
  <c r="R9" i="31"/>
  <c r="AS19" i="31"/>
  <c r="AG19" i="31"/>
  <c r="AQ18" i="31"/>
  <c r="AE18" i="31"/>
  <c r="S18" i="31"/>
  <c r="AO17" i="31"/>
  <c r="AC17" i="31"/>
  <c r="Q17" i="31"/>
  <c r="AM16" i="31"/>
  <c r="AA16" i="31"/>
  <c r="O16" i="31"/>
  <c r="AK15" i="31"/>
  <c r="AU26" i="31"/>
  <c r="AI26" i="31"/>
  <c r="W26" i="31"/>
  <c r="AS25" i="31"/>
  <c r="AG25" i="31"/>
  <c r="U25" i="31"/>
  <c r="AQ24" i="31"/>
  <c r="AE24" i="31"/>
  <c r="AO23" i="31"/>
  <c r="AC23" i="31"/>
  <c r="AM22" i="31"/>
  <c r="AA22" i="31"/>
  <c r="AO9" i="31"/>
  <c r="AC9" i="31"/>
  <c r="Q9" i="31"/>
  <c r="AP18" i="31"/>
  <c r="AD18" i="31"/>
  <c r="AN17" i="31"/>
  <c r="AB17" i="31"/>
  <c r="P17" i="31"/>
  <c r="AL16" i="31"/>
  <c r="Z16" i="31"/>
  <c r="N16" i="31"/>
  <c r="AT26" i="31"/>
  <c r="AH26" i="31"/>
  <c r="V26" i="31"/>
  <c r="AR25" i="31"/>
  <c r="AF25" i="31"/>
  <c r="T25" i="31"/>
  <c r="AB9" i="31"/>
  <c r="O17" i="31"/>
  <c r="AK16" i="31"/>
  <c r="AS26" i="31"/>
  <c r="AG26" i="31"/>
  <c r="AQ25" i="31"/>
  <c r="AE25" i="31"/>
  <c r="S25" i="31"/>
  <c r="N8" i="31" l="1"/>
  <c r="AN8" i="31"/>
  <c r="P8" i="31"/>
  <c r="AD8" i="31"/>
  <c r="AL8" i="31"/>
  <c r="AJ8" i="31"/>
  <c r="Z8" i="31"/>
  <c r="AH8" i="31"/>
  <c r="AF8" i="31"/>
  <c r="U8" i="31"/>
  <c r="AE8" i="31"/>
  <c r="AR8" i="31"/>
  <c r="AG8" i="31"/>
  <c r="AQ8" i="31"/>
  <c r="AC8" i="31"/>
  <c r="R8" i="31"/>
  <c r="AP8" i="31"/>
  <c r="AT8" i="31"/>
  <c r="AB8" i="31"/>
  <c r="AS8" i="31"/>
  <c r="W8" i="31"/>
  <c r="X8" i="31"/>
  <c r="AU8" i="31"/>
  <c r="AI8" i="31"/>
  <c r="S8" i="31"/>
  <c r="V8" i="31"/>
  <c r="T8" i="31"/>
  <c r="AK8" i="31"/>
  <c r="AO8" i="31"/>
  <c r="Y8" i="31"/>
  <c r="AA8" i="31"/>
  <c r="AM8" i="31"/>
  <c r="Q8" i="31"/>
  <c r="F36" i="31" l="1"/>
  <c r="G36" i="31" s="1"/>
  <c r="Q36" i="31" s="1"/>
  <c r="V36" i="31" s="1"/>
  <c r="Z36" i="31" s="1"/>
  <c r="F35" i="31"/>
  <c r="G35" i="31" s="1"/>
  <c r="P35" i="31" s="1"/>
  <c r="E28" i="31"/>
  <c r="F28" i="31" s="1"/>
  <c r="O28" i="31" s="1"/>
  <c r="E27" i="31"/>
  <c r="F27" i="31"/>
  <c r="N27" i="31" s="1"/>
  <c r="R27" i="31" s="1"/>
  <c r="S45" i="29"/>
  <c r="S46" i="29" s="1"/>
  <c r="S47" i="29" s="1"/>
  <c r="S48" i="29" s="1"/>
  <c r="S49" i="29" s="1"/>
  <c r="S50" i="29" s="1"/>
  <c r="S51" i="29" s="1"/>
  <c r="S37" i="29"/>
  <c r="S38" i="29" s="1"/>
  <c r="S39" i="29" s="1"/>
  <c r="S40" i="29" s="1"/>
  <c r="S41" i="29" s="1"/>
  <c r="S42" i="29" s="1"/>
  <c r="S43" i="29" s="1"/>
  <c r="S29" i="29"/>
  <c r="S30" i="29" s="1"/>
  <c r="S31" i="29" s="1"/>
  <c r="S32" i="29" s="1"/>
  <c r="S33" i="29" s="1"/>
  <c r="S34" i="29" s="1"/>
  <c r="S35" i="29" s="1"/>
  <c r="S21" i="29"/>
  <c r="S22" i="29" s="1"/>
  <c r="S23" i="29" s="1"/>
  <c r="S24" i="29" s="1"/>
  <c r="S25" i="29" s="1"/>
  <c r="S26" i="29" s="1"/>
  <c r="S27" i="29" s="1"/>
  <c r="S13" i="29"/>
  <c r="S14" i="29" s="1"/>
  <c r="S15" i="29" s="1"/>
  <c r="S16" i="29" s="1"/>
  <c r="S17" i="29" s="1"/>
  <c r="S18" i="29" s="1"/>
  <c r="S19" i="29" s="1"/>
  <c r="R45" i="29"/>
  <c r="R46" i="29" s="1"/>
  <c r="R47" i="29" s="1"/>
  <c r="R48" i="29" s="1"/>
  <c r="R49" i="29" s="1"/>
  <c r="R50" i="29" s="1"/>
  <c r="R51" i="29" s="1"/>
  <c r="R29" i="29"/>
  <c r="R30" i="29" s="1"/>
  <c r="R31" i="29" s="1"/>
  <c r="R32" i="29" s="1"/>
  <c r="R33" i="29" s="1"/>
  <c r="R34" i="29" s="1"/>
  <c r="R35" i="29" s="1"/>
  <c r="R21" i="29"/>
  <c r="R22" i="29" s="1"/>
  <c r="R23" i="29" s="1"/>
  <c r="R24" i="29" s="1"/>
  <c r="R25" i="29" s="1"/>
  <c r="R26" i="29" s="1"/>
  <c r="R27" i="29" s="1"/>
  <c r="R37" i="29"/>
  <c r="R38" i="29" s="1"/>
  <c r="R39" i="29" s="1"/>
  <c r="R40" i="29" s="1"/>
  <c r="R41" i="29" s="1"/>
  <c r="R42" i="29" s="1"/>
  <c r="R43" i="29" s="1"/>
  <c r="R13" i="29"/>
  <c r="R14" i="29" s="1"/>
  <c r="R15" i="29" s="1"/>
  <c r="R16" i="29" s="1"/>
  <c r="R17" i="29" s="1"/>
  <c r="R18" i="29" s="1"/>
  <c r="R19" i="29" s="1"/>
  <c r="L1" i="31"/>
  <c r="F53" i="31"/>
  <c r="F52" i="31"/>
  <c r="F51" i="31"/>
  <c r="F48" i="31"/>
  <c r="F45" i="31"/>
  <c r="G45" i="31" s="1"/>
  <c r="T45" i="31" s="1"/>
  <c r="F44" i="31"/>
  <c r="G44" i="31" s="1"/>
  <c r="T44" i="31" s="1"/>
  <c r="U44" i="31" s="1"/>
  <c r="V44" i="31" s="1"/>
  <c r="W44" i="31" s="1"/>
  <c r="X44" i="31" s="1"/>
  <c r="Y44" i="31" s="1"/>
  <c r="Z44" i="31" s="1"/>
  <c r="AA44" i="31" s="1"/>
  <c r="AB44" i="31" s="1"/>
  <c r="AC44" i="31" s="1"/>
  <c r="AD44" i="31" s="1"/>
  <c r="AE44" i="31" s="1"/>
  <c r="AF44" i="31" s="1"/>
  <c r="AG44" i="31" s="1"/>
  <c r="AH44" i="31" s="1"/>
  <c r="AI44" i="31" s="1"/>
  <c r="AJ44" i="31" s="1"/>
  <c r="AK44" i="31" s="1"/>
  <c r="AL44" i="31" s="1"/>
  <c r="AM44" i="31" s="1"/>
  <c r="AN44" i="31" s="1"/>
  <c r="AO44" i="31" s="1"/>
  <c r="AP44" i="31" s="1"/>
  <c r="AQ44" i="31" s="1"/>
  <c r="AR44" i="31" s="1"/>
  <c r="AS44" i="31" s="1"/>
  <c r="AT44" i="31" s="1"/>
  <c r="AU44" i="31" s="1"/>
  <c r="G43" i="31"/>
  <c r="F42" i="31"/>
  <c r="G42" i="31" s="1"/>
  <c r="M42" i="31" s="1"/>
  <c r="AV42" i="31" s="1"/>
  <c r="L42" i="31" s="1"/>
  <c r="F41" i="31"/>
  <c r="G41" i="31" s="1"/>
  <c r="F40" i="31"/>
  <c r="F39" i="31"/>
  <c r="G39" i="31" s="1"/>
  <c r="F34" i="31"/>
  <c r="G34" i="31" s="1"/>
  <c r="F33" i="31"/>
  <c r="G33" i="31" s="1"/>
  <c r="F32" i="31"/>
  <c r="G32" i="31" s="1"/>
  <c r="P32" i="31" s="1"/>
  <c r="F31" i="31"/>
  <c r="G31" i="31" s="1"/>
  <c r="AH31" i="31" s="1"/>
  <c r="F26" i="31"/>
  <c r="G26" i="31" s="1"/>
  <c r="F25" i="31"/>
  <c r="G25" i="31" s="1"/>
  <c r="F24" i="31"/>
  <c r="G24" i="31" s="1"/>
  <c r="F23" i="31"/>
  <c r="G23" i="31" s="1"/>
  <c r="F22" i="31"/>
  <c r="G22" i="31" s="1"/>
  <c r="F19" i="31"/>
  <c r="G19" i="31" s="1"/>
  <c r="F18" i="31"/>
  <c r="G18" i="31" s="1"/>
  <c r="F17" i="31"/>
  <c r="F16" i="31"/>
  <c r="F15" i="31"/>
  <c r="F10" i="31"/>
  <c r="F11" i="31"/>
  <c r="G11" i="31" s="1"/>
  <c r="F9" i="31"/>
  <c r="F47" i="31"/>
  <c r="G47" i="31" s="1"/>
  <c r="F46" i="31"/>
  <c r="G46" i="31" s="1"/>
  <c r="E12" i="31"/>
  <c r="F12" i="31" s="1"/>
  <c r="N1" i="31"/>
  <c r="O1" i="31"/>
  <c r="P1" i="31"/>
  <c r="Q1" i="31"/>
  <c r="R1" i="31"/>
  <c r="S1" i="31"/>
  <c r="T1" i="31"/>
  <c r="U1" i="31"/>
  <c r="V1" i="31"/>
  <c r="W1" i="31"/>
  <c r="X1" i="31"/>
  <c r="Y1" i="31"/>
  <c r="Z1" i="31"/>
  <c r="AA1" i="31"/>
  <c r="AB1" i="31"/>
  <c r="AC1" i="31"/>
  <c r="AD1" i="31"/>
  <c r="AE1" i="31"/>
  <c r="AF1" i="31"/>
  <c r="AG1" i="31"/>
  <c r="AH1" i="31"/>
  <c r="AI1" i="31"/>
  <c r="AJ1" i="31"/>
  <c r="AK1" i="31"/>
  <c r="AL1" i="31"/>
  <c r="AM1" i="31"/>
  <c r="AN1" i="31"/>
  <c r="AO1" i="31"/>
  <c r="AP1" i="31"/>
  <c r="AQ1" i="31"/>
  <c r="AR1" i="31"/>
  <c r="AS1" i="31"/>
  <c r="AT1" i="31"/>
  <c r="AU1" i="31"/>
  <c r="M1" i="31"/>
  <c r="N3" i="31"/>
  <c r="O3" i="31"/>
  <c r="P3" i="31"/>
  <c r="Q3" i="31"/>
  <c r="R3" i="31"/>
  <c r="S3" i="31"/>
  <c r="T3" i="31"/>
  <c r="U3" i="31"/>
  <c r="V3" i="31"/>
  <c r="W3" i="31"/>
  <c r="X3" i="31"/>
  <c r="Y3" i="31"/>
  <c r="Z3" i="31"/>
  <c r="AA3" i="31"/>
  <c r="AB3" i="31"/>
  <c r="AC3" i="31"/>
  <c r="AD3" i="31"/>
  <c r="AE3" i="31"/>
  <c r="AF3" i="31"/>
  <c r="AG3" i="31"/>
  <c r="AH3" i="31"/>
  <c r="AI3" i="31"/>
  <c r="AJ3" i="31"/>
  <c r="AK3" i="31"/>
  <c r="AL3" i="31"/>
  <c r="AM3" i="31"/>
  <c r="AN3" i="31"/>
  <c r="AO3" i="31"/>
  <c r="AP3" i="31"/>
  <c r="AQ3" i="31"/>
  <c r="AR3" i="31"/>
  <c r="AS3" i="31"/>
  <c r="AT3" i="31"/>
  <c r="AU3" i="31"/>
  <c r="N4" i="31"/>
  <c r="O4" i="31"/>
  <c r="P4" i="31"/>
  <c r="Q4" i="31"/>
  <c r="R4" i="31"/>
  <c r="S4" i="31"/>
  <c r="T4" i="31"/>
  <c r="U4" i="31"/>
  <c r="V4" i="31"/>
  <c r="W4" i="31"/>
  <c r="X4" i="31"/>
  <c r="Y4" i="31"/>
  <c r="Z4" i="31"/>
  <c r="AA4" i="31"/>
  <c r="AB4" i="31"/>
  <c r="AC4" i="31"/>
  <c r="AD4" i="31"/>
  <c r="AE4" i="31"/>
  <c r="AF4" i="31"/>
  <c r="AG4" i="31"/>
  <c r="AH4" i="31"/>
  <c r="AI4" i="31"/>
  <c r="AJ4" i="31"/>
  <c r="AK4" i="31"/>
  <c r="AL4" i="31"/>
  <c r="AM4" i="31"/>
  <c r="AN4" i="31"/>
  <c r="AO4" i="31"/>
  <c r="AP4" i="31"/>
  <c r="AQ4" i="31"/>
  <c r="AR4" i="31"/>
  <c r="AS4" i="31"/>
  <c r="AT4" i="31"/>
  <c r="AU4" i="31"/>
  <c r="M4" i="31"/>
  <c r="M3" i="31"/>
  <c r="AV48" i="31"/>
  <c r="L48" i="31" s="1"/>
  <c r="M30" i="31"/>
  <c r="L20" i="31"/>
  <c r="D10" i="31"/>
  <c r="D9" i="31"/>
  <c r="G9" i="31" s="1"/>
  <c r="T47" i="31" l="1"/>
  <c r="U47" i="31" s="1"/>
  <c r="V47" i="31" s="1"/>
  <c r="W47" i="31" s="1"/>
  <c r="X47" i="31" s="1"/>
  <c r="Y47" i="31" s="1"/>
  <c r="Z47" i="31" s="1"/>
  <c r="AA47" i="31" s="1"/>
  <c r="AB47" i="31" s="1"/>
  <c r="AC47" i="31" s="1"/>
  <c r="AD47" i="31" s="1"/>
  <c r="AE47" i="31" s="1"/>
  <c r="AF47" i="31" s="1"/>
  <c r="AG47" i="31" s="1"/>
  <c r="AH47" i="31" s="1"/>
  <c r="AI47" i="31" s="1"/>
  <c r="AJ47" i="31" s="1"/>
  <c r="AK47" i="31" s="1"/>
  <c r="AL47" i="31" s="1"/>
  <c r="AM47" i="31" s="1"/>
  <c r="AN47" i="31" s="1"/>
  <c r="AO47" i="31" s="1"/>
  <c r="AP47" i="31" s="1"/>
  <c r="AQ47" i="31" s="1"/>
  <c r="AR47" i="31" s="1"/>
  <c r="AS47" i="31" s="1"/>
  <c r="AT47" i="31" s="1"/>
  <c r="AU47" i="31" s="1"/>
  <c r="AE46" i="31"/>
  <c r="AD46" i="31"/>
  <c r="O46" i="31"/>
  <c r="AQ46" i="31"/>
  <c r="P46" i="31"/>
  <c r="Q46" i="31"/>
  <c r="AC46" i="31"/>
  <c r="AO46" i="31"/>
  <c r="R46" i="31"/>
  <c r="S46" i="31"/>
  <c r="T46" i="31"/>
  <c r="AF46" i="31"/>
  <c r="AR46" i="31"/>
  <c r="U46" i="31"/>
  <c r="AG46" i="31"/>
  <c r="AS46" i="31"/>
  <c r="AK46" i="31"/>
  <c r="Z46" i="31"/>
  <c r="AP46" i="31"/>
  <c r="V46" i="31"/>
  <c r="AH46" i="31"/>
  <c r="AT46" i="31"/>
  <c r="AJ46" i="31"/>
  <c r="AM46" i="31"/>
  <c r="AN46" i="31"/>
  <c r="W46" i="31"/>
  <c r="AI46" i="31"/>
  <c r="AU46" i="31"/>
  <c r="X46" i="31"/>
  <c r="Y46" i="31"/>
  <c r="AL46" i="31"/>
  <c r="AA46" i="31"/>
  <c r="AB46" i="31"/>
  <c r="V43" i="31"/>
  <c r="AH43" i="31"/>
  <c r="AT43" i="31"/>
  <c r="X43" i="31"/>
  <c r="O43" i="31"/>
  <c r="Z43" i="31"/>
  <c r="AA43" i="31"/>
  <c r="AM43" i="31"/>
  <c r="AB43" i="31"/>
  <c r="Q43" i="31"/>
  <c r="AC43" i="31"/>
  <c r="R43" i="31"/>
  <c r="AD43" i="31"/>
  <c r="S43" i="31"/>
  <c r="AE43" i="31"/>
  <c r="T43" i="31"/>
  <c r="AR43" i="31"/>
  <c r="U43" i="31"/>
  <c r="AS43" i="31"/>
  <c r="W43" i="31"/>
  <c r="AI43" i="31"/>
  <c r="AU43" i="31"/>
  <c r="AJ43" i="31"/>
  <c r="Y43" i="31"/>
  <c r="AK43" i="31"/>
  <c r="AL43" i="31"/>
  <c r="P43" i="31"/>
  <c r="AN43" i="31"/>
  <c r="AO43" i="31"/>
  <c r="AP43" i="31"/>
  <c r="AQ43" i="31"/>
  <c r="AF43" i="31"/>
  <c r="AG43" i="31"/>
  <c r="U45" i="31"/>
  <c r="V45" i="31" s="1"/>
  <c r="W45" i="31" s="1"/>
  <c r="X45" i="31" s="1"/>
  <c r="Y45" i="31" s="1"/>
  <c r="Z45" i="31" s="1"/>
  <c r="AA45" i="31" s="1"/>
  <c r="AB45" i="31" s="1"/>
  <c r="AC45" i="31" s="1"/>
  <c r="AD45" i="31" s="1"/>
  <c r="AE45" i="31" s="1"/>
  <c r="AF45" i="31" s="1"/>
  <c r="AG45" i="31" s="1"/>
  <c r="AH45" i="31" s="1"/>
  <c r="AI45" i="31" s="1"/>
  <c r="AJ45" i="31" s="1"/>
  <c r="AK45" i="31" s="1"/>
  <c r="AL45" i="31" s="1"/>
  <c r="AM45" i="31" s="1"/>
  <c r="AN45" i="31" s="1"/>
  <c r="AO45" i="31" s="1"/>
  <c r="AP45" i="31" s="1"/>
  <c r="AQ45" i="31" s="1"/>
  <c r="AR45" i="31" s="1"/>
  <c r="AS45" i="31" s="1"/>
  <c r="AT45" i="31" s="1"/>
  <c r="AU45" i="31" s="1"/>
  <c r="P34" i="31"/>
  <c r="V34" i="31"/>
  <c r="P33" i="31"/>
  <c r="V31" i="31"/>
  <c r="P31" i="31"/>
  <c r="M21" i="31"/>
  <c r="G28" i="31"/>
  <c r="S28" i="31"/>
  <c r="W28" i="31" s="1"/>
  <c r="AA28" i="31" s="1"/>
  <c r="AE28" i="31" s="1"/>
  <c r="AI28" i="31" s="1"/>
  <c r="AM28" i="31" s="1"/>
  <c r="AQ28" i="31" s="1"/>
  <c r="AU28" i="31" s="1"/>
  <c r="AD36" i="31"/>
  <c r="AH36" i="31" s="1"/>
  <c r="AL36" i="31" s="1"/>
  <c r="AP36" i="31" s="1"/>
  <c r="AT36" i="31" s="1"/>
  <c r="U35" i="31"/>
  <c r="Y35" i="31" s="1"/>
  <c r="AC35" i="31" s="1"/>
  <c r="AG35" i="31" s="1"/>
  <c r="AK35" i="31" s="1"/>
  <c r="AO35" i="31" s="1"/>
  <c r="AS35" i="31" s="1"/>
  <c r="G27" i="31"/>
  <c r="V27" i="31"/>
  <c r="Z27" i="31" s="1"/>
  <c r="AD27" i="31" s="1"/>
  <c r="AH27" i="31" s="1"/>
  <c r="AL27" i="31" s="1"/>
  <c r="AP27" i="31" s="1"/>
  <c r="AT27" i="31" s="1"/>
  <c r="N30" i="31"/>
  <c r="Y34" i="31"/>
  <c r="X34" i="31"/>
  <c r="AK34" i="31"/>
  <c r="AF34" i="31"/>
  <c r="Z34" i="31"/>
  <c r="U33" i="31"/>
  <c r="T31" i="31"/>
  <c r="Z31" i="31"/>
  <c r="X31" i="31"/>
  <c r="T34" i="31"/>
  <c r="AT31" i="31"/>
  <c r="AR31" i="31"/>
  <c r="AT34" i="31"/>
  <c r="AK31" i="31"/>
  <c r="AR34" i="31"/>
  <c r="AJ31" i="31"/>
  <c r="AJ34" i="31"/>
  <c r="AF31" i="31"/>
  <c r="AH34" i="31"/>
  <c r="Y31" i="31"/>
  <c r="AR33" i="31"/>
  <c r="AF33" i="31"/>
  <c r="T33" i="31"/>
  <c r="G16" i="31"/>
  <c r="G51" i="31"/>
  <c r="AU34" i="31"/>
  <c r="AI34" i="31"/>
  <c r="W34" i="31"/>
  <c r="AQ33" i="31"/>
  <c r="AE33" i="31"/>
  <c r="S33" i="31"/>
  <c r="AU31" i="31"/>
  <c r="AI31" i="31"/>
  <c r="W31" i="31"/>
  <c r="AP33" i="31"/>
  <c r="AD33" i="31"/>
  <c r="R33" i="31"/>
  <c r="AS34" i="31"/>
  <c r="AG34" i="31"/>
  <c r="U34" i="31"/>
  <c r="AO33" i="31"/>
  <c r="AC33" i="31"/>
  <c r="Q33" i="31"/>
  <c r="AS31" i="31"/>
  <c r="AG31" i="31"/>
  <c r="U31" i="31"/>
  <c r="AQ34" i="31"/>
  <c r="AE34" i="31"/>
  <c r="S34" i="31"/>
  <c r="AM33" i="31"/>
  <c r="AA33" i="31"/>
  <c r="AQ31" i="31"/>
  <c r="AE31" i="31"/>
  <c r="S31" i="31"/>
  <c r="AN33" i="31"/>
  <c r="AP34" i="31"/>
  <c r="AD34" i="31"/>
  <c r="R34" i="31"/>
  <c r="AL33" i="31"/>
  <c r="Z33" i="31"/>
  <c r="AP31" i="31"/>
  <c r="AD31" i="31"/>
  <c r="R31" i="31"/>
  <c r="AV1" i="31"/>
  <c r="AO34" i="31"/>
  <c r="AC34" i="31"/>
  <c r="Q34" i="31"/>
  <c r="AK33" i="31"/>
  <c r="Y33" i="31"/>
  <c r="AO31" i="31"/>
  <c r="AC31" i="31"/>
  <c r="Q31" i="31"/>
  <c r="AB33" i="31"/>
  <c r="G40" i="31"/>
  <c r="AN34" i="31"/>
  <c r="AB34" i="31"/>
  <c r="AJ33" i="31"/>
  <c r="X33" i="31"/>
  <c r="AN31" i="31"/>
  <c r="AB31" i="31"/>
  <c r="AM34" i="31"/>
  <c r="AA34" i="31"/>
  <c r="AU33" i="31"/>
  <c r="AI33" i="31"/>
  <c r="W33" i="31"/>
  <c r="AM31" i="31"/>
  <c r="AA31" i="31"/>
  <c r="AL34" i="31"/>
  <c r="AT33" i="31"/>
  <c r="AH33" i="31"/>
  <c r="V33" i="31"/>
  <c r="AL31" i="31"/>
  <c r="AS33" i="31"/>
  <c r="AG33" i="31"/>
  <c r="G12" i="31"/>
  <c r="G10" i="31"/>
  <c r="G30" i="31"/>
  <c r="AV53" i="31"/>
  <c r="L53" i="31" s="1"/>
  <c r="D17" i="31"/>
  <c r="G17" i="31" s="1"/>
  <c r="G52" i="31"/>
  <c r="G15" i="31"/>
  <c r="G21" i="31"/>
  <c r="AV40" i="31" l="1"/>
  <c r="L40" i="31" s="1"/>
  <c r="O38" i="31"/>
  <c r="AV41" i="31"/>
  <c r="L41" i="31" s="1"/>
  <c r="AV45" i="31"/>
  <c r="G38" i="31"/>
  <c r="Q32" i="31"/>
  <c r="Q30" i="31" s="1"/>
  <c r="AC32" i="31"/>
  <c r="AC30" i="31" s="1"/>
  <c r="AO32" i="31"/>
  <c r="R32" i="31"/>
  <c r="AD32" i="31"/>
  <c r="AD30" i="31" s="1"/>
  <c r="AP32" i="31"/>
  <c r="AP30" i="31" s="1"/>
  <c r="O30" i="31"/>
  <c r="S32" i="31"/>
  <c r="S30" i="31" s="1"/>
  <c r="AE32" i="31"/>
  <c r="AE30" i="31" s="1"/>
  <c r="AQ32" i="31"/>
  <c r="AQ30" i="31" s="1"/>
  <c r="AJ32" i="31"/>
  <c r="AJ30" i="31" s="1"/>
  <c r="T32" i="31"/>
  <c r="T30" i="31" s="1"/>
  <c r="AF32" i="31"/>
  <c r="AF30" i="31" s="1"/>
  <c r="AR32" i="31"/>
  <c r="AR30" i="31" s="1"/>
  <c r="U32" i="31"/>
  <c r="U30" i="31" s="1"/>
  <c r="AG32" i="31"/>
  <c r="AG30" i="31" s="1"/>
  <c r="AS32" i="31"/>
  <c r="V32" i="31"/>
  <c r="V30" i="31" s="1"/>
  <c r="AH32" i="31"/>
  <c r="AH30" i="31" s="1"/>
  <c r="AT32" i="31"/>
  <c r="AT30" i="31" s="1"/>
  <c r="W32" i="31"/>
  <c r="W30" i="31" s="1"/>
  <c r="AI32" i="31"/>
  <c r="AI30" i="31" s="1"/>
  <c r="AU32" i="31"/>
  <c r="AU30" i="31" s="1"/>
  <c r="X32" i="31"/>
  <c r="X30" i="31" s="1"/>
  <c r="Y32" i="31"/>
  <c r="Y30" i="31" s="1"/>
  <c r="AK32" i="31"/>
  <c r="Z32" i="31"/>
  <c r="Z30" i="31" s="1"/>
  <c r="AL32" i="31"/>
  <c r="AL30" i="31" s="1"/>
  <c r="AA32" i="31"/>
  <c r="AA30" i="31" s="1"/>
  <c r="AM32" i="31"/>
  <c r="AM30" i="31" s="1"/>
  <c r="AB32" i="31"/>
  <c r="AB30" i="31" s="1"/>
  <c r="AN32" i="31"/>
  <c r="AN30" i="31" s="1"/>
  <c r="G8" i="31"/>
  <c r="G14" i="31"/>
  <c r="P30" i="31"/>
  <c r="AG21" i="31"/>
  <c r="AV52" i="31"/>
  <c r="L52" i="31" s="1"/>
  <c r="AP38" i="31"/>
  <c r="N38" i="31"/>
  <c r="AV47" i="31"/>
  <c r="L47" i="31" s="1"/>
  <c r="AV31" i="31"/>
  <c r="L31" i="31" s="1"/>
  <c r="S38" i="31"/>
  <c r="G50" i="31"/>
  <c r="V38" i="31"/>
  <c r="Z38" i="31"/>
  <c r="AL38" i="31"/>
  <c r="Q38" i="31"/>
  <c r="AV34" i="31"/>
  <c r="L34" i="31" s="1"/>
  <c r="AV33" i="31"/>
  <c r="L33" i="31" s="1"/>
  <c r="AE21" i="31"/>
  <c r="AV23" i="31"/>
  <c r="L23" i="31" s="1"/>
  <c r="AT21" i="31"/>
  <c r="AN21" i="31"/>
  <c r="AM21" i="31"/>
  <c r="AV26" i="31"/>
  <c r="L26" i="31" s="1"/>
  <c r="P21" i="31"/>
  <c r="AH21" i="31"/>
  <c r="AS21" i="31"/>
  <c r="AT38" i="31"/>
  <c r="AR21" i="31"/>
  <c r="U21" i="31"/>
  <c r="AI21" i="31"/>
  <c r="AQ21" i="31"/>
  <c r="Z21" i="31"/>
  <c r="W38" i="31"/>
  <c r="AA38" i="31"/>
  <c r="W21" i="31"/>
  <c r="AP21" i="31"/>
  <c r="AD21" i="31"/>
  <c r="AI38" i="31"/>
  <c r="X21" i="31"/>
  <c r="AV19" i="31"/>
  <c r="L19" i="31" s="1"/>
  <c r="AQ38" i="31"/>
  <c r="AU38" i="31"/>
  <c r="AJ21" i="31"/>
  <c r="T21" i="31"/>
  <c r="AE38" i="31"/>
  <c r="V21" i="31"/>
  <c r="Y21" i="31"/>
  <c r="AH38" i="31"/>
  <c r="AD38" i="31"/>
  <c r="AM38" i="31"/>
  <c r="AU21" i="31"/>
  <c r="AK21" i="31"/>
  <c r="AV11" i="31"/>
  <c r="L11" i="31" s="1"/>
  <c r="AB21" i="31"/>
  <c r="AV39" i="31"/>
  <c r="L39" i="31" s="1"/>
  <c r="M38" i="31"/>
  <c r="AL21" i="31"/>
  <c r="AV43" i="31"/>
  <c r="L43" i="31" s="1"/>
  <c r="AA21" i="31"/>
  <c r="R38" i="31"/>
  <c r="U38" i="31"/>
  <c r="Y38" i="31"/>
  <c r="AC38" i="31"/>
  <c r="AV24" i="31"/>
  <c r="L24" i="31" s="1"/>
  <c r="Q21" i="31"/>
  <c r="M50" i="31"/>
  <c r="AK38" i="31"/>
  <c r="O21" i="31"/>
  <c r="AG38" i="31"/>
  <c r="AO38" i="31"/>
  <c r="AF21" i="31"/>
  <c r="AC21" i="31"/>
  <c r="AS38" i="31"/>
  <c r="AV25" i="31"/>
  <c r="L25" i="31" s="1"/>
  <c r="AV18" i="31"/>
  <c r="L18" i="31" s="1"/>
  <c r="AV22" i="31"/>
  <c r="L22" i="31" s="1"/>
  <c r="N21" i="31"/>
  <c r="AO21" i="31"/>
  <c r="AD14" i="31" l="1"/>
  <c r="AP14" i="31"/>
  <c r="Q14" i="31"/>
  <c r="AB14" i="31"/>
  <c r="AH14" i="31"/>
  <c r="AU14" i="31"/>
  <c r="AI14" i="31"/>
  <c r="P14" i="31"/>
  <c r="AN14" i="31"/>
  <c r="N14" i="31"/>
  <c r="V14" i="31"/>
  <c r="AK14" i="31"/>
  <c r="AS14" i="31"/>
  <c r="AE14" i="31"/>
  <c r="AV12" i="31"/>
  <c r="L12" i="31" s="1"/>
  <c r="U14" i="31"/>
  <c r="S14" i="31"/>
  <c r="AR14" i="31"/>
  <c r="AV16" i="31"/>
  <c r="L16" i="31" s="1"/>
  <c r="AQ14" i="31"/>
  <c r="AL14" i="31"/>
  <c r="AA14" i="31"/>
  <c r="Z14" i="31"/>
  <c r="AS30" i="31"/>
  <c r="T14" i="31"/>
  <c r="AV10" i="31"/>
  <c r="L10" i="31" s="1"/>
  <c r="X14" i="31"/>
  <c r="AO14" i="31"/>
  <c r="Y14" i="31"/>
  <c r="AC14" i="31"/>
  <c r="AV32" i="31"/>
  <c r="L32" i="31" s="1"/>
  <c r="AJ14" i="31"/>
  <c r="W14" i="31"/>
  <c r="AG14" i="31"/>
  <c r="AV17" i="31"/>
  <c r="L17" i="31" s="1"/>
  <c r="AF14" i="31"/>
  <c r="AT14" i="31"/>
  <c r="AM14" i="31"/>
  <c r="R14" i="31"/>
  <c r="O14" i="31"/>
  <c r="AO30" i="31"/>
  <c r="AV9" i="31"/>
  <c r="L9" i="31" s="1"/>
  <c r="M8" i="31"/>
  <c r="N50" i="31"/>
  <c r="AV15" i="31"/>
  <c r="L15" i="31" s="1"/>
  <c r="M14" i="31"/>
  <c r="AK30" i="31"/>
  <c r="N6" i="31" l="1"/>
  <c r="N2" i="31" s="1"/>
  <c r="AV14" i="31"/>
  <c r="L14" i="31" s="1"/>
  <c r="O50" i="31"/>
  <c r="AV8" i="31"/>
  <c r="L8" i="31" s="1"/>
  <c r="M6" i="31"/>
  <c r="M2" i="31" s="1"/>
  <c r="O6" i="31" l="1"/>
  <c r="O2" i="31" s="1"/>
  <c r="P50" i="31"/>
  <c r="Q50" i="31" l="1"/>
  <c r="Q6" i="31" s="1"/>
  <c r="Q2" i="31" s="1"/>
  <c r="R50" i="31" l="1"/>
  <c r="S50" i="31" l="1"/>
  <c r="T50" i="31" l="1"/>
  <c r="U50" i="31" l="1"/>
  <c r="U6" i="31" s="1"/>
  <c r="U2" i="31" s="1"/>
  <c r="V50" i="31" l="1"/>
  <c r="V6" i="31" s="1"/>
  <c r="V2" i="31" s="1"/>
  <c r="W50" i="31" l="1"/>
  <c r="W6" i="31" s="1"/>
  <c r="W2" i="31" s="1"/>
  <c r="X50" i="31" l="1"/>
  <c r="Y50" i="31" l="1"/>
  <c r="Y6" i="31" s="1"/>
  <c r="Y2" i="31" s="1"/>
  <c r="Z50" i="31" l="1"/>
  <c r="Z6" i="31" s="1"/>
  <c r="Z2" i="31" s="1"/>
  <c r="AA50" i="31" l="1"/>
  <c r="AA6" i="31" s="1"/>
  <c r="AA2" i="31" s="1"/>
  <c r="AB50" i="31" l="1"/>
  <c r="AC50" i="31" l="1"/>
  <c r="AC6" i="31" s="1"/>
  <c r="AC2" i="31" s="1"/>
  <c r="AD50" i="31" l="1"/>
  <c r="AD6" i="31" s="1"/>
  <c r="AD2" i="31" s="1"/>
  <c r="AE50" i="31" l="1"/>
  <c r="AE6" i="31" s="1"/>
  <c r="AE2" i="31" s="1"/>
  <c r="AF50" i="31" l="1"/>
  <c r="AG50" i="31" l="1"/>
  <c r="AG6" i="31" s="1"/>
  <c r="AG2" i="31" s="1"/>
  <c r="AH50" i="31" l="1"/>
  <c r="AH6" i="31" s="1"/>
  <c r="AH2" i="31" s="1"/>
  <c r="AI50" i="31" l="1"/>
  <c r="AI6" i="31" s="1"/>
  <c r="AI2" i="31" s="1"/>
  <c r="AJ50" i="31" l="1"/>
  <c r="AK50" i="31" l="1"/>
  <c r="AK6" i="31" s="1"/>
  <c r="AK2" i="31" s="1"/>
  <c r="AL50" i="31" l="1"/>
  <c r="AL6" i="31" s="1"/>
  <c r="AL2" i="31" s="1"/>
  <c r="AM50" i="31" l="1"/>
  <c r="AM6" i="31" s="1"/>
  <c r="AM2" i="31" s="1"/>
  <c r="AN50" i="31" l="1"/>
  <c r="AO50" i="31" l="1"/>
  <c r="AO6" i="31" s="1"/>
  <c r="AO2" i="31" s="1"/>
  <c r="AP50" i="31" l="1"/>
  <c r="AP6" i="31" s="1"/>
  <c r="AP2" i="31" s="1"/>
  <c r="AQ50" i="31" l="1"/>
  <c r="AQ6" i="31" s="1"/>
  <c r="AQ2" i="31" s="1"/>
  <c r="AR50" i="31" l="1"/>
  <c r="AS50" i="31" l="1"/>
  <c r="AS6" i="31" s="1"/>
  <c r="AS2" i="31" s="1"/>
  <c r="AT50" i="31" l="1"/>
  <c r="AT6" i="31" s="1"/>
  <c r="AT2" i="31" s="1"/>
  <c r="AU50" i="31" l="1"/>
  <c r="AV51" i="31"/>
  <c r="L51" i="31" s="1"/>
  <c r="AU6" i="31" l="1"/>
  <c r="AV50" i="31"/>
  <c r="L50" i="31" s="1"/>
  <c r="AU2" i="31" l="1"/>
  <c r="T45" i="29" l="1"/>
  <c r="T37" i="29"/>
  <c r="T29" i="29"/>
  <c r="T21" i="29"/>
  <c r="S5" i="29"/>
  <c r="S6" i="29" s="1"/>
  <c r="S7" i="29" s="1"/>
  <c r="S8" i="29" s="1"/>
  <c r="S9" i="29" s="1"/>
  <c r="S10" i="29" s="1"/>
  <c r="S11" i="29" s="1"/>
  <c r="R5" i="29"/>
  <c r="T5" i="29" s="1"/>
  <c r="R6" i="29"/>
  <c r="R7" i="29" s="1"/>
  <c r="R8" i="29" s="1"/>
  <c r="R9" i="29" s="1"/>
  <c r="R10" i="29" s="1"/>
  <c r="R11" i="29" s="1"/>
  <c r="T11" i="29" s="1"/>
  <c r="AO9" i="18"/>
  <c r="AP9" i="18"/>
  <c r="Q328" i="25"/>
  <c r="Q325" i="25"/>
  <c r="Q326" i="25"/>
  <c r="Q327" i="25"/>
  <c r="Q324" i="25"/>
  <c r="L82" i="11"/>
  <c r="K82" i="11"/>
  <c r="J82" i="11"/>
  <c r="I82" i="11"/>
  <c r="H82" i="11"/>
  <c r="G82" i="11"/>
  <c r="F82" i="11"/>
  <c r="E82" i="11"/>
  <c r="D82" i="11"/>
  <c r="C82" i="11"/>
  <c r="E39" i="30"/>
  <c r="E38" i="30"/>
  <c r="E37" i="30"/>
  <c r="E36" i="30"/>
  <c r="E35" i="30"/>
  <c r="E34" i="30"/>
  <c r="E33" i="30"/>
  <c r="H18" i="30"/>
  <c r="H31" i="30" s="1"/>
  <c r="B15" i="30"/>
  <c r="B13" i="30"/>
  <c r="B12" i="30"/>
  <c r="B11" i="30"/>
  <c r="D2" i="15"/>
  <c r="I8" i="14"/>
  <c r="F8" i="14" s="1"/>
  <c r="I4" i="14"/>
  <c r="F4" i="14" s="1"/>
  <c r="I5" i="14"/>
  <c r="F5" i="14" s="1"/>
  <c r="I6" i="14"/>
  <c r="F6" i="14" s="1"/>
  <c r="I7" i="14"/>
  <c r="I3" i="14"/>
  <c r="F3" i="14" s="1"/>
  <c r="J3" i="13"/>
  <c r="I3" i="13"/>
  <c r="H3" i="13"/>
  <c r="G2" i="13"/>
  <c r="L96" i="26"/>
  <c r="E96" i="26" s="1"/>
  <c r="L95" i="26"/>
  <c r="E95" i="26" s="1"/>
  <c r="L94" i="26"/>
  <c r="E94" i="26" s="1"/>
  <c r="L93" i="26"/>
  <c r="E93" i="26" s="1"/>
  <c r="L92" i="26"/>
  <c r="E92" i="26" s="1"/>
  <c r="L91" i="26"/>
  <c r="E91" i="26" s="1"/>
  <c r="E81" i="26"/>
  <c r="L85" i="26"/>
  <c r="E85" i="26" s="1"/>
  <c r="L84" i="26"/>
  <c r="E84" i="26" s="1"/>
  <c r="L83" i="26"/>
  <c r="E83" i="26" s="1"/>
  <c r="L82" i="26"/>
  <c r="E82" i="26" s="1"/>
  <c r="L81" i="26"/>
  <c r="L80" i="26"/>
  <c r="E80" i="26" s="1"/>
  <c r="E71" i="26"/>
  <c r="E73" i="26"/>
  <c r="L74" i="26"/>
  <c r="E74" i="26" s="1"/>
  <c r="L73" i="26"/>
  <c r="L72" i="26"/>
  <c r="E72" i="26" s="1"/>
  <c r="L71" i="26"/>
  <c r="L70" i="26"/>
  <c r="E70" i="26" s="1"/>
  <c r="L69" i="26"/>
  <c r="E69" i="26" s="1"/>
  <c r="E63" i="26"/>
  <c r="L59" i="26"/>
  <c r="E59" i="26" s="1"/>
  <c r="L60" i="26"/>
  <c r="E60" i="26" s="1"/>
  <c r="L61" i="26"/>
  <c r="E61" i="26" s="1"/>
  <c r="L62" i="26"/>
  <c r="E62" i="26" s="1"/>
  <c r="L63" i="26"/>
  <c r="L58" i="26"/>
  <c r="E58" i="26" s="1"/>
  <c r="L52" i="26"/>
  <c r="E52" i="26" s="1"/>
  <c r="L51" i="26"/>
  <c r="E51" i="26" s="1"/>
  <c r="L50" i="26"/>
  <c r="E50" i="26" s="1"/>
  <c r="L49" i="26"/>
  <c r="E49" i="26" s="1"/>
  <c r="L48" i="26"/>
  <c r="E48" i="26" s="1"/>
  <c r="L47" i="26"/>
  <c r="E47" i="26" s="1"/>
  <c r="L41" i="26"/>
  <c r="E41" i="26" s="1"/>
  <c r="L40" i="26"/>
  <c r="E40" i="26" s="1"/>
  <c r="L39" i="26"/>
  <c r="E39" i="26" s="1"/>
  <c r="L38" i="26"/>
  <c r="E38" i="26" s="1"/>
  <c r="L37" i="26"/>
  <c r="E37" i="26" s="1"/>
  <c r="L36" i="26"/>
  <c r="E36" i="26" s="1"/>
  <c r="E29" i="26"/>
  <c r="E30" i="26"/>
  <c r="L25" i="26"/>
  <c r="E26" i="26" s="1"/>
  <c r="L26" i="26"/>
  <c r="E27" i="26" s="1"/>
  <c r="L27" i="26"/>
  <c r="E28" i="26" s="1"/>
  <c r="L28" i="26"/>
  <c r="L29" i="26"/>
  <c r="L24" i="26"/>
  <c r="E25" i="26" s="1"/>
  <c r="K84" i="26"/>
  <c r="K73" i="26"/>
  <c r="K62" i="26"/>
  <c r="K61" i="26"/>
  <c r="K51" i="26"/>
  <c r="K40" i="26"/>
  <c r="K28" i="26"/>
  <c r="E174" i="22"/>
  <c r="I71" i="22"/>
  <c r="E71" i="22" s="1"/>
  <c r="I76" i="22"/>
  <c r="E76" i="22" s="1"/>
  <c r="I77" i="22"/>
  <c r="E77" i="22" s="1"/>
  <c r="I78" i="22"/>
  <c r="E78" i="22" s="1"/>
  <c r="I79" i="22"/>
  <c r="E79" i="22" s="1"/>
  <c r="I80" i="22"/>
  <c r="E80" i="22" s="1"/>
  <c r="I81" i="22"/>
  <c r="E81" i="22" s="1"/>
  <c r="I82" i="22"/>
  <c r="E82" i="22" s="1"/>
  <c r="I86" i="22"/>
  <c r="E86" i="22" s="1"/>
  <c r="I87" i="22"/>
  <c r="E87" i="22" s="1"/>
  <c r="I88" i="22"/>
  <c r="E88" i="22" s="1"/>
  <c r="I89" i="22"/>
  <c r="E89" i="22" s="1"/>
  <c r="I90" i="22"/>
  <c r="E90" i="22" s="1"/>
  <c r="I91" i="22"/>
  <c r="E91" i="22" s="1"/>
  <c r="I92" i="22"/>
  <c r="E92" i="22" s="1"/>
  <c r="I93" i="22"/>
  <c r="E93" i="22" s="1"/>
  <c r="I94" i="22"/>
  <c r="E94" i="22" s="1"/>
  <c r="I97" i="22"/>
  <c r="I100" i="22"/>
  <c r="E100" i="22" s="1"/>
  <c r="I101" i="22"/>
  <c r="E101" i="22" s="1"/>
  <c r="I106" i="22"/>
  <c r="E106" i="22" s="1"/>
  <c r="I107" i="22"/>
  <c r="E107" i="22" s="1"/>
  <c r="I108" i="22"/>
  <c r="E108" i="22" s="1"/>
  <c r="I109" i="22"/>
  <c r="E109" i="22" s="1"/>
  <c r="I110" i="22"/>
  <c r="E110" i="22" s="1"/>
  <c r="I114" i="22"/>
  <c r="E114" i="22" s="1"/>
  <c r="I115" i="22"/>
  <c r="E115" i="22" s="1"/>
  <c r="I116" i="22"/>
  <c r="E116" i="22" s="1"/>
  <c r="I117" i="22"/>
  <c r="E117" i="22" s="1"/>
  <c r="I118" i="22"/>
  <c r="E118" i="22" s="1"/>
  <c r="I119" i="22"/>
  <c r="E119" i="22" s="1"/>
  <c r="I120" i="22"/>
  <c r="E120" i="22" s="1"/>
  <c r="I126" i="22"/>
  <c r="E126" i="22" s="1"/>
  <c r="I131" i="22"/>
  <c r="E131" i="22" s="1"/>
  <c r="I132" i="22"/>
  <c r="E132" i="22" s="1"/>
  <c r="I133" i="22"/>
  <c r="E133" i="22" s="1"/>
  <c r="I137" i="22"/>
  <c r="E137" i="22" s="1"/>
  <c r="I138" i="22"/>
  <c r="E138" i="22" s="1"/>
  <c r="I139" i="22"/>
  <c r="E139" i="22" s="1"/>
  <c r="I140" i="22"/>
  <c r="E140" i="22" s="1"/>
  <c r="I141" i="22"/>
  <c r="E141" i="22" s="1"/>
  <c r="I142" i="22"/>
  <c r="E142" i="22" s="1"/>
  <c r="I143" i="22"/>
  <c r="E143" i="22" s="1"/>
  <c r="I144" i="22"/>
  <c r="E144" i="22" s="1"/>
  <c r="I145" i="22"/>
  <c r="E145" i="22" s="1"/>
  <c r="I146" i="22"/>
  <c r="E146" i="22" s="1"/>
  <c r="I147" i="22"/>
  <c r="E147" i="22" s="1"/>
  <c r="I148" i="22"/>
  <c r="E148" i="22" s="1"/>
  <c r="I154" i="22"/>
  <c r="E154" i="22" s="1"/>
  <c r="I155" i="22"/>
  <c r="E155" i="22" s="1"/>
  <c r="I160" i="22"/>
  <c r="E160" i="22" s="1"/>
  <c r="I161" i="22"/>
  <c r="E161" i="22" s="1"/>
  <c r="I162" i="22"/>
  <c r="E162" i="22" s="1"/>
  <c r="I163" i="22"/>
  <c r="E163" i="22" s="1"/>
  <c r="I167" i="22"/>
  <c r="E167" i="22" s="1"/>
  <c r="I168" i="22"/>
  <c r="E168" i="22" s="1"/>
  <c r="I169" i="22"/>
  <c r="E169" i="22" s="1"/>
  <c r="I170" i="22"/>
  <c r="E170" i="22" s="1"/>
  <c r="I171" i="22"/>
  <c r="E171" i="22" s="1"/>
  <c r="I172" i="22"/>
  <c r="E172" i="22" s="1"/>
  <c r="I173" i="22"/>
  <c r="E173" i="22" s="1"/>
  <c r="I174" i="22"/>
  <c r="I175" i="22"/>
  <c r="E175" i="22" s="1"/>
  <c r="I181" i="22"/>
  <c r="E181" i="22" s="1"/>
  <c r="I182" i="22"/>
  <c r="E182" i="22" s="1"/>
  <c r="I183" i="22"/>
  <c r="E183" i="22" s="1"/>
  <c r="I188" i="22"/>
  <c r="E188" i="22" s="1"/>
  <c r="I189" i="22"/>
  <c r="E189" i="22" s="1"/>
  <c r="I190" i="22"/>
  <c r="E190" i="22" s="1"/>
  <c r="I191" i="22"/>
  <c r="E191" i="22" s="1"/>
  <c r="I192" i="22"/>
  <c r="E192" i="22" s="1"/>
  <c r="I193" i="22"/>
  <c r="E193" i="22" s="1"/>
  <c r="I197" i="22"/>
  <c r="E197" i="22" s="1"/>
  <c r="I198" i="22"/>
  <c r="E198" i="22" s="1"/>
  <c r="I199" i="22"/>
  <c r="E199" i="22" s="1"/>
  <c r="I200" i="22"/>
  <c r="E200" i="22" s="1"/>
  <c r="I206" i="22"/>
  <c r="E206" i="22" s="1"/>
  <c r="I211" i="22"/>
  <c r="E211" i="22" s="1"/>
  <c r="I212" i="22"/>
  <c r="E212" i="22" s="1"/>
  <c r="I213" i="22"/>
  <c r="E213" i="22" s="1"/>
  <c r="I214" i="22"/>
  <c r="E214" i="22" s="1"/>
  <c r="I215" i="22"/>
  <c r="E215" i="22" s="1"/>
  <c r="I219" i="22"/>
  <c r="E219" i="22" s="1"/>
  <c r="I220" i="22"/>
  <c r="E220" i="22" s="1"/>
  <c r="I221" i="22"/>
  <c r="E221" i="22" s="1"/>
  <c r="I222" i="22"/>
  <c r="E222" i="22" s="1"/>
  <c r="I223" i="22"/>
  <c r="E223" i="22" s="1"/>
  <c r="I224" i="22"/>
  <c r="E224" i="22" s="1"/>
  <c r="I230" i="22"/>
  <c r="E230" i="22" s="1"/>
  <c r="I235" i="22"/>
  <c r="E235" i="22" s="1"/>
  <c r="I236" i="22"/>
  <c r="E236" i="22" s="1"/>
  <c r="I237" i="22"/>
  <c r="E237" i="22" s="1"/>
  <c r="I238" i="22"/>
  <c r="E238" i="22" s="1"/>
  <c r="I239" i="22"/>
  <c r="E239" i="22" s="1"/>
  <c r="I243" i="22"/>
  <c r="E243" i="22" s="1"/>
  <c r="I244" i="22"/>
  <c r="E244" i="22" s="1"/>
  <c r="I245" i="22"/>
  <c r="E245" i="22" s="1"/>
  <c r="I246" i="22"/>
  <c r="E246" i="22" s="1"/>
  <c r="I247" i="22"/>
  <c r="E247" i="22" s="1"/>
  <c r="I248" i="22"/>
  <c r="E248" i="22" s="1"/>
  <c r="I254" i="22"/>
  <c r="E254" i="22" s="1"/>
  <c r="I259" i="22"/>
  <c r="E259" i="22" s="1"/>
  <c r="I260" i="22"/>
  <c r="E260" i="22" s="1"/>
  <c r="I261" i="22"/>
  <c r="E261" i="22" s="1"/>
  <c r="I262" i="22"/>
  <c r="E262" i="22" s="1"/>
  <c r="I263" i="22"/>
  <c r="E263" i="22" s="1"/>
  <c r="I267" i="22"/>
  <c r="E267" i="22" s="1"/>
  <c r="I268" i="22"/>
  <c r="E268" i="22" s="1"/>
  <c r="I269" i="22"/>
  <c r="E269" i="22" s="1"/>
  <c r="I270" i="22"/>
  <c r="E270" i="22" s="1"/>
  <c r="I276" i="22"/>
  <c r="E276" i="22" s="1"/>
  <c r="I277" i="22"/>
  <c r="E277" i="22" s="1"/>
  <c r="I278" i="22"/>
  <c r="E278" i="22" s="1"/>
  <c r="I283" i="22"/>
  <c r="E283" i="22" s="1"/>
  <c r="I284" i="22"/>
  <c r="E284" i="22" s="1"/>
  <c r="I285" i="22"/>
  <c r="E285" i="22" s="1"/>
  <c r="I289" i="22"/>
  <c r="E289" i="22" s="1"/>
  <c r="I290" i="22"/>
  <c r="E290" i="22" s="1"/>
  <c r="I291" i="22"/>
  <c r="E291" i="22" s="1"/>
  <c r="I292" i="22"/>
  <c r="E292" i="22" s="1"/>
  <c r="I293" i="22"/>
  <c r="E293" i="22" s="1"/>
  <c r="I70" i="22"/>
  <c r="E70" i="22" s="1"/>
  <c r="E16" i="12"/>
  <c r="F16" i="12"/>
  <c r="G16" i="12"/>
  <c r="H16" i="12"/>
  <c r="I16" i="12"/>
  <c r="J16" i="12"/>
  <c r="K16" i="12"/>
  <c r="L16" i="12"/>
  <c r="M16" i="12"/>
  <c r="N16" i="12"/>
  <c r="O16" i="12"/>
  <c r="P16" i="12"/>
  <c r="Q16" i="12"/>
  <c r="R16" i="12"/>
  <c r="S16" i="12"/>
  <c r="T16" i="12"/>
  <c r="U16" i="12"/>
  <c r="V16" i="12"/>
  <c r="W16" i="12"/>
  <c r="X16" i="12"/>
  <c r="Y16" i="12"/>
  <c r="Z16" i="12"/>
  <c r="AA16" i="12"/>
  <c r="AB16" i="12"/>
  <c r="AC16" i="12"/>
  <c r="AD16" i="12"/>
  <c r="AE16" i="12"/>
  <c r="AF16" i="12"/>
  <c r="AG16" i="12"/>
  <c r="AH16" i="12"/>
  <c r="AI16" i="12"/>
  <c r="AJ16" i="12"/>
  <c r="AK16" i="12"/>
  <c r="AL16" i="12"/>
  <c r="D16" i="12"/>
  <c r="E15" i="12"/>
  <c r="F15" i="12"/>
  <c r="G15" i="12"/>
  <c r="H15" i="12"/>
  <c r="I15" i="12"/>
  <c r="J15" i="12"/>
  <c r="K15" i="12"/>
  <c r="L15" i="12"/>
  <c r="M15" i="12"/>
  <c r="N15" i="12"/>
  <c r="O15" i="12"/>
  <c r="P15" i="12"/>
  <c r="Q15" i="12"/>
  <c r="R15" i="12"/>
  <c r="S15" i="12"/>
  <c r="T15" i="12"/>
  <c r="U15" i="12"/>
  <c r="V15" i="12"/>
  <c r="W15" i="12"/>
  <c r="X15" i="12"/>
  <c r="Y15" i="12"/>
  <c r="Z15" i="12"/>
  <c r="AA15" i="12"/>
  <c r="AB15" i="12"/>
  <c r="AC15" i="12"/>
  <c r="AD15" i="12"/>
  <c r="AE15" i="12"/>
  <c r="AF15" i="12"/>
  <c r="AG15" i="12"/>
  <c r="AH15" i="12"/>
  <c r="AI15" i="12"/>
  <c r="AJ15" i="12"/>
  <c r="AK15" i="12"/>
  <c r="AL15" i="12"/>
  <c r="D15" i="12"/>
  <c r="E302" i="25"/>
  <c r="K163" i="25"/>
  <c r="E163" i="25" s="1"/>
  <c r="K160" i="25"/>
  <c r="E160" i="25" s="1"/>
  <c r="K159" i="25"/>
  <c r="E159" i="25" s="1"/>
  <c r="K158" i="25"/>
  <c r="E158" i="25" s="1"/>
  <c r="K157" i="25"/>
  <c r="E157" i="25" s="1"/>
  <c r="K156" i="25"/>
  <c r="E156" i="25" s="1"/>
  <c r="K155" i="25"/>
  <c r="E155" i="25" s="1"/>
  <c r="K154" i="25"/>
  <c r="E154" i="25" s="1"/>
  <c r="K153" i="25"/>
  <c r="E153" i="25" s="1"/>
  <c r="K152" i="25"/>
  <c r="E152" i="25" s="1"/>
  <c r="K150" i="25"/>
  <c r="E150" i="25" s="1"/>
  <c r="K149" i="25"/>
  <c r="E149" i="25" s="1"/>
  <c r="K148" i="25"/>
  <c r="E148" i="25" s="1"/>
  <c r="K147" i="25"/>
  <c r="E147" i="25" s="1"/>
  <c r="K146" i="25"/>
  <c r="E146" i="25" s="1"/>
  <c r="K145" i="25"/>
  <c r="E145" i="25" s="1"/>
  <c r="K144" i="25"/>
  <c r="E144" i="25" s="1"/>
  <c r="K143" i="25"/>
  <c r="E143" i="25" s="1"/>
  <c r="K141" i="25"/>
  <c r="E141" i="25" s="1"/>
  <c r="K140" i="25"/>
  <c r="E140" i="25" s="1"/>
  <c r="K139" i="25"/>
  <c r="E139" i="25" s="1"/>
  <c r="K138" i="25"/>
  <c r="E138" i="25" s="1"/>
  <c r="K136" i="25"/>
  <c r="E136" i="25" s="1"/>
  <c r="K135" i="25"/>
  <c r="E135" i="25" s="1"/>
  <c r="K134" i="25"/>
  <c r="E134" i="25" s="1"/>
  <c r="K133" i="25"/>
  <c r="E133" i="25" s="1"/>
  <c r="K132" i="25"/>
  <c r="E132" i="25" s="1"/>
  <c r="J161" i="25"/>
  <c r="K161" i="25" s="1"/>
  <c r="E161" i="25" s="1"/>
  <c r="K354" i="25"/>
  <c r="E354" i="25" s="1"/>
  <c r="K353" i="25"/>
  <c r="E353" i="25" s="1"/>
  <c r="K352" i="25"/>
  <c r="E352" i="25" s="1"/>
  <c r="K351" i="25"/>
  <c r="E351" i="25" s="1"/>
  <c r="K350" i="25"/>
  <c r="E350" i="25" s="1"/>
  <c r="K344" i="25"/>
  <c r="E344" i="25" s="1"/>
  <c r="K338" i="25"/>
  <c r="E338" i="25" s="1"/>
  <c r="K328" i="25"/>
  <c r="E328" i="25" s="1"/>
  <c r="K327" i="25"/>
  <c r="E327" i="25" s="1"/>
  <c r="K326" i="25"/>
  <c r="E326" i="25" s="1"/>
  <c r="K306" i="25"/>
  <c r="E306" i="25" s="1"/>
  <c r="K305" i="25"/>
  <c r="E305" i="25" s="1"/>
  <c r="K303" i="25"/>
  <c r="E303" i="25" s="1"/>
  <c r="K302" i="25"/>
  <c r="K301" i="25"/>
  <c r="E301" i="25" s="1"/>
  <c r="K295" i="25"/>
  <c r="E295" i="25" s="1"/>
  <c r="K289" i="25"/>
  <c r="E289" i="25" s="1"/>
  <c r="K287" i="25"/>
  <c r="E287" i="25" s="1"/>
  <c r="K286" i="25"/>
  <c r="E286" i="25" s="1"/>
  <c r="K285" i="25"/>
  <c r="E285" i="25" s="1"/>
  <c r="K284" i="25"/>
  <c r="E284" i="25" s="1"/>
  <c r="K283" i="25"/>
  <c r="E283" i="25" s="1"/>
  <c r="K280" i="25"/>
  <c r="E280" i="25" s="1"/>
  <c r="K278" i="25"/>
  <c r="E278" i="25" s="1"/>
  <c r="K277" i="25"/>
  <c r="E277" i="25" s="1"/>
  <c r="K276" i="25"/>
  <c r="E276" i="25" s="1"/>
  <c r="K275" i="25"/>
  <c r="E275" i="25" s="1"/>
  <c r="K274" i="25"/>
  <c r="E274" i="25" s="1"/>
  <c r="K271" i="25"/>
  <c r="E271" i="25" s="1"/>
  <c r="K269" i="25"/>
  <c r="E269" i="25" s="1"/>
  <c r="K268" i="25"/>
  <c r="E268" i="25" s="1"/>
  <c r="K267" i="25"/>
  <c r="E267" i="25" s="1"/>
  <c r="K266" i="25"/>
  <c r="E266" i="25" s="1"/>
  <c r="K265" i="25"/>
  <c r="E265" i="25" s="1"/>
  <c r="K262" i="25"/>
  <c r="E262" i="25" s="1"/>
  <c r="K260" i="25"/>
  <c r="E260" i="25" s="1"/>
  <c r="K259" i="25"/>
  <c r="E259" i="25" s="1"/>
  <c r="K258" i="25"/>
  <c r="E258" i="25" s="1"/>
  <c r="K257" i="25"/>
  <c r="E257" i="25" s="1"/>
  <c r="K256" i="25"/>
  <c r="E256" i="25" s="1"/>
  <c r="K253" i="25"/>
  <c r="E253" i="25" s="1"/>
  <c r="K251" i="25"/>
  <c r="E251" i="25" s="1"/>
  <c r="K250" i="25"/>
  <c r="E250" i="25" s="1"/>
  <c r="K249" i="25"/>
  <c r="E249" i="25" s="1"/>
  <c r="K248" i="25"/>
  <c r="E248" i="25" s="1"/>
  <c r="K247" i="25"/>
  <c r="E247" i="25" s="1"/>
  <c r="K239" i="25"/>
  <c r="E239" i="25" s="1"/>
  <c r="K238" i="25"/>
  <c r="E238" i="25" s="1"/>
  <c r="K236" i="25"/>
  <c r="E236" i="25" s="1"/>
  <c r="K235" i="25"/>
  <c r="E235" i="25" s="1"/>
  <c r="K234" i="25"/>
  <c r="E234" i="25" s="1"/>
  <c r="K233" i="25"/>
  <c r="E233" i="25" s="1"/>
  <c r="K232" i="25"/>
  <c r="E232" i="25" s="1"/>
  <c r="K227" i="25"/>
  <c r="E227" i="25" s="1"/>
  <c r="K225" i="25"/>
  <c r="E225" i="25" s="1"/>
  <c r="K224" i="25"/>
  <c r="E224" i="25" s="1"/>
  <c r="K223" i="25"/>
  <c r="E223" i="25" s="1"/>
  <c r="K222" i="25"/>
  <c r="E222" i="25" s="1"/>
  <c r="K221" i="25"/>
  <c r="E221" i="25" s="1"/>
  <c r="K214" i="25"/>
  <c r="E214" i="25" s="1"/>
  <c r="K212" i="25"/>
  <c r="E212" i="25" s="1"/>
  <c r="K211" i="25"/>
  <c r="E211" i="25" s="1"/>
  <c r="K210" i="25"/>
  <c r="E210" i="25" s="1"/>
  <c r="K209" i="25"/>
  <c r="E209" i="25" s="1"/>
  <c r="K208" i="25"/>
  <c r="E208" i="25" s="1"/>
  <c r="K197" i="25"/>
  <c r="E197" i="25" s="1"/>
  <c r="K196" i="25"/>
  <c r="E196" i="25" s="1"/>
  <c r="K195" i="25"/>
  <c r="E195" i="25" s="1"/>
  <c r="K194" i="25"/>
  <c r="E194" i="25" s="1"/>
  <c r="K193" i="25"/>
  <c r="E193" i="25" s="1"/>
  <c r="K188" i="25"/>
  <c r="E188" i="25" s="1"/>
  <c r="K187" i="25"/>
  <c r="E187" i="25" s="1"/>
  <c r="K186" i="25"/>
  <c r="E186" i="25" s="1"/>
  <c r="K185" i="25"/>
  <c r="E185" i="25" s="1"/>
  <c r="K184" i="25"/>
  <c r="E184" i="25" s="1"/>
  <c r="K182" i="25"/>
  <c r="E182" i="25" s="1"/>
  <c r="K181" i="25"/>
  <c r="E181" i="25" s="1"/>
  <c r="K180" i="25"/>
  <c r="E180" i="25" s="1"/>
  <c r="K179" i="25"/>
  <c r="E179" i="25" s="1"/>
  <c r="K177" i="25"/>
  <c r="E177" i="25" s="1"/>
  <c r="K176" i="25"/>
  <c r="E176" i="25" s="1"/>
  <c r="K175" i="25"/>
  <c r="E175" i="25" s="1"/>
  <c r="K174" i="25"/>
  <c r="E174" i="25" s="1"/>
  <c r="K173" i="25"/>
  <c r="E173" i="25" s="1"/>
  <c r="K168" i="25"/>
  <c r="E168" i="25" s="1"/>
  <c r="K167" i="25"/>
  <c r="E167" i="25" s="1"/>
  <c r="K127" i="25"/>
  <c r="K125" i="25"/>
  <c r="E125" i="25" s="1"/>
  <c r="K124" i="25"/>
  <c r="E124" i="25" s="1"/>
  <c r="K119" i="25"/>
  <c r="E119" i="25" s="1"/>
  <c r="K118" i="25"/>
  <c r="E118" i="25" s="1"/>
  <c r="K117" i="25"/>
  <c r="E117" i="25" s="1"/>
  <c r="K116" i="25"/>
  <c r="E116" i="25" s="1"/>
  <c r="K114" i="25"/>
  <c r="E114" i="25" s="1"/>
  <c r="K113" i="25"/>
  <c r="E113" i="25" s="1"/>
  <c r="K112" i="25"/>
  <c r="E112" i="25" s="1"/>
  <c r="K111" i="25"/>
  <c r="E111" i="25" s="1"/>
  <c r="K110" i="25"/>
  <c r="E110" i="25" s="1"/>
  <c r="K105" i="25"/>
  <c r="E105" i="25" s="1"/>
  <c r="K104" i="25"/>
  <c r="E104" i="25" s="1"/>
  <c r="K103" i="25"/>
  <c r="E103" i="25" s="1"/>
  <c r="K102" i="25"/>
  <c r="E102" i="25" s="1"/>
  <c r="K101" i="25"/>
  <c r="E101" i="25" s="1"/>
  <c r="K99" i="25"/>
  <c r="E99" i="25" s="1"/>
  <c r="K98" i="25"/>
  <c r="E98" i="25" s="1"/>
  <c r="K97" i="25"/>
  <c r="E97" i="25" s="1"/>
  <c r="K96" i="25"/>
  <c r="E96" i="25" s="1"/>
  <c r="K94" i="25"/>
  <c r="E94" i="25" s="1"/>
  <c r="K92" i="25"/>
  <c r="E92" i="25" s="1"/>
  <c r="K91" i="25"/>
  <c r="E91" i="25" s="1"/>
  <c r="K89" i="25"/>
  <c r="E89" i="25" s="1"/>
  <c r="K88" i="25"/>
  <c r="E88" i="25" s="1"/>
  <c r="K87" i="25"/>
  <c r="E87" i="25" s="1"/>
  <c r="K85" i="25"/>
  <c r="E85" i="25" s="1"/>
  <c r="K83" i="25"/>
  <c r="E83" i="25" s="1"/>
  <c r="K81" i="25"/>
  <c r="E81" i="25" s="1"/>
  <c r="K80" i="25"/>
  <c r="E80" i="25" s="1"/>
  <c r="K79" i="25"/>
  <c r="E79" i="25" s="1"/>
  <c r="K78" i="25"/>
  <c r="E78" i="25" s="1"/>
  <c r="K76" i="25"/>
  <c r="E76" i="25" s="1"/>
  <c r="K75" i="25"/>
  <c r="E75" i="25" s="1"/>
  <c r="K73" i="25"/>
  <c r="E73" i="25" s="1"/>
  <c r="K71" i="25"/>
  <c r="E71" i="25" s="1"/>
  <c r="K70" i="25"/>
  <c r="E70" i="25" s="1"/>
  <c r="K69" i="25"/>
  <c r="E69" i="25" s="1"/>
  <c r="K68" i="25"/>
  <c r="E68" i="25" s="1"/>
  <c r="K63" i="25"/>
  <c r="E63" i="25" s="1"/>
  <c r="K64" i="25"/>
  <c r="E64" i="25" s="1"/>
  <c r="K65" i="25"/>
  <c r="E65" i="25" s="1"/>
  <c r="K66" i="25"/>
  <c r="E66" i="25" s="1"/>
  <c r="K62" i="25"/>
  <c r="E62" i="25" s="1"/>
  <c r="F7" i="14"/>
  <c r="J332" i="25"/>
  <c r="K332" i="25" s="1"/>
  <c r="E332" i="25" s="1"/>
  <c r="J325" i="25"/>
  <c r="K325" i="25" s="1"/>
  <c r="E325" i="25" s="1"/>
  <c r="J324" i="25"/>
  <c r="K324" i="25" s="1"/>
  <c r="E324" i="25" s="1"/>
  <c r="J304" i="25"/>
  <c r="K304" i="25" s="1"/>
  <c r="E304" i="25" s="1"/>
  <c r="J203" i="25"/>
  <c r="K203" i="25" s="1"/>
  <c r="E203" i="25" s="1"/>
  <c r="J202" i="25"/>
  <c r="K202" i="25" s="1"/>
  <c r="E202" i="25" s="1"/>
  <c r="J201" i="25"/>
  <c r="K201" i="25" s="1"/>
  <c r="E201" i="25" s="1"/>
  <c r="J200" i="25"/>
  <c r="K200" i="25" s="1"/>
  <c r="E200" i="25" s="1"/>
  <c r="J199" i="25"/>
  <c r="K199" i="25" s="1"/>
  <c r="E199" i="25" s="1"/>
  <c r="J123" i="25"/>
  <c r="K123" i="25" s="1"/>
  <c r="E123" i="25" s="1"/>
  <c r="J122" i="25"/>
  <c r="K122" i="25" s="1"/>
  <c r="E122" i="25" s="1"/>
  <c r="J121" i="25"/>
  <c r="K121" i="25" s="1"/>
  <c r="E121" i="25" s="1"/>
  <c r="J120" i="25"/>
  <c r="K120" i="25" s="1"/>
  <c r="E120" i="25" s="1"/>
  <c r="R18" i="1"/>
  <c r="S18" i="1" s="1"/>
  <c r="Q18" i="1"/>
  <c r="S16" i="1"/>
  <c r="S15" i="1"/>
  <c r="S14" i="1"/>
  <c r="A18" i="23"/>
  <c r="T10" i="29" l="1"/>
  <c r="T9" i="29"/>
  <c r="T6" i="29"/>
  <c r="T8" i="29"/>
  <c r="T7" i="29"/>
  <c r="T13" i="29"/>
  <c r="T14" i="29"/>
  <c r="T47" i="29"/>
  <c r="T46" i="29"/>
  <c r="T39" i="29"/>
  <c r="T31" i="29"/>
  <c r="T30" i="29"/>
  <c r="T23" i="29"/>
  <c r="T22" i="29"/>
  <c r="T16" i="29"/>
  <c r="T15" i="29"/>
  <c r="D2" i="28"/>
  <c r="E11" i="28"/>
  <c r="F11" i="28"/>
  <c r="G11" i="28"/>
  <c r="H11" i="28"/>
  <c r="I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V11" i="28"/>
  <c r="W11" i="28"/>
  <c r="X11" i="28"/>
  <c r="Y11" i="28"/>
  <c r="Z11" i="28"/>
  <c r="AA11" i="28"/>
  <c r="AB11" i="28"/>
  <c r="AC11" i="28"/>
  <c r="AD11" i="28"/>
  <c r="AE11" i="28"/>
  <c r="AF11" i="28"/>
  <c r="AG11" i="28"/>
  <c r="AH11" i="28"/>
  <c r="AI11" i="28"/>
  <c r="AJ11" i="28"/>
  <c r="AK11" i="28"/>
  <c r="AL11" i="28"/>
  <c r="AM11" i="28"/>
  <c r="AN11" i="28"/>
  <c r="T38" i="29" l="1"/>
  <c r="T48" i="29"/>
  <c r="T40" i="29"/>
  <c r="T32" i="29"/>
  <c r="T24" i="29"/>
  <c r="T17" i="29"/>
  <c r="N328" i="25"/>
  <c r="O325" i="25" s="1"/>
  <c r="D3" i="17"/>
  <c r="T49" i="29" l="1"/>
  <c r="T41" i="29"/>
  <c r="T33" i="29"/>
  <c r="T25" i="29"/>
  <c r="T19" i="29"/>
  <c r="T18" i="29"/>
  <c r="P328" i="25"/>
  <c r="O324" i="25"/>
  <c r="O327" i="25"/>
  <c r="O326" i="25"/>
  <c r="C32" i="7"/>
  <c r="D110" i="1"/>
  <c r="J7" i="1"/>
  <c r="J5" i="1"/>
  <c r="I20" i="7"/>
  <c r="M20" i="7" s="1"/>
  <c r="Q20" i="7" s="1"/>
  <c r="U20" i="7" s="1"/>
  <c r="Y20" i="7" s="1"/>
  <c r="AC20" i="7" s="1"/>
  <c r="AG20" i="7" s="1"/>
  <c r="AK20" i="7" s="1"/>
  <c r="L62" i="11"/>
  <c r="B64" i="11"/>
  <c r="B65" i="11"/>
  <c r="B66" i="11"/>
  <c r="B67" i="11"/>
  <c r="B68" i="11"/>
  <c r="B69" i="11"/>
  <c r="B70" i="11"/>
  <c r="B71" i="11"/>
  <c r="B72" i="11"/>
  <c r="B73" i="11"/>
  <c r="B74" i="11"/>
  <c r="B75" i="11"/>
  <c r="B76" i="11"/>
  <c r="B77" i="11"/>
  <c r="B78" i="11"/>
  <c r="B79" i="11"/>
  <c r="B81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98" i="11"/>
  <c r="B62" i="11"/>
  <c r="T51" i="29" l="1"/>
  <c r="T50" i="29"/>
  <c r="T43" i="29"/>
  <c r="T42" i="29"/>
  <c r="T35" i="29"/>
  <c r="T34" i="29"/>
  <c r="T27" i="29"/>
  <c r="T26" i="29"/>
  <c r="O328" i="25"/>
  <c r="G354" i="25" l="1"/>
  <c r="G353" i="25"/>
  <c r="G352" i="25"/>
  <c r="G351" i="25"/>
  <c r="G350" i="25"/>
  <c r="G344" i="25"/>
  <c r="G342" i="25" s="1"/>
  <c r="G338" i="25"/>
  <c r="G336" i="25" s="1"/>
  <c r="G334" i="25" s="1"/>
  <c r="G332" i="25"/>
  <c r="G330" i="25" s="1"/>
  <c r="G328" i="25"/>
  <c r="G327" i="25"/>
  <c r="G326" i="25"/>
  <c r="G325" i="25"/>
  <c r="G324" i="25"/>
  <c r="G306" i="25"/>
  <c r="G305" i="25"/>
  <c r="G304" i="25"/>
  <c r="G303" i="25"/>
  <c r="G302" i="25"/>
  <c r="G301" i="25"/>
  <c r="G295" i="25"/>
  <c r="G293" i="25" s="1"/>
  <c r="G289" i="25"/>
  <c r="G288" i="25" s="1"/>
  <c r="G287" i="25"/>
  <c r="G286" i="25"/>
  <c r="G285" i="25"/>
  <c r="G284" i="25"/>
  <c r="G283" i="25"/>
  <c r="G280" i="25"/>
  <c r="G279" i="25" s="1"/>
  <c r="G278" i="25"/>
  <c r="G277" i="25"/>
  <c r="G276" i="25"/>
  <c r="G275" i="25"/>
  <c r="G274" i="25"/>
  <c r="G271" i="25"/>
  <c r="G270" i="25" s="1"/>
  <c r="G269" i="25"/>
  <c r="G268" i="25"/>
  <c r="G267" i="25"/>
  <c r="G266" i="25"/>
  <c r="G265" i="25"/>
  <c r="G262" i="25"/>
  <c r="G261" i="25" s="1"/>
  <c r="G260" i="25"/>
  <c r="G259" i="25"/>
  <c r="G258" i="25"/>
  <c r="G257" i="25"/>
  <c r="G256" i="25"/>
  <c r="G253" i="25"/>
  <c r="G252" i="25" s="1"/>
  <c r="G251" i="25"/>
  <c r="G250" i="25"/>
  <c r="G249" i="25"/>
  <c r="G248" i="25"/>
  <c r="G247" i="25"/>
  <c r="G239" i="25"/>
  <c r="G238" i="25"/>
  <c r="G236" i="25"/>
  <c r="G235" i="25"/>
  <c r="G234" i="25"/>
  <c r="G233" i="25"/>
  <c r="G232" i="25"/>
  <c r="G227" i="25"/>
  <c r="G226" i="25" s="1"/>
  <c r="G225" i="25"/>
  <c r="G224" i="25"/>
  <c r="G223" i="25"/>
  <c r="G222" i="25"/>
  <c r="G221" i="25"/>
  <c r="G214" i="25"/>
  <c r="G213" i="25" s="1"/>
  <c r="G212" i="25"/>
  <c r="G211" i="25"/>
  <c r="G210" i="25"/>
  <c r="G209" i="25"/>
  <c r="G208" i="25"/>
  <c r="G203" i="25"/>
  <c r="G202" i="25"/>
  <c r="G201" i="25"/>
  <c r="G200" i="25"/>
  <c r="G199" i="25"/>
  <c r="G197" i="25"/>
  <c r="G196" i="25"/>
  <c r="G195" i="25"/>
  <c r="G194" i="25"/>
  <c r="G193" i="25"/>
  <c r="G188" i="25"/>
  <c r="G187" i="25"/>
  <c r="G186" i="25"/>
  <c r="G185" i="25"/>
  <c r="G184" i="25"/>
  <c r="G182" i="25"/>
  <c r="G181" i="25"/>
  <c r="G180" i="25"/>
  <c r="G179" i="25"/>
  <c r="G177" i="25"/>
  <c r="G176" i="25"/>
  <c r="G175" i="25"/>
  <c r="G174" i="25"/>
  <c r="G173" i="25"/>
  <c r="G168" i="25"/>
  <c r="G167" i="25"/>
  <c r="G163" i="25"/>
  <c r="G162" i="25" s="1"/>
  <c r="G161" i="25"/>
  <c r="G160" i="25"/>
  <c r="G159" i="25"/>
  <c r="G158" i="25"/>
  <c r="G157" i="25"/>
  <c r="G156" i="25"/>
  <c r="G155" i="25"/>
  <c r="G154" i="25"/>
  <c r="G153" i="25"/>
  <c r="G152" i="25"/>
  <c r="G150" i="25"/>
  <c r="G149" i="25"/>
  <c r="G148" i="25"/>
  <c r="G147" i="25"/>
  <c r="G146" i="25"/>
  <c r="G145" i="25"/>
  <c r="G144" i="25"/>
  <c r="G143" i="25"/>
  <c r="G141" i="25"/>
  <c r="G140" i="25"/>
  <c r="G139" i="25"/>
  <c r="G138" i="25"/>
  <c r="G136" i="25"/>
  <c r="G135" i="25"/>
  <c r="G134" i="25"/>
  <c r="G133" i="25"/>
  <c r="G132" i="25"/>
  <c r="G127" i="25"/>
  <c r="G126" i="25" s="1"/>
  <c r="G125" i="25"/>
  <c r="G124" i="25"/>
  <c r="F123" i="25"/>
  <c r="G122" i="25"/>
  <c r="G121" i="25"/>
  <c r="G120" i="25"/>
  <c r="G119" i="25"/>
  <c r="G118" i="25"/>
  <c r="G117" i="25"/>
  <c r="G116" i="25"/>
  <c r="G114" i="25"/>
  <c r="G113" i="25"/>
  <c r="G112" i="25"/>
  <c r="G111" i="25"/>
  <c r="G110" i="25"/>
  <c r="G105" i="25"/>
  <c r="G104" i="25"/>
  <c r="G103" i="25"/>
  <c r="G102" i="25"/>
  <c r="G101" i="25"/>
  <c r="F99" i="25"/>
  <c r="G99" i="25" s="1"/>
  <c r="F98" i="25"/>
  <c r="G98" i="25" s="1"/>
  <c r="G97" i="25"/>
  <c r="G96" i="25"/>
  <c r="G94" i="25"/>
  <c r="G93" i="25" s="1"/>
  <c r="G92" i="25"/>
  <c r="G91" i="25"/>
  <c r="G89" i="25"/>
  <c r="G88" i="25"/>
  <c r="G87" i="25"/>
  <c r="G85" i="25"/>
  <c r="G84" i="25" s="1"/>
  <c r="G83" i="25"/>
  <c r="G82" i="25" s="1"/>
  <c r="G81" i="25"/>
  <c r="G80" i="25"/>
  <c r="G79" i="25"/>
  <c r="G78" i="25"/>
  <c r="G76" i="25"/>
  <c r="G75" i="25"/>
  <c r="G73" i="25"/>
  <c r="G72" i="25" s="1"/>
  <c r="G71" i="25"/>
  <c r="G70" i="25"/>
  <c r="G69" i="25"/>
  <c r="G68" i="25"/>
  <c r="G66" i="25"/>
  <c r="G65" i="25"/>
  <c r="G64" i="25"/>
  <c r="G63" i="25"/>
  <c r="C45" i="25"/>
  <c r="C41" i="25"/>
  <c r="F13" i="5"/>
  <c r="G90" i="25" l="1"/>
  <c r="G207" i="25"/>
  <c r="G205" i="25" s="1"/>
  <c r="G74" i="25"/>
  <c r="G123" i="25"/>
  <c r="G115" i="25" s="1"/>
  <c r="G172" i="25"/>
  <c r="G348" i="25"/>
  <c r="G346" i="25" s="1"/>
  <c r="F16" i="25" s="1"/>
  <c r="G165" i="25"/>
  <c r="G100" i="25"/>
  <c r="G255" i="25"/>
  <c r="G254" i="25" s="1"/>
  <c r="G67" i="25"/>
  <c r="G86" i="25"/>
  <c r="G231" i="25"/>
  <c r="G183" i="25"/>
  <c r="G198" i="25"/>
  <c r="G109" i="25"/>
  <c r="G291" i="25"/>
  <c r="F8" i="25" s="1"/>
  <c r="F27" i="25" s="1"/>
  <c r="E315" i="25"/>
  <c r="G315" i="25" s="1"/>
  <c r="E361" i="25"/>
  <c r="G361" i="25" s="1"/>
  <c r="F14" i="25"/>
  <c r="F33" i="25" s="1"/>
  <c r="G77" i="25"/>
  <c r="G137" i="25"/>
  <c r="G151" i="25"/>
  <c r="G220" i="25"/>
  <c r="G218" i="25" s="1"/>
  <c r="G237" i="25"/>
  <c r="G95" i="25"/>
  <c r="G264" i="25"/>
  <c r="G263" i="25" s="1"/>
  <c r="G142" i="25"/>
  <c r="G299" i="25"/>
  <c r="G297" i="25" s="1"/>
  <c r="F10" i="25" s="1"/>
  <c r="F29" i="25" s="1"/>
  <c r="G246" i="25"/>
  <c r="G245" i="25" s="1"/>
  <c r="G192" i="25"/>
  <c r="G131" i="25"/>
  <c r="G282" i="25"/>
  <c r="G281" i="25" s="1"/>
  <c r="G178" i="25"/>
  <c r="G322" i="25"/>
  <c r="G320" i="25" s="1"/>
  <c r="G273" i="25"/>
  <c r="G272" i="25" s="1"/>
  <c r="G340" i="25"/>
  <c r="F12" i="5"/>
  <c r="G12" i="5" s="1"/>
  <c r="I12" i="5"/>
  <c r="J12" i="5"/>
  <c r="M12" i="5"/>
  <c r="N12" i="5"/>
  <c r="S12" i="5"/>
  <c r="G13" i="5"/>
  <c r="I13" i="5"/>
  <c r="J13" i="5"/>
  <c r="M13" i="5"/>
  <c r="N13" i="5"/>
  <c r="F14" i="5"/>
  <c r="G14" i="5" s="1"/>
  <c r="I14" i="5"/>
  <c r="J14" i="5"/>
  <c r="M14" i="5"/>
  <c r="N14" i="5"/>
  <c r="F15" i="5"/>
  <c r="G15" i="5" s="1"/>
  <c r="I15" i="5"/>
  <c r="J15" i="5"/>
  <c r="M15" i="5"/>
  <c r="N15" i="5"/>
  <c r="F16" i="5"/>
  <c r="G16" i="5" s="1"/>
  <c r="I16" i="5"/>
  <c r="J16" i="5"/>
  <c r="M16" i="5"/>
  <c r="N16" i="5"/>
  <c r="F17" i="5"/>
  <c r="G17" i="5" s="1"/>
  <c r="I17" i="5"/>
  <c r="J17" i="5"/>
  <c r="M17" i="5"/>
  <c r="N17" i="5"/>
  <c r="F18" i="5"/>
  <c r="G18" i="5" s="1"/>
  <c r="I18" i="5"/>
  <c r="J18" i="5"/>
  <c r="M18" i="5"/>
  <c r="N18" i="5"/>
  <c r="F19" i="5"/>
  <c r="G19" i="5" s="1"/>
  <c r="M19" i="5"/>
  <c r="N19" i="5"/>
  <c r="F20" i="5"/>
  <c r="G20" i="5" s="1"/>
  <c r="I20" i="5"/>
  <c r="J20" i="5"/>
  <c r="M20" i="5"/>
  <c r="N20" i="5"/>
  <c r="S20" i="5"/>
  <c r="F21" i="5"/>
  <c r="G21" i="5" s="1"/>
  <c r="I21" i="5"/>
  <c r="J21" i="5"/>
  <c r="M21" i="5"/>
  <c r="N21" i="5"/>
  <c r="F22" i="5"/>
  <c r="G22" i="5" s="1"/>
  <c r="I22" i="5"/>
  <c r="J22" i="5"/>
  <c r="M22" i="5"/>
  <c r="N22" i="5"/>
  <c r="F23" i="5"/>
  <c r="G23" i="5" s="1"/>
  <c r="I23" i="5"/>
  <c r="J23" i="5"/>
  <c r="M23" i="5"/>
  <c r="N23" i="5"/>
  <c r="F24" i="5"/>
  <c r="G24" i="5" s="1"/>
  <c r="I24" i="5"/>
  <c r="J24" i="5"/>
  <c r="M24" i="5"/>
  <c r="N24" i="5"/>
  <c r="F25" i="5"/>
  <c r="G25" i="5" s="1"/>
  <c r="I25" i="5"/>
  <c r="J25" i="5"/>
  <c r="M25" i="5"/>
  <c r="N25" i="5"/>
  <c r="F26" i="5"/>
  <c r="G26" i="5" s="1"/>
  <c r="I26" i="5"/>
  <c r="J26" i="5"/>
  <c r="M26" i="5"/>
  <c r="N26" i="5"/>
  <c r="F27" i="5"/>
  <c r="G27" i="5" s="1"/>
  <c r="M27" i="5"/>
  <c r="N27" i="5"/>
  <c r="F36" i="5"/>
  <c r="G36" i="5" s="1"/>
  <c r="I36" i="5"/>
  <c r="J36" i="5"/>
  <c r="M36" i="5"/>
  <c r="N36" i="5"/>
  <c r="S36" i="5"/>
  <c r="F37" i="5"/>
  <c r="G37" i="5" s="1"/>
  <c r="I37" i="5"/>
  <c r="J37" i="5"/>
  <c r="M37" i="5"/>
  <c r="N37" i="5"/>
  <c r="F38" i="5"/>
  <c r="G38" i="5" s="1"/>
  <c r="I38" i="5"/>
  <c r="J38" i="5"/>
  <c r="M38" i="5"/>
  <c r="N38" i="5"/>
  <c r="F39" i="5"/>
  <c r="G39" i="5" s="1"/>
  <c r="I39" i="5"/>
  <c r="J39" i="5"/>
  <c r="M39" i="5"/>
  <c r="N39" i="5"/>
  <c r="F40" i="5"/>
  <c r="G40" i="5" s="1"/>
  <c r="I40" i="5"/>
  <c r="J40" i="5"/>
  <c r="M40" i="5"/>
  <c r="N40" i="5"/>
  <c r="F41" i="5"/>
  <c r="G41" i="5" s="1"/>
  <c r="I41" i="5"/>
  <c r="J41" i="5"/>
  <c r="M41" i="5"/>
  <c r="N41" i="5"/>
  <c r="F42" i="5"/>
  <c r="G42" i="5" s="1"/>
  <c r="I42" i="5"/>
  <c r="J42" i="5"/>
  <c r="M42" i="5"/>
  <c r="N42" i="5"/>
  <c r="F43" i="5"/>
  <c r="G43" i="5" s="1"/>
  <c r="M43" i="5"/>
  <c r="N43" i="5"/>
  <c r="F44" i="5"/>
  <c r="G44" i="5" s="1"/>
  <c r="I44" i="5"/>
  <c r="J44" i="5"/>
  <c r="M44" i="5"/>
  <c r="N44" i="5"/>
  <c r="S44" i="5"/>
  <c r="F45" i="5"/>
  <c r="G45" i="5" s="1"/>
  <c r="I45" i="5"/>
  <c r="J45" i="5"/>
  <c r="M45" i="5"/>
  <c r="N45" i="5"/>
  <c r="F46" i="5"/>
  <c r="G46" i="5" s="1"/>
  <c r="I46" i="5"/>
  <c r="J46" i="5"/>
  <c r="M46" i="5"/>
  <c r="N46" i="5"/>
  <c r="F47" i="5"/>
  <c r="G47" i="5" s="1"/>
  <c r="I47" i="5"/>
  <c r="J47" i="5"/>
  <c r="M47" i="5"/>
  <c r="N47" i="5"/>
  <c r="F48" i="5"/>
  <c r="G48" i="5" s="1"/>
  <c r="I48" i="5"/>
  <c r="J48" i="5"/>
  <c r="M48" i="5"/>
  <c r="N48" i="5"/>
  <c r="F49" i="5"/>
  <c r="G49" i="5" s="1"/>
  <c r="I49" i="5"/>
  <c r="J49" i="5"/>
  <c r="M49" i="5"/>
  <c r="N49" i="5"/>
  <c r="F50" i="5"/>
  <c r="G50" i="5" s="1"/>
  <c r="I50" i="5"/>
  <c r="J50" i="5"/>
  <c r="M50" i="5"/>
  <c r="N50" i="5"/>
  <c r="F51" i="5"/>
  <c r="G51" i="5" s="1"/>
  <c r="M51" i="5"/>
  <c r="N51" i="5"/>
  <c r="F17" i="25" l="1"/>
  <c r="F36" i="25" s="1"/>
  <c r="G229" i="25"/>
  <c r="G216" i="25" s="1"/>
  <c r="E313" i="25" s="1"/>
  <c r="G313" i="25" s="1"/>
  <c r="G107" i="25"/>
  <c r="G190" i="25"/>
  <c r="F9" i="25"/>
  <c r="F28" i="25" s="1"/>
  <c r="G129" i="25"/>
  <c r="G170" i="25"/>
  <c r="E362" i="25"/>
  <c r="G362" i="25" s="1"/>
  <c r="F15" i="25"/>
  <c r="G243" i="25"/>
  <c r="G241" i="25" s="1"/>
  <c r="F35" i="25"/>
  <c r="F13" i="25"/>
  <c r="E360" i="25"/>
  <c r="G360" i="25" s="1"/>
  <c r="S88" i="5"/>
  <c r="S89" i="5" s="1"/>
  <c r="P89" i="5"/>
  <c r="P88" i="5"/>
  <c r="L89" i="5"/>
  <c r="L88" i="5"/>
  <c r="D21" i="10"/>
  <c r="E6" i="13"/>
  <c r="AL6" i="23"/>
  <c r="AL7" i="23"/>
  <c r="AL8" i="23"/>
  <c r="AL9" i="23"/>
  <c r="E6" i="23"/>
  <c r="F6" i="23"/>
  <c r="G6" i="23"/>
  <c r="H6" i="23"/>
  <c r="I6" i="23"/>
  <c r="J6" i="23"/>
  <c r="K6" i="23"/>
  <c r="L6" i="23"/>
  <c r="M6" i="23"/>
  <c r="N6" i="23"/>
  <c r="O6" i="23"/>
  <c r="P6" i="23"/>
  <c r="Q6" i="23"/>
  <c r="R6" i="23"/>
  <c r="S6" i="23"/>
  <c r="T6" i="23"/>
  <c r="U6" i="23"/>
  <c r="V6" i="23"/>
  <c r="W6" i="23"/>
  <c r="X6" i="23"/>
  <c r="Y6" i="23"/>
  <c r="Z6" i="23"/>
  <c r="AA6" i="23"/>
  <c r="AB6" i="23"/>
  <c r="AC6" i="23"/>
  <c r="AD6" i="23"/>
  <c r="AE6" i="23"/>
  <c r="AF6" i="23"/>
  <c r="AG6" i="23"/>
  <c r="AH6" i="23"/>
  <c r="AI6" i="23"/>
  <c r="AJ6" i="23"/>
  <c r="AK6" i="23"/>
  <c r="E7" i="23"/>
  <c r="F7" i="23"/>
  <c r="G7" i="23"/>
  <c r="H7" i="23"/>
  <c r="I7" i="23"/>
  <c r="J7" i="23"/>
  <c r="K7" i="23"/>
  <c r="L7" i="23"/>
  <c r="M7" i="23"/>
  <c r="N7" i="23"/>
  <c r="O7" i="23"/>
  <c r="P7" i="23"/>
  <c r="Q7" i="23"/>
  <c r="R7" i="23"/>
  <c r="S7" i="23"/>
  <c r="T7" i="23"/>
  <c r="U7" i="23"/>
  <c r="V7" i="23"/>
  <c r="W7" i="23"/>
  <c r="X7" i="23"/>
  <c r="Y7" i="23"/>
  <c r="Z7" i="23"/>
  <c r="AA7" i="23"/>
  <c r="AB7" i="23"/>
  <c r="AC7" i="23"/>
  <c r="AD7" i="23"/>
  <c r="AE7" i="23"/>
  <c r="AF7" i="23"/>
  <c r="AG7" i="23"/>
  <c r="AH7" i="23"/>
  <c r="AI7" i="23"/>
  <c r="AJ7" i="23"/>
  <c r="AK7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V8" i="23"/>
  <c r="W8" i="23"/>
  <c r="X8" i="23"/>
  <c r="Y8" i="23"/>
  <c r="Z8" i="23"/>
  <c r="AA8" i="23"/>
  <c r="AB8" i="23"/>
  <c r="AC8" i="23"/>
  <c r="AD8" i="23"/>
  <c r="AE8" i="23"/>
  <c r="AF8" i="23"/>
  <c r="AG8" i="23"/>
  <c r="AH8" i="23"/>
  <c r="AI8" i="23"/>
  <c r="AJ8" i="23"/>
  <c r="AK8" i="23"/>
  <c r="E9" i="23"/>
  <c r="F9" i="23"/>
  <c r="G9" i="23"/>
  <c r="H9" i="23"/>
  <c r="I9" i="23"/>
  <c r="J9" i="23"/>
  <c r="K9" i="23"/>
  <c r="L9" i="23"/>
  <c r="M9" i="23"/>
  <c r="N9" i="23"/>
  <c r="O9" i="23"/>
  <c r="P9" i="23"/>
  <c r="Q9" i="23"/>
  <c r="R9" i="23"/>
  <c r="S9" i="23"/>
  <c r="T9" i="23"/>
  <c r="U9" i="23"/>
  <c r="V9" i="23"/>
  <c r="W9" i="23"/>
  <c r="X9" i="23"/>
  <c r="Y9" i="23"/>
  <c r="Z9" i="23"/>
  <c r="AA9" i="23"/>
  <c r="AB9" i="23"/>
  <c r="AC9" i="23"/>
  <c r="AD9" i="23"/>
  <c r="AE9" i="23"/>
  <c r="AF9" i="23"/>
  <c r="AG9" i="23"/>
  <c r="AH9" i="23"/>
  <c r="AI9" i="23"/>
  <c r="AJ9" i="23"/>
  <c r="AK9" i="23"/>
  <c r="D9" i="23"/>
  <c r="D8" i="23"/>
  <c r="D7" i="23"/>
  <c r="D6" i="23"/>
  <c r="E6" i="22"/>
  <c r="F6" i="22"/>
  <c r="G6" i="22"/>
  <c r="H6" i="22"/>
  <c r="I6" i="22"/>
  <c r="J6" i="22"/>
  <c r="K6" i="22"/>
  <c r="L6" i="22"/>
  <c r="M6" i="22"/>
  <c r="N6" i="22"/>
  <c r="O6" i="22"/>
  <c r="P6" i="22"/>
  <c r="Q6" i="22"/>
  <c r="R6" i="22"/>
  <c r="S6" i="22"/>
  <c r="T6" i="22"/>
  <c r="U6" i="22"/>
  <c r="V6" i="22"/>
  <c r="W6" i="22"/>
  <c r="X6" i="22"/>
  <c r="Y6" i="22"/>
  <c r="Z6" i="22"/>
  <c r="AA6" i="22"/>
  <c r="AB6" i="22"/>
  <c r="AC6" i="22"/>
  <c r="AD6" i="22"/>
  <c r="AE6" i="22"/>
  <c r="AF6" i="22"/>
  <c r="AG6" i="22"/>
  <c r="AH6" i="22"/>
  <c r="AI6" i="22"/>
  <c r="AJ6" i="22"/>
  <c r="AK6" i="22"/>
  <c r="AL6" i="22"/>
  <c r="E7" i="22"/>
  <c r="F7" i="22"/>
  <c r="G7" i="22"/>
  <c r="H7" i="22"/>
  <c r="I7" i="22"/>
  <c r="J7" i="22"/>
  <c r="K7" i="22"/>
  <c r="L7" i="22"/>
  <c r="M7" i="22"/>
  <c r="N7" i="22"/>
  <c r="O7" i="22"/>
  <c r="P7" i="22"/>
  <c r="Q7" i="22"/>
  <c r="R7" i="22"/>
  <c r="S7" i="22"/>
  <c r="T7" i="22"/>
  <c r="U7" i="22"/>
  <c r="V7" i="22"/>
  <c r="W7" i="22"/>
  <c r="X7" i="22"/>
  <c r="Y7" i="22"/>
  <c r="Z7" i="22"/>
  <c r="AA7" i="22"/>
  <c r="AB7" i="22"/>
  <c r="AC7" i="22"/>
  <c r="AD7" i="22"/>
  <c r="AE7" i="22"/>
  <c r="AF7" i="22"/>
  <c r="AG7" i="22"/>
  <c r="AH7" i="22"/>
  <c r="AI7" i="22"/>
  <c r="AJ7" i="22"/>
  <c r="AK7" i="22"/>
  <c r="AL7" i="22"/>
  <c r="E8" i="22"/>
  <c r="F8" i="22"/>
  <c r="G8" i="22"/>
  <c r="H8" i="22"/>
  <c r="I8" i="22"/>
  <c r="J8" i="22"/>
  <c r="K8" i="22"/>
  <c r="L8" i="22"/>
  <c r="M8" i="22"/>
  <c r="N8" i="22"/>
  <c r="O8" i="22"/>
  <c r="P8" i="22"/>
  <c r="Q8" i="22"/>
  <c r="R8" i="22"/>
  <c r="S8" i="22"/>
  <c r="T8" i="22"/>
  <c r="U8" i="22"/>
  <c r="V8" i="22"/>
  <c r="W8" i="22"/>
  <c r="X8" i="22"/>
  <c r="Y8" i="22"/>
  <c r="Z8" i="22"/>
  <c r="AA8" i="22"/>
  <c r="AB8" i="22"/>
  <c r="AC8" i="22"/>
  <c r="AD8" i="22"/>
  <c r="AE8" i="22"/>
  <c r="AF8" i="22"/>
  <c r="AG8" i="22"/>
  <c r="AH8" i="22"/>
  <c r="AI8" i="22"/>
  <c r="AJ8" i="22"/>
  <c r="AK8" i="22"/>
  <c r="AL8" i="22"/>
  <c r="E9" i="22"/>
  <c r="F9" i="22"/>
  <c r="G9" i="22"/>
  <c r="H9" i="22"/>
  <c r="I9" i="22"/>
  <c r="J9" i="22"/>
  <c r="K9" i="22"/>
  <c r="L9" i="22"/>
  <c r="M9" i="22"/>
  <c r="N9" i="22"/>
  <c r="O9" i="22"/>
  <c r="P9" i="22"/>
  <c r="Q9" i="22"/>
  <c r="R9" i="22"/>
  <c r="S9" i="22"/>
  <c r="T9" i="22"/>
  <c r="U9" i="22"/>
  <c r="V9" i="22"/>
  <c r="W9" i="22"/>
  <c r="X9" i="22"/>
  <c r="Y9" i="22"/>
  <c r="Z9" i="22"/>
  <c r="AA9" i="22"/>
  <c r="AB9" i="22"/>
  <c r="AC9" i="22"/>
  <c r="AD9" i="22"/>
  <c r="AE9" i="22"/>
  <c r="AF9" i="22"/>
  <c r="AG9" i="22"/>
  <c r="AH9" i="22"/>
  <c r="AI9" i="22"/>
  <c r="AJ9" i="22"/>
  <c r="AK9" i="22"/>
  <c r="AL9" i="22"/>
  <c r="D9" i="22"/>
  <c r="D8" i="22"/>
  <c r="D7" i="22"/>
  <c r="D6" i="22"/>
  <c r="D1" i="7"/>
  <c r="C41" i="11"/>
  <c r="D23" i="11"/>
  <c r="E23" i="11" s="1"/>
  <c r="F23" i="11" s="1"/>
  <c r="G23" i="11" s="1"/>
  <c r="H23" i="11" s="1"/>
  <c r="I23" i="11" s="1"/>
  <c r="J23" i="11" s="1"/>
  <c r="K23" i="11" s="1"/>
  <c r="L23" i="11" s="1"/>
  <c r="M23" i="11" s="1"/>
  <c r="N23" i="11" s="1"/>
  <c r="O23" i="11" s="1"/>
  <c r="P23" i="11" s="1"/>
  <c r="Q23" i="11" s="1"/>
  <c r="R23" i="11" s="1"/>
  <c r="S23" i="11" s="1"/>
  <c r="T23" i="11" s="1"/>
  <c r="U23" i="11" s="1"/>
  <c r="V23" i="11" s="1"/>
  <c r="W23" i="11" s="1"/>
  <c r="X23" i="11" s="1"/>
  <c r="Y23" i="11" s="1"/>
  <c r="Z23" i="11" s="1"/>
  <c r="AA23" i="11" s="1"/>
  <c r="AB23" i="11" s="1"/>
  <c r="AC23" i="11" s="1"/>
  <c r="AD23" i="11" s="1"/>
  <c r="AE23" i="11" s="1"/>
  <c r="AF23" i="11" s="1"/>
  <c r="AG23" i="11" s="1"/>
  <c r="AH23" i="11" s="1"/>
  <c r="AI23" i="11" s="1"/>
  <c r="AJ23" i="11" s="1"/>
  <c r="AK23" i="11" s="1"/>
  <c r="D22" i="11"/>
  <c r="E22" i="11" s="1"/>
  <c r="F22" i="11" s="1"/>
  <c r="G22" i="11" s="1"/>
  <c r="H22" i="11" s="1"/>
  <c r="I22" i="11" s="1"/>
  <c r="J22" i="11" s="1"/>
  <c r="K22" i="11" s="1"/>
  <c r="L22" i="11" s="1"/>
  <c r="M22" i="11" s="1"/>
  <c r="N22" i="11" s="1"/>
  <c r="O22" i="11" s="1"/>
  <c r="P22" i="11" s="1"/>
  <c r="Q22" i="11" s="1"/>
  <c r="R22" i="11" s="1"/>
  <c r="S22" i="11" s="1"/>
  <c r="T22" i="11" s="1"/>
  <c r="U22" i="11" s="1"/>
  <c r="V22" i="11" s="1"/>
  <c r="W22" i="11" s="1"/>
  <c r="X22" i="11" s="1"/>
  <c r="Y22" i="11" s="1"/>
  <c r="Z22" i="11" s="1"/>
  <c r="AA22" i="11" s="1"/>
  <c r="AB22" i="11" s="1"/>
  <c r="AC22" i="11" s="1"/>
  <c r="AD22" i="11" s="1"/>
  <c r="AE22" i="11" s="1"/>
  <c r="AF22" i="11" s="1"/>
  <c r="AG22" i="11" s="1"/>
  <c r="AH22" i="11" s="1"/>
  <c r="AI22" i="11" s="1"/>
  <c r="AJ22" i="11" s="1"/>
  <c r="AK22" i="11" s="1"/>
  <c r="AK41" i="11" s="1"/>
  <c r="D3" i="11"/>
  <c r="E3" i="11" s="1"/>
  <c r="F3" i="11" s="1"/>
  <c r="G3" i="11" s="1"/>
  <c r="H3" i="11" s="1"/>
  <c r="I3" i="11" s="1"/>
  <c r="J3" i="11" s="1"/>
  <c r="K3" i="11" s="1"/>
  <c r="L3" i="11" s="1"/>
  <c r="M3" i="11" s="1"/>
  <c r="N3" i="11" s="1"/>
  <c r="O3" i="11" s="1"/>
  <c r="P3" i="11" s="1"/>
  <c r="Q3" i="11" s="1"/>
  <c r="R3" i="11" s="1"/>
  <c r="S3" i="11" s="1"/>
  <c r="T3" i="11" s="1"/>
  <c r="U3" i="11" s="1"/>
  <c r="V3" i="11" s="1"/>
  <c r="W3" i="11" s="1"/>
  <c r="X3" i="11" s="1"/>
  <c r="Y3" i="11" s="1"/>
  <c r="Z3" i="11" s="1"/>
  <c r="AA3" i="11" s="1"/>
  <c r="AB3" i="11" s="1"/>
  <c r="AC3" i="11" s="1"/>
  <c r="AD3" i="11" s="1"/>
  <c r="AE3" i="11" s="1"/>
  <c r="AF3" i="11" s="1"/>
  <c r="AG3" i="11" s="1"/>
  <c r="AH3" i="11" s="1"/>
  <c r="AI3" i="11" s="1"/>
  <c r="AJ3" i="11" s="1"/>
  <c r="AK3" i="11" s="1"/>
  <c r="AL1" i="7" s="1"/>
  <c r="AM21" i="28"/>
  <c r="AN22" i="28"/>
  <c r="AM22" i="28"/>
  <c r="AL22" i="28"/>
  <c r="AK22" i="28"/>
  <c r="AJ22" i="28"/>
  <c r="AI22" i="28"/>
  <c r="AH22" i="28"/>
  <c r="AG22" i="28"/>
  <c r="AF22" i="28"/>
  <c r="AE22" i="28"/>
  <c r="AD22" i="28"/>
  <c r="AC22" i="28"/>
  <c r="AB22" i="28"/>
  <c r="AA22" i="28"/>
  <c r="Z22" i="28"/>
  <c r="Y22" i="28"/>
  <c r="X22" i="28"/>
  <c r="W22" i="28"/>
  <c r="V22" i="28"/>
  <c r="U22" i="28"/>
  <c r="T22" i="28"/>
  <c r="S22" i="28"/>
  <c r="R22" i="28"/>
  <c r="Q22" i="28"/>
  <c r="P22" i="28"/>
  <c r="O22" i="28"/>
  <c r="N22" i="28"/>
  <c r="M22" i="28"/>
  <c r="L22" i="28"/>
  <c r="K22" i="28"/>
  <c r="J22" i="28"/>
  <c r="I22" i="28"/>
  <c r="H22" i="28"/>
  <c r="G22" i="28"/>
  <c r="F22" i="28"/>
  <c r="AN67" i="28"/>
  <c r="AM67" i="28"/>
  <c r="AL67" i="28"/>
  <c r="AK67" i="28"/>
  <c r="AJ67" i="28"/>
  <c r="AI67" i="28"/>
  <c r="AH67" i="28"/>
  <c r="AG67" i="28"/>
  <c r="AF67" i="28"/>
  <c r="AE67" i="28"/>
  <c r="AD67" i="28"/>
  <c r="AC67" i="28"/>
  <c r="AB67" i="28"/>
  <c r="AA67" i="28"/>
  <c r="Z67" i="28"/>
  <c r="Y67" i="28"/>
  <c r="X67" i="28"/>
  <c r="W67" i="28"/>
  <c r="V67" i="28"/>
  <c r="U67" i="28"/>
  <c r="T67" i="28"/>
  <c r="S67" i="28"/>
  <c r="R67" i="28"/>
  <c r="Q67" i="28"/>
  <c r="P67" i="28"/>
  <c r="O67" i="28"/>
  <c r="N67" i="28"/>
  <c r="M67" i="28"/>
  <c r="L67" i="28"/>
  <c r="K67" i="28"/>
  <c r="J67" i="28"/>
  <c r="I67" i="28"/>
  <c r="H67" i="28"/>
  <c r="G67" i="28"/>
  <c r="F67" i="28"/>
  <c r="E67" i="28"/>
  <c r="D67" i="28"/>
  <c r="E22" i="28"/>
  <c r="AN21" i="28"/>
  <c r="AL21" i="28"/>
  <c r="AK21" i="28"/>
  <c r="AJ21" i="28"/>
  <c r="AI21" i="28"/>
  <c r="AH21" i="28"/>
  <c r="AG21" i="28"/>
  <c r="AF21" i="28"/>
  <c r="AE21" i="28"/>
  <c r="AD21" i="28"/>
  <c r="AC21" i="28"/>
  <c r="AB21" i="28"/>
  <c r="AA21" i="28"/>
  <c r="Z21" i="28"/>
  <c r="Y21" i="28"/>
  <c r="X21" i="28"/>
  <c r="W21" i="28"/>
  <c r="V21" i="28"/>
  <c r="U21" i="28"/>
  <c r="T21" i="28"/>
  <c r="S21" i="28"/>
  <c r="R21" i="28"/>
  <c r="Q21" i="28"/>
  <c r="P21" i="28"/>
  <c r="O21" i="28"/>
  <c r="N21" i="28"/>
  <c r="M21" i="28"/>
  <c r="L21" i="28"/>
  <c r="K21" i="28"/>
  <c r="J21" i="28"/>
  <c r="I21" i="28"/>
  <c r="H21" i="28"/>
  <c r="G21" i="28"/>
  <c r="F21" i="28"/>
  <c r="E21" i="28"/>
  <c r="AN18" i="28"/>
  <c r="AN26" i="28" s="1"/>
  <c r="AM18" i="28"/>
  <c r="AM30" i="28" s="1"/>
  <c r="AL18" i="28"/>
  <c r="AL30" i="28" s="1"/>
  <c r="AK18" i="28"/>
  <c r="AK57" i="28" s="1"/>
  <c r="AK66" i="28" s="1"/>
  <c r="AJ18" i="28"/>
  <c r="AJ57" i="28" s="1"/>
  <c r="AJ66" i="28" s="1"/>
  <c r="AI18" i="28"/>
  <c r="AI57" i="28" s="1"/>
  <c r="AI65" i="28" s="1"/>
  <c r="AH18" i="28"/>
  <c r="AH57" i="28" s="1"/>
  <c r="AH66" i="28" s="1"/>
  <c r="AG18" i="28"/>
  <c r="AG57" i="28" s="1"/>
  <c r="AG66" i="28" s="1"/>
  <c r="AF18" i="28"/>
  <c r="AF57" i="28" s="1"/>
  <c r="AF66" i="28" s="1"/>
  <c r="AE18" i="28"/>
  <c r="AE57" i="28" s="1"/>
  <c r="AE65" i="28" s="1"/>
  <c r="AD18" i="28"/>
  <c r="AD57" i="28" s="1"/>
  <c r="AD66" i="28" s="1"/>
  <c r="AC18" i="28"/>
  <c r="AC26" i="28" s="1"/>
  <c r="AB18" i="28"/>
  <c r="AB26" i="28" s="1"/>
  <c r="AA18" i="28"/>
  <c r="AA57" i="28" s="1"/>
  <c r="Z18" i="28"/>
  <c r="Z30" i="28" s="1"/>
  <c r="Y18" i="28"/>
  <c r="Y57" i="28" s="1"/>
  <c r="Y65" i="28" s="1"/>
  <c r="X18" i="28"/>
  <c r="X57" i="28" s="1"/>
  <c r="X66" i="28" s="1"/>
  <c r="W18" i="28"/>
  <c r="W57" i="28" s="1"/>
  <c r="W66" i="28" s="1"/>
  <c r="W68" i="28" s="1"/>
  <c r="V18" i="28"/>
  <c r="V57" i="28" s="1"/>
  <c r="V65" i="28" s="1"/>
  <c r="U18" i="28"/>
  <c r="U57" i="28" s="1"/>
  <c r="U66" i="28" s="1"/>
  <c r="T18" i="28"/>
  <c r="T57" i="28" s="1"/>
  <c r="T66" i="28" s="1"/>
  <c r="S18" i="28"/>
  <c r="S57" i="28" s="1"/>
  <c r="S65" i="28" s="1"/>
  <c r="R18" i="28"/>
  <c r="R57" i="28" s="1"/>
  <c r="R65" i="28" s="1"/>
  <c r="Q18" i="28"/>
  <c r="Q26" i="28" s="1"/>
  <c r="P18" i="28"/>
  <c r="P26" i="28" s="1"/>
  <c r="O18" i="28"/>
  <c r="O57" i="28" s="1"/>
  <c r="N18" i="28"/>
  <c r="N30" i="28" s="1"/>
  <c r="M18" i="28"/>
  <c r="M57" i="28" s="1"/>
  <c r="M65" i="28" s="1"/>
  <c r="L18" i="28"/>
  <c r="L57" i="28" s="1"/>
  <c r="L65" i="28" s="1"/>
  <c r="K18" i="28"/>
  <c r="K57" i="28" s="1"/>
  <c r="K65" i="28" s="1"/>
  <c r="J18" i="28"/>
  <c r="J57" i="28" s="1"/>
  <c r="J65" i="28" s="1"/>
  <c r="I18" i="28"/>
  <c r="I57" i="28" s="1"/>
  <c r="I66" i="28" s="1"/>
  <c r="H18" i="28"/>
  <c r="H57" i="28" s="1"/>
  <c r="H65" i="28" s="1"/>
  <c r="G18" i="28"/>
  <c r="G57" i="28" s="1"/>
  <c r="G65" i="28" s="1"/>
  <c r="F18" i="28"/>
  <c r="F57" i="28" s="1"/>
  <c r="F65" i="28" s="1"/>
  <c r="E18" i="28"/>
  <c r="E26" i="28" s="1"/>
  <c r="D18" i="28"/>
  <c r="D57" i="28" s="1"/>
  <c r="AN17" i="28"/>
  <c r="AN56" i="28" s="1"/>
  <c r="AM17" i="28"/>
  <c r="AM29" i="28" s="1"/>
  <c r="AL17" i="28"/>
  <c r="AL56" i="28" s="1"/>
  <c r="AL60" i="28" s="1"/>
  <c r="AK17" i="28"/>
  <c r="AK56" i="28" s="1"/>
  <c r="AK59" i="28" s="1"/>
  <c r="AJ12" i="14" s="1"/>
  <c r="AJ17" i="28"/>
  <c r="AJ56" i="28" s="1"/>
  <c r="AJ62" i="28" s="1"/>
  <c r="AI17" i="28"/>
  <c r="AI56" i="28" s="1"/>
  <c r="AI61" i="28" s="1"/>
  <c r="AH17" i="28"/>
  <c r="AH56" i="28" s="1"/>
  <c r="AH63" i="28" s="1"/>
  <c r="AG17" i="28"/>
  <c r="AG56" i="28" s="1"/>
  <c r="AG63" i="28" s="1"/>
  <c r="AF17" i="28"/>
  <c r="AF56" i="28" s="1"/>
  <c r="AF62" i="28" s="1"/>
  <c r="AE17" i="28"/>
  <c r="AE56" i="28" s="1"/>
  <c r="AE59" i="28" s="1"/>
  <c r="AD6" i="15" s="1"/>
  <c r="AD17" i="28"/>
  <c r="AD25" i="28" s="1"/>
  <c r="AC17" i="28"/>
  <c r="AC25" i="28" s="1"/>
  <c r="AB17" i="28"/>
  <c r="AB56" i="28" s="1"/>
  <c r="AA17" i="28"/>
  <c r="AA29" i="28" s="1"/>
  <c r="Z17" i="28"/>
  <c r="Z56" i="28" s="1"/>
  <c r="Z61" i="28" s="1"/>
  <c r="Y17" i="28"/>
  <c r="Y56" i="28" s="1"/>
  <c r="Y62" i="28" s="1"/>
  <c r="X17" i="28"/>
  <c r="X56" i="28" s="1"/>
  <c r="X60" i="28" s="1"/>
  <c r="W17" i="28"/>
  <c r="W56" i="28" s="1"/>
  <c r="W59" i="28" s="1"/>
  <c r="V12" i="14" s="1"/>
  <c r="V17" i="28"/>
  <c r="V56" i="28" s="1"/>
  <c r="V62" i="28" s="1"/>
  <c r="U17" i="28"/>
  <c r="U56" i="28" s="1"/>
  <c r="U61" i="28" s="1"/>
  <c r="T17" i="28"/>
  <c r="T56" i="28" s="1"/>
  <c r="T61" i="28" s="1"/>
  <c r="S17" i="28"/>
  <c r="S56" i="28" s="1"/>
  <c r="S59" i="28" s="1"/>
  <c r="R6" i="15" s="1"/>
  <c r="R17" i="28"/>
  <c r="R25" i="28" s="1"/>
  <c r="Q17" i="28"/>
  <c r="Q25" i="28" s="1"/>
  <c r="P17" i="28"/>
  <c r="P29" i="28" s="1"/>
  <c r="O17" i="28"/>
  <c r="O29" i="28" s="1"/>
  <c r="N17" i="28"/>
  <c r="N56" i="28" s="1"/>
  <c r="N60" i="28" s="1"/>
  <c r="M17" i="28"/>
  <c r="M56" i="28" s="1"/>
  <c r="M63" i="28" s="1"/>
  <c r="L17" i="28"/>
  <c r="L56" i="28" s="1"/>
  <c r="L60" i="28" s="1"/>
  <c r="K17" i="28"/>
  <c r="K56" i="28" s="1"/>
  <c r="K62" i="28" s="1"/>
  <c r="J17" i="28"/>
  <c r="J56" i="28" s="1"/>
  <c r="J60" i="28" s="1"/>
  <c r="I17" i="28"/>
  <c r="I56" i="28" s="1"/>
  <c r="I59" i="28" s="1"/>
  <c r="H6" i="15" s="1"/>
  <c r="H17" i="28"/>
  <c r="H56" i="28" s="1"/>
  <c r="H59" i="28" s="1"/>
  <c r="G12" i="14" s="1"/>
  <c r="G17" i="28"/>
  <c r="G56" i="28" s="1"/>
  <c r="G59" i="28" s="1"/>
  <c r="F12" i="14" s="1"/>
  <c r="F17" i="28"/>
  <c r="F25" i="28" s="1"/>
  <c r="E17" i="28"/>
  <c r="E25" i="28" s="1"/>
  <c r="D17" i="28"/>
  <c r="D29" i="28" s="1"/>
  <c r="AN14" i="28"/>
  <c r="AM14" i="28"/>
  <c r="AL14" i="28"/>
  <c r="AK14" i="28"/>
  <c r="AJ14" i="28"/>
  <c r="AI14" i="28"/>
  <c r="AH14" i="28"/>
  <c r="AG14" i="28"/>
  <c r="AF14" i="28"/>
  <c r="AE14" i="28"/>
  <c r="AD14" i="28"/>
  <c r="AC14" i="28"/>
  <c r="AB14" i="28"/>
  <c r="AA14" i="28"/>
  <c r="Z14" i="28"/>
  <c r="Y14" i="28"/>
  <c r="X14" i="28"/>
  <c r="W14" i="28"/>
  <c r="V14" i="28"/>
  <c r="U14" i="28"/>
  <c r="T14" i="28"/>
  <c r="S14" i="28"/>
  <c r="R14" i="28"/>
  <c r="Q14" i="28"/>
  <c r="P14" i="28"/>
  <c r="O14" i="28"/>
  <c r="N14" i="28"/>
  <c r="M14" i="28"/>
  <c r="L14" i="28"/>
  <c r="K14" i="28"/>
  <c r="J14" i="28"/>
  <c r="I14" i="28"/>
  <c r="H14" i="28"/>
  <c r="G14" i="28"/>
  <c r="F14" i="28"/>
  <c r="E14" i="28"/>
  <c r="E2" i="28"/>
  <c r="F2" i="28" s="1"/>
  <c r="G2" i="28" s="1"/>
  <c r="H2" i="28" s="1"/>
  <c r="I2" i="28" s="1"/>
  <c r="J2" i="28" s="1"/>
  <c r="K2" i="28" s="1"/>
  <c r="L2" i="28" s="1"/>
  <c r="M2" i="28" s="1"/>
  <c r="N2" i="28" s="1"/>
  <c r="O2" i="28" s="1"/>
  <c r="P2" i="28" s="1"/>
  <c r="Q2" i="28" s="1"/>
  <c r="R2" i="28" s="1"/>
  <c r="S2" i="28" s="1"/>
  <c r="T2" i="28" s="1"/>
  <c r="U2" i="28" s="1"/>
  <c r="V2" i="28" s="1"/>
  <c r="W2" i="28" s="1"/>
  <c r="X2" i="28" s="1"/>
  <c r="Y2" i="28" s="1"/>
  <c r="Z2" i="28" s="1"/>
  <c r="AA2" i="28" s="1"/>
  <c r="AB2" i="28" s="1"/>
  <c r="AC2" i="28" s="1"/>
  <c r="AD2" i="28" s="1"/>
  <c r="AE2" i="28" s="1"/>
  <c r="AF2" i="28" s="1"/>
  <c r="AG2" i="28" s="1"/>
  <c r="AH2" i="28" s="1"/>
  <c r="AI2" i="28" s="1"/>
  <c r="AJ2" i="28" s="1"/>
  <c r="AK2" i="28" s="1"/>
  <c r="AL2" i="28" s="1"/>
  <c r="AM2" i="28" s="1"/>
  <c r="AN2" i="28" s="1"/>
  <c r="F1" i="28"/>
  <c r="G1" i="28" s="1"/>
  <c r="H1" i="28" s="1"/>
  <c r="I1" i="28" s="1"/>
  <c r="J1" i="28" s="1"/>
  <c r="K1" i="28" s="1"/>
  <c r="L1" i="28" s="1"/>
  <c r="M1" i="28" s="1"/>
  <c r="N1" i="28" s="1"/>
  <c r="O1" i="28" s="1"/>
  <c r="P1" i="28" s="1"/>
  <c r="Q1" i="28" s="1"/>
  <c r="R1" i="28" s="1"/>
  <c r="S1" i="28" s="1"/>
  <c r="T1" i="28" s="1"/>
  <c r="U1" i="28" s="1"/>
  <c r="V1" i="28" s="1"/>
  <c r="W1" i="28" s="1"/>
  <c r="X1" i="28" s="1"/>
  <c r="Y1" i="28" s="1"/>
  <c r="Z1" i="28" s="1"/>
  <c r="AA1" i="28" s="1"/>
  <c r="AB1" i="28" s="1"/>
  <c r="AC1" i="28" s="1"/>
  <c r="AD1" i="28" s="1"/>
  <c r="AE1" i="28" s="1"/>
  <c r="AF1" i="28" s="1"/>
  <c r="AG1" i="28" s="1"/>
  <c r="AH1" i="28" s="1"/>
  <c r="AI1" i="28" s="1"/>
  <c r="AJ1" i="28" s="1"/>
  <c r="AK1" i="28" s="1"/>
  <c r="AL1" i="28" s="1"/>
  <c r="AM1" i="28" s="1"/>
  <c r="AN1" i="28" s="1"/>
  <c r="F6" i="25" l="1"/>
  <c r="F25" i="25" s="1"/>
  <c r="AD68" i="28"/>
  <c r="AC22" i="14" s="1"/>
  <c r="AH68" i="28"/>
  <c r="AG22" i="14" s="1"/>
  <c r="X68" i="28"/>
  <c r="W14" i="13" s="1"/>
  <c r="AJ68" i="28"/>
  <c r="AI14" i="13" s="1"/>
  <c r="AC14" i="13"/>
  <c r="AK68" i="28"/>
  <c r="AJ22" i="14" s="1"/>
  <c r="AD12" i="14"/>
  <c r="E56" i="28"/>
  <c r="E63" i="28" s="1"/>
  <c r="D26" i="28"/>
  <c r="Q29" i="28"/>
  <c r="T68" i="28"/>
  <c r="S8" i="15" s="1"/>
  <c r="AF68" i="28"/>
  <c r="AE8" i="15" s="1"/>
  <c r="Z29" i="28"/>
  <c r="AA33" i="28" s="1"/>
  <c r="I68" i="28"/>
  <c r="H22" i="14" s="1"/>
  <c r="U68" i="28"/>
  <c r="T22" i="14" s="1"/>
  <c r="AG68" i="28"/>
  <c r="AF22" i="14" s="1"/>
  <c r="AG65" i="28"/>
  <c r="R66" i="28"/>
  <c r="R68" i="28" s="1"/>
  <c r="Q14" i="13" s="1"/>
  <c r="K66" i="28"/>
  <c r="K68" i="28" s="1"/>
  <c r="J14" i="13" s="1"/>
  <c r="L59" i="28"/>
  <c r="K12" i="14" s="1"/>
  <c r="N59" i="28"/>
  <c r="M12" i="14" s="1"/>
  <c r="AI66" i="28"/>
  <c r="AI68" i="28" s="1"/>
  <c r="AH14" i="13" s="1"/>
  <c r="Z59" i="28"/>
  <c r="Y12" i="14" s="1"/>
  <c r="AO22" i="28"/>
  <c r="AM57" i="28"/>
  <c r="AM65" i="28" s="1"/>
  <c r="Z60" i="28"/>
  <c r="AD8" i="13"/>
  <c r="N61" i="28"/>
  <c r="R8" i="13"/>
  <c r="AO21" i="28"/>
  <c r="N29" i="28"/>
  <c r="O33" i="28" s="1"/>
  <c r="AJ61" i="28"/>
  <c r="F8" i="13"/>
  <c r="AJ29" i="28"/>
  <c r="U63" i="28"/>
  <c r="R29" i="28"/>
  <c r="Z63" i="28"/>
  <c r="AJ14" i="13"/>
  <c r="M30" i="28"/>
  <c r="N34" i="28" s="1"/>
  <c r="W65" i="28"/>
  <c r="R12" i="14"/>
  <c r="D66" i="28"/>
  <c r="D68" i="28" s="1"/>
  <c r="D65" i="28"/>
  <c r="V14" i="13"/>
  <c r="V22" i="14"/>
  <c r="V8" i="15"/>
  <c r="H12" i="14"/>
  <c r="G6" i="15"/>
  <c r="X29" i="28"/>
  <c r="AG30" i="28"/>
  <c r="AH59" i="28"/>
  <c r="V61" i="28"/>
  <c r="X63" i="28"/>
  <c r="AJ65" i="28"/>
  <c r="G8" i="13"/>
  <c r="F6" i="15"/>
  <c r="H8" i="13"/>
  <c r="AJ30" i="28"/>
  <c r="Y61" i="28"/>
  <c r="AN57" i="28"/>
  <c r="AN65" i="28" s="1"/>
  <c r="I60" i="28"/>
  <c r="AG61" i="28"/>
  <c r="AF63" i="28"/>
  <c r="H66" i="28"/>
  <c r="H68" i="28" s="1"/>
  <c r="AB29" i="28"/>
  <c r="AB33" i="28" s="1"/>
  <c r="M60" i="28"/>
  <c r="AG29" i="28"/>
  <c r="L66" i="28"/>
  <c r="L68" i="28" s="1"/>
  <c r="AJ8" i="15"/>
  <c r="M6" i="15"/>
  <c r="I62" i="28"/>
  <c r="H25" i="28"/>
  <c r="F29" i="28"/>
  <c r="E30" i="28"/>
  <c r="AG60" i="28"/>
  <c r="U62" i="28"/>
  <c r="AJ6" i="15"/>
  <c r="E24" i="25"/>
  <c r="E25" i="25" s="1"/>
  <c r="D25" i="28"/>
  <c r="V60" i="28"/>
  <c r="E29" i="28"/>
  <c r="E33" i="28" s="1"/>
  <c r="U25" i="28"/>
  <c r="G29" i="28"/>
  <c r="F30" i="28"/>
  <c r="AJ60" i="28"/>
  <c r="AG62" i="28"/>
  <c r="AJ8" i="13"/>
  <c r="AG25" i="28"/>
  <c r="H29" i="28"/>
  <c r="G30" i="28"/>
  <c r="E61" i="28"/>
  <c r="AH62" i="28"/>
  <c r="I65" i="28"/>
  <c r="V6" i="15"/>
  <c r="H26" i="28"/>
  <c r="H30" i="28"/>
  <c r="H61" i="28"/>
  <c r="U65" i="28"/>
  <c r="E32" i="25"/>
  <c r="E33" i="25" s="1"/>
  <c r="V8" i="13"/>
  <c r="D56" i="28"/>
  <c r="K61" i="28"/>
  <c r="H63" i="28"/>
  <c r="N6" i="13"/>
  <c r="Y1" i="7"/>
  <c r="AA1" i="7"/>
  <c r="X6" i="13"/>
  <c r="O1" i="7"/>
  <c r="L6" i="13"/>
  <c r="M1" i="7"/>
  <c r="AK1" i="7"/>
  <c r="Z6" i="13"/>
  <c r="F7" i="25"/>
  <c r="E314" i="25"/>
  <c r="G314" i="25" s="1"/>
  <c r="F34" i="25"/>
  <c r="G358" i="25"/>
  <c r="G356" i="25" s="1"/>
  <c r="F32" i="25"/>
  <c r="P20" i="5"/>
  <c r="P12" i="5"/>
  <c r="T20" i="5"/>
  <c r="T12" i="5"/>
  <c r="P44" i="5"/>
  <c r="P36" i="5"/>
  <c r="T44" i="5"/>
  <c r="T36" i="5"/>
  <c r="AB1" i="7"/>
  <c r="P1" i="7"/>
  <c r="AM6" i="13"/>
  <c r="AA6" i="13"/>
  <c r="O6" i="13"/>
  <c r="AL6" i="13"/>
  <c r="Z1" i="7"/>
  <c r="N1" i="7"/>
  <c r="AK6" i="13"/>
  <c r="Y6" i="13"/>
  <c r="M6" i="13"/>
  <c r="AJ6" i="13"/>
  <c r="AJ1" i="7"/>
  <c r="X1" i="7"/>
  <c r="L1" i="7"/>
  <c r="AI6" i="13"/>
  <c r="W6" i="13"/>
  <c r="K6" i="13"/>
  <c r="AI1" i="7"/>
  <c r="W1" i="7"/>
  <c r="K1" i="7"/>
  <c r="AH6" i="13"/>
  <c r="V6" i="13"/>
  <c r="J6" i="13"/>
  <c r="AH1" i="7"/>
  <c r="V1" i="7"/>
  <c r="J1" i="7"/>
  <c r="AG6" i="13"/>
  <c r="U6" i="13"/>
  <c r="I6" i="13"/>
  <c r="M41" i="11"/>
  <c r="AG1" i="7"/>
  <c r="U1" i="7"/>
  <c r="I1" i="7"/>
  <c r="AF6" i="13"/>
  <c r="T6" i="13"/>
  <c r="H6" i="13"/>
  <c r="N41" i="11"/>
  <c r="AF1" i="7"/>
  <c r="T1" i="7"/>
  <c r="H1" i="7"/>
  <c r="AE6" i="13"/>
  <c r="S6" i="13"/>
  <c r="G6" i="13"/>
  <c r="Y41" i="11"/>
  <c r="AE1" i="7"/>
  <c r="S1" i="7"/>
  <c r="G1" i="7"/>
  <c r="AD6" i="13"/>
  <c r="R6" i="13"/>
  <c r="F6" i="13"/>
  <c r="Z41" i="11"/>
  <c r="AD1" i="7"/>
  <c r="R1" i="7"/>
  <c r="F1" i="7"/>
  <c r="AC6" i="13"/>
  <c r="Q6" i="13"/>
  <c r="AC1" i="7"/>
  <c r="Q1" i="7"/>
  <c r="E1" i="7"/>
  <c r="AB6" i="13"/>
  <c r="P6" i="13"/>
  <c r="L41" i="11"/>
  <c r="X41" i="11"/>
  <c r="AJ41" i="11"/>
  <c r="O41" i="11"/>
  <c r="AA41" i="11"/>
  <c r="D41" i="11"/>
  <c r="P41" i="11"/>
  <c r="AB41" i="11"/>
  <c r="E41" i="11"/>
  <c r="Q41" i="11"/>
  <c r="AC41" i="11"/>
  <c r="F41" i="11"/>
  <c r="R41" i="11"/>
  <c r="AD41" i="11"/>
  <c r="G41" i="11"/>
  <c r="S41" i="11"/>
  <c r="AE41" i="11"/>
  <c r="H41" i="11"/>
  <c r="T41" i="11"/>
  <c r="AF41" i="11"/>
  <c r="I41" i="11"/>
  <c r="U41" i="11"/>
  <c r="AG41" i="11"/>
  <c r="J41" i="11"/>
  <c r="V41" i="11"/>
  <c r="AH41" i="11"/>
  <c r="K41" i="11"/>
  <c r="W41" i="11"/>
  <c r="AI41" i="11"/>
  <c r="S66" i="28"/>
  <c r="S68" i="28" s="1"/>
  <c r="AN60" i="28"/>
  <c r="AN63" i="28"/>
  <c r="AN61" i="28"/>
  <c r="AN59" i="28"/>
  <c r="AN62" i="28"/>
  <c r="AN30" i="28"/>
  <c r="AN34" i="28" s="1"/>
  <c r="AN29" i="28"/>
  <c r="AN33" i="28" s="1"/>
  <c r="AM34" i="28"/>
  <c r="AL63" i="28"/>
  <c r="AL59" i="28"/>
  <c r="AL62" i="28"/>
  <c r="AL29" i="28"/>
  <c r="AM33" i="28" s="1"/>
  <c r="AL61" i="28"/>
  <c r="AK63" i="28"/>
  <c r="AK65" i="28"/>
  <c r="AK62" i="28"/>
  <c r="AK60" i="28"/>
  <c r="AK61" i="28"/>
  <c r="AK29" i="28"/>
  <c r="AK30" i="28"/>
  <c r="AL34" i="28" s="1"/>
  <c r="AJ59" i="28"/>
  <c r="AJ63" i="28"/>
  <c r="AI59" i="28"/>
  <c r="AI29" i="28"/>
  <c r="AI30" i="28"/>
  <c r="AI60" i="28"/>
  <c r="AI62" i="28"/>
  <c r="AI63" i="28"/>
  <c r="AH65" i="28"/>
  <c r="AH60" i="28"/>
  <c r="AH29" i="28"/>
  <c r="AH61" i="28"/>
  <c r="AH30" i="28"/>
  <c r="AG59" i="28"/>
  <c r="AF25" i="28"/>
  <c r="AF29" i="28"/>
  <c r="AF26" i="28"/>
  <c r="AF30" i="28"/>
  <c r="AF59" i="28"/>
  <c r="AF65" i="28"/>
  <c r="AF60" i="28"/>
  <c r="AF61" i="28"/>
  <c r="AE66" i="28"/>
  <c r="AE68" i="28" s="1"/>
  <c r="AE60" i="28"/>
  <c r="AE29" i="28"/>
  <c r="AE26" i="28"/>
  <c r="AE61" i="28"/>
  <c r="AE62" i="28"/>
  <c r="AE30" i="28"/>
  <c r="AE63" i="28"/>
  <c r="AD65" i="28"/>
  <c r="AD29" i="28"/>
  <c r="AD30" i="28"/>
  <c r="AC30" i="28"/>
  <c r="AC29" i="28"/>
  <c r="AC56" i="28"/>
  <c r="AB60" i="28"/>
  <c r="AB62" i="28"/>
  <c r="AB63" i="28"/>
  <c r="AB61" i="28"/>
  <c r="AB59" i="28"/>
  <c r="AB57" i="28"/>
  <c r="AB30" i="28"/>
  <c r="AA65" i="28"/>
  <c r="AA66" i="28"/>
  <c r="AA68" i="28" s="1"/>
  <c r="AA30" i="28"/>
  <c r="Z62" i="28"/>
  <c r="Y30" i="28"/>
  <c r="Z34" i="28" s="1"/>
  <c r="Y29" i="28"/>
  <c r="Y66" i="28"/>
  <c r="Y68" i="28" s="1"/>
  <c r="Y60" i="28"/>
  <c r="Y63" i="28"/>
  <c r="Y59" i="28"/>
  <c r="X59" i="28"/>
  <c r="X65" i="28"/>
  <c r="X30" i="28"/>
  <c r="X62" i="28"/>
  <c r="X61" i="28"/>
  <c r="W63" i="28"/>
  <c r="W62" i="28"/>
  <c r="W61" i="28"/>
  <c r="W30" i="28"/>
  <c r="W60" i="28"/>
  <c r="W29" i="28"/>
  <c r="V66" i="28"/>
  <c r="V68" i="28" s="1"/>
  <c r="V59" i="28"/>
  <c r="V63" i="28"/>
  <c r="V29" i="28"/>
  <c r="V30" i="28"/>
  <c r="U59" i="28"/>
  <c r="U29" i="28"/>
  <c r="U30" i="28"/>
  <c r="U60" i="28"/>
  <c r="T25" i="28"/>
  <c r="T29" i="28"/>
  <c r="T63" i="28"/>
  <c r="T26" i="28"/>
  <c r="T59" i="28"/>
  <c r="T60" i="28"/>
  <c r="T62" i="28"/>
  <c r="T30" i="28"/>
  <c r="T65" i="28"/>
  <c r="S60" i="28"/>
  <c r="S61" i="28"/>
  <c r="S62" i="28"/>
  <c r="S63" i="28"/>
  <c r="S26" i="28"/>
  <c r="S29" i="28"/>
  <c r="S30" i="28"/>
  <c r="R30" i="28"/>
  <c r="Q33" i="28"/>
  <c r="Q30" i="28"/>
  <c r="Q56" i="28"/>
  <c r="P33" i="28"/>
  <c r="P56" i="28"/>
  <c r="P30" i="28"/>
  <c r="P57" i="28"/>
  <c r="O65" i="28"/>
  <c r="O66" i="28"/>
  <c r="O68" i="28" s="1"/>
  <c r="O30" i="28"/>
  <c r="N63" i="28"/>
  <c r="N62" i="28"/>
  <c r="M62" i="28"/>
  <c r="M66" i="28"/>
  <c r="M68" i="28" s="1"/>
  <c r="M29" i="28"/>
  <c r="M59" i="28"/>
  <c r="M61" i="28"/>
  <c r="L62" i="28"/>
  <c r="L30" i="28"/>
  <c r="L61" i="28"/>
  <c r="L63" i="28"/>
  <c r="L29" i="28"/>
  <c r="K60" i="28"/>
  <c r="K63" i="28"/>
  <c r="K30" i="28"/>
  <c r="K59" i="28"/>
  <c r="K29" i="28"/>
  <c r="J30" i="28"/>
  <c r="J29" i="28"/>
  <c r="J66" i="28"/>
  <c r="J68" i="28" s="1"/>
  <c r="J59" i="28"/>
  <c r="J62" i="28"/>
  <c r="J63" i="28"/>
  <c r="J61" i="28"/>
  <c r="I63" i="28"/>
  <c r="I29" i="28"/>
  <c r="I30" i="28"/>
  <c r="I61" i="28"/>
  <c r="I25" i="28"/>
  <c r="H62" i="28"/>
  <c r="H60" i="28"/>
  <c r="G63" i="28"/>
  <c r="G62" i="28"/>
  <c r="G61" i="28"/>
  <c r="G66" i="28"/>
  <c r="G68" i="28" s="1"/>
  <c r="G26" i="28"/>
  <c r="G60" i="28"/>
  <c r="F66" i="28"/>
  <c r="F68" i="28" s="1"/>
  <c r="G25" i="28"/>
  <c r="S25" i="28"/>
  <c r="AE25" i="28"/>
  <c r="F26" i="28"/>
  <c r="R26" i="28"/>
  <c r="AD26" i="28"/>
  <c r="D30" i="28"/>
  <c r="O56" i="28"/>
  <c r="AA56" i="28"/>
  <c r="AM56" i="28"/>
  <c r="N57" i="28"/>
  <c r="Z57" i="28"/>
  <c r="AL57" i="28"/>
  <c r="J25" i="28"/>
  <c r="V25" i="28"/>
  <c r="AH25" i="28"/>
  <c r="I26" i="28"/>
  <c r="U26" i="28"/>
  <c r="AG26" i="28"/>
  <c r="F56" i="28"/>
  <c r="R56" i="28"/>
  <c r="AD56" i="28"/>
  <c r="E57" i="28"/>
  <c r="Q57" i="28"/>
  <c r="AC57" i="28"/>
  <c r="K25" i="28"/>
  <c r="W25" i="28"/>
  <c r="AI25" i="28"/>
  <c r="J26" i="28"/>
  <c r="V26" i="28"/>
  <c r="AH26" i="28"/>
  <c r="L25" i="28"/>
  <c r="X25" i="28"/>
  <c r="AJ25" i="28"/>
  <c r="K26" i="28"/>
  <c r="W26" i="28"/>
  <c r="AI26" i="28"/>
  <c r="M25" i="28"/>
  <c r="Y25" i="28"/>
  <c r="AK25" i="28"/>
  <c r="L26" i="28"/>
  <c r="X26" i="28"/>
  <c r="AJ26" i="28"/>
  <c r="N25" i="28"/>
  <c r="Z25" i="28"/>
  <c r="AL25" i="28"/>
  <c r="M26" i="28"/>
  <c r="Y26" i="28"/>
  <c r="AK26" i="28"/>
  <c r="O25" i="28"/>
  <c r="AA25" i="28"/>
  <c r="AM25" i="28"/>
  <c r="N26" i="28"/>
  <c r="Z26" i="28"/>
  <c r="AL26" i="28"/>
  <c r="P25" i="28"/>
  <c r="AB25" i="28"/>
  <c r="AN25" i="28"/>
  <c r="O26" i="28"/>
  <c r="AA26" i="28"/>
  <c r="AM26" i="28"/>
  <c r="AG14" i="13" l="1"/>
  <c r="AC8" i="15"/>
  <c r="AG8" i="15"/>
  <c r="Z33" i="28"/>
  <c r="M8" i="13"/>
  <c r="AK33" i="28"/>
  <c r="W8" i="15"/>
  <c r="S14" i="13"/>
  <c r="I34" i="28"/>
  <c r="AI8" i="15"/>
  <c r="S22" i="14"/>
  <c r="W22" i="14"/>
  <c r="AH8" i="15"/>
  <c r="R33" i="28"/>
  <c r="AM66" i="28"/>
  <c r="AM68" i="28" s="1"/>
  <c r="AL8" i="15" s="1"/>
  <c r="AI22" i="14"/>
  <c r="AH22" i="14"/>
  <c r="G34" i="28"/>
  <c r="Q22" i="14"/>
  <c r="H14" i="13"/>
  <c r="G33" i="28"/>
  <c r="P34" i="28"/>
  <c r="AE14" i="13"/>
  <c r="E59" i="28"/>
  <c r="T14" i="13"/>
  <c r="AJ34" i="28"/>
  <c r="AE22" i="14"/>
  <c r="X33" i="28"/>
  <c r="M34" i="28"/>
  <c r="D25" i="25"/>
  <c r="S25" i="11" s="1"/>
  <c r="Q8" i="15"/>
  <c r="H8" i="15"/>
  <c r="K6" i="15"/>
  <c r="AN66" i="28"/>
  <c r="AN68" i="28" s="1"/>
  <c r="AM22" i="14" s="1"/>
  <c r="T8" i="15"/>
  <c r="E60" i="28"/>
  <c r="AF14" i="13"/>
  <c r="N33" i="28"/>
  <c r="AF8" i="15"/>
  <c r="AH33" i="28"/>
  <c r="E62" i="28"/>
  <c r="AE34" i="28"/>
  <c r="E34" i="28"/>
  <c r="M33" i="28"/>
  <c r="AG34" i="28"/>
  <c r="J22" i="14"/>
  <c r="J8" i="15"/>
  <c r="AG33" i="28"/>
  <c r="AJ33" i="28"/>
  <c r="K8" i="13"/>
  <c r="Y6" i="15"/>
  <c r="K34" i="28"/>
  <c r="Y8" i="13"/>
  <c r="AK34" i="28"/>
  <c r="V33" i="28"/>
  <c r="U34" i="28"/>
  <c r="W34" i="28"/>
  <c r="AD34" i="28"/>
  <c r="AL33" i="28"/>
  <c r="AC33" i="28"/>
  <c r="R8" i="15"/>
  <c r="R14" i="13"/>
  <c r="R22" i="14"/>
  <c r="W12" i="14"/>
  <c r="W8" i="13"/>
  <c r="W6" i="15"/>
  <c r="L14" i="13"/>
  <c r="L22" i="14"/>
  <c r="L8" i="15"/>
  <c r="AF6" i="15"/>
  <c r="AF8" i="13"/>
  <c r="AF12" i="14"/>
  <c r="AM12" i="14"/>
  <c r="AM8" i="13"/>
  <c r="AM6" i="15"/>
  <c r="AB34" i="28"/>
  <c r="W33" i="28"/>
  <c r="Z14" i="13"/>
  <c r="Z22" i="14"/>
  <c r="Z8" i="15"/>
  <c r="AD8" i="15"/>
  <c r="AD14" i="13"/>
  <c r="AD22" i="14"/>
  <c r="AK12" i="14"/>
  <c r="AK8" i="13"/>
  <c r="AK6" i="15"/>
  <c r="E27" i="25"/>
  <c r="E26" i="25"/>
  <c r="G8" i="15"/>
  <c r="G14" i="13"/>
  <c r="G22" i="14"/>
  <c r="F8" i="15"/>
  <c r="F14" i="13"/>
  <c r="F22" i="14"/>
  <c r="AC34" i="28"/>
  <c r="I12" i="14"/>
  <c r="I8" i="13"/>
  <c r="I6" i="15"/>
  <c r="N14" i="13"/>
  <c r="N22" i="14"/>
  <c r="N8" i="15"/>
  <c r="T33" i="28"/>
  <c r="AE12" i="14"/>
  <c r="AE8" i="13"/>
  <c r="AE6" i="15"/>
  <c r="AM14" i="13"/>
  <c r="D63" i="28"/>
  <c r="D62" i="28"/>
  <c r="D61" i="28"/>
  <c r="D60" i="28"/>
  <c r="D59" i="28"/>
  <c r="I22" i="14"/>
  <c r="I8" i="15"/>
  <c r="I14" i="13"/>
  <c r="AA12" i="14"/>
  <c r="AA8" i="13"/>
  <c r="AA6" i="15"/>
  <c r="E35" i="25"/>
  <c r="E34" i="25"/>
  <c r="D34" i="25" s="1"/>
  <c r="D33" i="25"/>
  <c r="K33" i="28"/>
  <c r="X34" i="28"/>
  <c r="X14" i="13"/>
  <c r="X22" i="14"/>
  <c r="X8" i="15"/>
  <c r="F34" i="28"/>
  <c r="X12" i="14"/>
  <c r="X8" i="13"/>
  <c r="X6" i="15"/>
  <c r="L12" i="14"/>
  <c r="L8" i="13"/>
  <c r="L6" i="15"/>
  <c r="H33" i="28"/>
  <c r="K14" i="13"/>
  <c r="K22" i="14"/>
  <c r="K8" i="15"/>
  <c r="U22" i="14"/>
  <c r="U8" i="15"/>
  <c r="U14" i="13"/>
  <c r="L33" i="28"/>
  <c r="V34" i="28"/>
  <c r="Y33" i="28"/>
  <c r="H34" i="28"/>
  <c r="AG12" i="14"/>
  <c r="AG8" i="13"/>
  <c r="AG6" i="15"/>
  <c r="U12" i="14"/>
  <c r="U8" i="13"/>
  <c r="U6" i="15"/>
  <c r="E65" i="28"/>
  <c r="E66" i="28"/>
  <c r="E68" i="28" s="1"/>
  <c r="E14" i="13"/>
  <c r="E8" i="15"/>
  <c r="E22" i="14"/>
  <c r="L34" i="28"/>
  <c r="T6" i="15"/>
  <c r="T12" i="14"/>
  <c r="T8" i="13"/>
  <c r="AF33" i="28"/>
  <c r="F33" i="28"/>
  <c r="S12" i="14"/>
  <c r="S8" i="13"/>
  <c r="S6" i="15"/>
  <c r="J12" i="14"/>
  <c r="J8" i="13"/>
  <c r="J6" i="15"/>
  <c r="AH12" i="14"/>
  <c r="AH8" i="13"/>
  <c r="AH6" i="15"/>
  <c r="AD33" i="28"/>
  <c r="AI12" i="14"/>
  <c r="AI8" i="13"/>
  <c r="AI6" i="15"/>
  <c r="F26" i="25"/>
  <c r="D32" i="25"/>
  <c r="F18" i="25"/>
  <c r="F37" i="25" s="1"/>
  <c r="G318" i="25"/>
  <c r="X12" i="5"/>
  <c r="V19" i="5"/>
  <c r="V14" i="5"/>
  <c r="X19" i="5"/>
  <c r="V18" i="5"/>
  <c r="X16" i="5"/>
  <c r="V17" i="5"/>
  <c r="V16" i="5"/>
  <c r="X18" i="5"/>
  <c r="V15" i="5"/>
  <c r="X17" i="5"/>
  <c r="U12" i="5"/>
  <c r="V13" i="5"/>
  <c r="X15" i="5"/>
  <c r="X14" i="5"/>
  <c r="V12" i="5"/>
  <c r="X13" i="5"/>
  <c r="V25" i="5"/>
  <c r="X26" i="5"/>
  <c r="X25" i="5"/>
  <c r="U20" i="5"/>
  <c r="V22" i="5"/>
  <c r="X24" i="5"/>
  <c r="V21" i="5"/>
  <c r="X23" i="5"/>
  <c r="X22" i="5"/>
  <c r="X20" i="5"/>
  <c r="X21" i="5"/>
  <c r="V27" i="5"/>
  <c r="V20" i="5"/>
  <c r="V24" i="5"/>
  <c r="X27" i="5"/>
  <c r="V26" i="5"/>
  <c r="V23" i="5"/>
  <c r="W13" i="5"/>
  <c r="W15" i="5"/>
  <c r="W12" i="5"/>
  <c r="R19" i="5"/>
  <c r="W19" i="5"/>
  <c r="R18" i="5"/>
  <c r="R17" i="5"/>
  <c r="Q12" i="5"/>
  <c r="R16" i="5"/>
  <c r="W18" i="5"/>
  <c r="R12" i="5"/>
  <c r="R15" i="5"/>
  <c r="W17" i="5"/>
  <c r="R13" i="5"/>
  <c r="R14" i="5"/>
  <c r="W16" i="5"/>
  <c r="W14" i="5"/>
  <c r="W27" i="5"/>
  <c r="R26" i="5"/>
  <c r="Q20" i="5"/>
  <c r="R25" i="5"/>
  <c r="R20" i="5"/>
  <c r="R24" i="5"/>
  <c r="W26" i="5"/>
  <c r="R23" i="5"/>
  <c r="W25" i="5"/>
  <c r="R22" i="5"/>
  <c r="W24" i="5"/>
  <c r="R21" i="5"/>
  <c r="W23" i="5"/>
  <c r="W22" i="5"/>
  <c r="W20" i="5"/>
  <c r="W21" i="5"/>
  <c r="R27" i="5"/>
  <c r="X45" i="5"/>
  <c r="X44" i="5"/>
  <c r="V49" i="5"/>
  <c r="V48" i="5"/>
  <c r="X50" i="5"/>
  <c r="V47" i="5"/>
  <c r="X49" i="5"/>
  <c r="U44" i="5"/>
  <c r="X48" i="5"/>
  <c r="V44" i="5"/>
  <c r="X46" i="5"/>
  <c r="V45" i="5"/>
  <c r="X47" i="5"/>
  <c r="V46" i="5"/>
  <c r="V50" i="5"/>
  <c r="V51" i="5"/>
  <c r="X51" i="5"/>
  <c r="W38" i="5"/>
  <c r="W36" i="5"/>
  <c r="W37" i="5"/>
  <c r="W41" i="5"/>
  <c r="R38" i="5"/>
  <c r="R39" i="5"/>
  <c r="W40" i="5"/>
  <c r="R43" i="5"/>
  <c r="W43" i="5"/>
  <c r="R42" i="5"/>
  <c r="Q36" i="5"/>
  <c r="R41" i="5"/>
  <c r="R36" i="5"/>
  <c r="R40" i="5"/>
  <c r="W42" i="5"/>
  <c r="R37" i="5"/>
  <c r="W39" i="5"/>
  <c r="V40" i="5"/>
  <c r="X41" i="5"/>
  <c r="X36" i="5"/>
  <c r="X42" i="5"/>
  <c r="V43" i="5"/>
  <c r="X43" i="5"/>
  <c r="V39" i="5"/>
  <c r="U36" i="5"/>
  <c r="X40" i="5"/>
  <c r="V37" i="5"/>
  <c r="V42" i="5"/>
  <c r="V41" i="5"/>
  <c r="V38" i="5"/>
  <c r="X39" i="5"/>
  <c r="X38" i="5"/>
  <c r="V36" i="5"/>
  <c r="X37" i="5"/>
  <c r="W51" i="5"/>
  <c r="R50" i="5"/>
  <c r="Q44" i="5"/>
  <c r="R49" i="5"/>
  <c r="R44" i="5"/>
  <c r="R48" i="5"/>
  <c r="W50" i="5"/>
  <c r="R51" i="5"/>
  <c r="R47" i="5"/>
  <c r="W49" i="5"/>
  <c r="R46" i="5"/>
  <c r="W48" i="5"/>
  <c r="W45" i="5"/>
  <c r="R45" i="5"/>
  <c r="W47" i="5"/>
  <c r="W44" i="5"/>
  <c r="W46" i="5"/>
  <c r="S33" i="28"/>
  <c r="AM62" i="28"/>
  <c r="AM59" i="28"/>
  <c r="AM63" i="28"/>
  <c r="AM60" i="28"/>
  <c r="AM61" i="28"/>
  <c r="AL66" i="28"/>
  <c r="AL68" i="28" s="1"/>
  <c r="AL65" i="28"/>
  <c r="AI33" i="28"/>
  <c r="AI34" i="28"/>
  <c r="AH34" i="28"/>
  <c r="AF34" i="28"/>
  <c r="AE33" i="28"/>
  <c r="AD60" i="28"/>
  <c r="AD63" i="28"/>
  <c r="AD59" i="28"/>
  <c r="AD61" i="28"/>
  <c r="AD62" i="28"/>
  <c r="AC66" i="28"/>
  <c r="AC68" i="28" s="1"/>
  <c r="AC65" i="28"/>
  <c r="AC62" i="28"/>
  <c r="AC59" i="28"/>
  <c r="AC61" i="28"/>
  <c r="AC63" i="28"/>
  <c r="AC60" i="28"/>
  <c r="AB65" i="28"/>
  <c r="AB66" i="28"/>
  <c r="AB68" i="28" s="1"/>
  <c r="AA61" i="28"/>
  <c r="AA63" i="28"/>
  <c r="AA59" i="28"/>
  <c r="AA62" i="28"/>
  <c r="AA60" i="28"/>
  <c r="AA34" i="28"/>
  <c r="Z65" i="28"/>
  <c r="Z66" i="28"/>
  <c r="Z68" i="28" s="1"/>
  <c r="Y34" i="28"/>
  <c r="U33" i="28"/>
  <c r="T34" i="28"/>
  <c r="S34" i="28"/>
  <c r="R60" i="28"/>
  <c r="R59" i="28"/>
  <c r="R63" i="28"/>
  <c r="R62" i="28"/>
  <c r="R61" i="28"/>
  <c r="R34" i="28"/>
  <c r="Q66" i="28"/>
  <c r="Q68" i="28" s="1"/>
  <c r="Q65" i="28"/>
  <c r="Q34" i="28"/>
  <c r="Q59" i="28"/>
  <c r="Q63" i="28"/>
  <c r="Q60" i="28"/>
  <c r="Q62" i="28"/>
  <c r="Q61" i="28"/>
  <c r="P60" i="28"/>
  <c r="P63" i="28"/>
  <c r="P62" i="28"/>
  <c r="P59" i="28"/>
  <c r="P61" i="28"/>
  <c r="P66" i="28"/>
  <c r="P68" i="28" s="1"/>
  <c r="P65" i="28"/>
  <c r="O62" i="28"/>
  <c r="O59" i="28"/>
  <c r="O61" i="28"/>
  <c r="O60" i="28"/>
  <c r="O63" i="28"/>
  <c r="O34" i="28"/>
  <c r="N65" i="28"/>
  <c r="N66" i="28"/>
  <c r="N68" i="28" s="1"/>
  <c r="J34" i="28"/>
  <c r="J33" i="28"/>
  <c r="I33" i="28"/>
  <c r="F63" i="28"/>
  <c r="F62" i="28"/>
  <c r="F61" i="28"/>
  <c r="F60" i="28"/>
  <c r="F59" i="28"/>
  <c r="C237" i="22"/>
  <c r="C238" i="22" s="1"/>
  <c r="C243" i="22" s="1"/>
  <c r="U25" i="11" l="1"/>
  <c r="O25" i="11"/>
  <c r="AM8" i="15"/>
  <c r="W25" i="11"/>
  <c r="P25" i="11"/>
  <c r="AI25" i="11"/>
  <c r="D25" i="11"/>
  <c r="G25" i="11"/>
  <c r="AC25" i="11"/>
  <c r="I25" i="11"/>
  <c r="AA25" i="11"/>
  <c r="K25" i="11"/>
  <c r="AK25" i="11"/>
  <c r="AD25" i="11"/>
  <c r="Y25" i="11"/>
  <c r="AE25" i="11"/>
  <c r="AH25" i="11"/>
  <c r="V25" i="11"/>
  <c r="J25" i="11"/>
  <c r="AL22" i="14"/>
  <c r="AL14" i="13"/>
  <c r="M25" i="11"/>
  <c r="F25" i="11"/>
  <c r="N25" i="11"/>
  <c r="AG25" i="11"/>
  <c r="R25" i="11"/>
  <c r="Q25" i="11"/>
  <c r="Z25" i="11"/>
  <c r="AF25" i="11"/>
  <c r="E25" i="11"/>
  <c r="AJ25" i="11"/>
  <c r="T25" i="11"/>
  <c r="C25" i="11"/>
  <c r="X25" i="11"/>
  <c r="H25" i="11"/>
  <c r="AB25" i="11"/>
  <c r="L25" i="11"/>
  <c r="D26" i="25"/>
  <c r="U26" i="11" s="1"/>
  <c r="AD34" i="11"/>
  <c r="S34" i="11"/>
  <c r="L34" i="11"/>
  <c r="D34" i="11"/>
  <c r="AE34" i="11"/>
  <c r="P34" i="11"/>
  <c r="U34" i="11"/>
  <c r="AJ34" i="11"/>
  <c r="AB34" i="11"/>
  <c r="H34" i="11"/>
  <c r="M34" i="11"/>
  <c r="AC34" i="11"/>
  <c r="T34" i="11"/>
  <c r="Y34" i="11"/>
  <c r="R34" i="11"/>
  <c r="AF34" i="11"/>
  <c r="AK34" i="11"/>
  <c r="I34" i="11"/>
  <c r="J34" i="11"/>
  <c r="X34" i="11"/>
  <c r="N34" i="11"/>
  <c r="Q34" i="11"/>
  <c r="V34" i="11"/>
  <c r="AG34" i="11"/>
  <c r="G34" i="11"/>
  <c r="Z34" i="11"/>
  <c r="AH34" i="11"/>
  <c r="AI34" i="11"/>
  <c r="O34" i="11"/>
  <c r="F34" i="11"/>
  <c r="K34" i="11"/>
  <c r="AA34" i="11"/>
  <c r="C34" i="11"/>
  <c r="W34" i="11"/>
  <c r="E34" i="11"/>
  <c r="AC12" i="14"/>
  <c r="AC8" i="13"/>
  <c r="AC6" i="15"/>
  <c r="P12" i="14"/>
  <c r="P8" i="13"/>
  <c r="P6" i="15"/>
  <c r="E5" i="25"/>
  <c r="AO33" i="28"/>
  <c r="E12" i="14"/>
  <c r="E8" i="13"/>
  <c r="E6" i="15"/>
  <c r="O14" i="13"/>
  <c r="O22" i="14"/>
  <c r="O8" i="15"/>
  <c r="Y14" i="13"/>
  <c r="Y22" i="14"/>
  <c r="Y8" i="15"/>
  <c r="P14" i="13"/>
  <c r="P22" i="14"/>
  <c r="P8" i="15"/>
  <c r="AB12" i="14"/>
  <c r="AB8" i="13"/>
  <c r="AB6" i="15"/>
  <c r="E13" i="25"/>
  <c r="AO34" i="28"/>
  <c r="N12" i="14"/>
  <c r="N8" i="13"/>
  <c r="N6" i="15"/>
  <c r="O12" i="14"/>
  <c r="O8" i="13"/>
  <c r="O6" i="15"/>
  <c r="M14" i="13"/>
  <c r="M22" i="14"/>
  <c r="M8" i="15"/>
  <c r="AK14" i="13"/>
  <c r="AK22" i="14"/>
  <c r="AK8" i="15"/>
  <c r="Z12" i="14"/>
  <c r="Z8" i="13"/>
  <c r="Z6" i="15"/>
  <c r="AB14" i="13"/>
  <c r="AB22" i="14"/>
  <c r="AB8" i="15"/>
  <c r="Q12" i="14"/>
  <c r="Q8" i="13"/>
  <c r="Q6" i="15"/>
  <c r="L33" i="11"/>
  <c r="AA33" i="11"/>
  <c r="I33" i="11"/>
  <c r="X33" i="11"/>
  <c r="C33" i="11"/>
  <c r="U33" i="11"/>
  <c r="AB33" i="11"/>
  <c r="O33" i="11"/>
  <c r="AG33" i="11"/>
  <c r="G33" i="11"/>
  <c r="E33" i="11"/>
  <c r="J33" i="11"/>
  <c r="AJ33" i="11"/>
  <c r="Q33" i="11"/>
  <c r="V33" i="11"/>
  <c r="M33" i="11"/>
  <c r="AC33" i="11"/>
  <c r="AH33" i="11"/>
  <c r="Y33" i="11"/>
  <c r="F33" i="11"/>
  <c r="P33" i="11"/>
  <c r="AK33" i="11"/>
  <c r="R33" i="11"/>
  <c r="AE33" i="11"/>
  <c r="D33" i="11"/>
  <c r="AD33" i="11"/>
  <c r="K33" i="11"/>
  <c r="S33" i="11"/>
  <c r="H33" i="11"/>
  <c r="W33" i="11"/>
  <c r="N33" i="11"/>
  <c r="T33" i="11"/>
  <c r="AI33" i="11"/>
  <c r="Z33" i="11"/>
  <c r="AF33" i="11"/>
  <c r="E31" i="25"/>
  <c r="E46" i="25" s="1"/>
  <c r="E28" i="25"/>
  <c r="D27" i="25"/>
  <c r="AA14" i="13"/>
  <c r="AA22" i="14"/>
  <c r="AA8" i="15"/>
  <c r="AL12" i="14"/>
  <c r="AL8" i="13"/>
  <c r="AL6" i="15"/>
  <c r="E36" i="25"/>
  <c r="D36" i="25" s="1"/>
  <c r="E38" i="25"/>
  <c r="E47" i="25" s="1"/>
  <c r="E37" i="25"/>
  <c r="D37" i="25" s="1"/>
  <c r="D35" i="25"/>
  <c r="I32" i="11"/>
  <c r="U32" i="11"/>
  <c r="AG32" i="11"/>
  <c r="V32" i="11"/>
  <c r="N32" i="11"/>
  <c r="J32" i="11"/>
  <c r="AH32" i="11"/>
  <c r="K32" i="11"/>
  <c r="W32" i="11"/>
  <c r="AI32" i="11"/>
  <c r="Y32" i="11"/>
  <c r="L32" i="11"/>
  <c r="X32" i="11"/>
  <c r="AJ32" i="11"/>
  <c r="AK32" i="11"/>
  <c r="Z32" i="11"/>
  <c r="M32" i="11"/>
  <c r="O32" i="11"/>
  <c r="AA32" i="11"/>
  <c r="Q32" i="11"/>
  <c r="D32" i="11"/>
  <c r="P32" i="11"/>
  <c r="AB32" i="11"/>
  <c r="E32" i="11"/>
  <c r="AC32" i="11"/>
  <c r="F32" i="11"/>
  <c r="R32" i="11"/>
  <c r="AD32" i="11"/>
  <c r="C32" i="11"/>
  <c r="G32" i="11"/>
  <c r="S32" i="11"/>
  <c r="AE32" i="11"/>
  <c r="H32" i="11"/>
  <c r="T32" i="11"/>
  <c r="AF32" i="11"/>
  <c r="D38" i="25"/>
  <c r="D47" i="25" s="1"/>
  <c r="F38" i="25"/>
  <c r="F19" i="25"/>
  <c r="F43" i="25" s="1"/>
  <c r="F270" i="22"/>
  <c r="F269" i="22"/>
  <c r="F268" i="22"/>
  <c r="F267" i="22"/>
  <c r="F263" i="22"/>
  <c r="F262" i="22"/>
  <c r="F261" i="22"/>
  <c r="F260" i="22"/>
  <c r="F259" i="22"/>
  <c r="F254" i="22"/>
  <c r="F224" i="22"/>
  <c r="F223" i="22"/>
  <c r="F248" i="22"/>
  <c r="F247" i="22"/>
  <c r="F246" i="22"/>
  <c r="F245" i="22"/>
  <c r="F244" i="22"/>
  <c r="F243" i="22"/>
  <c r="F239" i="22"/>
  <c r="F238" i="22"/>
  <c r="F237" i="22"/>
  <c r="F236" i="22"/>
  <c r="F235" i="22"/>
  <c r="F230" i="22"/>
  <c r="C293" i="22"/>
  <c r="C292" i="22"/>
  <c r="C291" i="22"/>
  <c r="C290" i="22"/>
  <c r="C277" i="22"/>
  <c r="C276" i="22"/>
  <c r="F222" i="22"/>
  <c r="F221" i="22"/>
  <c r="F211" i="22"/>
  <c r="F94" i="22"/>
  <c r="F91" i="22"/>
  <c r="F191" i="22"/>
  <c r="F190" i="22"/>
  <c r="F192" i="22"/>
  <c r="F183" i="22"/>
  <c r="F182" i="22"/>
  <c r="F181" i="22"/>
  <c r="F188" i="22"/>
  <c r="F200" i="22"/>
  <c r="F198" i="22"/>
  <c r="F197" i="22"/>
  <c r="F193" i="22"/>
  <c r="F189" i="22"/>
  <c r="F160" i="22"/>
  <c r="F175" i="22"/>
  <c r="F174" i="22"/>
  <c r="F173" i="22"/>
  <c r="F172" i="22"/>
  <c r="F171" i="22"/>
  <c r="F170" i="22"/>
  <c r="F169" i="22"/>
  <c r="F168" i="22"/>
  <c r="F167" i="22"/>
  <c r="F163" i="22"/>
  <c r="F162" i="22"/>
  <c r="F161" i="22"/>
  <c r="F155" i="22"/>
  <c r="F154" i="22"/>
  <c r="G84" i="11" l="1"/>
  <c r="K84" i="11"/>
  <c r="AC26" i="11"/>
  <c r="AG26" i="11"/>
  <c r="I84" i="11"/>
  <c r="D84" i="11"/>
  <c r="H84" i="11"/>
  <c r="D26" i="11"/>
  <c r="M26" i="11"/>
  <c r="AB26" i="11"/>
  <c r="E84" i="11"/>
  <c r="J84" i="11"/>
  <c r="C84" i="11"/>
  <c r="F84" i="11"/>
  <c r="H26" i="11"/>
  <c r="AK26" i="11"/>
  <c r="E26" i="11"/>
  <c r="F26" i="11"/>
  <c r="AE26" i="11"/>
  <c r="G26" i="11"/>
  <c r="AI26" i="11"/>
  <c r="J26" i="11"/>
  <c r="K93" i="11"/>
  <c r="J93" i="11"/>
  <c r="Y26" i="11"/>
  <c r="AA26" i="11"/>
  <c r="S26" i="11"/>
  <c r="T26" i="11"/>
  <c r="C26" i="11"/>
  <c r="AJ26" i="11"/>
  <c r="D93" i="11"/>
  <c r="AH26" i="11"/>
  <c r="P26" i="11"/>
  <c r="X26" i="11"/>
  <c r="O26" i="11"/>
  <c r="AD26" i="11"/>
  <c r="I26" i="11"/>
  <c r="N26" i="11"/>
  <c r="L26" i="11"/>
  <c r="Q26" i="11"/>
  <c r="Z26" i="11"/>
  <c r="R26" i="11"/>
  <c r="G93" i="11"/>
  <c r="C93" i="11"/>
  <c r="K26" i="11"/>
  <c r="AF26" i="11"/>
  <c r="V26" i="11"/>
  <c r="C92" i="11"/>
  <c r="W26" i="11"/>
  <c r="F93" i="11"/>
  <c r="S37" i="11"/>
  <c r="V37" i="11"/>
  <c r="D37" i="11"/>
  <c r="AH37" i="11"/>
  <c r="C37" i="11"/>
  <c r="T37" i="11"/>
  <c r="AJ37" i="11"/>
  <c r="AB37" i="11"/>
  <c r="E37" i="11"/>
  <c r="X37" i="11"/>
  <c r="H37" i="11"/>
  <c r="W37" i="11"/>
  <c r="Q37" i="11"/>
  <c r="Y37" i="11"/>
  <c r="AI37" i="11"/>
  <c r="AF37" i="11"/>
  <c r="L37" i="11"/>
  <c r="AC37" i="11"/>
  <c r="O37" i="11"/>
  <c r="I37" i="11"/>
  <c r="F37" i="11"/>
  <c r="AG37" i="11"/>
  <c r="N37" i="11"/>
  <c r="U37" i="11"/>
  <c r="M37" i="11"/>
  <c r="R37" i="11"/>
  <c r="AD37" i="11"/>
  <c r="K37" i="11"/>
  <c r="AK37" i="11"/>
  <c r="AA37" i="11"/>
  <c r="G37" i="11"/>
  <c r="J37" i="11"/>
  <c r="Z37" i="11"/>
  <c r="AE37" i="11"/>
  <c r="P37" i="11"/>
  <c r="F92" i="11"/>
  <c r="H92" i="11"/>
  <c r="H93" i="11"/>
  <c r="G92" i="11"/>
  <c r="E6" i="25"/>
  <c r="I93" i="11"/>
  <c r="E92" i="11"/>
  <c r="E93" i="11"/>
  <c r="AH27" i="11"/>
  <c r="AK27" i="11"/>
  <c r="G27" i="11"/>
  <c r="C27" i="11"/>
  <c r="AA27" i="11"/>
  <c r="S27" i="11"/>
  <c r="W27" i="11"/>
  <c r="N27" i="11"/>
  <c r="AE27" i="11"/>
  <c r="K27" i="11"/>
  <c r="D27" i="11"/>
  <c r="H27" i="11"/>
  <c r="AI27" i="11"/>
  <c r="P27" i="11"/>
  <c r="T27" i="11"/>
  <c r="L27" i="11"/>
  <c r="AB27" i="11"/>
  <c r="AF27" i="11"/>
  <c r="X27" i="11"/>
  <c r="F27" i="11"/>
  <c r="I27" i="11"/>
  <c r="AJ27" i="11"/>
  <c r="AD27" i="11"/>
  <c r="U27" i="11"/>
  <c r="Z27" i="11"/>
  <c r="E27" i="11"/>
  <c r="AG27" i="11"/>
  <c r="O27" i="11"/>
  <c r="Q27" i="11"/>
  <c r="J27" i="11"/>
  <c r="M27" i="11"/>
  <c r="AC27" i="11"/>
  <c r="V27" i="11"/>
  <c r="Y27" i="11"/>
  <c r="R27" i="11"/>
  <c r="I92" i="11"/>
  <c r="T35" i="11"/>
  <c r="U35" i="11"/>
  <c r="E35" i="11"/>
  <c r="AG35" i="11"/>
  <c r="AK35" i="11"/>
  <c r="Q35" i="11"/>
  <c r="C35" i="11"/>
  <c r="N35" i="11"/>
  <c r="AF35" i="11"/>
  <c r="AC35" i="11"/>
  <c r="AI35" i="11"/>
  <c r="Z35" i="11"/>
  <c r="G35" i="11"/>
  <c r="J35" i="11"/>
  <c r="H35" i="11"/>
  <c r="F35" i="11"/>
  <c r="V35" i="11"/>
  <c r="R35" i="11"/>
  <c r="S35" i="11"/>
  <c r="O35" i="11"/>
  <c r="AH35" i="11"/>
  <c r="AA35" i="11"/>
  <c r="AD35" i="11"/>
  <c r="K35" i="11"/>
  <c r="AB35" i="11"/>
  <c r="W35" i="11"/>
  <c r="AJ35" i="11"/>
  <c r="D35" i="11"/>
  <c r="AE35" i="11"/>
  <c r="L35" i="11"/>
  <c r="X35" i="11"/>
  <c r="P35" i="11"/>
  <c r="I35" i="11"/>
  <c r="M35" i="11"/>
  <c r="Y35" i="11"/>
  <c r="E29" i="25"/>
  <c r="D28" i="25"/>
  <c r="J92" i="11"/>
  <c r="E15" i="25"/>
  <c r="E14" i="25"/>
  <c r="D13" i="25"/>
  <c r="R36" i="11"/>
  <c r="AG36" i="11"/>
  <c r="Z36" i="11"/>
  <c r="Y36" i="11"/>
  <c r="J36" i="11"/>
  <c r="O36" i="11"/>
  <c r="F36" i="11"/>
  <c r="U36" i="11"/>
  <c r="AA36" i="11"/>
  <c r="AK36" i="11"/>
  <c r="G36" i="11"/>
  <c r="K36" i="11"/>
  <c r="D36" i="11"/>
  <c r="S36" i="11"/>
  <c r="W36" i="11"/>
  <c r="P36" i="11"/>
  <c r="AE36" i="11"/>
  <c r="AI36" i="11"/>
  <c r="AB36" i="11"/>
  <c r="I36" i="11"/>
  <c r="AD36" i="11"/>
  <c r="E36" i="11"/>
  <c r="Q36" i="11"/>
  <c r="L36" i="11"/>
  <c r="V36" i="11"/>
  <c r="X36" i="11"/>
  <c r="AH36" i="11"/>
  <c r="C36" i="11"/>
  <c r="T36" i="11"/>
  <c r="M36" i="11"/>
  <c r="AJ36" i="11"/>
  <c r="AC36" i="11"/>
  <c r="AF36" i="11"/>
  <c r="N36" i="11"/>
  <c r="H36" i="11"/>
  <c r="D92" i="11"/>
  <c r="K92" i="11"/>
  <c r="K91" i="11"/>
  <c r="E91" i="11"/>
  <c r="H91" i="11"/>
  <c r="J91" i="11"/>
  <c r="G91" i="11"/>
  <c r="I91" i="11"/>
  <c r="D91" i="11"/>
  <c r="F91" i="11"/>
  <c r="C91" i="11"/>
  <c r="F47" i="25"/>
  <c r="F52" i="25" s="1"/>
  <c r="AN4" i="7"/>
  <c r="F255" i="22"/>
  <c r="F256" i="22" s="1"/>
  <c r="F264" i="22"/>
  <c r="F265" i="22" s="1"/>
  <c r="F271" i="22"/>
  <c r="F272" i="22" s="1"/>
  <c r="F290" i="22"/>
  <c r="F289" i="22"/>
  <c r="F277" i="22"/>
  <c r="F293" i="22"/>
  <c r="F276" i="22"/>
  <c r="F291" i="22"/>
  <c r="F292" i="22"/>
  <c r="F249" i="22"/>
  <c r="F250" i="22" s="1"/>
  <c r="F240" i="22"/>
  <c r="F241" i="22" s="1"/>
  <c r="F231" i="22"/>
  <c r="F278" i="22"/>
  <c r="F283" i="22"/>
  <c r="F284" i="22"/>
  <c r="F285" i="22"/>
  <c r="F212" i="22"/>
  <c r="F213" i="22"/>
  <c r="F219" i="22"/>
  <c r="F214" i="22"/>
  <c r="F206" i="22"/>
  <c r="F215" i="22"/>
  <c r="F220" i="22"/>
  <c r="F199" i="22"/>
  <c r="F201" i="22" s="1"/>
  <c r="F202" i="22" s="1"/>
  <c r="F184" i="22"/>
  <c r="F194" i="22"/>
  <c r="F195" i="22" s="1"/>
  <c r="F164" i="22"/>
  <c r="F165" i="22" s="1"/>
  <c r="F156" i="22"/>
  <c r="F176" i="22"/>
  <c r="F177" i="22" s="1"/>
  <c r="AH38" i="11" l="1"/>
  <c r="E96" i="11"/>
  <c r="G85" i="11"/>
  <c r="K85" i="11"/>
  <c r="N38" i="11"/>
  <c r="J85" i="11"/>
  <c r="F96" i="11"/>
  <c r="AC38" i="11"/>
  <c r="T38" i="11"/>
  <c r="C85" i="11"/>
  <c r="E85" i="11"/>
  <c r="I85" i="11"/>
  <c r="H85" i="11"/>
  <c r="D85" i="11"/>
  <c r="AA38" i="11"/>
  <c r="X38" i="11"/>
  <c r="AD38" i="11"/>
  <c r="AI38" i="11"/>
  <c r="U38" i="11"/>
  <c r="AF38" i="11"/>
  <c r="P38" i="11"/>
  <c r="R38" i="11"/>
  <c r="J38" i="11"/>
  <c r="AK38" i="11"/>
  <c r="I38" i="11"/>
  <c r="K38" i="11"/>
  <c r="H38" i="11"/>
  <c r="Q38" i="11"/>
  <c r="D95" i="11"/>
  <c r="D38" i="11"/>
  <c r="F38" i="11"/>
  <c r="AG38" i="11"/>
  <c r="H86" i="11"/>
  <c r="I96" i="11"/>
  <c r="K96" i="11"/>
  <c r="C96" i="11"/>
  <c r="AJ38" i="11"/>
  <c r="V38" i="11"/>
  <c r="F85" i="11"/>
  <c r="E38" i="11"/>
  <c r="G86" i="11"/>
  <c r="G96" i="11"/>
  <c r="AB38" i="11"/>
  <c r="D94" i="11"/>
  <c r="H96" i="11"/>
  <c r="D96" i="11"/>
  <c r="K95" i="11"/>
  <c r="Y38" i="11"/>
  <c r="K94" i="11"/>
  <c r="J96" i="11"/>
  <c r="J95" i="11"/>
  <c r="M38" i="11"/>
  <c r="Z38" i="11"/>
  <c r="L38" i="11"/>
  <c r="Y28" i="11"/>
  <c r="V28" i="11"/>
  <c r="N28" i="11"/>
  <c r="AD28" i="11"/>
  <c r="AH28" i="11"/>
  <c r="Z28" i="11"/>
  <c r="AF28" i="11"/>
  <c r="K28" i="11"/>
  <c r="AB28" i="11"/>
  <c r="G28" i="11"/>
  <c r="W28" i="11"/>
  <c r="Q28" i="11"/>
  <c r="E28" i="11"/>
  <c r="S28" i="11"/>
  <c r="AI28" i="11"/>
  <c r="U28" i="11"/>
  <c r="AC28" i="11"/>
  <c r="AE28" i="11"/>
  <c r="C28" i="11"/>
  <c r="H28" i="11"/>
  <c r="O28" i="11"/>
  <c r="P28" i="11"/>
  <c r="L28" i="11"/>
  <c r="AA28" i="11"/>
  <c r="T28" i="11"/>
  <c r="AJ28" i="11"/>
  <c r="M28" i="11"/>
  <c r="X28" i="11"/>
  <c r="D28" i="11"/>
  <c r="I28" i="11"/>
  <c r="AG28" i="11"/>
  <c r="AK28" i="11"/>
  <c r="F28" i="11"/>
  <c r="J28" i="11"/>
  <c r="R28" i="11"/>
  <c r="F86" i="11"/>
  <c r="C86" i="11"/>
  <c r="W38" i="11"/>
  <c r="E30" i="25"/>
  <c r="D29" i="25"/>
  <c r="E94" i="11"/>
  <c r="D86" i="11"/>
  <c r="F95" i="11"/>
  <c r="K86" i="11"/>
  <c r="C95" i="11"/>
  <c r="H95" i="11"/>
  <c r="F94" i="11"/>
  <c r="E16" i="25"/>
  <c r="D14" i="25"/>
  <c r="G95" i="11"/>
  <c r="G94" i="11"/>
  <c r="C94" i="11"/>
  <c r="E86" i="11"/>
  <c r="J86" i="11"/>
  <c r="G38" i="11"/>
  <c r="I94" i="11"/>
  <c r="O38" i="11"/>
  <c r="S38" i="11"/>
  <c r="E95" i="11"/>
  <c r="J13" i="11"/>
  <c r="N13" i="11"/>
  <c r="F13" i="11"/>
  <c r="V13" i="11"/>
  <c r="G13" i="11"/>
  <c r="AH13" i="11"/>
  <c r="O13" i="11"/>
  <c r="L13" i="11"/>
  <c r="S13" i="11"/>
  <c r="K13" i="11"/>
  <c r="AA13" i="11"/>
  <c r="AE13" i="11"/>
  <c r="W13" i="11"/>
  <c r="R13" i="11"/>
  <c r="T13" i="11"/>
  <c r="H13" i="11"/>
  <c r="AI13" i="11"/>
  <c r="D13" i="11"/>
  <c r="P13" i="11"/>
  <c r="AK13" i="11"/>
  <c r="AF13" i="11"/>
  <c r="X13" i="11"/>
  <c r="AB13" i="11"/>
  <c r="I13" i="11"/>
  <c r="AJ13" i="11"/>
  <c r="AC13" i="11"/>
  <c r="AD13" i="11"/>
  <c r="U13" i="11"/>
  <c r="Z13" i="11"/>
  <c r="M13" i="11"/>
  <c r="E13" i="11"/>
  <c r="AG13" i="11"/>
  <c r="Y13" i="11"/>
  <c r="Q13" i="11"/>
  <c r="C13" i="11"/>
  <c r="J94" i="11"/>
  <c r="E7" i="25"/>
  <c r="D6" i="25"/>
  <c r="E17" i="25"/>
  <c r="D17" i="25" s="1"/>
  <c r="D15" i="25"/>
  <c r="AE38" i="11"/>
  <c r="I95" i="11"/>
  <c r="H94" i="11"/>
  <c r="I86" i="11"/>
  <c r="F257" i="22"/>
  <c r="F252" i="22" s="1"/>
  <c r="F279" i="22"/>
  <c r="F280" i="22" s="1"/>
  <c r="F294" i="22"/>
  <c r="F295" i="22" s="1"/>
  <c r="F286" i="22"/>
  <c r="F287" i="22" s="1"/>
  <c r="F232" i="22"/>
  <c r="F233" i="22" s="1"/>
  <c r="F228" i="22" s="1"/>
  <c r="F216" i="22"/>
  <c r="F217" i="22" s="1"/>
  <c r="F225" i="22"/>
  <c r="F226" i="22" s="1"/>
  <c r="F207" i="22"/>
  <c r="F208" i="22" s="1"/>
  <c r="F185" i="22"/>
  <c r="F186" i="22" s="1"/>
  <c r="F179" i="22" s="1"/>
  <c r="F157" i="22"/>
  <c r="F158" i="22" s="1"/>
  <c r="F152" i="22" s="1"/>
  <c r="G97" i="11" l="1"/>
  <c r="K97" i="11"/>
  <c r="D97" i="11"/>
  <c r="H97" i="11"/>
  <c r="J97" i="11"/>
  <c r="I97" i="11"/>
  <c r="K87" i="11"/>
  <c r="E97" i="11"/>
  <c r="D87" i="11"/>
  <c r="C72" i="11"/>
  <c r="D72" i="11"/>
  <c r="K72" i="11"/>
  <c r="J72" i="11"/>
  <c r="I72" i="11"/>
  <c r="E72" i="11"/>
  <c r="F97" i="11"/>
  <c r="AK15" i="11"/>
  <c r="AC15" i="11"/>
  <c r="AG15" i="11"/>
  <c r="C15" i="11"/>
  <c r="N15" i="11"/>
  <c r="R15" i="11"/>
  <c r="D15" i="11"/>
  <c r="K15" i="11"/>
  <c r="Z15" i="11"/>
  <c r="AD15" i="11"/>
  <c r="W15" i="11"/>
  <c r="O15" i="11"/>
  <c r="G15" i="11"/>
  <c r="J15" i="11"/>
  <c r="AI15" i="11"/>
  <c r="AA15" i="11"/>
  <c r="S15" i="11"/>
  <c r="L15" i="11"/>
  <c r="AE15" i="11"/>
  <c r="Y15" i="11"/>
  <c r="X15" i="11"/>
  <c r="P15" i="11"/>
  <c r="H15" i="11"/>
  <c r="AJ15" i="11"/>
  <c r="T15" i="11"/>
  <c r="Q15" i="11"/>
  <c r="F15" i="11"/>
  <c r="AB15" i="11"/>
  <c r="U15" i="11"/>
  <c r="V15" i="11"/>
  <c r="AH15" i="11"/>
  <c r="AF15" i="11"/>
  <c r="M15" i="11"/>
  <c r="E15" i="11"/>
  <c r="I15" i="11"/>
  <c r="H87" i="11"/>
  <c r="G72" i="11"/>
  <c r="E87" i="11"/>
  <c r="F87" i="11"/>
  <c r="C87" i="11"/>
  <c r="F72" i="11"/>
  <c r="J87" i="11"/>
  <c r="AA29" i="11"/>
  <c r="H29" i="11"/>
  <c r="L29" i="11"/>
  <c r="AC29" i="11"/>
  <c r="S29" i="11"/>
  <c r="T29" i="11"/>
  <c r="X29" i="11"/>
  <c r="D29" i="11"/>
  <c r="AF29" i="11"/>
  <c r="AJ29" i="11"/>
  <c r="Z29" i="11"/>
  <c r="P29" i="11"/>
  <c r="V29" i="11"/>
  <c r="M29" i="11"/>
  <c r="AB29" i="11"/>
  <c r="I29" i="11"/>
  <c r="Y29" i="11"/>
  <c r="C29" i="11"/>
  <c r="U29" i="11"/>
  <c r="AK29" i="11"/>
  <c r="AD29" i="11"/>
  <c r="AE29" i="11"/>
  <c r="AG29" i="11"/>
  <c r="E29" i="11"/>
  <c r="J29" i="11"/>
  <c r="K29" i="11"/>
  <c r="O29" i="11"/>
  <c r="W29" i="11"/>
  <c r="N29" i="11"/>
  <c r="Q29" i="11"/>
  <c r="AH29" i="11"/>
  <c r="G29" i="11"/>
  <c r="R29" i="11"/>
  <c r="AI29" i="11"/>
  <c r="F29" i="11"/>
  <c r="P17" i="11"/>
  <c r="H17" i="11"/>
  <c r="L17" i="11"/>
  <c r="AB17" i="11"/>
  <c r="T17" i="11"/>
  <c r="X17" i="11"/>
  <c r="E17" i="11"/>
  <c r="AF17" i="11"/>
  <c r="AJ17" i="11"/>
  <c r="Q17" i="11"/>
  <c r="I17" i="11"/>
  <c r="M17" i="11"/>
  <c r="AC17" i="11"/>
  <c r="U17" i="11"/>
  <c r="Y17" i="11"/>
  <c r="Z17" i="11"/>
  <c r="AG17" i="11"/>
  <c r="AK17" i="11"/>
  <c r="F17" i="11"/>
  <c r="J17" i="11"/>
  <c r="O17" i="11"/>
  <c r="R17" i="11"/>
  <c r="V17" i="11"/>
  <c r="AA17" i="11"/>
  <c r="AD17" i="11"/>
  <c r="AH17" i="11"/>
  <c r="C17" i="11"/>
  <c r="G17" i="11"/>
  <c r="K17" i="11"/>
  <c r="N17" i="11"/>
  <c r="S17" i="11"/>
  <c r="W17" i="11"/>
  <c r="D17" i="11"/>
  <c r="AE17" i="11"/>
  <c r="AI17" i="11"/>
  <c r="G87" i="11"/>
  <c r="V14" i="11"/>
  <c r="N14" i="11"/>
  <c r="F14" i="11"/>
  <c r="AH14" i="11"/>
  <c r="Z14" i="11"/>
  <c r="R14" i="11"/>
  <c r="K14" i="11"/>
  <c r="O14" i="11"/>
  <c r="AD14" i="11"/>
  <c r="W14" i="11"/>
  <c r="AA14" i="11"/>
  <c r="C14" i="11"/>
  <c r="AI14" i="11"/>
  <c r="H14" i="11"/>
  <c r="G14" i="11"/>
  <c r="L14" i="11"/>
  <c r="D14" i="11"/>
  <c r="S14" i="11"/>
  <c r="X14" i="11"/>
  <c r="P14" i="11"/>
  <c r="AE14" i="11"/>
  <c r="AJ14" i="11"/>
  <c r="AB14" i="11"/>
  <c r="I14" i="11"/>
  <c r="M14" i="11"/>
  <c r="AF14" i="11"/>
  <c r="U14" i="11"/>
  <c r="Y14" i="11"/>
  <c r="E14" i="11"/>
  <c r="AG14" i="11"/>
  <c r="AK14" i="11"/>
  <c r="Q14" i="11"/>
  <c r="J14" i="11"/>
  <c r="T14" i="11"/>
  <c r="AC14" i="11"/>
  <c r="W6" i="11"/>
  <c r="AC6" i="11"/>
  <c r="I6" i="11"/>
  <c r="N6" i="11"/>
  <c r="F6" i="11"/>
  <c r="Z6" i="11"/>
  <c r="R6" i="11"/>
  <c r="AG6" i="11"/>
  <c r="AJ6" i="11"/>
  <c r="O6" i="11"/>
  <c r="AD6" i="11"/>
  <c r="J6" i="11"/>
  <c r="AA6" i="11"/>
  <c r="G6" i="11"/>
  <c r="V6" i="11"/>
  <c r="S6" i="11"/>
  <c r="D6" i="11"/>
  <c r="AH6" i="11"/>
  <c r="H6" i="11"/>
  <c r="P6" i="11"/>
  <c r="AE6" i="11"/>
  <c r="L6" i="11"/>
  <c r="C6" i="11"/>
  <c r="K6" i="11"/>
  <c r="AB6" i="11"/>
  <c r="AI6" i="11"/>
  <c r="X6" i="11"/>
  <c r="T6" i="11"/>
  <c r="E6" i="11"/>
  <c r="AF6" i="11"/>
  <c r="Y6" i="11"/>
  <c r="Q6" i="11"/>
  <c r="AK6" i="11"/>
  <c r="U6" i="11"/>
  <c r="M6" i="11"/>
  <c r="E8" i="25"/>
  <c r="D7" i="25"/>
  <c r="H72" i="11"/>
  <c r="E18" i="25"/>
  <c r="D16" i="25"/>
  <c r="I87" i="11"/>
  <c r="F281" i="22"/>
  <c r="F274" i="22" s="1"/>
  <c r="F209" i="22"/>
  <c r="F204" i="22" s="1"/>
  <c r="K74" i="11" l="1"/>
  <c r="K88" i="11"/>
  <c r="F65" i="11"/>
  <c r="E73" i="11"/>
  <c r="G65" i="11"/>
  <c r="H76" i="11"/>
  <c r="H74" i="11"/>
  <c r="J73" i="11"/>
  <c r="I76" i="11"/>
  <c r="K76" i="11"/>
  <c r="J88" i="11"/>
  <c r="K65" i="11"/>
  <c r="J76" i="11"/>
  <c r="D88" i="11"/>
  <c r="F73" i="11"/>
  <c r="F76" i="11"/>
  <c r="E74" i="11"/>
  <c r="H73" i="11"/>
  <c r="D65" i="11"/>
  <c r="G73" i="11"/>
  <c r="J74" i="11"/>
  <c r="I65" i="11"/>
  <c r="G76" i="11"/>
  <c r="E19" i="25"/>
  <c r="E43" i="25" s="1"/>
  <c r="D18" i="25"/>
  <c r="E65" i="11"/>
  <c r="C88" i="11"/>
  <c r="G74" i="11"/>
  <c r="X16" i="11"/>
  <c r="AC16" i="11"/>
  <c r="U16" i="11"/>
  <c r="N16" i="11"/>
  <c r="AJ16" i="11"/>
  <c r="AG16" i="11"/>
  <c r="Z16" i="11"/>
  <c r="F16" i="11"/>
  <c r="J16" i="11"/>
  <c r="O16" i="11"/>
  <c r="R16" i="11"/>
  <c r="V16" i="11"/>
  <c r="AA16" i="11"/>
  <c r="AD16" i="11"/>
  <c r="AH16" i="11"/>
  <c r="D16" i="11"/>
  <c r="G16" i="11"/>
  <c r="K16" i="11"/>
  <c r="P16" i="11"/>
  <c r="S16" i="11"/>
  <c r="W16" i="11"/>
  <c r="AB16" i="11"/>
  <c r="AE16" i="11"/>
  <c r="AI16" i="11"/>
  <c r="L16" i="11"/>
  <c r="H16" i="11"/>
  <c r="M16" i="11"/>
  <c r="C16" i="11"/>
  <c r="T16" i="11"/>
  <c r="Y16" i="11"/>
  <c r="E16" i="11"/>
  <c r="AF16" i="11"/>
  <c r="AK16" i="11"/>
  <c r="Q16" i="11"/>
  <c r="I16" i="11"/>
  <c r="E76" i="11"/>
  <c r="G88" i="11"/>
  <c r="I74" i="11"/>
  <c r="C74" i="11"/>
  <c r="E9" i="25"/>
  <c r="D8" i="25"/>
  <c r="D76" i="11"/>
  <c r="H88" i="11"/>
  <c r="J65" i="11"/>
  <c r="K73" i="11"/>
  <c r="C76" i="11"/>
  <c r="F88" i="11"/>
  <c r="D73" i="11"/>
  <c r="C73" i="11"/>
  <c r="E88" i="11"/>
  <c r="D74" i="11"/>
  <c r="H65" i="11"/>
  <c r="C65" i="11"/>
  <c r="T7" i="11"/>
  <c r="L7" i="11"/>
  <c r="AF7" i="11"/>
  <c r="Q7" i="11"/>
  <c r="Y7" i="11"/>
  <c r="AJ7" i="11"/>
  <c r="N7" i="11"/>
  <c r="J7" i="11"/>
  <c r="AC7" i="11"/>
  <c r="I7" i="11"/>
  <c r="M7" i="11"/>
  <c r="E7" i="11"/>
  <c r="F7" i="11"/>
  <c r="U7" i="11"/>
  <c r="AD7" i="11"/>
  <c r="AE7" i="11"/>
  <c r="H7" i="11"/>
  <c r="R7" i="11"/>
  <c r="AG7" i="11"/>
  <c r="Z7" i="11"/>
  <c r="O7" i="11"/>
  <c r="K7" i="11"/>
  <c r="AK7" i="11"/>
  <c r="G7" i="11"/>
  <c r="V7" i="11"/>
  <c r="AA7" i="11"/>
  <c r="S7" i="11"/>
  <c r="D7" i="11"/>
  <c r="AI7" i="11"/>
  <c r="AH7" i="11"/>
  <c r="P7" i="11"/>
  <c r="C7" i="11"/>
  <c r="W7" i="11"/>
  <c r="AB7" i="11"/>
  <c r="X7" i="11"/>
  <c r="I73" i="11"/>
  <c r="I88" i="11"/>
  <c r="F74" i="11"/>
  <c r="F126" i="22"/>
  <c r="F131" i="22"/>
  <c r="F132" i="22"/>
  <c r="F133" i="22"/>
  <c r="F148" i="22"/>
  <c r="F138" i="22"/>
  <c r="F120" i="22"/>
  <c r="F119" i="22"/>
  <c r="F118" i="22"/>
  <c r="F117" i="22"/>
  <c r="F116" i="22"/>
  <c r="F115" i="22"/>
  <c r="F114" i="22"/>
  <c r="F110" i="22"/>
  <c r="F109" i="22"/>
  <c r="F108" i="22"/>
  <c r="F107" i="22"/>
  <c r="F106" i="22"/>
  <c r="F101" i="22"/>
  <c r="F100" i="22"/>
  <c r="F93" i="22"/>
  <c r="F92" i="22"/>
  <c r="F89" i="22"/>
  <c r="F82" i="22"/>
  <c r="F81" i="22"/>
  <c r="F80" i="22"/>
  <c r="F79" i="22"/>
  <c r="F78" i="22"/>
  <c r="F77" i="22"/>
  <c r="F76" i="22"/>
  <c r="F70" i="22"/>
  <c r="B17" i="24"/>
  <c r="B16" i="24"/>
  <c r="E66" i="11" l="1"/>
  <c r="F66" i="11"/>
  <c r="C66" i="11"/>
  <c r="D75" i="11"/>
  <c r="E75" i="11"/>
  <c r="F18" i="11"/>
  <c r="F19" i="11" s="1"/>
  <c r="U18" i="11"/>
  <c r="U19" i="11" s="1"/>
  <c r="M18" i="11"/>
  <c r="M19" i="11" s="1"/>
  <c r="AG18" i="11"/>
  <c r="AG19" i="11" s="1"/>
  <c r="R18" i="11"/>
  <c r="R19" i="11" s="1"/>
  <c r="Y18" i="11"/>
  <c r="Y19" i="11" s="1"/>
  <c r="C18" i="11"/>
  <c r="V18" i="11"/>
  <c r="V19" i="11" s="1"/>
  <c r="N18" i="11"/>
  <c r="N19" i="11" s="1"/>
  <c r="AH18" i="11"/>
  <c r="AH19" i="11" s="1"/>
  <c r="Z18" i="11"/>
  <c r="Z19" i="11" s="1"/>
  <c r="AD18" i="11"/>
  <c r="AD19" i="11" s="1"/>
  <c r="D18" i="11"/>
  <c r="D19" i="11" s="1"/>
  <c r="AA18" i="11"/>
  <c r="AA19" i="11" s="1"/>
  <c r="G18" i="11"/>
  <c r="P18" i="11"/>
  <c r="P19" i="11" s="1"/>
  <c r="AB18" i="11"/>
  <c r="AB19" i="11" s="1"/>
  <c r="AI18" i="11"/>
  <c r="T18" i="11"/>
  <c r="T19" i="11" s="1"/>
  <c r="AK18" i="11"/>
  <c r="AK19" i="11" s="1"/>
  <c r="S18" i="11"/>
  <c r="K18" i="11"/>
  <c r="K19" i="11" s="1"/>
  <c r="O18" i="11"/>
  <c r="AE18" i="11"/>
  <c r="AE19" i="11" s="1"/>
  <c r="W18" i="11"/>
  <c r="H18" i="11"/>
  <c r="H19" i="11" s="1"/>
  <c r="I18" i="11"/>
  <c r="I19" i="11" s="1"/>
  <c r="J18" i="11"/>
  <c r="J19" i="11" s="1"/>
  <c r="E18" i="11"/>
  <c r="E19" i="11" s="1"/>
  <c r="AC18" i="11"/>
  <c r="AC19" i="11" s="1"/>
  <c r="L18" i="11"/>
  <c r="L19" i="11" s="1"/>
  <c r="Q18" i="11"/>
  <c r="Q19" i="11" s="1"/>
  <c r="AF18" i="11"/>
  <c r="AF19" i="11" s="1"/>
  <c r="X18" i="11"/>
  <c r="X19" i="11" s="1"/>
  <c r="AJ18" i="11"/>
  <c r="AJ19" i="11" s="1"/>
  <c r="C75" i="11"/>
  <c r="I75" i="11"/>
  <c r="K75" i="11"/>
  <c r="H66" i="11"/>
  <c r="J66" i="11"/>
  <c r="J75" i="11"/>
  <c r="G66" i="11"/>
  <c r="F75" i="11"/>
  <c r="K66" i="11"/>
  <c r="I66" i="11"/>
  <c r="H75" i="11"/>
  <c r="AF8" i="11"/>
  <c r="L8" i="11"/>
  <c r="Q8" i="11"/>
  <c r="O8" i="11"/>
  <c r="X8" i="11"/>
  <c r="AC8" i="11"/>
  <c r="I8" i="11"/>
  <c r="AJ8" i="11"/>
  <c r="F8" i="11"/>
  <c r="U8" i="11"/>
  <c r="M8" i="11"/>
  <c r="R8" i="11"/>
  <c r="AG8" i="11"/>
  <c r="Y8" i="11"/>
  <c r="AD8" i="11"/>
  <c r="J8" i="11"/>
  <c r="AK8" i="11"/>
  <c r="G8" i="11"/>
  <c r="V8" i="11"/>
  <c r="N8" i="11"/>
  <c r="S8" i="11"/>
  <c r="AH8" i="11"/>
  <c r="Z8" i="11"/>
  <c r="AE8" i="11"/>
  <c r="C8" i="11"/>
  <c r="D8" i="11"/>
  <c r="AA8" i="11"/>
  <c r="K8" i="11"/>
  <c r="P8" i="11"/>
  <c r="H8" i="11"/>
  <c r="W8" i="11"/>
  <c r="AB8" i="11"/>
  <c r="T8" i="11"/>
  <c r="AI8" i="11"/>
  <c r="E8" i="11"/>
  <c r="G75" i="11"/>
  <c r="D66" i="11"/>
  <c r="D19" i="25"/>
  <c r="E10" i="25"/>
  <c r="D9" i="25"/>
  <c r="F134" i="22"/>
  <c r="F127" i="22"/>
  <c r="F128" i="22" s="1"/>
  <c r="F139" i="22"/>
  <c r="F144" i="22"/>
  <c r="F140" i="22"/>
  <c r="F141" i="22"/>
  <c r="F137" i="22"/>
  <c r="F143" i="22"/>
  <c r="F146" i="22"/>
  <c r="F142" i="22"/>
  <c r="F145" i="22"/>
  <c r="F147" i="22"/>
  <c r="F111" i="22"/>
  <c r="F112" i="22" s="1"/>
  <c r="F102" i="22"/>
  <c r="F121" i="22"/>
  <c r="F122" i="22" s="1"/>
  <c r="F86" i="22"/>
  <c r="F87" i="22"/>
  <c r="F90" i="22"/>
  <c r="F88" i="22"/>
  <c r="F83" i="22"/>
  <c r="F84" i="22" s="1"/>
  <c r="F71" i="22"/>
  <c r="F72" i="22" s="1"/>
  <c r="G77" i="11" l="1"/>
  <c r="J78" i="11"/>
  <c r="I67" i="11"/>
  <c r="K77" i="11"/>
  <c r="D77" i="11"/>
  <c r="I78" i="11"/>
  <c r="K67" i="11"/>
  <c r="J67" i="11"/>
  <c r="C67" i="11"/>
  <c r="I77" i="11"/>
  <c r="H77" i="11"/>
  <c r="W19" i="11"/>
  <c r="H78" i="11" s="1"/>
  <c r="D67" i="11"/>
  <c r="AI19" i="11"/>
  <c r="K78" i="11" s="1"/>
  <c r="J77" i="11"/>
  <c r="G67" i="11"/>
  <c r="W9" i="11"/>
  <c r="AE9" i="11"/>
  <c r="T9" i="11"/>
  <c r="AI9" i="11"/>
  <c r="E9" i="11"/>
  <c r="H9" i="11"/>
  <c r="L9" i="11"/>
  <c r="O9" i="11"/>
  <c r="X9" i="11"/>
  <c r="AA9" i="11"/>
  <c r="AF9" i="11"/>
  <c r="AJ9" i="11"/>
  <c r="D9" i="11"/>
  <c r="C9" i="11"/>
  <c r="G9" i="11"/>
  <c r="I9" i="11"/>
  <c r="AC9" i="11"/>
  <c r="P9" i="11"/>
  <c r="U9" i="11"/>
  <c r="AB9" i="11"/>
  <c r="AD9" i="11"/>
  <c r="AH9" i="11"/>
  <c r="M9" i="11"/>
  <c r="Q9" i="11"/>
  <c r="AG9" i="11"/>
  <c r="Y9" i="11"/>
  <c r="F9" i="11"/>
  <c r="J9" i="11"/>
  <c r="V9" i="11"/>
  <c r="AK9" i="11"/>
  <c r="R9" i="11"/>
  <c r="K9" i="11"/>
  <c r="N9" i="11"/>
  <c r="S9" i="11"/>
  <c r="Z9" i="11"/>
  <c r="F77" i="11"/>
  <c r="O19" i="11"/>
  <c r="F78" i="11" s="1"/>
  <c r="S19" i="11"/>
  <c r="G78" i="11" s="1"/>
  <c r="D43" i="25"/>
  <c r="H67" i="11"/>
  <c r="E11" i="25"/>
  <c r="D10" i="25"/>
  <c r="E67" i="11"/>
  <c r="F67" i="11"/>
  <c r="G19" i="11"/>
  <c r="D78" i="11" s="1"/>
  <c r="E77" i="11"/>
  <c r="E78" i="11"/>
  <c r="C77" i="11"/>
  <c r="F95" i="22"/>
  <c r="F96" i="22" s="1"/>
  <c r="F129" i="22"/>
  <c r="F135" i="22"/>
  <c r="F149" i="22"/>
  <c r="F150" i="22" s="1"/>
  <c r="F103" i="22"/>
  <c r="F104" i="22" s="1"/>
  <c r="F98" i="22" s="1"/>
  <c r="F73" i="22"/>
  <c r="F74" i="22" s="1"/>
  <c r="H68" i="11" l="1"/>
  <c r="G68" i="11"/>
  <c r="I68" i="11"/>
  <c r="E68" i="11"/>
  <c r="F68" i="11"/>
  <c r="AK10" i="11"/>
  <c r="N10" i="11"/>
  <c r="R10" i="11"/>
  <c r="S10" i="11"/>
  <c r="Z10" i="11"/>
  <c r="AD10" i="11"/>
  <c r="K10" i="11"/>
  <c r="O10" i="11"/>
  <c r="G10" i="11"/>
  <c r="M10" i="11"/>
  <c r="W10" i="11"/>
  <c r="AA10" i="11"/>
  <c r="H10" i="11"/>
  <c r="E10" i="11"/>
  <c r="AI10" i="11"/>
  <c r="D10" i="11"/>
  <c r="T10" i="11"/>
  <c r="L10" i="11"/>
  <c r="AF10" i="11"/>
  <c r="AG10" i="11"/>
  <c r="P10" i="11"/>
  <c r="Q10" i="11"/>
  <c r="X10" i="11"/>
  <c r="AB10" i="11"/>
  <c r="I10" i="11"/>
  <c r="AE10" i="11"/>
  <c r="J10" i="11"/>
  <c r="AJ10" i="11"/>
  <c r="C10" i="11"/>
  <c r="U10" i="11"/>
  <c r="Y10" i="11"/>
  <c r="AC10" i="11"/>
  <c r="V10" i="11"/>
  <c r="F10" i="11"/>
  <c r="AH10" i="11"/>
  <c r="E12" i="25"/>
  <c r="E42" i="25" s="1"/>
  <c r="K68" i="11"/>
  <c r="D68" i="11"/>
  <c r="C68" i="11"/>
  <c r="J68" i="11"/>
  <c r="F124" i="22"/>
  <c r="F68" i="22"/>
  <c r="C69" i="11" l="1"/>
  <c r="D69" i="11"/>
  <c r="G69" i="11"/>
  <c r="J69" i="11"/>
  <c r="K69" i="11"/>
  <c r="I69" i="11"/>
  <c r="H69" i="11"/>
  <c r="F69" i="11"/>
  <c r="E69" i="11"/>
  <c r="F73" i="26"/>
  <c r="F62" i="26"/>
  <c r="F40" i="26"/>
  <c r="F61" i="26"/>
  <c r="D34" i="26"/>
  <c r="E34" i="26"/>
  <c r="E23" i="26"/>
  <c r="D23" i="26"/>
  <c r="E89" i="26"/>
  <c r="D89" i="26"/>
  <c r="E78" i="26"/>
  <c r="D78" i="26"/>
  <c r="E67" i="26"/>
  <c r="D67" i="26"/>
  <c r="F67" i="26" s="1"/>
  <c r="G67" i="26" s="1"/>
  <c r="I67" i="26" s="1"/>
  <c r="E56" i="26"/>
  <c r="D56" i="26"/>
  <c r="F56" i="26" s="1"/>
  <c r="G56" i="26" s="1"/>
  <c r="I56" i="26" s="1"/>
  <c r="E45" i="26"/>
  <c r="D45" i="26"/>
  <c r="F30" i="26"/>
  <c r="F52" i="26"/>
  <c r="F63" i="26"/>
  <c r="F74" i="26"/>
  <c r="F85" i="26"/>
  <c r="F96" i="26"/>
  <c r="F95" i="26"/>
  <c r="F94" i="26"/>
  <c r="F93" i="26"/>
  <c r="F92" i="26"/>
  <c r="F91" i="26"/>
  <c r="F84" i="26"/>
  <c r="F51" i="26"/>
  <c r="F50" i="26"/>
  <c r="F83" i="26"/>
  <c r="F82" i="26"/>
  <c r="F81" i="26"/>
  <c r="F80" i="26"/>
  <c r="F72" i="26"/>
  <c r="F71" i="26"/>
  <c r="F70" i="26"/>
  <c r="F69" i="26"/>
  <c r="F60" i="26"/>
  <c r="F59" i="26"/>
  <c r="F58" i="26"/>
  <c r="F49" i="26"/>
  <c r="F48" i="26"/>
  <c r="F47" i="26"/>
  <c r="F41" i="26"/>
  <c r="F39" i="26"/>
  <c r="F38" i="26"/>
  <c r="F37" i="26"/>
  <c r="F36" i="26"/>
  <c r="F26" i="26"/>
  <c r="F27" i="26"/>
  <c r="F28" i="26"/>
  <c r="F29" i="26"/>
  <c r="F25" i="26"/>
  <c r="E6" i="26"/>
  <c r="E14" i="26" s="1"/>
  <c r="F6" i="26"/>
  <c r="F13" i="26" s="1"/>
  <c r="G6" i="26"/>
  <c r="G14" i="26" s="1"/>
  <c r="H6" i="26"/>
  <c r="H14" i="26" s="1"/>
  <c r="I6" i="26"/>
  <c r="I14" i="26" s="1"/>
  <c r="J6" i="26"/>
  <c r="J12" i="26" s="1"/>
  <c r="K6" i="26"/>
  <c r="K12" i="26" s="1"/>
  <c r="L6" i="26"/>
  <c r="L14" i="26" s="1"/>
  <c r="M6" i="26"/>
  <c r="M14" i="26" s="1"/>
  <c r="N6" i="26"/>
  <c r="N14" i="26" s="1"/>
  <c r="O6" i="26"/>
  <c r="O14" i="26" s="1"/>
  <c r="P6" i="26"/>
  <c r="P14" i="26" s="1"/>
  <c r="Q6" i="26"/>
  <c r="Q14" i="26" s="1"/>
  <c r="R6" i="26"/>
  <c r="R13" i="26" s="1"/>
  <c r="S6" i="26"/>
  <c r="S14" i="26" s="1"/>
  <c r="T6" i="26"/>
  <c r="T14" i="26" s="1"/>
  <c r="U6" i="26"/>
  <c r="U14" i="26" s="1"/>
  <c r="V6" i="26"/>
  <c r="V12" i="26" s="1"/>
  <c r="W6" i="26"/>
  <c r="W12" i="26" s="1"/>
  <c r="X6" i="26"/>
  <c r="X13" i="26" s="1"/>
  <c r="Y6" i="26"/>
  <c r="Y14" i="26" s="1"/>
  <c r="Z6" i="26"/>
  <c r="Z14" i="26" s="1"/>
  <c r="AA6" i="26"/>
  <c r="AA14" i="26" s="1"/>
  <c r="AB6" i="26"/>
  <c r="AB14" i="26" s="1"/>
  <c r="AC6" i="26"/>
  <c r="AC14" i="26" s="1"/>
  <c r="AD6" i="26"/>
  <c r="AD13" i="26" s="1"/>
  <c r="AE6" i="26"/>
  <c r="AE14" i="26" s="1"/>
  <c r="AF6" i="26"/>
  <c r="AF14" i="26" s="1"/>
  <c r="AG6" i="26"/>
  <c r="AG14" i="26" s="1"/>
  <c r="AH6" i="26"/>
  <c r="AH12" i="26" s="1"/>
  <c r="AI6" i="26"/>
  <c r="AI12" i="26" s="1"/>
  <c r="AJ6" i="26"/>
  <c r="AJ14" i="26" s="1"/>
  <c r="AK6" i="26"/>
  <c r="AK14" i="26" s="1"/>
  <c r="AL6" i="26"/>
  <c r="AL14" i="26" s="1"/>
  <c r="E7" i="26"/>
  <c r="F7" i="26"/>
  <c r="G7" i="26"/>
  <c r="H7" i="26"/>
  <c r="I7" i="26"/>
  <c r="J7" i="26"/>
  <c r="K7" i="26"/>
  <c r="L7" i="26"/>
  <c r="M7" i="26"/>
  <c r="N7" i="26"/>
  <c r="O7" i="26"/>
  <c r="P7" i="26"/>
  <c r="Q7" i="26"/>
  <c r="R7" i="26"/>
  <c r="S7" i="26"/>
  <c r="T7" i="26"/>
  <c r="U7" i="26"/>
  <c r="V7" i="26"/>
  <c r="W7" i="26"/>
  <c r="X7" i="26"/>
  <c r="Y7" i="26"/>
  <c r="Z7" i="26"/>
  <c r="AA7" i="26"/>
  <c r="AB7" i="26"/>
  <c r="AC7" i="26"/>
  <c r="AD7" i="26"/>
  <c r="AE7" i="26"/>
  <c r="AF7" i="26"/>
  <c r="AG7" i="26"/>
  <c r="AH7" i="26"/>
  <c r="AI7" i="26"/>
  <c r="AJ7" i="26"/>
  <c r="AK7" i="26"/>
  <c r="AL7" i="26"/>
  <c r="E8" i="26"/>
  <c r="F8" i="26"/>
  <c r="G8" i="26"/>
  <c r="H8" i="26"/>
  <c r="I8" i="26"/>
  <c r="J8" i="26"/>
  <c r="K8" i="26"/>
  <c r="L8" i="26"/>
  <c r="M8" i="26"/>
  <c r="N8" i="26"/>
  <c r="O8" i="26"/>
  <c r="P8" i="26"/>
  <c r="Q8" i="26"/>
  <c r="R8" i="26"/>
  <c r="S8" i="26"/>
  <c r="T8" i="26"/>
  <c r="U8" i="26"/>
  <c r="V8" i="26"/>
  <c r="W8" i="26"/>
  <c r="X8" i="26"/>
  <c r="Y8" i="26"/>
  <c r="Z8" i="26"/>
  <c r="AA8" i="26"/>
  <c r="AB8" i="26"/>
  <c r="AC8" i="26"/>
  <c r="AD8" i="26"/>
  <c r="AE8" i="26"/>
  <c r="AF8" i="26"/>
  <c r="AG8" i="26"/>
  <c r="AH8" i="26"/>
  <c r="AI8" i="26"/>
  <c r="AJ8" i="26"/>
  <c r="AK8" i="26"/>
  <c r="AL8" i="26"/>
  <c r="E9" i="26"/>
  <c r="F9" i="26"/>
  <c r="G9" i="26"/>
  <c r="H9" i="26"/>
  <c r="I9" i="26"/>
  <c r="J9" i="26"/>
  <c r="K9" i="26"/>
  <c r="L9" i="26"/>
  <c r="M9" i="26"/>
  <c r="N9" i="26"/>
  <c r="O9" i="26"/>
  <c r="P9" i="26"/>
  <c r="Q9" i="26"/>
  <c r="R9" i="26"/>
  <c r="S9" i="26"/>
  <c r="T9" i="26"/>
  <c r="U9" i="26"/>
  <c r="V9" i="26"/>
  <c r="W9" i="26"/>
  <c r="X9" i="26"/>
  <c r="Y9" i="26"/>
  <c r="Z9" i="26"/>
  <c r="AA9" i="26"/>
  <c r="AB9" i="26"/>
  <c r="AC9" i="26"/>
  <c r="AD9" i="26"/>
  <c r="AE9" i="26"/>
  <c r="AF9" i="26"/>
  <c r="AG9" i="26"/>
  <c r="AH9" i="26"/>
  <c r="AI9" i="26"/>
  <c r="AJ9" i="26"/>
  <c r="AK9" i="26"/>
  <c r="AL9" i="26"/>
  <c r="E10" i="26"/>
  <c r="F10" i="26"/>
  <c r="G10" i="26"/>
  <c r="H10" i="26"/>
  <c r="I10" i="26"/>
  <c r="J10" i="26"/>
  <c r="K10" i="26"/>
  <c r="L10" i="26"/>
  <c r="M10" i="26"/>
  <c r="N10" i="26"/>
  <c r="O10" i="26"/>
  <c r="P10" i="26"/>
  <c r="Q10" i="26"/>
  <c r="R10" i="26"/>
  <c r="S10" i="26"/>
  <c r="T10" i="26"/>
  <c r="U10" i="26"/>
  <c r="V10" i="26"/>
  <c r="W10" i="26"/>
  <c r="X10" i="26"/>
  <c r="Y10" i="26"/>
  <c r="Z10" i="26"/>
  <c r="AA10" i="26"/>
  <c r="AB10" i="26"/>
  <c r="AC10" i="26"/>
  <c r="AD10" i="26"/>
  <c r="AE10" i="26"/>
  <c r="AF10" i="26"/>
  <c r="AG10" i="26"/>
  <c r="AH10" i="26"/>
  <c r="AI10" i="26"/>
  <c r="AJ10" i="26"/>
  <c r="AK10" i="26"/>
  <c r="AL10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U11" i="26"/>
  <c r="V11" i="26"/>
  <c r="W11" i="26"/>
  <c r="X11" i="26"/>
  <c r="Y11" i="26"/>
  <c r="Z11" i="26"/>
  <c r="AA11" i="26"/>
  <c r="AB11" i="26"/>
  <c r="AC11" i="26"/>
  <c r="AD11" i="26"/>
  <c r="AE11" i="26"/>
  <c r="AF11" i="26"/>
  <c r="AG11" i="26"/>
  <c r="AH11" i="26"/>
  <c r="AI11" i="26"/>
  <c r="AJ11" i="26"/>
  <c r="AK11" i="26"/>
  <c r="AL11" i="26"/>
  <c r="D7" i="26"/>
  <c r="D8" i="26"/>
  <c r="D9" i="26"/>
  <c r="D10" i="26"/>
  <c r="D11" i="26"/>
  <c r="D6" i="26"/>
  <c r="D14" i="26" s="1"/>
  <c r="F34" i="26" l="1"/>
  <c r="G34" i="26" s="1"/>
  <c r="I34" i="26" s="1"/>
  <c r="G95" i="26" s="1"/>
  <c r="H95" i="26" s="1"/>
  <c r="F89" i="26"/>
  <c r="G89" i="26" s="1"/>
  <c r="I89" i="26" s="1"/>
  <c r="F23" i="26"/>
  <c r="G23" i="26" s="1"/>
  <c r="I23" i="26" s="1"/>
  <c r="G25" i="26" s="1"/>
  <c r="I25" i="26" s="1"/>
  <c r="F45" i="26"/>
  <c r="G45" i="26" s="1"/>
  <c r="I45" i="26" s="1"/>
  <c r="F78" i="26"/>
  <c r="G78" i="26" s="1"/>
  <c r="I78" i="26" s="1"/>
  <c r="L13" i="26"/>
  <c r="G12" i="26"/>
  <c r="F12" i="26"/>
  <c r="F14" i="26"/>
  <c r="AJ13" i="26"/>
  <c r="U13" i="26"/>
  <c r="T13" i="26"/>
  <c r="N13" i="26"/>
  <c r="AF12" i="26"/>
  <c r="AE12" i="26"/>
  <c r="AD12" i="26"/>
  <c r="AJ12" i="26"/>
  <c r="AL13" i="26"/>
  <c r="Y12" i="26"/>
  <c r="AK13" i="26"/>
  <c r="L12" i="26"/>
  <c r="H12" i="26"/>
  <c r="S13" i="26"/>
  <c r="AH13" i="26"/>
  <c r="M13" i="26"/>
  <c r="Z12" i="26"/>
  <c r="AG13" i="26"/>
  <c r="AF13" i="26"/>
  <c r="J13" i="26"/>
  <c r="X12" i="26"/>
  <c r="AE13" i="26"/>
  <c r="I13" i="26"/>
  <c r="T12" i="26"/>
  <c r="AD14" i="26"/>
  <c r="Z13" i="26"/>
  <c r="H13" i="26"/>
  <c r="S12" i="26"/>
  <c r="X14" i="26"/>
  <c r="Y13" i="26"/>
  <c r="G13" i="26"/>
  <c r="R12" i="26"/>
  <c r="R14" i="26"/>
  <c r="AL12" i="26"/>
  <c r="N12" i="26"/>
  <c r="V13" i="26"/>
  <c r="AK12" i="26"/>
  <c r="M12" i="26"/>
  <c r="AI13" i="26"/>
  <c r="W13" i="26"/>
  <c r="K13" i="26"/>
  <c r="AG12" i="26"/>
  <c r="U12" i="26"/>
  <c r="I12" i="26"/>
  <c r="W14" i="26"/>
  <c r="K14" i="26"/>
  <c r="V14" i="26"/>
  <c r="J14" i="26"/>
  <c r="AC12" i="26"/>
  <c r="Q12" i="26"/>
  <c r="E12" i="26"/>
  <c r="AI14" i="26"/>
  <c r="AH14" i="26"/>
  <c r="AB12" i="26"/>
  <c r="P12" i="26"/>
  <c r="AC13" i="26"/>
  <c r="Q13" i="26"/>
  <c r="E13" i="26"/>
  <c r="AA12" i="26"/>
  <c r="O12" i="26"/>
  <c r="AB13" i="26"/>
  <c r="P13" i="26"/>
  <c r="D12" i="26"/>
  <c r="AA13" i="26"/>
  <c r="O13" i="26"/>
  <c r="D13" i="26"/>
  <c r="G80" i="26" l="1"/>
  <c r="I80" i="26" s="1"/>
  <c r="G96" i="26"/>
  <c r="H96" i="26" s="1"/>
  <c r="G74" i="26"/>
  <c r="H74" i="26" s="1"/>
  <c r="G92" i="26"/>
  <c r="I92" i="26" s="1"/>
  <c r="G48" i="26"/>
  <c r="I48" i="26" s="1"/>
  <c r="G38" i="26"/>
  <c r="I38" i="26" s="1"/>
  <c r="G47" i="26"/>
  <c r="I47" i="26" s="1"/>
  <c r="G37" i="26"/>
  <c r="I37" i="26" s="1"/>
  <c r="G52" i="26"/>
  <c r="H52" i="26" s="1"/>
  <c r="G94" i="26"/>
  <c r="H94" i="26" s="1"/>
  <c r="H97" i="26" s="1"/>
  <c r="G91" i="26"/>
  <c r="I91" i="26" s="1"/>
  <c r="I97" i="26" s="1"/>
  <c r="G41" i="26"/>
  <c r="H41" i="26" s="1"/>
  <c r="G84" i="26"/>
  <c r="H84" i="26" s="1"/>
  <c r="G93" i="26"/>
  <c r="I93" i="26" s="1"/>
  <c r="G50" i="26"/>
  <c r="H50" i="26" s="1"/>
  <c r="G81" i="26"/>
  <c r="I81" i="26" s="1"/>
  <c r="G71" i="26"/>
  <c r="I71" i="26" s="1"/>
  <c r="G58" i="26"/>
  <c r="I58" i="26" s="1"/>
  <c r="G51" i="26"/>
  <c r="H51" i="26" s="1"/>
  <c r="G39" i="26"/>
  <c r="H39" i="26" s="1"/>
  <c r="G62" i="26"/>
  <c r="H62" i="26" s="1"/>
  <c r="G83" i="26"/>
  <c r="H83" i="26" s="1"/>
  <c r="G61" i="26"/>
  <c r="H61" i="26" s="1"/>
  <c r="G85" i="26"/>
  <c r="H85" i="26" s="1"/>
  <c r="G72" i="26"/>
  <c r="H72" i="26" s="1"/>
  <c r="G69" i="26"/>
  <c r="I69" i="26" s="1"/>
  <c r="G63" i="26"/>
  <c r="H63" i="26" s="1"/>
  <c r="G59" i="26"/>
  <c r="I59" i="26" s="1"/>
  <c r="G73" i="26"/>
  <c r="H73" i="26" s="1"/>
  <c r="H75" i="26" s="1"/>
  <c r="G82" i="26"/>
  <c r="I82" i="26" s="1"/>
  <c r="G70" i="26"/>
  <c r="I70" i="26" s="1"/>
  <c r="G36" i="26"/>
  <c r="I36" i="26" s="1"/>
  <c r="I42" i="26" s="1"/>
  <c r="G40" i="26"/>
  <c r="H40" i="26" s="1"/>
  <c r="G60" i="26"/>
  <c r="I60" i="26" s="1"/>
  <c r="G49" i="26"/>
  <c r="I49" i="26" s="1"/>
  <c r="G29" i="26"/>
  <c r="H29" i="26" s="1"/>
  <c r="G27" i="26"/>
  <c r="I27" i="26" s="1"/>
  <c r="G28" i="26"/>
  <c r="H28" i="26" s="1"/>
  <c r="G26" i="26"/>
  <c r="I26" i="26" s="1"/>
  <c r="G30" i="26"/>
  <c r="H30" i="26" s="1"/>
  <c r="AL13" i="11"/>
  <c r="L72" i="11" s="1"/>
  <c r="I31" i="26"/>
  <c r="H4" i="1"/>
  <c r="I86" i="26" l="1"/>
  <c r="H86" i="26"/>
  <c r="I75" i="26"/>
  <c r="H64" i="26"/>
  <c r="I64" i="26"/>
  <c r="H53" i="26"/>
  <c r="I53" i="26"/>
  <c r="X17" i="26" s="1"/>
  <c r="Z60" i="1" s="1"/>
  <c r="H42" i="26"/>
  <c r="G42" i="26"/>
  <c r="G75" i="26"/>
  <c r="G86" i="26"/>
  <c r="G53" i="26"/>
  <c r="G64" i="26"/>
  <c r="G97" i="26"/>
  <c r="H31" i="26"/>
  <c r="G31" i="26"/>
  <c r="AL26" i="11"/>
  <c r="L85" i="11" s="1"/>
  <c r="AE17" i="26"/>
  <c r="AG60" i="1" s="1"/>
  <c r="J8" i="1"/>
  <c r="J17" i="26" l="1"/>
  <c r="L60" i="1" s="1"/>
  <c r="AL16" i="26"/>
  <c r="AN57" i="1" s="1"/>
  <c r="AG17" i="26"/>
  <c r="AI60" i="1" s="1"/>
  <c r="AC17" i="26"/>
  <c r="AE60" i="1" s="1"/>
  <c r="H17" i="26"/>
  <c r="J60" i="1" s="1"/>
  <c r="D17" i="26"/>
  <c r="F60" i="1" s="1"/>
  <c r="E17" i="26"/>
  <c r="G60" i="1" s="1"/>
  <c r="F17" i="26"/>
  <c r="H60" i="1" s="1"/>
  <c r="R17" i="26"/>
  <c r="T60" i="1" s="1"/>
  <c r="L17" i="26"/>
  <c r="N60" i="1" s="1"/>
  <c r="Y17" i="26"/>
  <c r="AA60" i="1" s="1"/>
  <c r="S17" i="26"/>
  <c r="U60" i="1" s="1"/>
  <c r="G17" i="26"/>
  <c r="I60" i="1" s="1"/>
  <c r="AD17" i="26"/>
  <c r="AF60" i="1" s="1"/>
  <c r="AB17" i="26"/>
  <c r="AD60" i="1" s="1"/>
  <c r="AK17" i="26"/>
  <c r="AM60" i="1" s="1"/>
  <c r="M17" i="26"/>
  <c r="O60" i="1" s="1"/>
  <c r="AI17" i="26"/>
  <c r="AK60" i="1" s="1"/>
  <c r="AK16" i="26"/>
  <c r="AM57" i="1" s="1"/>
  <c r="O17" i="26"/>
  <c r="Q60" i="1" s="1"/>
  <c r="AF17" i="26"/>
  <c r="AH60" i="1" s="1"/>
  <c r="AH17" i="26"/>
  <c r="AJ60" i="1" s="1"/>
  <c r="J16" i="26"/>
  <c r="L57" i="1" s="1"/>
  <c r="W17" i="26"/>
  <c r="Y60" i="1" s="1"/>
  <c r="N17" i="26"/>
  <c r="P60" i="1" s="1"/>
  <c r="I17" i="26"/>
  <c r="K60" i="1" s="1"/>
  <c r="U17" i="26"/>
  <c r="W60" i="1" s="1"/>
  <c r="V17" i="26"/>
  <c r="X60" i="1" s="1"/>
  <c r="T17" i="26"/>
  <c r="V60" i="1" s="1"/>
  <c r="AJ17" i="26"/>
  <c r="AL60" i="1" s="1"/>
  <c r="P17" i="26"/>
  <c r="R60" i="1" s="1"/>
  <c r="Q17" i="26"/>
  <c r="S60" i="1" s="1"/>
  <c r="Z17" i="26"/>
  <c r="AB60" i="1" s="1"/>
  <c r="AA17" i="26"/>
  <c r="AC60" i="1" s="1"/>
  <c r="AL17" i="26"/>
  <c r="AN60" i="1" s="1"/>
  <c r="K17" i="26"/>
  <c r="M60" i="1" s="1"/>
  <c r="M16" i="26"/>
  <c r="O57" i="1" s="1"/>
  <c r="W16" i="26"/>
  <c r="Y57" i="1" s="1"/>
  <c r="AD16" i="26"/>
  <c r="AF57" i="1" s="1"/>
  <c r="N16" i="26"/>
  <c r="P57" i="1" s="1"/>
  <c r="K16" i="26"/>
  <c r="M57" i="1" s="1"/>
  <c r="L16" i="26"/>
  <c r="N57" i="1" s="1"/>
  <c r="D16" i="26"/>
  <c r="F57" i="1" s="1"/>
  <c r="AG16" i="26"/>
  <c r="AI57" i="1" s="1"/>
  <c r="R16" i="26"/>
  <c r="T57" i="1" s="1"/>
  <c r="AI16" i="26"/>
  <c r="AK57" i="1" s="1"/>
  <c r="V16" i="26"/>
  <c r="X57" i="1" s="1"/>
  <c r="I16" i="26"/>
  <c r="K57" i="1" s="1"/>
  <c r="AE16" i="26"/>
  <c r="AG57" i="1" s="1"/>
  <c r="AA16" i="26"/>
  <c r="AC57" i="1" s="1"/>
  <c r="AJ16" i="26"/>
  <c r="AL57" i="1" s="1"/>
  <c r="Z16" i="26"/>
  <c r="AB57" i="1" s="1"/>
  <c r="G16" i="26"/>
  <c r="I57" i="1" s="1"/>
  <c r="H16" i="26"/>
  <c r="J57" i="1" s="1"/>
  <c r="F16" i="26"/>
  <c r="H57" i="1" s="1"/>
  <c r="AC16" i="26"/>
  <c r="AE57" i="1" s="1"/>
  <c r="O16" i="26"/>
  <c r="Q57" i="1" s="1"/>
  <c r="AB16" i="26"/>
  <c r="AD57" i="1" s="1"/>
  <c r="AH16" i="26"/>
  <c r="AJ57" i="1" s="1"/>
  <c r="AF16" i="26"/>
  <c r="AH57" i="1" s="1"/>
  <c r="Q16" i="26"/>
  <c r="S57" i="1" s="1"/>
  <c r="S16" i="26"/>
  <c r="U57" i="1" s="1"/>
  <c r="Y16" i="26"/>
  <c r="AA57" i="1" s="1"/>
  <c r="P16" i="26"/>
  <c r="R57" i="1" s="1"/>
  <c r="E16" i="26"/>
  <c r="G57" i="1" s="1"/>
  <c r="X16" i="26"/>
  <c r="Z57" i="1" s="1"/>
  <c r="U16" i="26"/>
  <c r="W57" i="1" s="1"/>
  <c r="T16" i="26"/>
  <c r="V57" i="1" s="1"/>
  <c r="AL6" i="11"/>
  <c r="L65" i="11" s="1"/>
  <c r="J4" i="1"/>
  <c r="J15" i="1"/>
  <c r="E12" i="12"/>
  <c r="F12" i="12"/>
  <c r="G12" i="12"/>
  <c r="H12" i="12"/>
  <c r="I12" i="12"/>
  <c r="J12" i="12"/>
  <c r="K12" i="12"/>
  <c r="L12" i="12"/>
  <c r="M12" i="12"/>
  <c r="N12" i="12"/>
  <c r="O12" i="12"/>
  <c r="P12" i="12"/>
  <c r="Q12" i="12"/>
  <c r="R12" i="12"/>
  <c r="S12" i="12"/>
  <c r="T12" i="12"/>
  <c r="U12" i="12"/>
  <c r="V12" i="12"/>
  <c r="W12" i="12"/>
  <c r="X12" i="12"/>
  <c r="Y12" i="12"/>
  <c r="Z12" i="12"/>
  <c r="AA12" i="12"/>
  <c r="AB12" i="12"/>
  <c r="AC12" i="12"/>
  <c r="AD12" i="12"/>
  <c r="AE12" i="12"/>
  <c r="AF12" i="12"/>
  <c r="AG12" i="12"/>
  <c r="AH12" i="12"/>
  <c r="AI12" i="12"/>
  <c r="AJ12" i="12"/>
  <c r="AK12" i="12"/>
  <c r="AL12" i="12"/>
  <c r="D12" i="12"/>
  <c r="E17" i="12"/>
  <c r="G55" i="1" s="1"/>
  <c r="F17" i="12"/>
  <c r="H55" i="1" s="1"/>
  <c r="G17" i="12"/>
  <c r="I55" i="1" s="1"/>
  <c r="H17" i="12"/>
  <c r="J55" i="1" s="1"/>
  <c r="I17" i="12"/>
  <c r="K55" i="1" s="1"/>
  <c r="J17" i="12"/>
  <c r="L55" i="1" s="1"/>
  <c r="K17" i="12"/>
  <c r="M55" i="1" s="1"/>
  <c r="L17" i="12"/>
  <c r="N55" i="1" s="1"/>
  <c r="M17" i="12"/>
  <c r="O55" i="1" s="1"/>
  <c r="N17" i="12"/>
  <c r="P55" i="1" s="1"/>
  <c r="O17" i="12"/>
  <c r="Q55" i="1" s="1"/>
  <c r="P17" i="12"/>
  <c r="R55" i="1" s="1"/>
  <c r="Q17" i="12"/>
  <c r="S55" i="1" s="1"/>
  <c r="R17" i="12"/>
  <c r="T55" i="1" s="1"/>
  <c r="S17" i="12"/>
  <c r="U55" i="1" s="1"/>
  <c r="T17" i="12"/>
  <c r="V55" i="1" s="1"/>
  <c r="U17" i="12"/>
  <c r="W55" i="1" s="1"/>
  <c r="V17" i="12"/>
  <c r="X55" i="1" s="1"/>
  <c r="W17" i="12"/>
  <c r="Y55" i="1" s="1"/>
  <c r="X17" i="12"/>
  <c r="Z55" i="1" s="1"/>
  <c r="Y17" i="12"/>
  <c r="AA55" i="1" s="1"/>
  <c r="Z17" i="12"/>
  <c r="AB55" i="1" s="1"/>
  <c r="AA17" i="12"/>
  <c r="AC55" i="1" s="1"/>
  <c r="AB17" i="12"/>
  <c r="AD55" i="1" s="1"/>
  <c r="AC17" i="12"/>
  <c r="AE55" i="1" s="1"/>
  <c r="AD17" i="12"/>
  <c r="AF55" i="1" s="1"/>
  <c r="AE17" i="12"/>
  <c r="AG55" i="1" s="1"/>
  <c r="AF17" i="12"/>
  <c r="AH55" i="1" s="1"/>
  <c r="AG17" i="12"/>
  <c r="AI55" i="1" s="1"/>
  <c r="AH17" i="12"/>
  <c r="AJ55" i="1" s="1"/>
  <c r="AI17" i="12"/>
  <c r="AK55" i="1" s="1"/>
  <c r="AJ17" i="12"/>
  <c r="AL55" i="1" s="1"/>
  <c r="AK17" i="12"/>
  <c r="AM55" i="1" s="1"/>
  <c r="AL17" i="12"/>
  <c r="AN55" i="1" s="1"/>
  <c r="D17" i="12"/>
  <c r="F55" i="1" s="1"/>
  <c r="D2" i="24"/>
  <c r="E2" i="24" s="1"/>
  <c r="F2" i="24" s="1"/>
  <c r="G2" i="24" s="1"/>
  <c r="H2" i="24" s="1"/>
  <c r="I2" i="24" s="1"/>
  <c r="J2" i="24" s="1"/>
  <c r="K2" i="24" s="1"/>
  <c r="L2" i="24" s="1"/>
  <c r="M2" i="24" s="1"/>
  <c r="N2" i="24" s="1"/>
  <c r="O2" i="24" s="1"/>
  <c r="P2" i="24" s="1"/>
  <c r="Q2" i="24" s="1"/>
  <c r="R2" i="24" s="1"/>
  <c r="S2" i="24" s="1"/>
  <c r="T2" i="24" s="1"/>
  <c r="U2" i="24" s="1"/>
  <c r="V2" i="24" s="1"/>
  <c r="W2" i="24" s="1"/>
  <c r="X2" i="24" s="1"/>
  <c r="Y2" i="24" s="1"/>
  <c r="Z2" i="24" s="1"/>
  <c r="AA2" i="24" s="1"/>
  <c r="AB2" i="24" s="1"/>
  <c r="AC2" i="24" s="1"/>
  <c r="AD2" i="24" s="1"/>
  <c r="AE2" i="24" s="1"/>
  <c r="AF2" i="24" s="1"/>
  <c r="AG2" i="24" s="1"/>
  <c r="AH2" i="24" s="1"/>
  <c r="AI2" i="24" s="1"/>
  <c r="AJ2" i="24" s="1"/>
  <c r="AK2" i="24" s="1"/>
  <c r="B3" i="24"/>
  <c r="B4" i="24"/>
  <c r="B5" i="24"/>
  <c r="B6" i="24"/>
  <c r="B7" i="24"/>
  <c r="B8" i="24"/>
  <c r="B9" i="24"/>
  <c r="B10" i="24"/>
  <c r="B11" i="24"/>
  <c r="B12" i="24"/>
  <c r="B13" i="24"/>
  <c r="B14" i="24"/>
  <c r="B15" i="24"/>
  <c r="I18" i="12" l="1"/>
  <c r="AM17" i="26"/>
  <c r="AM16" i="26"/>
  <c r="O18" i="12"/>
  <c r="K18" i="12"/>
  <c r="AH18" i="12"/>
  <c r="AG18" i="12"/>
  <c r="AB18" i="12"/>
  <c r="AA18" i="12"/>
  <c r="V18" i="12"/>
  <c r="U18" i="12"/>
  <c r="P18" i="12"/>
  <c r="J18" i="12"/>
  <c r="AC18" i="12"/>
  <c r="Q18" i="12"/>
  <c r="E18" i="12"/>
  <c r="AL18" i="12"/>
  <c r="Z18" i="12"/>
  <c r="N18" i="12"/>
  <c r="AK18" i="12"/>
  <c r="Y18" i="12"/>
  <c r="M18" i="12"/>
  <c r="AJ18" i="12"/>
  <c r="X18" i="12"/>
  <c r="L18" i="12"/>
  <c r="AI18" i="12"/>
  <c r="W18" i="12"/>
  <c r="AF18" i="12"/>
  <c r="T18" i="12"/>
  <c r="H18" i="12"/>
  <c r="AE18" i="12"/>
  <c r="S18" i="12"/>
  <c r="G18" i="12"/>
  <c r="AD18" i="12"/>
  <c r="R18" i="12"/>
  <c r="F18" i="12"/>
  <c r="D18" i="12"/>
  <c r="C38" i="11"/>
  <c r="C97" i="11" s="1"/>
  <c r="AL14" i="11"/>
  <c r="L73" i="11" s="1"/>
  <c r="AL7" i="11"/>
  <c r="L66" i="11" s="1"/>
  <c r="AL15" i="11"/>
  <c r="L74" i="11" s="1"/>
  <c r="H9" i="1"/>
  <c r="AL16" i="11" l="1"/>
  <c r="L75" i="11" s="1"/>
  <c r="AL17" i="11"/>
  <c r="L76" i="11" s="1"/>
  <c r="AL8" i="11"/>
  <c r="L67" i="11" s="1"/>
  <c r="AL9" i="11" l="1"/>
  <c r="L68" i="11" s="1"/>
  <c r="D7" i="18"/>
  <c r="E7" i="18"/>
  <c r="F7" i="18" s="1"/>
  <c r="G7" i="18" s="1"/>
  <c r="H7" i="18" s="1"/>
  <c r="I7" i="18" s="1"/>
  <c r="J7" i="18" s="1"/>
  <c r="K7" i="18" s="1"/>
  <c r="L7" i="18" s="1"/>
  <c r="M7" i="18" s="1"/>
  <c r="N7" i="18" s="1"/>
  <c r="O7" i="18" s="1"/>
  <c r="P7" i="18" s="1"/>
  <c r="Q7" i="18" s="1"/>
  <c r="R7" i="18" s="1"/>
  <c r="S7" i="18" s="1"/>
  <c r="T7" i="18" s="1"/>
  <c r="U7" i="18" s="1"/>
  <c r="V7" i="18" s="1"/>
  <c r="W7" i="18" s="1"/>
  <c r="X7" i="18" s="1"/>
  <c r="Y7" i="18" s="1"/>
  <c r="Z7" i="18" s="1"/>
  <c r="AA7" i="18" s="1"/>
  <c r="AB7" i="18" s="1"/>
  <c r="AC7" i="18" s="1"/>
  <c r="AD7" i="18" s="1"/>
  <c r="AE7" i="18" s="1"/>
  <c r="AF7" i="18" s="1"/>
  <c r="AG7" i="18" s="1"/>
  <c r="AH7" i="18" s="1"/>
  <c r="AI7" i="18" s="1"/>
  <c r="AJ7" i="18" s="1"/>
  <c r="AK7" i="18" s="1"/>
  <c r="AL7" i="18" s="1"/>
  <c r="AM7" i="18" s="1"/>
  <c r="AN7" i="18" s="1"/>
  <c r="AO7" i="18" s="1"/>
  <c r="AP7" i="18" s="1"/>
  <c r="D3" i="15"/>
  <c r="Q9" i="15" s="1"/>
  <c r="E7" i="15"/>
  <c r="F7" i="15"/>
  <c r="G7" i="15"/>
  <c r="H7" i="15"/>
  <c r="I7" i="15"/>
  <c r="J7" i="15"/>
  <c r="K7" i="15"/>
  <c r="L7" i="15"/>
  <c r="M7" i="15"/>
  <c r="N7" i="15"/>
  <c r="O7" i="15"/>
  <c r="P7" i="15"/>
  <c r="Q7" i="15"/>
  <c r="R7" i="15"/>
  <c r="S7" i="15"/>
  <c r="T7" i="15"/>
  <c r="U7" i="15"/>
  <c r="V7" i="15"/>
  <c r="W7" i="15"/>
  <c r="X7" i="15"/>
  <c r="Y7" i="15"/>
  <c r="Z7" i="15"/>
  <c r="AA7" i="15"/>
  <c r="AB7" i="15"/>
  <c r="AC7" i="15"/>
  <c r="AD7" i="15"/>
  <c r="AE7" i="15"/>
  <c r="AF7" i="15"/>
  <c r="AG7" i="15"/>
  <c r="AH7" i="15"/>
  <c r="AI7" i="15"/>
  <c r="AJ7" i="15"/>
  <c r="AK7" i="15"/>
  <c r="AL7" i="15"/>
  <c r="AM7" i="15"/>
  <c r="H1" i="18"/>
  <c r="I1" i="18" s="1"/>
  <c r="J1" i="18" s="1"/>
  <c r="K1" i="18" s="1"/>
  <c r="L1" i="18" s="1"/>
  <c r="M1" i="18" s="1"/>
  <c r="N1" i="18" s="1"/>
  <c r="O1" i="18" s="1"/>
  <c r="P1" i="18" s="1"/>
  <c r="Q1" i="18" s="1"/>
  <c r="R1" i="18" s="1"/>
  <c r="S1" i="18" s="1"/>
  <c r="T1" i="18" s="1"/>
  <c r="U1" i="18" s="1"/>
  <c r="V1" i="18" s="1"/>
  <c r="W1" i="18" s="1"/>
  <c r="X1" i="18" s="1"/>
  <c r="Y1" i="18" s="1"/>
  <c r="Z1" i="18" s="1"/>
  <c r="AA1" i="18" s="1"/>
  <c r="AB1" i="18" s="1"/>
  <c r="AC1" i="18" s="1"/>
  <c r="AD1" i="18" s="1"/>
  <c r="AE1" i="18" s="1"/>
  <c r="AF1" i="18" s="1"/>
  <c r="AG1" i="18" s="1"/>
  <c r="AH1" i="18" s="1"/>
  <c r="AI1" i="18" s="1"/>
  <c r="AJ1" i="18" s="1"/>
  <c r="AK1" i="18" s="1"/>
  <c r="AL1" i="18" s="1"/>
  <c r="AM1" i="18" s="1"/>
  <c r="AN1" i="18" s="1"/>
  <c r="AO1" i="18" s="1"/>
  <c r="AP1" i="18" s="1"/>
  <c r="E2" i="18"/>
  <c r="F2" i="18" s="1"/>
  <c r="G2" i="18" s="1"/>
  <c r="H2" i="18" s="1"/>
  <c r="I2" i="18" s="1"/>
  <c r="J2" i="18" s="1"/>
  <c r="K2" i="18" s="1"/>
  <c r="L2" i="18" s="1"/>
  <c r="M2" i="18" s="1"/>
  <c r="N2" i="18" s="1"/>
  <c r="O2" i="18" s="1"/>
  <c r="P2" i="18" s="1"/>
  <c r="Q2" i="18" s="1"/>
  <c r="R2" i="18" s="1"/>
  <c r="S2" i="18" s="1"/>
  <c r="T2" i="18" s="1"/>
  <c r="U2" i="18" s="1"/>
  <c r="V2" i="18" s="1"/>
  <c r="W2" i="18" s="1"/>
  <c r="X2" i="18" s="1"/>
  <c r="Y2" i="18" s="1"/>
  <c r="Z2" i="18" s="1"/>
  <c r="AA2" i="18" s="1"/>
  <c r="AB2" i="18" s="1"/>
  <c r="AC2" i="18" s="1"/>
  <c r="AD2" i="18" s="1"/>
  <c r="AE2" i="18" s="1"/>
  <c r="AF2" i="18" s="1"/>
  <c r="AG2" i="18" s="1"/>
  <c r="AH2" i="18" s="1"/>
  <c r="AI2" i="18" s="1"/>
  <c r="AJ2" i="18" s="1"/>
  <c r="AK2" i="18" s="1"/>
  <c r="AL2" i="18" s="1"/>
  <c r="AM2" i="18" s="1"/>
  <c r="AN2" i="18" s="1"/>
  <c r="AO2" i="18" s="1"/>
  <c r="AP2" i="18" s="1"/>
  <c r="C7" i="18"/>
  <c r="C9" i="18"/>
  <c r="D9" i="18"/>
  <c r="E9" i="18"/>
  <c r="F9" i="18"/>
  <c r="G9" i="18"/>
  <c r="H9" i="18"/>
  <c r="I9" i="18"/>
  <c r="J9" i="18"/>
  <c r="K9" i="18"/>
  <c r="L9" i="18"/>
  <c r="M9" i="18"/>
  <c r="N9" i="18"/>
  <c r="O9" i="18"/>
  <c r="P9" i="18"/>
  <c r="Q9" i="18"/>
  <c r="R9" i="18"/>
  <c r="S9" i="18"/>
  <c r="T9" i="18"/>
  <c r="U9" i="18"/>
  <c r="V9" i="18"/>
  <c r="W9" i="18"/>
  <c r="X9" i="18"/>
  <c r="Y9" i="18"/>
  <c r="Z9" i="18"/>
  <c r="AA9" i="18"/>
  <c r="AB9" i="18"/>
  <c r="AC9" i="18"/>
  <c r="AD9" i="18"/>
  <c r="AE9" i="18"/>
  <c r="AF9" i="18"/>
  <c r="AG9" i="18"/>
  <c r="AH9" i="18"/>
  <c r="AI9" i="18"/>
  <c r="AJ9" i="18"/>
  <c r="AK9" i="18"/>
  <c r="AL9" i="18"/>
  <c r="AM9" i="18"/>
  <c r="AN9" i="18"/>
  <c r="H31" i="22"/>
  <c r="H61" i="22" s="1"/>
  <c r="I31" i="22"/>
  <c r="I61" i="22" s="1"/>
  <c r="J31" i="22"/>
  <c r="K31" i="22"/>
  <c r="K61" i="22" s="1"/>
  <c r="P31" i="22"/>
  <c r="P61" i="22" s="1"/>
  <c r="Q31" i="22"/>
  <c r="Q61" i="22" s="1"/>
  <c r="R31" i="22"/>
  <c r="R61" i="22" s="1"/>
  <c r="X31" i="22"/>
  <c r="X61" i="22" s="1"/>
  <c r="Y31" i="22"/>
  <c r="Y61" i="22" s="1"/>
  <c r="Z31" i="22"/>
  <c r="Z61" i="22" s="1"/>
  <c r="AA31" i="22"/>
  <c r="AC31" i="22"/>
  <c r="AC61" i="22" s="1"/>
  <c r="AD31" i="22"/>
  <c r="AD61" i="22" s="1"/>
  <c r="AF31" i="22"/>
  <c r="AF61" i="22" s="1"/>
  <c r="AG31" i="22"/>
  <c r="AH31" i="22"/>
  <c r="D28" i="22"/>
  <c r="D60" i="22" s="1"/>
  <c r="AQ4" i="21"/>
  <c r="I4" i="10"/>
  <c r="I6" i="10"/>
  <c r="I7" i="10"/>
  <c r="I8" i="10"/>
  <c r="I9" i="10"/>
  <c r="I10" i="10"/>
  <c r="AD28" i="10"/>
  <c r="AM2" i="23"/>
  <c r="F24" i="23"/>
  <c r="F22" i="23" s="1"/>
  <c r="O24" i="23"/>
  <c r="O22" i="23" s="1"/>
  <c r="V24" i="23"/>
  <c r="V22" i="23" s="1"/>
  <c r="AD24" i="23"/>
  <c r="AD22" i="23" s="1"/>
  <c r="A17" i="23"/>
  <c r="B21" i="23"/>
  <c r="G9" i="15" l="1"/>
  <c r="F9" i="15"/>
  <c r="E9" i="15"/>
  <c r="AD9" i="15"/>
  <c r="AC9" i="15"/>
  <c r="S9" i="15"/>
  <c r="AE9" i="15"/>
  <c r="R9" i="15"/>
  <c r="AL18" i="11"/>
  <c r="L77" i="11" s="1"/>
  <c r="AL10" i="11"/>
  <c r="L69" i="11" s="1"/>
  <c r="AA32" i="22"/>
  <c r="AA61" i="22"/>
  <c r="AH32" i="22"/>
  <c r="AH61" i="22"/>
  <c r="J32" i="22"/>
  <c r="J61" i="22"/>
  <c r="AG32" i="22"/>
  <c r="AG61" i="22"/>
  <c r="AF9" i="15"/>
  <c r="AF10" i="15" s="1"/>
  <c r="AG66" i="1" s="1"/>
  <c r="T9" i="15"/>
  <c r="T10" i="15" s="1"/>
  <c r="U66" i="1" s="1"/>
  <c r="H9" i="15"/>
  <c r="H10" i="15" s="1"/>
  <c r="I66" i="1" s="1"/>
  <c r="AB9" i="15"/>
  <c r="AB10" i="15" s="1"/>
  <c r="AC66" i="1" s="1"/>
  <c r="P9" i="15"/>
  <c r="P10" i="15" s="1"/>
  <c r="Q66" i="1" s="1"/>
  <c r="AM9" i="15"/>
  <c r="AM10" i="15" s="1"/>
  <c r="AN66" i="1" s="1"/>
  <c r="AA9" i="15"/>
  <c r="AA10" i="15" s="1"/>
  <c r="AB66" i="1" s="1"/>
  <c r="O9" i="15"/>
  <c r="O10" i="15" s="1"/>
  <c r="P66" i="1" s="1"/>
  <c r="AL9" i="15"/>
  <c r="AL10" i="15" s="1"/>
  <c r="AM66" i="1" s="1"/>
  <c r="Z9" i="15"/>
  <c r="Z10" i="15" s="1"/>
  <c r="AA66" i="1" s="1"/>
  <c r="N9" i="15"/>
  <c r="N10" i="15" s="1"/>
  <c r="O66" i="1" s="1"/>
  <c r="AK9" i="15"/>
  <c r="AK10" i="15" s="1"/>
  <c r="AL66" i="1" s="1"/>
  <c r="Y9" i="15"/>
  <c r="Y10" i="15" s="1"/>
  <c r="Z66" i="1" s="1"/>
  <c r="M9" i="15"/>
  <c r="M10" i="15" s="1"/>
  <c r="N66" i="1" s="1"/>
  <c r="AJ9" i="15"/>
  <c r="AJ10" i="15" s="1"/>
  <c r="AK66" i="1" s="1"/>
  <c r="X9" i="15"/>
  <c r="X10" i="15" s="1"/>
  <c r="Y66" i="1" s="1"/>
  <c r="L9" i="15"/>
  <c r="L10" i="15" s="1"/>
  <c r="M66" i="1" s="1"/>
  <c r="AI9" i="15"/>
  <c r="AI10" i="15" s="1"/>
  <c r="AJ66" i="1" s="1"/>
  <c r="W9" i="15"/>
  <c r="W10" i="15" s="1"/>
  <c r="X66" i="1" s="1"/>
  <c r="K9" i="15"/>
  <c r="K10" i="15" s="1"/>
  <c r="L66" i="1" s="1"/>
  <c r="AH9" i="15"/>
  <c r="AH10" i="15" s="1"/>
  <c r="AI66" i="1" s="1"/>
  <c r="V9" i="15"/>
  <c r="V10" i="15" s="1"/>
  <c r="W66" i="1" s="1"/>
  <c r="J9" i="15"/>
  <c r="J10" i="15" s="1"/>
  <c r="K66" i="1" s="1"/>
  <c r="AG9" i="15"/>
  <c r="AG10" i="15" s="1"/>
  <c r="AH66" i="1" s="1"/>
  <c r="U9" i="15"/>
  <c r="U10" i="15" s="1"/>
  <c r="V66" i="1" s="1"/>
  <c r="I9" i="15"/>
  <c r="I10" i="15" s="1"/>
  <c r="J66" i="1" s="1"/>
  <c r="AJ24" i="23"/>
  <c r="AJ22" i="23" s="1"/>
  <c r="AE24" i="23"/>
  <c r="AE22" i="23" s="1"/>
  <c r="AH24" i="23"/>
  <c r="AH22" i="23" s="1"/>
  <c r="AH23" i="23" s="1"/>
  <c r="AK24" i="23"/>
  <c r="AK22" i="23" s="1"/>
  <c r="AL24" i="23"/>
  <c r="AL22" i="23" s="1"/>
  <c r="AG24" i="23"/>
  <c r="AG22" i="23" s="1"/>
  <c r="H24" i="23"/>
  <c r="H22" i="23" s="1"/>
  <c r="G24" i="23"/>
  <c r="G22" i="23" s="1"/>
  <c r="Q10" i="15"/>
  <c r="R66" i="1" s="1"/>
  <c r="I32" i="22"/>
  <c r="H32" i="22"/>
  <c r="AC32" i="22"/>
  <c r="Q32" i="22"/>
  <c r="AA24" i="23"/>
  <c r="AA22" i="23" s="1"/>
  <c r="R32" i="22"/>
  <c r="Z24" i="23"/>
  <c r="Z22" i="23" s="1"/>
  <c r="AE10" i="15"/>
  <c r="AF66" i="1" s="1"/>
  <c r="G10" i="15"/>
  <c r="H66" i="1" s="1"/>
  <c r="X24" i="23"/>
  <c r="X25" i="23" s="1"/>
  <c r="W24" i="23"/>
  <c r="W22" i="23" s="1"/>
  <c r="U24" i="23"/>
  <c r="U22" i="23" s="1"/>
  <c r="T24" i="23"/>
  <c r="T22" i="23" s="1"/>
  <c r="S24" i="23"/>
  <c r="S22" i="23" s="1"/>
  <c r="S23" i="23" s="1"/>
  <c r="N24" i="23"/>
  <c r="N25" i="23" s="1"/>
  <c r="O25" i="23" s="1"/>
  <c r="AC24" i="23"/>
  <c r="R24" i="23"/>
  <c r="R22" i="23" s="1"/>
  <c r="AF24" i="23"/>
  <c r="AF22" i="23" s="1"/>
  <c r="P24" i="23"/>
  <c r="P22" i="23" s="1"/>
  <c r="Q24" i="23"/>
  <c r="Q22" i="23" s="1"/>
  <c r="L24" i="23"/>
  <c r="L22" i="23" s="1"/>
  <c r="K24" i="23"/>
  <c r="K22" i="23" s="1"/>
  <c r="Y24" i="23"/>
  <c r="Y22" i="23" s="1"/>
  <c r="AB24" i="23"/>
  <c r="AB22" i="23" s="1"/>
  <c r="J24" i="23"/>
  <c r="J22" i="23" s="1"/>
  <c r="M24" i="23"/>
  <c r="M22" i="23" s="1"/>
  <c r="I24" i="23"/>
  <c r="E24" i="23"/>
  <c r="E22" i="23" s="1"/>
  <c r="D24" i="23"/>
  <c r="X32" i="22"/>
  <c r="K32" i="22"/>
  <c r="Z32" i="22"/>
  <c r="R10" i="15"/>
  <c r="S66" i="1" s="1"/>
  <c r="AD10" i="15"/>
  <c r="AE66" i="1" s="1"/>
  <c r="F10" i="15"/>
  <c r="G66" i="1" s="1"/>
  <c r="AC10" i="15"/>
  <c r="AD66" i="1" s="1"/>
  <c r="E10" i="15"/>
  <c r="F66" i="1" s="1"/>
  <c r="S10" i="15"/>
  <c r="T66" i="1" s="1"/>
  <c r="D29" i="22"/>
  <c r="D30" i="22"/>
  <c r="W31" i="22"/>
  <c r="W61" i="22" s="1"/>
  <c r="G31" i="22"/>
  <c r="G61" i="22" s="1"/>
  <c r="AD32" i="22"/>
  <c r="AE31" i="22"/>
  <c r="AE61" i="22" s="1"/>
  <c r="O31" i="22"/>
  <c r="O61" i="22" s="1"/>
  <c r="V31" i="22"/>
  <c r="V61" i="22" s="1"/>
  <c r="N31" i="22"/>
  <c r="N61" i="22" s="1"/>
  <c r="F31" i="22"/>
  <c r="F61" i="22" s="1"/>
  <c r="T31" i="22"/>
  <c r="T61" i="22" s="1"/>
  <c r="AL31" i="22"/>
  <c r="AL61" i="22" s="1"/>
  <c r="AK31" i="22"/>
  <c r="AK61" i="22" s="1"/>
  <c r="E26" i="22"/>
  <c r="E59" i="22" s="1"/>
  <c r="E31" i="22"/>
  <c r="E61" i="22" s="1"/>
  <c r="AB31" i="22"/>
  <c r="AB61" i="22" s="1"/>
  <c r="Y32" i="22"/>
  <c r="M31" i="22"/>
  <c r="M61" i="22" s="1"/>
  <c r="L31" i="22"/>
  <c r="L61" i="22" s="1"/>
  <c r="P32" i="22"/>
  <c r="U31" i="22"/>
  <c r="U61" i="22" s="1"/>
  <c r="AJ31" i="22"/>
  <c r="AJ61" i="22" s="1"/>
  <c r="D24" i="22"/>
  <c r="D58" i="22" s="1"/>
  <c r="D31" i="22"/>
  <c r="D61" i="22" s="1"/>
  <c r="D26" i="22"/>
  <c r="D59" i="22" s="1"/>
  <c r="AF32" i="22"/>
  <c r="S31" i="22"/>
  <c r="S61" i="22" s="1"/>
  <c r="AI31" i="22"/>
  <c r="AI61" i="22" s="1"/>
  <c r="AE28" i="10"/>
  <c r="AI24" i="23"/>
  <c r="F20" i="14"/>
  <c r="G20" i="14"/>
  <c r="H20" i="14"/>
  <c r="I20" i="14"/>
  <c r="J20" i="14"/>
  <c r="K20" i="14"/>
  <c r="L20" i="14"/>
  <c r="M20" i="14"/>
  <c r="N20" i="14"/>
  <c r="O20" i="14"/>
  <c r="P20" i="14"/>
  <c r="Q20" i="14"/>
  <c r="R20" i="14"/>
  <c r="S20" i="14"/>
  <c r="T20" i="14"/>
  <c r="U20" i="14"/>
  <c r="V20" i="14"/>
  <c r="W20" i="14"/>
  <c r="X20" i="14"/>
  <c r="Y20" i="14"/>
  <c r="Z20" i="14"/>
  <c r="AA20" i="14"/>
  <c r="AB20" i="14"/>
  <c r="AC20" i="14"/>
  <c r="AD20" i="14"/>
  <c r="AE20" i="14"/>
  <c r="AF20" i="14"/>
  <c r="AG20" i="14"/>
  <c r="AH20" i="14"/>
  <c r="AI20" i="14"/>
  <c r="AJ20" i="14"/>
  <c r="AK20" i="14"/>
  <c r="AL20" i="14"/>
  <c r="AM20" i="14"/>
  <c r="E20" i="14"/>
  <c r="B83" i="7"/>
  <c r="B75" i="7"/>
  <c r="B67" i="7"/>
  <c r="B59" i="7"/>
  <c r="B51" i="7"/>
  <c r="B43" i="7"/>
  <c r="B35" i="7"/>
  <c r="AJ96" i="7"/>
  <c r="AK96" i="7"/>
  <c r="AL96" i="7"/>
  <c r="AJ97" i="7"/>
  <c r="AK97" i="7"/>
  <c r="AL97" i="7"/>
  <c r="X22" i="23" l="1"/>
  <c r="X23" i="23" s="1"/>
  <c r="Y23" i="23" s="1"/>
  <c r="Z23" i="23" s="1"/>
  <c r="AA23" i="23" s="1"/>
  <c r="AB23" i="23" s="1"/>
  <c r="AH25" i="23"/>
  <c r="AI25" i="23" s="1"/>
  <c r="AJ25" i="23" s="1"/>
  <c r="AK25" i="23" s="1"/>
  <c r="AL25" i="23" s="1"/>
  <c r="P25" i="23"/>
  <c r="Q25" i="23" s="1"/>
  <c r="R25" i="23" s="1"/>
  <c r="T23" i="23"/>
  <c r="U23" i="23" s="1"/>
  <c r="V23" i="23" s="1"/>
  <c r="W23" i="23" s="1"/>
  <c r="S25" i="23"/>
  <c r="T25" i="23" s="1"/>
  <c r="U25" i="23" s="1"/>
  <c r="V25" i="23" s="1"/>
  <c r="W25" i="23" s="1"/>
  <c r="N22" i="23"/>
  <c r="D22" i="23"/>
  <c r="D25" i="23"/>
  <c r="E25" i="23" s="1"/>
  <c r="F25" i="23" s="1"/>
  <c r="G25" i="23" s="1"/>
  <c r="H25" i="23" s="1"/>
  <c r="I25" i="23"/>
  <c r="J25" i="23" s="1"/>
  <c r="K25" i="23" s="1"/>
  <c r="L25" i="23" s="1"/>
  <c r="M25" i="23" s="1"/>
  <c r="I22" i="23"/>
  <c r="Y25" i="23"/>
  <c r="Z25" i="23" s="1"/>
  <c r="AA25" i="23" s="1"/>
  <c r="AB25" i="23" s="1"/>
  <c r="AC22" i="23"/>
  <c r="AC25" i="23"/>
  <c r="AD25" i="23" s="1"/>
  <c r="AE25" i="23" s="1"/>
  <c r="AF25" i="23" s="1"/>
  <c r="AG25" i="23" s="1"/>
  <c r="D33" i="22"/>
  <c r="G32" i="22"/>
  <c r="M32" i="22"/>
  <c r="E32" i="22"/>
  <c r="D32" i="22"/>
  <c r="E27" i="22"/>
  <c r="N32" i="22"/>
  <c r="AJ32" i="22"/>
  <c r="L32" i="22"/>
  <c r="T32" i="22"/>
  <c r="D25" i="22"/>
  <c r="O32" i="22"/>
  <c r="W32" i="22"/>
  <c r="AB32" i="22"/>
  <c r="U32" i="22"/>
  <c r="F32" i="22"/>
  <c r="AE32" i="22"/>
  <c r="D27" i="22"/>
  <c r="AI32" i="22"/>
  <c r="S32" i="22"/>
  <c r="AK32" i="22"/>
  <c r="AL32" i="22"/>
  <c r="V32" i="22"/>
  <c r="AF28" i="10"/>
  <c r="AI22" i="23"/>
  <c r="AI23" i="23" s="1"/>
  <c r="AJ23" i="23" s="1"/>
  <c r="AK23" i="23" s="1"/>
  <c r="AL23" i="23" s="1"/>
  <c r="AM24" i="23"/>
  <c r="D34" i="22" l="1"/>
  <c r="D62" i="22"/>
  <c r="N23" i="23"/>
  <c r="O23" i="23" s="1"/>
  <c r="P23" i="23" s="1"/>
  <c r="Q23" i="23" s="1"/>
  <c r="R23" i="23" s="1"/>
  <c r="AM25" i="23"/>
  <c r="I23" i="23"/>
  <c r="J23" i="23" s="1"/>
  <c r="K23" i="23" s="1"/>
  <c r="L23" i="23" s="1"/>
  <c r="M23" i="23" s="1"/>
  <c r="D23" i="23"/>
  <c r="E23" i="23" s="1"/>
  <c r="F23" i="23" s="1"/>
  <c r="G23" i="23" s="1"/>
  <c r="H23" i="23" s="1"/>
  <c r="AC23" i="23"/>
  <c r="AD23" i="23" s="1"/>
  <c r="AE23" i="23" s="1"/>
  <c r="AF23" i="23" s="1"/>
  <c r="AG23" i="23" s="1"/>
  <c r="AG28" i="10"/>
  <c r="AM22" i="23"/>
  <c r="D15" i="7"/>
  <c r="H15" i="7" s="1"/>
  <c r="AM23" i="23" l="1"/>
  <c r="AH28" i="10"/>
  <c r="N3" i="13"/>
  <c r="P3" i="13" s="1"/>
  <c r="N2" i="13"/>
  <c r="L3" i="13"/>
  <c r="M3" i="13"/>
  <c r="K3" i="13"/>
  <c r="P2" i="13" l="1"/>
  <c r="M19" i="13"/>
  <c r="Y19" i="13"/>
  <c r="AK19" i="13"/>
  <c r="O13" i="13"/>
  <c r="AA13" i="13"/>
  <c r="AM13" i="13"/>
  <c r="F13" i="13"/>
  <c r="H13" i="13"/>
  <c r="AJ13" i="13"/>
  <c r="K19" i="13"/>
  <c r="N19" i="13"/>
  <c r="Z19" i="13"/>
  <c r="AL19" i="13"/>
  <c r="P13" i="13"/>
  <c r="AB13" i="13"/>
  <c r="Q13" i="13"/>
  <c r="W13" i="13"/>
  <c r="Y13" i="13"/>
  <c r="O19" i="13"/>
  <c r="AA19" i="13"/>
  <c r="AM19" i="13"/>
  <c r="AC13" i="13"/>
  <c r="V19" i="13"/>
  <c r="AK13" i="13"/>
  <c r="P19" i="13"/>
  <c r="AB19" i="13"/>
  <c r="E19" i="13"/>
  <c r="R13" i="13"/>
  <c r="AD13" i="13"/>
  <c r="R19" i="13"/>
  <c r="AH19" i="13"/>
  <c r="M13" i="13"/>
  <c r="E13" i="13"/>
  <c r="Q19" i="13"/>
  <c r="AC19" i="13"/>
  <c r="G13" i="13"/>
  <c r="S13" i="13"/>
  <c r="AE13" i="13"/>
  <c r="AD19" i="13"/>
  <c r="AF13" i="13"/>
  <c r="L13" i="13"/>
  <c r="F19" i="13"/>
  <c r="T13" i="13"/>
  <c r="G19" i="13"/>
  <c r="S19" i="13"/>
  <c r="AE19" i="13"/>
  <c r="I13" i="13"/>
  <c r="U13" i="13"/>
  <c r="AG13" i="13"/>
  <c r="AH13" i="13"/>
  <c r="AG19" i="13"/>
  <c r="AI13" i="13"/>
  <c r="AI19" i="13"/>
  <c r="H19" i="13"/>
  <c r="T19" i="13"/>
  <c r="AF19" i="13"/>
  <c r="J13" i="13"/>
  <c r="V13" i="13"/>
  <c r="U19" i="13"/>
  <c r="K13" i="13"/>
  <c r="X13" i="13"/>
  <c r="W19" i="13"/>
  <c r="I19" i="13"/>
  <c r="J19" i="13"/>
  <c r="L19" i="13"/>
  <c r="X19" i="13"/>
  <c r="AJ19" i="13"/>
  <c r="N13" i="13"/>
  <c r="Z13" i="13"/>
  <c r="AL13" i="13"/>
  <c r="AI28" i="10"/>
  <c r="AJ28" i="10" l="1"/>
  <c r="AK28" i="10" l="1"/>
  <c r="M4" i="5"/>
  <c r="N4" i="5"/>
  <c r="M5" i="5"/>
  <c r="N5" i="5"/>
  <c r="M6" i="5"/>
  <c r="N6" i="5"/>
  <c r="M7" i="5"/>
  <c r="N7" i="5"/>
  <c r="M8" i="5"/>
  <c r="N8" i="5"/>
  <c r="M9" i="5"/>
  <c r="N9" i="5"/>
  <c r="M10" i="5"/>
  <c r="N10" i="5"/>
  <c r="M11" i="5"/>
  <c r="N11" i="5"/>
  <c r="M28" i="5"/>
  <c r="N28" i="5"/>
  <c r="M29" i="5"/>
  <c r="N29" i="5"/>
  <c r="M30" i="5"/>
  <c r="N30" i="5"/>
  <c r="M31" i="5"/>
  <c r="N31" i="5"/>
  <c r="M32" i="5"/>
  <c r="N32" i="5"/>
  <c r="M33" i="5"/>
  <c r="N33" i="5"/>
  <c r="M34" i="5"/>
  <c r="N34" i="5"/>
  <c r="M35" i="5"/>
  <c r="N35" i="5"/>
  <c r="M52" i="5"/>
  <c r="N52" i="5"/>
  <c r="M53" i="5"/>
  <c r="N53" i="5"/>
  <c r="M54" i="5"/>
  <c r="N54" i="5"/>
  <c r="M55" i="5"/>
  <c r="N55" i="5"/>
  <c r="M56" i="5"/>
  <c r="N56" i="5"/>
  <c r="M57" i="5"/>
  <c r="N57" i="5"/>
  <c r="M58" i="5"/>
  <c r="N58" i="5"/>
  <c r="M59" i="5"/>
  <c r="N59" i="5"/>
  <c r="M60" i="5"/>
  <c r="N60" i="5"/>
  <c r="M61" i="5"/>
  <c r="N61" i="5"/>
  <c r="M62" i="5"/>
  <c r="N62" i="5"/>
  <c r="M63" i="5"/>
  <c r="N63" i="5"/>
  <c r="M64" i="5"/>
  <c r="N64" i="5"/>
  <c r="M65" i="5"/>
  <c r="N65" i="5"/>
  <c r="M66" i="5"/>
  <c r="N66" i="5"/>
  <c r="M67" i="5"/>
  <c r="N67" i="5"/>
  <c r="M68" i="5"/>
  <c r="N68" i="5"/>
  <c r="M69" i="5"/>
  <c r="N69" i="5"/>
  <c r="M70" i="5"/>
  <c r="N70" i="5"/>
  <c r="M71" i="5"/>
  <c r="N71" i="5"/>
  <c r="M72" i="5"/>
  <c r="N72" i="5"/>
  <c r="M73" i="5"/>
  <c r="N73" i="5"/>
  <c r="M74" i="5"/>
  <c r="N74" i="5"/>
  <c r="M75" i="5"/>
  <c r="N75" i="5"/>
  <c r="M76" i="5"/>
  <c r="N76" i="5"/>
  <c r="M77" i="5"/>
  <c r="N77" i="5"/>
  <c r="M78" i="5"/>
  <c r="N78" i="5"/>
  <c r="M79" i="5"/>
  <c r="N79" i="5"/>
  <c r="M80" i="5"/>
  <c r="N80" i="5"/>
  <c r="M81" i="5"/>
  <c r="N81" i="5"/>
  <c r="M82" i="5"/>
  <c r="N82" i="5"/>
  <c r="N83" i="5"/>
  <c r="AL28" i="10" l="1"/>
  <c r="J76" i="5"/>
  <c r="I76" i="5"/>
  <c r="J68" i="5"/>
  <c r="I68" i="5"/>
  <c r="J60" i="5"/>
  <c r="I60" i="5"/>
  <c r="J52" i="5"/>
  <c r="I52" i="5"/>
  <c r="J28" i="5"/>
  <c r="I28" i="5"/>
  <c r="I4" i="5"/>
  <c r="J4" i="5"/>
  <c r="AI21" i="13" l="1"/>
  <c r="AJ21" i="13"/>
  <c r="AK21" i="13"/>
  <c r="AL21" i="13"/>
  <c r="AM21" i="13"/>
  <c r="D21" i="6" l="1"/>
  <c r="C3" i="19" s="1"/>
  <c r="AL34" i="6"/>
  <c r="AM34" i="6"/>
  <c r="AN34" i="6"/>
  <c r="AJ24" i="7"/>
  <c r="AK24" i="7"/>
  <c r="AL24" i="7"/>
  <c r="AJ10" i="13" l="1"/>
  <c r="AI10" i="13"/>
  <c r="AM16" i="13"/>
  <c r="AM10" i="13"/>
  <c r="AK10" i="13"/>
  <c r="AK16" i="13" l="1"/>
  <c r="AM27" i="13"/>
  <c r="AM28" i="13" s="1"/>
  <c r="AM29" i="13" s="1"/>
  <c r="AN29" i="13" s="1"/>
  <c r="AM14" i="14"/>
  <c r="AM16" i="14"/>
  <c r="AM17" i="14"/>
  <c r="AM18" i="14"/>
  <c r="AM13" i="14"/>
  <c r="AM15" i="14"/>
  <c r="AL10" i="13"/>
  <c r="AJ13" i="14"/>
  <c r="AJ14" i="14"/>
  <c r="AJ16" i="14"/>
  <c r="AJ15" i="14"/>
  <c r="AJ17" i="14"/>
  <c r="AJ18" i="14"/>
  <c r="AI16" i="13"/>
  <c r="AK14" i="14"/>
  <c r="AK13" i="14"/>
  <c r="AK16" i="14"/>
  <c r="AK17" i="14"/>
  <c r="AK15" i="14"/>
  <c r="AK18" i="14"/>
  <c r="AM20" i="13"/>
  <c r="AM24" i="13"/>
  <c r="AM25" i="13" s="1"/>
  <c r="AM26" i="13" s="1"/>
  <c r="AI16" i="14"/>
  <c r="AI15" i="14"/>
  <c r="AI17" i="14"/>
  <c r="AI18" i="14"/>
  <c r="AI13" i="14"/>
  <c r="AI14" i="14"/>
  <c r="AJ24" i="13"/>
  <c r="AJ25" i="13" s="1"/>
  <c r="AJ26" i="13" s="1"/>
  <c r="AM24" i="14"/>
  <c r="AM23" i="14"/>
  <c r="AK24" i="13"/>
  <c r="AK25" i="13" s="1"/>
  <c r="AK26" i="13" s="1"/>
  <c r="AJ16" i="13"/>
  <c r="AI24" i="13"/>
  <c r="AI25" i="13" s="1"/>
  <c r="AI26" i="13" s="1"/>
  <c r="J10" i="5"/>
  <c r="J7" i="6"/>
  <c r="J4" i="6"/>
  <c r="AO29" i="13" l="1"/>
  <c r="AM25" i="14"/>
  <c r="AM21" i="14"/>
  <c r="AJ21" i="14"/>
  <c r="AI21" i="14"/>
  <c r="AK21" i="14"/>
  <c r="AI20" i="13"/>
  <c r="AK20" i="13"/>
  <c r="AK27" i="13"/>
  <c r="AK28" i="13" s="1"/>
  <c r="AK29" i="13" s="1"/>
  <c r="AJ27" i="13"/>
  <c r="AJ28" i="13" s="1"/>
  <c r="AJ29" i="13" s="1"/>
  <c r="AK24" i="14"/>
  <c r="AK23" i="14"/>
  <c r="AL16" i="13"/>
  <c r="AJ20" i="13"/>
  <c r="AI27" i="13"/>
  <c r="AI28" i="13" s="1"/>
  <c r="AI29" i="13" s="1"/>
  <c r="AL24" i="13"/>
  <c r="AL25" i="13" s="1"/>
  <c r="AL26" i="13" s="1"/>
  <c r="AL23" i="14"/>
  <c r="AL24" i="14"/>
  <c r="AL13" i="14"/>
  <c r="AL16" i="14"/>
  <c r="AL18" i="14"/>
  <c r="AL17" i="14"/>
  <c r="AL15" i="14"/>
  <c r="AL14" i="14"/>
  <c r="AL21" i="14" l="1"/>
  <c r="AK25" i="14"/>
  <c r="AL25" i="14"/>
  <c r="AL20" i="13"/>
  <c r="AL27" i="13"/>
  <c r="AL28" i="13" s="1"/>
  <c r="AL29" i="13" s="1"/>
  <c r="AN7" i="19" l="1"/>
  <c r="J5" i="6" l="1"/>
  <c r="AN32" i="19" l="1"/>
  <c r="AK18" i="19" l="1"/>
  <c r="AL18" i="19"/>
  <c r="AL21" i="19"/>
  <c r="AM18" i="19"/>
  <c r="AM21" i="19"/>
  <c r="AI16" i="19" l="1"/>
  <c r="AL16" i="19"/>
  <c r="AM16" i="19"/>
  <c r="AK21" i="19"/>
  <c r="AI18" i="19"/>
  <c r="AI21" i="19"/>
  <c r="AJ21" i="19"/>
  <c r="AJ18" i="19"/>
  <c r="J6" i="6"/>
  <c r="J3" i="6"/>
  <c r="J2" i="6"/>
  <c r="H2" i="6"/>
  <c r="F21" i="13"/>
  <c r="G21" i="13"/>
  <c r="H21" i="13"/>
  <c r="I21" i="13"/>
  <c r="J21" i="13"/>
  <c r="K21" i="13"/>
  <c r="L21" i="13"/>
  <c r="M21" i="13"/>
  <c r="N21" i="13"/>
  <c r="O21" i="13"/>
  <c r="P21" i="13"/>
  <c r="Q21" i="13"/>
  <c r="R21" i="13"/>
  <c r="S21" i="13"/>
  <c r="T21" i="13"/>
  <c r="U21" i="13"/>
  <c r="V21" i="13"/>
  <c r="W21" i="13"/>
  <c r="X21" i="13"/>
  <c r="Y21" i="13"/>
  <c r="Z21" i="13"/>
  <c r="AA21" i="13"/>
  <c r="AB21" i="13"/>
  <c r="AC21" i="13"/>
  <c r="AD21" i="13"/>
  <c r="AE21" i="13"/>
  <c r="AF21" i="13"/>
  <c r="AG21" i="13"/>
  <c r="AH21" i="13"/>
  <c r="E21" i="13"/>
  <c r="AK16" i="19" l="1"/>
  <c r="AJ16" i="19"/>
  <c r="AK204" i="1"/>
  <c r="AG204" i="1"/>
  <c r="AJ204" i="1"/>
  <c r="AI204" i="1"/>
  <c r="AJ207" i="1"/>
  <c r="AG202" i="1"/>
  <c r="AJ202" i="1"/>
  <c r="AI202" i="1"/>
  <c r="AI207" i="1"/>
  <c r="AG207" i="1"/>
  <c r="AK207" i="1" l="1"/>
  <c r="AK202" i="1"/>
  <c r="AH207" i="1"/>
  <c r="AH202" i="1"/>
  <c r="AH204" i="1"/>
  <c r="AJ22" i="13" l="1"/>
  <c r="D1" i="11" l="1"/>
  <c r="AK61" i="1"/>
  <c r="F60" i="5"/>
  <c r="E28" i="29" s="1"/>
  <c r="K28" i="29" s="1"/>
  <c r="F28" i="5"/>
  <c r="E12" i="29" s="1"/>
  <c r="K12" i="29" s="1"/>
  <c r="F59" i="5"/>
  <c r="E27" i="29" s="1"/>
  <c r="K27" i="29" s="1"/>
  <c r="F52" i="5"/>
  <c r="E20" i="29" s="1"/>
  <c r="K20" i="29" s="1"/>
  <c r="F68" i="5"/>
  <c r="E36" i="29" s="1"/>
  <c r="K36" i="29" s="1"/>
  <c r="F4" i="5"/>
  <c r="E4" i="29" s="1"/>
  <c r="F76" i="5"/>
  <c r="E44" i="29" s="1"/>
  <c r="K44" i="29" s="1"/>
  <c r="AK22" i="13"/>
  <c r="AL61" i="1" s="1"/>
  <c r="AL22" i="13"/>
  <c r="AM61" i="1" s="1"/>
  <c r="AM22" i="13"/>
  <c r="AN61" i="1" s="1"/>
  <c r="AI22" i="13"/>
  <c r="K4" i="29" l="1"/>
  <c r="E1" i="11"/>
  <c r="E21" i="10"/>
  <c r="F21" i="10" s="1"/>
  <c r="G21" i="10" s="1"/>
  <c r="H21" i="10" s="1"/>
  <c r="I21" i="10" s="1"/>
  <c r="J21" i="10" s="1"/>
  <c r="K21" i="10" s="1"/>
  <c r="L21" i="10" s="1"/>
  <c r="M21" i="10" s="1"/>
  <c r="N21" i="10" s="1"/>
  <c r="O21" i="10" s="1"/>
  <c r="P21" i="10" s="1"/>
  <c r="Q21" i="10" s="1"/>
  <c r="R21" i="10" s="1"/>
  <c r="S21" i="10" s="1"/>
  <c r="T21" i="10" s="1"/>
  <c r="U21" i="10" s="1"/>
  <c r="V21" i="10" s="1"/>
  <c r="W21" i="10" s="1"/>
  <c r="X21" i="10" s="1"/>
  <c r="Y21" i="10" s="1"/>
  <c r="Z21" i="10" s="1"/>
  <c r="AA21" i="10" s="1"/>
  <c r="AB21" i="10" s="1"/>
  <c r="AC21" i="10" s="1"/>
  <c r="AD21" i="10" s="1"/>
  <c r="AE21" i="10" s="1"/>
  <c r="AF21" i="10" s="1"/>
  <c r="AG21" i="10" s="1"/>
  <c r="AH21" i="10" s="1"/>
  <c r="AI21" i="10" s="1"/>
  <c r="AJ21" i="10" s="1"/>
  <c r="AK21" i="10" s="1"/>
  <c r="AL21" i="10" s="1"/>
  <c r="AJ61" i="1"/>
  <c r="AM22" i="19"/>
  <c r="AK208" i="1"/>
  <c r="AL22" i="19"/>
  <c r="AJ208" i="1"/>
  <c r="AK22" i="19"/>
  <c r="AI208" i="1"/>
  <c r="AJ22" i="19"/>
  <c r="AH208" i="1"/>
  <c r="G68" i="5"/>
  <c r="F36" i="29" s="1"/>
  <c r="G76" i="5"/>
  <c r="F44" i="29" s="1"/>
  <c r="G52" i="5"/>
  <c r="F20" i="29" s="1"/>
  <c r="G4" i="5"/>
  <c r="F4" i="29" s="1"/>
  <c r="G28" i="5"/>
  <c r="F12" i="29" s="1"/>
  <c r="G60" i="5"/>
  <c r="F28" i="29" s="1"/>
  <c r="N16" i="13"/>
  <c r="F23" i="14"/>
  <c r="F24" i="14"/>
  <c r="F16" i="13"/>
  <c r="R16" i="13"/>
  <c r="T16" i="13"/>
  <c r="AD16" i="13"/>
  <c r="D45" i="11" l="1"/>
  <c r="C19" i="11"/>
  <c r="F1" i="11"/>
  <c r="F25" i="14"/>
  <c r="AI22" i="19"/>
  <c r="AG208" i="1"/>
  <c r="AI23" i="14"/>
  <c r="AI24" i="14"/>
  <c r="AJ23" i="14"/>
  <c r="AJ24" i="14"/>
  <c r="E10" i="13"/>
  <c r="F27" i="13"/>
  <c r="F28" i="13" s="1"/>
  <c r="F29" i="13" s="1"/>
  <c r="R27" i="13"/>
  <c r="R28" i="13" s="1"/>
  <c r="R29" i="13" s="1"/>
  <c r="AD27" i="13"/>
  <c r="AD28" i="13" s="1"/>
  <c r="AD29" i="13" s="1"/>
  <c r="N27" i="13"/>
  <c r="N28" i="13" s="1"/>
  <c r="N29" i="13" s="1"/>
  <c r="T27" i="13"/>
  <c r="T28" i="13" s="1"/>
  <c r="T29" i="13" s="1"/>
  <c r="R10" i="13"/>
  <c r="R13" i="14"/>
  <c r="AC16" i="13"/>
  <c r="M16" i="13"/>
  <c r="I16" i="13"/>
  <c r="M10" i="13"/>
  <c r="I10" i="13"/>
  <c r="AF23" i="14"/>
  <c r="AF24" i="14"/>
  <c r="X16" i="13"/>
  <c r="AG16" i="13"/>
  <c r="V24" i="14"/>
  <c r="V23" i="14"/>
  <c r="T23" i="14"/>
  <c r="T24" i="14"/>
  <c r="Y16" i="13"/>
  <c r="U16" i="13"/>
  <c r="Q16" i="13"/>
  <c r="V16" i="13"/>
  <c r="H23" i="14"/>
  <c r="H24" i="14"/>
  <c r="P24" i="14"/>
  <c r="P23" i="14"/>
  <c r="T10" i="13"/>
  <c r="U10" i="13"/>
  <c r="V10" i="13"/>
  <c r="F10" i="13"/>
  <c r="AH16" i="13"/>
  <c r="Z16" i="13"/>
  <c r="C45" i="11" l="1"/>
  <c r="C78" i="11"/>
  <c r="G1" i="11"/>
  <c r="P25" i="14"/>
  <c r="V25" i="14"/>
  <c r="AJ25" i="14"/>
  <c r="AF25" i="14"/>
  <c r="H25" i="14"/>
  <c r="AI25" i="14"/>
  <c r="T25" i="14"/>
  <c r="I21" i="19"/>
  <c r="I18" i="19"/>
  <c r="S18" i="19"/>
  <c r="S21" i="19"/>
  <c r="AC21" i="19"/>
  <c r="AC18" i="19"/>
  <c r="V21" i="19"/>
  <c r="V18" i="19"/>
  <c r="Y18" i="19"/>
  <c r="Y21" i="19"/>
  <c r="AD21" i="19"/>
  <c r="AD18" i="19"/>
  <c r="U21" i="19"/>
  <c r="U18" i="19"/>
  <c r="AH21" i="19"/>
  <c r="AH18" i="19"/>
  <c r="X18" i="19"/>
  <c r="X21" i="19"/>
  <c r="H21" i="19"/>
  <c r="H18" i="19"/>
  <c r="R21" i="19"/>
  <c r="R18" i="19"/>
  <c r="F21" i="19"/>
  <c r="F18" i="19"/>
  <c r="N18" i="19"/>
  <c r="N21" i="19"/>
  <c r="T21" i="19"/>
  <c r="T18" i="19"/>
  <c r="K18" i="19"/>
  <c r="K21" i="19"/>
  <c r="AG21" i="19"/>
  <c r="AG18" i="19"/>
  <c r="L18" i="19"/>
  <c r="L21" i="19"/>
  <c r="G21" i="19"/>
  <c r="G18" i="19"/>
  <c r="Q21" i="19"/>
  <c r="Q18" i="19"/>
  <c r="V24" i="13"/>
  <c r="V25" i="13" s="1"/>
  <c r="V26" i="13" s="1"/>
  <c r="T24" i="13"/>
  <c r="T25" i="13" s="1"/>
  <c r="T26" i="13" s="1"/>
  <c r="T22" i="13"/>
  <c r="U61" i="1" s="1"/>
  <c r="T22" i="19" s="1"/>
  <c r="M24" i="13"/>
  <c r="M25" i="13" s="1"/>
  <c r="M26" i="13" s="1"/>
  <c r="E24" i="13"/>
  <c r="E25" i="13" s="1"/>
  <c r="E26" i="13" s="1"/>
  <c r="F24" i="13"/>
  <c r="F25" i="13" s="1"/>
  <c r="F26" i="13" s="1"/>
  <c r="F22" i="13"/>
  <c r="G61" i="1" s="1"/>
  <c r="U24" i="13"/>
  <c r="U25" i="13" s="1"/>
  <c r="U26" i="13" s="1"/>
  <c r="I24" i="13"/>
  <c r="I25" i="13" s="1"/>
  <c r="I26" i="13" s="1"/>
  <c r="E13" i="14"/>
  <c r="J16" i="14"/>
  <c r="R20" i="13"/>
  <c r="R24" i="13"/>
  <c r="R25" i="13" s="1"/>
  <c r="R26" i="13" s="1"/>
  <c r="I27" i="13"/>
  <c r="I28" i="13" s="1"/>
  <c r="I29" i="13" s="1"/>
  <c r="M27" i="13"/>
  <c r="M28" i="13" s="1"/>
  <c r="M29" i="13" s="1"/>
  <c r="U27" i="13"/>
  <c r="U28" i="13" s="1"/>
  <c r="U29" i="13" s="1"/>
  <c r="Z27" i="13"/>
  <c r="Z28" i="13" s="1"/>
  <c r="Z29" i="13" s="1"/>
  <c r="V27" i="13"/>
  <c r="V28" i="13" s="1"/>
  <c r="V29" i="13" s="1"/>
  <c r="AC27" i="13"/>
  <c r="AC28" i="13" s="1"/>
  <c r="AC29" i="13" s="1"/>
  <c r="Y27" i="13"/>
  <c r="Y28" i="13" s="1"/>
  <c r="Y29" i="13" s="1"/>
  <c r="AG27" i="13"/>
  <c r="AG28" i="13" s="1"/>
  <c r="AG29" i="13" s="1"/>
  <c r="Q27" i="13"/>
  <c r="Q28" i="13" s="1"/>
  <c r="Q29" i="13" s="1"/>
  <c r="X27" i="13"/>
  <c r="X28" i="13" s="1"/>
  <c r="X29" i="13" s="1"/>
  <c r="AH27" i="13"/>
  <c r="AH28" i="13" s="1"/>
  <c r="AH29" i="13" s="1"/>
  <c r="R14" i="14"/>
  <c r="J10" i="13"/>
  <c r="G24" i="14"/>
  <c r="R22" i="13"/>
  <c r="S61" i="1" s="1"/>
  <c r="R15" i="14"/>
  <c r="R17" i="14"/>
  <c r="R16" i="14"/>
  <c r="R18" i="14"/>
  <c r="E24" i="14"/>
  <c r="E16" i="13"/>
  <c r="AE16" i="13"/>
  <c r="X23" i="14"/>
  <c r="X24" i="14"/>
  <c r="Z24" i="14"/>
  <c r="Z23" i="14"/>
  <c r="AF16" i="13"/>
  <c r="G10" i="13"/>
  <c r="O10" i="13"/>
  <c r="AB24" i="14"/>
  <c r="AB23" i="14"/>
  <c r="F13" i="14"/>
  <c r="F16" i="14"/>
  <c r="F17" i="14"/>
  <c r="F15" i="14"/>
  <c r="F14" i="14"/>
  <c r="F18" i="14"/>
  <c r="T20" i="13"/>
  <c r="AA24" i="14"/>
  <c r="AA23" i="14"/>
  <c r="M20" i="13"/>
  <c r="O24" i="14"/>
  <c r="O23" i="14"/>
  <c r="K16" i="13"/>
  <c r="L16" i="13"/>
  <c r="S16" i="13"/>
  <c r="J16" i="13"/>
  <c r="K10" i="13"/>
  <c r="S23" i="14"/>
  <c r="S24" i="14"/>
  <c r="M17" i="14"/>
  <c r="M18" i="14"/>
  <c r="M13" i="14"/>
  <c r="M16" i="14"/>
  <c r="M14" i="14"/>
  <c r="M15" i="14"/>
  <c r="L10" i="13"/>
  <c r="F20" i="13"/>
  <c r="V20" i="13"/>
  <c r="U20" i="13"/>
  <c r="Q10" i="13"/>
  <c r="I13" i="14"/>
  <c r="I14" i="14"/>
  <c r="I17" i="14"/>
  <c r="I18" i="14"/>
  <c r="I16" i="14"/>
  <c r="I15" i="14"/>
  <c r="AE23" i="14"/>
  <c r="AE24" i="14"/>
  <c r="G16" i="13"/>
  <c r="P16" i="13"/>
  <c r="P10" i="13"/>
  <c r="AA16" i="13"/>
  <c r="AB16" i="13"/>
  <c r="H16" i="13"/>
  <c r="W16" i="13"/>
  <c r="S10" i="13"/>
  <c r="N10" i="13"/>
  <c r="H10" i="13"/>
  <c r="X10" i="13"/>
  <c r="O16" i="13"/>
  <c r="W10" i="13"/>
  <c r="V17" i="14"/>
  <c r="V14" i="14"/>
  <c r="V15" i="14"/>
  <c r="V13" i="14"/>
  <c r="V18" i="14"/>
  <c r="V16" i="14"/>
  <c r="U18" i="14"/>
  <c r="U13" i="14"/>
  <c r="U16" i="14"/>
  <c r="U15" i="14"/>
  <c r="U14" i="14"/>
  <c r="U17" i="14"/>
  <c r="T13" i="14"/>
  <c r="T16" i="14"/>
  <c r="T17" i="14"/>
  <c r="T15" i="14"/>
  <c r="T14" i="14"/>
  <c r="T18" i="14"/>
  <c r="W23" i="14"/>
  <c r="W24" i="14"/>
  <c r="I20" i="13"/>
  <c r="K24" i="14"/>
  <c r="K23" i="14"/>
  <c r="E45" i="11" l="1"/>
  <c r="H1" i="11"/>
  <c r="X25" i="14"/>
  <c r="K25" i="14"/>
  <c r="O25" i="14"/>
  <c r="AB25" i="14"/>
  <c r="AA25" i="14"/>
  <c r="Z25" i="14"/>
  <c r="R21" i="14"/>
  <c r="M21" i="14"/>
  <c r="I21" i="14"/>
  <c r="F21" i="14"/>
  <c r="T21" i="14"/>
  <c r="S25" i="14"/>
  <c r="W25" i="14"/>
  <c r="AE25" i="14"/>
  <c r="U21" i="14"/>
  <c r="V21" i="14"/>
  <c r="R22" i="19"/>
  <c r="F22" i="19"/>
  <c r="O21" i="19"/>
  <c r="O18" i="19"/>
  <c r="L16" i="19"/>
  <c r="N16" i="19"/>
  <c r="AC16" i="19"/>
  <c r="S16" i="19"/>
  <c r="O16" i="19"/>
  <c r="AD16" i="19"/>
  <c r="V16" i="19"/>
  <c r="H16" i="19"/>
  <c r="AG16" i="19"/>
  <c r="Y16" i="19"/>
  <c r="R16" i="19"/>
  <c r="AH16" i="19"/>
  <c r="U16" i="19"/>
  <c r="F16" i="19"/>
  <c r="I16" i="19"/>
  <c r="K16" i="19"/>
  <c r="X16" i="19"/>
  <c r="Q16" i="19"/>
  <c r="G16" i="19"/>
  <c r="T16" i="19"/>
  <c r="AE21" i="19"/>
  <c r="AE18" i="19"/>
  <c r="AF21" i="19"/>
  <c r="AB18" i="19"/>
  <c r="AF18" i="19"/>
  <c r="AB21" i="19"/>
  <c r="W18" i="19"/>
  <c r="W21" i="19"/>
  <c r="Z21" i="19"/>
  <c r="E17" i="14"/>
  <c r="Z18" i="19"/>
  <c r="J21" i="19"/>
  <c r="J18" i="19"/>
  <c r="E18" i="19"/>
  <c r="E27" i="19"/>
  <c r="E21" i="19"/>
  <c r="AA18" i="19"/>
  <c r="AA21" i="19"/>
  <c r="M18" i="19"/>
  <c r="M21" i="19"/>
  <c r="P18" i="19"/>
  <c r="P21" i="19"/>
  <c r="Q24" i="13"/>
  <c r="Q25" i="13" s="1"/>
  <c r="Q26" i="13" s="1"/>
  <c r="Q22" i="13"/>
  <c r="O24" i="13"/>
  <c r="O25" i="13" s="1"/>
  <c r="O26" i="13" s="1"/>
  <c r="H24" i="13"/>
  <c r="H25" i="13" s="1"/>
  <c r="H26" i="13" s="1"/>
  <c r="S24" i="13"/>
  <c r="S25" i="13" s="1"/>
  <c r="S26" i="13" s="1"/>
  <c r="K24" i="13"/>
  <c r="K25" i="13" s="1"/>
  <c r="K26" i="13" s="1"/>
  <c r="X24" i="13"/>
  <c r="X25" i="13" s="1"/>
  <c r="X26" i="13" s="1"/>
  <c r="X22" i="13"/>
  <c r="Y61" i="1" s="1"/>
  <c r="N24" i="13"/>
  <c r="N25" i="13" s="1"/>
  <c r="N26" i="13" s="1"/>
  <c r="N22" i="13"/>
  <c r="O61" i="1" s="1"/>
  <c r="G24" i="13"/>
  <c r="G25" i="13" s="1"/>
  <c r="G26" i="13" s="1"/>
  <c r="W24" i="13"/>
  <c r="W25" i="13" s="1"/>
  <c r="W26" i="13" s="1"/>
  <c r="P24" i="13"/>
  <c r="P25" i="13" s="1"/>
  <c r="P26" i="13" s="1"/>
  <c r="L24" i="13"/>
  <c r="L25" i="13" s="1"/>
  <c r="L26" i="13" s="1"/>
  <c r="E14" i="14"/>
  <c r="E15" i="14"/>
  <c r="E18" i="14"/>
  <c r="M22" i="13"/>
  <c r="N61" i="1" s="1"/>
  <c r="E16" i="14"/>
  <c r="J15" i="14"/>
  <c r="U22" i="13"/>
  <c r="V61" i="1" s="1"/>
  <c r="J13" i="14"/>
  <c r="J18" i="14"/>
  <c r="J14" i="14"/>
  <c r="J17" i="14"/>
  <c r="V22" i="13"/>
  <c r="W61" i="1" s="1"/>
  <c r="I22" i="13"/>
  <c r="J61" i="1" s="1"/>
  <c r="J24" i="13"/>
  <c r="J25" i="13" s="1"/>
  <c r="J26" i="13" s="1"/>
  <c r="G27" i="13"/>
  <c r="G28" i="13" s="1"/>
  <c r="G29" i="13" s="1"/>
  <c r="E27" i="13"/>
  <c r="E28" i="13" s="1"/>
  <c r="E29" i="13" s="1"/>
  <c r="L27" i="13"/>
  <c r="L28" i="13" s="1"/>
  <c r="L29" i="13" s="1"/>
  <c r="K27" i="13"/>
  <c r="K28" i="13" s="1"/>
  <c r="K29" i="13" s="1"/>
  <c r="H27" i="13"/>
  <c r="H28" i="13" s="1"/>
  <c r="H29" i="13" s="1"/>
  <c r="J27" i="13"/>
  <c r="J28" i="13" s="1"/>
  <c r="J29" i="13" s="1"/>
  <c r="P27" i="13"/>
  <c r="P28" i="13" s="1"/>
  <c r="P29" i="13" s="1"/>
  <c r="AB27" i="13"/>
  <c r="AB28" i="13" s="1"/>
  <c r="AB29" i="13" s="1"/>
  <c r="AF27" i="13"/>
  <c r="AF28" i="13" s="1"/>
  <c r="AF29" i="13" s="1"/>
  <c r="O27" i="13"/>
  <c r="O28" i="13" s="1"/>
  <c r="O29" i="13" s="1"/>
  <c r="S27" i="13"/>
  <c r="S28" i="13" s="1"/>
  <c r="S29" i="13" s="1"/>
  <c r="AA27" i="13"/>
  <c r="AA28" i="13" s="1"/>
  <c r="AA29" i="13" s="1"/>
  <c r="AE27" i="13"/>
  <c r="AE28" i="13" s="1"/>
  <c r="AE29" i="13" s="1"/>
  <c r="W27" i="13"/>
  <c r="W28" i="13" s="1"/>
  <c r="W29" i="13" s="1"/>
  <c r="G23" i="14"/>
  <c r="G25" i="14" s="1"/>
  <c r="E23" i="14"/>
  <c r="E25" i="14" s="1"/>
  <c r="E20" i="13"/>
  <c r="J20" i="13"/>
  <c r="L24" i="14"/>
  <c r="L23" i="14"/>
  <c r="O20" i="13"/>
  <c r="AH23" i="14"/>
  <c r="AH24" i="14"/>
  <c r="Q23" i="14"/>
  <c r="Q24" i="14"/>
  <c r="X14" i="14"/>
  <c r="X13" i="14"/>
  <c r="X17" i="14"/>
  <c r="X18" i="14"/>
  <c r="X15" i="14"/>
  <c r="X16" i="14"/>
  <c r="H20" i="13"/>
  <c r="S18" i="14"/>
  <c r="S17" i="14"/>
  <c r="S15" i="14"/>
  <c r="S13" i="14"/>
  <c r="S14" i="14"/>
  <c r="S16" i="14"/>
  <c r="AC24" i="14"/>
  <c r="AC23" i="14"/>
  <c r="P16" i="14"/>
  <c r="P18" i="14"/>
  <c r="P15" i="14"/>
  <c r="P14" i="14"/>
  <c r="P13" i="14"/>
  <c r="P17" i="14"/>
  <c r="Q20" i="13"/>
  <c r="L20" i="13"/>
  <c r="K15" i="14"/>
  <c r="K18" i="14"/>
  <c r="K17" i="14"/>
  <c r="K14" i="14"/>
  <c r="K16" i="14"/>
  <c r="K13" i="14"/>
  <c r="M24" i="14"/>
  <c r="M23" i="14"/>
  <c r="G14" i="14"/>
  <c r="G16" i="14"/>
  <c r="G18" i="14"/>
  <c r="G17" i="14"/>
  <c r="G13" i="14"/>
  <c r="G15" i="14"/>
  <c r="AG23" i="14"/>
  <c r="AG24" i="14"/>
  <c r="Y24" i="14"/>
  <c r="Y23" i="14"/>
  <c r="Y10" i="13"/>
  <c r="W20" i="13"/>
  <c r="H16" i="14"/>
  <c r="H18" i="14"/>
  <c r="H17" i="14"/>
  <c r="H14" i="14"/>
  <c r="H13" i="14"/>
  <c r="H15" i="14"/>
  <c r="N20" i="13"/>
  <c r="AD23" i="14"/>
  <c r="AD24" i="14"/>
  <c r="I23" i="14"/>
  <c r="I24" i="14"/>
  <c r="L13" i="14"/>
  <c r="L15" i="14"/>
  <c r="L18" i="14"/>
  <c r="L17" i="14"/>
  <c r="L16" i="14"/>
  <c r="L14" i="14"/>
  <c r="N23" i="14"/>
  <c r="N24" i="14"/>
  <c r="O15" i="14"/>
  <c r="O14" i="14"/>
  <c r="O18" i="14"/>
  <c r="O16" i="14"/>
  <c r="O13" i="14"/>
  <c r="O17" i="14"/>
  <c r="X20" i="13"/>
  <c r="P20" i="13"/>
  <c r="W16" i="14"/>
  <c r="W17" i="14"/>
  <c r="W15" i="14"/>
  <c r="W14" i="14"/>
  <c r="W13" i="14"/>
  <c r="W18" i="14"/>
  <c r="N18" i="14"/>
  <c r="N15" i="14"/>
  <c r="N13" i="14"/>
  <c r="N16" i="14"/>
  <c r="N14" i="14"/>
  <c r="N17" i="14"/>
  <c r="S20" i="13"/>
  <c r="J24" i="14"/>
  <c r="J23" i="14"/>
  <c r="R23" i="14"/>
  <c r="R24" i="14"/>
  <c r="Q15" i="14"/>
  <c r="Q14" i="14"/>
  <c r="Q18" i="14"/>
  <c r="Q13" i="14"/>
  <c r="Q17" i="14"/>
  <c r="Q16" i="14"/>
  <c r="K20" i="13"/>
  <c r="U23" i="14"/>
  <c r="U24" i="14"/>
  <c r="G20" i="13"/>
  <c r="E38" i="13" l="1"/>
  <c r="F45" i="11"/>
  <c r="G45" i="11"/>
  <c r="I1" i="11"/>
  <c r="J25" i="14"/>
  <c r="AC25" i="14"/>
  <c r="E21" i="14"/>
  <c r="AH25" i="14"/>
  <c r="O21" i="14"/>
  <c r="Q21" i="14"/>
  <c r="M25" i="14"/>
  <c r="L25" i="14"/>
  <c r="Y25" i="14"/>
  <c r="R25" i="14"/>
  <c r="S21" i="14"/>
  <c r="Q25" i="14"/>
  <c r="AG25" i="14"/>
  <c r="X21" i="14"/>
  <c r="H21" i="14"/>
  <c r="G21" i="14"/>
  <c r="N25" i="14"/>
  <c r="U25" i="14"/>
  <c r="L21" i="14"/>
  <c r="P21" i="14"/>
  <c r="J21" i="14"/>
  <c r="N21" i="14"/>
  <c r="I25" i="14"/>
  <c r="K21" i="14"/>
  <c r="W21" i="14"/>
  <c r="AD25" i="14"/>
  <c r="M22" i="19"/>
  <c r="U22" i="19"/>
  <c r="N22" i="19"/>
  <c r="R61" i="1"/>
  <c r="I22" i="19"/>
  <c r="X22" i="19"/>
  <c r="V22" i="19"/>
  <c r="J16" i="19"/>
  <c r="Z16" i="19"/>
  <c r="E16" i="19"/>
  <c r="AB16" i="19"/>
  <c r="AA16" i="19"/>
  <c r="AE16" i="19"/>
  <c r="P16" i="19"/>
  <c r="M16" i="19"/>
  <c r="W16" i="19"/>
  <c r="AF16" i="19"/>
  <c r="Y24" i="13"/>
  <c r="Y25" i="13" s="1"/>
  <c r="Y26" i="13" s="1"/>
  <c r="Y22" i="13"/>
  <c r="Z61" i="1" s="1"/>
  <c r="AO60" i="1"/>
  <c r="AO55" i="1"/>
  <c r="AO57" i="1"/>
  <c r="G22" i="13"/>
  <c r="H61" i="1" s="1"/>
  <c r="O22" i="13"/>
  <c r="P61" i="1" s="1"/>
  <c r="H22" i="13"/>
  <c r="I61" i="1" s="1"/>
  <c r="L22" i="13"/>
  <c r="M61" i="1" s="1"/>
  <c r="P22" i="13"/>
  <c r="Q61" i="1" s="1"/>
  <c r="K22" i="13"/>
  <c r="W22" i="13"/>
  <c r="J22" i="13"/>
  <c r="K61" i="1" s="1"/>
  <c r="S22" i="13"/>
  <c r="T61" i="1" s="1"/>
  <c r="Y20" i="13"/>
  <c r="Z10" i="13"/>
  <c r="Y15" i="14"/>
  <c r="Y14" i="14"/>
  <c r="Y17" i="14"/>
  <c r="Y18" i="14"/>
  <c r="Y13" i="14"/>
  <c r="Y16" i="14"/>
  <c r="E49" i="11" l="1"/>
  <c r="J1" i="11"/>
  <c r="Y21" i="14"/>
  <c r="S22" i="19"/>
  <c r="O22" i="19"/>
  <c r="J22" i="19"/>
  <c r="X61" i="1"/>
  <c r="Q22" i="19"/>
  <c r="G22" i="19"/>
  <c r="L61" i="1"/>
  <c r="L22" i="19"/>
  <c r="P22" i="19"/>
  <c r="H22" i="19"/>
  <c r="Y22" i="19"/>
  <c r="Z24" i="13"/>
  <c r="Z25" i="13" s="1"/>
  <c r="Z26" i="13" s="1"/>
  <c r="Z22" i="13"/>
  <c r="AA61" i="1" s="1"/>
  <c r="AN21" i="19"/>
  <c r="AN16" i="19"/>
  <c r="AN18" i="19"/>
  <c r="AA10" i="13"/>
  <c r="Z17" i="14"/>
  <c r="Z13" i="14"/>
  <c r="Z15" i="14"/>
  <c r="Z14" i="14"/>
  <c r="Z16" i="14"/>
  <c r="Z18" i="14"/>
  <c r="Z20" i="13"/>
  <c r="H45" i="11" l="1"/>
  <c r="K1" i="11"/>
  <c r="Z21" i="14"/>
  <c r="W22" i="19"/>
  <c r="K22" i="19"/>
  <c r="Z22" i="19"/>
  <c r="AA24" i="13"/>
  <c r="AA25" i="13" s="1"/>
  <c r="AA26" i="13" s="1"/>
  <c r="AA22" i="13"/>
  <c r="AB61" i="1" s="1"/>
  <c r="AB10" i="13"/>
  <c r="AA14" i="14"/>
  <c r="AA16" i="14"/>
  <c r="AA17" i="14"/>
  <c r="AA15" i="14"/>
  <c r="AA18" i="14"/>
  <c r="AA13" i="14"/>
  <c r="AA20" i="13"/>
  <c r="I45" i="11" l="1"/>
  <c r="L1" i="11"/>
  <c r="AA21" i="14"/>
  <c r="AA22" i="19"/>
  <c r="AB24" i="13"/>
  <c r="AB25" i="13" s="1"/>
  <c r="AB26" i="13" s="1"/>
  <c r="AB22" i="13"/>
  <c r="AC61" i="1" s="1"/>
  <c r="AC10" i="13"/>
  <c r="AB20" i="13"/>
  <c r="AB13" i="14"/>
  <c r="AB18" i="14"/>
  <c r="AB16" i="14"/>
  <c r="AB14" i="14"/>
  <c r="AB17" i="14"/>
  <c r="AB15" i="14"/>
  <c r="H5" i="1"/>
  <c r="H3" i="6" s="1"/>
  <c r="J45" i="11" l="1"/>
  <c r="K45" i="11"/>
  <c r="M1" i="11"/>
  <c r="AB21" i="14"/>
  <c r="AB22" i="19"/>
  <c r="AC24" i="13"/>
  <c r="AC25" i="13" s="1"/>
  <c r="AC26" i="13" s="1"/>
  <c r="AC22" i="13"/>
  <c r="AD10" i="13"/>
  <c r="AC20" i="13"/>
  <c r="AC17" i="14"/>
  <c r="AC15" i="14"/>
  <c r="AC16" i="14"/>
  <c r="AC14" i="14"/>
  <c r="AC18" i="14"/>
  <c r="AC13" i="14"/>
  <c r="H7" i="1"/>
  <c r="H5" i="6" s="1"/>
  <c r="H8" i="1"/>
  <c r="AI24" i="7"/>
  <c r="AH24" i="7"/>
  <c r="AG24" i="7"/>
  <c r="AF24" i="7"/>
  <c r="AE24" i="7"/>
  <c r="AD24" i="7"/>
  <c r="AC24" i="7"/>
  <c r="AB24" i="7"/>
  <c r="AA24" i="7"/>
  <c r="Z24" i="7"/>
  <c r="Y24" i="7"/>
  <c r="X24" i="7"/>
  <c r="W24" i="7"/>
  <c r="V24" i="7"/>
  <c r="U24" i="7"/>
  <c r="E50" i="11" l="1"/>
  <c r="L45" i="11"/>
  <c r="N1" i="11"/>
  <c r="AC21" i="14"/>
  <c r="AD61" i="1"/>
  <c r="AD24" i="13"/>
  <c r="AD25" i="13" s="1"/>
  <c r="AD26" i="13" s="1"/>
  <c r="AD22" i="13"/>
  <c r="AE61" i="1" s="1"/>
  <c r="C55" i="6"/>
  <c r="H6" i="6"/>
  <c r="H8" i="8" s="1"/>
  <c r="AE10" i="13"/>
  <c r="AD17" i="14"/>
  <c r="AD14" i="14"/>
  <c r="AD16" i="14"/>
  <c r="AD15" i="14"/>
  <c r="AD13" i="14"/>
  <c r="AD18" i="14"/>
  <c r="AD20" i="13"/>
  <c r="L15" i="7"/>
  <c r="P15" i="7" s="1"/>
  <c r="T15" i="7" s="1"/>
  <c r="X15" i="7" s="1"/>
  <c r="AB15" i="7" s="1"/>
  <c r="AF15" i="7" s="1"/>
  <c r="AJ15" i="7" s="1"/>
  <c r="AF96" i="7"/>
  <c r="AG96" i="7"/>
  <c r="AI34" i="6" s="1"/>
  <c r="AH96" i="7"/>
  <c r="AI96" i="7"/>
  <c r="AF97" i="7"/>
  <c r="AG97" i="7"/>
  <c r="AH97" i="7"/>
  <c r="AI97" i="7"/>
  <c r="D102" i="7"/>
  <c r="E102" i="7"/>
  <c r="F102" i="7"/>
  <c r="G102" i="7"/>
  <c r="O1" i="11" l="1"/>
  <c r="AD21" i="14"/>
  <c r="AD22" i="19"/>
  <c r="AC22" i="19"/>
  <c r="H36" i="6"/>
  <c r="I36" i="6"/>
  <c r="G36" i="6"/>
  <c r="F36" i="6"/>
  <c r="AE24" i="13"/>
  <c r="AE25" i="13" s="1"/>
  <c r="AE26" i="13" s="1"/>
  <c r="AE22" i="13"/>
  <c r="AF61" i="1" s="1"/>
  <c r="AJ34" i="6"/>
  <c r="AK34" i="6"/>
  <c r="D2" i="6"/>
  <c r="C56" i="6"/>
  <c r="H7" i="6"/>
  <c r="AH34" i="6"/>
  <c r="AF10" i="13"/>
  <c r="AE20" i="13"/>
  <c r="AE18" i="14"/>
  <c r="AE17" i="14"/>
  <c r="AE16" i="14"/>
  <c r="AE13" i="14"/>
  <c r="AE14" i="14"/>
  <c r="AE15" i="14"/>
  <c r="M45" i="11" l="1"/>
  <c r="N45" i="11"/>
  <c r="P1" i="11"/>
  <c r="AE21" i="14"/>
  <c r="AE22" i="19"/>
  <c r="AF24" i="13"/>
  <c r="AF25" i="13" s="1"/>
  <c r="AF26" i="13" s="1"/>
  <c r="AF22" i="13"/>
  <c r="AG61" i="1" s="1"/>
  <c r="AG10" i="13"/>
  <c r="AH10" i="13"/>
  <c r="AF14" i="14"/>
  <c r="AF15" i="14"/>
  <c r="AF16" i="14"/>
  <c r="AF18" i="14"/>
  <c r="AF13" i="14"/>
  <c r="AF17" i="14"/>
  <c r="AF20" i="13"/>
  <c r="I5" i="5"/>
  <c r="J5" i="5"/>
  <c r="P4" i="5"/>
  <c r="S4" i="5"/>
  <c r="T4" i="5" s="1"/>
  <c r="F6" i="5"/>
  <c r="E6" i="29" s="1"/>
  <c r="K6" i="29" s="1"/>
  <c r="I6" i="5"/>
  <c r="J6" i="5"/>
  <c r="F7" i="5"/>
  <c r="E7" i="29" s="1"/>
  <c r="K7" i="29" s="1"/>
  <c r="I7" i="5"/>
  <c r="J7" i="5"/>
  <c r="I8" i="5"/>
  <c r="J8" i="5"/>
  <c r="F9" i="5"/>
  <c r="E9" i="29" s="1"/>
  <c r="K9" i="29" s="1"/>
  <c r="I9" i="5"/>
  <c r="J9" i="5"/>
  <c r="F10" i="5"/>
  <c r="E10" i="29" s="1"/>
  <c r="K10" i="29" s="1"/>
  <c r="I10" i="5"/>
  <c r="F11" i="5"/>
  <c r="E11" i="29" s="1"/>
  <c r="K11" i="29" s="1"/>
  <c r="F5" i="5"/>
  <c r="E5" i="29" s="1"/>
  <c r="F29" i="5"/>
  <c r="E13" i="29" s="1"/>
  <c r="K13" i="29" s="1"/>
  <c r="I29" i="5"/>
  <c r="J29" i="5"/>
  <c r="P28" i="5"/>
  <c r="S28" i="5"/>
  <c r="T28" i="5" s="1"/>
  <c r="F30" i="5"/>
  <c r="E14" i="29" s="1"/>
  <c r="K14" i="29" s="1"/>
  <c r="I30" i="5"/>
  <c r="J30" i="5"/>
  <c r="F31" i="5"/>
  <c r="E15" i="29" s="1"/>
  <c r="K15" i="29" s="1"/>
  <c r="I31" i="5"/>
  <c r="J31" i="5"/>
  <c r="F32" i="5"/>
  <c r="E16" i="29" s="1"/>
  <c r="K16" i="29" s="1"/>
  <c r="I32" i="5"/>
  <c r="J32" i="5"/>
  <c r="F33" i="5"/>
  <c r="E17" i="29" s="1"/>
  <c r="K17" i="29" s="1"/>
  <c r="I33" i="5"/>
  <c r="J33" i="5"/>
  <c r="F34" i="5"/>
  <c r="E18" i="29" s="1"/>
  <c r="K18" i="29" s="1"/>
  <c r="I34" i="5"/>
  <c r="J34" i="5"/>
  <c r="F35" i="5"/>
  <c r="E19" i="29" s="1"/>
  <c r="K19" i="29" s="1"/>
  <c r="F53" i="5"/>
  <c r="E21" i="29" s="1"/>
  <c r="K21" i="29" s="1"/>
  <c r="I53" i="5"/>
  <c r="J53" i="5"/>
  <c r="P52" i="5"/>
  <c r="S52" i="5"/>
  <c r="T52" i="5" s="1"/>
  <c r="F54" i="5"/>
  <c r="E22" i="29" s="1"/>
  <c r="K22" i="29" s="1"/>
  <c r="I54" i="5"/>
  <c r="J54" i="5"/>
  <c r="F55" i="5"/>
  <c r="E23" i="29" s="1"/>
  <c r="K23" i="29" s="1"/>
  <c r="I55" i="5"/>
  <c r="J55" i="5"/>
  <c r="F56" i="5"/>
  <c r="E24" i="29" s="1"/>
  <c r="K24" i="29" s="1"/>
  <c r="I56" i="5"/>
  <c r="J56" i="5"/>
  <c r="F57" i="5"/>
  <c r="E25" i="29" s="1"/>
  <c r="K25" i="29" s="1"/>
  <c r="I57" i="5"/>
  <c r="J57" i="5"/>
  <c r="F58" i="5"/>
  <c r="E26" i="29" s="1"/>
  <c r="K26" i="29" s="1"/>
  <c r="I58" i="5"/>
  <c r="J58" i="5"/>
  <c r="F61" i="5"/>
  <c r="E29" i="29" s="1"/>
  <c r="K29" i="29" s="1"/>
  <c r="I61" i="5"/>
  <c r="J61" i="5"/>
  <c r="P60" i="5"/>
  <c r="S60" i="5"/>
  <c r="T60" i="5" s="1"/>
  <c r="F62" i="5"/>
  <c r="E30" i="29" s="1"/>
  <c r="K30" i="29" s="1"/>
  <c r="I62" i="5"/>
  <c r="J62" i="5"/>
  <c r="F63" i="5"/>
  <c r="E31" i="29" s="1"/>
  <c r="K31" i="29" s="1"/>
  <c r="I63" i="5"/>
  <c r="J63" i="5"/>
  <c r="F64" i="5"/>
  <c r="E32" i="29" s="1"/>
  <c r="K32" i="29" s="1"/>
  <c r="I64" i="5"/>
  <c r="J64" i="5"/>
  <c r="F65" i="5"/>
  <c r="E33" i="29" s="1"/>
  <c r="K33" i="29" s="1"/>
  <c r="I65" i="5"/>
  <c r="J65" i="5"/>
  <c r="F66" i="5"/>
  <c r="E34" i="29" s="1"/>
  <c r="K34" i="29" s="1"/>
  <c r="I66" i="5"/>
  <c r="J66" i="5"/>
  <c r="F67" i="5"/>
  <c r="E35" i="29" s="1"/>
  <c r="K35" i="29" s="1"/>
  <c r="F69" i="5"/>
  <c r="E37" i="29" s="1"/>
  <c r="K37" i="29" s="1"/>
  <c r="I69" i="5"/>
  <c r="J69" i="5"/>
  <c r="P68" i="5"/>
  <c r="S68" i="5"/>
  <c r="T68" i="5" s="1"/>
  <c r="F70" i="5"/>
  <c r="E38" i="29" s="1"/>
  <c r="K38" i="29" s="1"/>
  <c r="I70" i="5"/>
  <c r="J70" i="5"/>
  <c r="F71" i="5"/>
  <c r="E39" i="29" s="1"/>
  <c r="K39" i="29" s="1"/>
  <c r="I71" i="5"/>
  <c r="J71" i="5"/>
  <c r="F72" i="5"/>
  <c r="E40" i="29" s="1"/>
  <c r="K40" i="29" s="1"/>
  <c r="I72" i="5"/>
  <c r="J72" i="5"/>
  <c r="F73" i="5"/>
  <c r="E41" i="29" s="1"/>
  <c r="K41" i="29" s="1"/>
  <c r="I73" i="5"/>
  <c r="J73" i="5"/>
  <c r="F74" i="5"/>
  <c r="E42" i="29" s="1"/>
  <c r="K42" i="29" s="1"/>
  <c r="I74" i="5"/>
  <c r="J74" i="5"/>
  <c r="F75" i="5"/>
  <c r="E43" i="29" s="1"/>
  <c r="K43" i="29" s="1"/>
  <c r="F77" i="5"/>
  <c r="E45" i="29" s="1"/>
  <c r="K45" i="29" s="1"/>
  <c r="I77" i="5"/>
  <c r="J77" i="5"/>
  <c r="P76" i="5"/>
  <c r="S76" i="5"/>
  <c r="T76" i="5" s="1"/>
  <c r="F78" i="5"/>
  <c r="E46" i="29" s="1"/>
  <c r="K46" i="29" s="1"/>
  <c r="I78" i="5"/>
  <c r="J78" i="5"/>
  <c r="F79" i="5"/>
  <c r="E47" i="29" s="1"/>
  <c r="K47" i="29" s="1"/>
  <c r="I79" i="5"/>
  <c r="J79" i="5"/>
  <c r="F80" i="5"/>
  <c r="E48" i="29" s="1"/>
  <c r="K48" i="29" s="1"/>
  <c r="I80" i="5"/>
  <c r="J80" i="5"/>
  <c r="F81" i="5"/>
  <c r="E49" i="29" s="1"/>
  <c r="K49" i="29" s="1"/>
  <c r="I81" i="5"/>
  <c r="J81" i="5"/>
  <c r="F82" i="5"/>
  <c r="E50" i="29" s="1"/>
  <c r="K50" i="29" s="1"/>
  <c r="I82" i="5"/>
  <c r="J82" i="5"/>
  <c r="F83" i="5"/>
  <c r="E51" i="29" s="1"/>
  <c r="K51" i="29" s="1"/>
  <c r="M83" i="5"/>
  <c r="O84" i="5"/>
  <c r="K5" i="29" l="1"/>
  <c r="O5" i="29"/>
  <c r="O45" i="29"/>
  <c r="O13" i="29"/>
  <c r="O14" i="29" s="1"/>
  <c r="O29" i="29"/>
  <c r="O21" i="29"/>
  <c r="O37" i="29"/>
  <c r="E51" i="11"/>
  <c r="O45" i="11"/>
  <c r="Q1" i="11"/>
  <c r="AF21" i="14"/>
  <c r="AF22" i="19"/>
  <c r="AG24" i="13"/>
  <c r="AG25" i="13" s="1"/>
  <c r="AG26" i="13" s="1"/>
  <c r="AG22" i="13"/>
  <c r="AH61" i="1" s="1"/>
  <c r="AH24" i="13"/>
  <c r="AH25" i="13" s="1"/>
  <c r="AH26" i="13" s="1"/>
  <c r="AH22" i="13"/>
  <c r="R79" i="5"/>
  <c r="R81" i="5"/>
  <c r="R83" i="5"/>
  <c r="R77" i="5"/>
  <c r="R78" i="5"/>
  <c r="R80" i="5"/>
  <c r="R82" i="5"/>
  <c r="R67" i="5"/>
  <c r="R63" i="5"/>
  <c r="R65" i="5"/>
  <c r="R61" i="5"/>
  <c r="R66" i="5"/>
  <c r="R62" i="5"/>
  <c r="R64" i="5"/>
  <c r="R57" i="5"/>
  <c r="R59" i="5"/>
  <c r="R54" i="5"/>
  <c r="R55" i="5"/>
  <c r="R56" i="5"/>
  <c r="R58" i="5"/>
  <c r="R53" i="5"/>
  <c r="R70" i="5"/>
  <c r="R72" i="5"/>
  <c r="R73" i="5"/>
  <c r="R74" i="5"/>
  <c r="R69" i="5"/>
  <c r="R71" i="5"/>
  <c r="R75" i="5"/>
  <c r="R35" i="5"/>
  <c r="R32" i="5"/>
  <c r="R30" i="5"/>
  <c r="R29" i="5"/>
  <c r="R31" i="5"/>
  <c r="R33" i="5"/>
  <c r="R34" i="5"/>
  <c r="R7" i="5"/>
  <c r="R5" i="5"/>
  <c r="R11" i="5"/>
  <c r="R9" i="5"/>
  <c r="R6" i="5"/>
  <c r="R8" i="5"/>
  <c r="R10" i="5"/>
  <c r="X60" i="5"/>
  <c r="X28" i="5"/>
  <c r="X68" i="5"/>
  <c r="V77" i="5"/>
  <c r="X76" i="5"/>
  <c r="X52" i="5"/>
  <c r="W57" i="5"/>
  <c r="W55" i="5"/>
  <c r="W58" i="5"/>
  <c r="W54" i="5"/>
  <c r="W56" i="5"/>
  <c r="W59" i="5"/>
  <c r="W53" i="5"/>
  <c r="W52" i="5"/>
  <c r="W74" i="5"/>
  <c r="W70" i="5"/>
  <c r="W68" i="5"/>
  <c r="W75" i="5"/>
  <c r="W71" i="5"/>
  <c r="W72" i="5"/>
  <c r="W73" i="5"/>
  <c r="W69" i="5"/>
  <c r="W64" i="5"/>
  <c r="W63" i="5"/>
  <c r="W66" i="5"/>
  <c r="W62" i="5"/>
  <c r="W67" i="5"/>
  <c r="W61" i="5"/>
  <c r="W60" i="5"/>
  <c r="W65" i="5"/>
  <c r="W7" i="5"/>
  <c r="W6" i="5"/>
  <c r="W33" i="5"/>
  <c r="W32" i="5"/>
  <c r="W34" i="5"/>
  <c r="W30" i="5"/>
  <c r="W28" i="5"/>
  <c r="W35" i="5"/>
  <c r="W31" i="5"/>
  <c r="W29" i="5"/>
  <c r="W76" i="5"/>
  <c r="W79" i="5"/>
  <c r="W82" i="5"/>
  <c r="W78" i="5"/>
  <c r="W80" i="5"/>
  <c r="W83" i="5"/>
  <c r="W81" i="5"/>
  <c r="W77" i="5"/>
  <c r="R68" i="5"/>
  <c r="V28" i="5"/>
  <c r="R28" i="5"/>
  <c r="V60" i="5"/>
  <c r="Q60" i="5"/>
  <c r="R60" i="5"/>
  <c r="U76" i="5"/>
  <c r="V76" i="5"/>
  <c r="Q76" i="5"/>
  <c r="R76" i="5"/>
  <c r="V52" i="5"/>
  <c r="V68" i="5"/>
  <c r="R52" i="5"/>
  <c r="R4" i="5"/>
  <c r="W4" i="5"/>
  <c r="V4" i="5"/>
  <c r="X4" i="5"/>
  <c r="AG20" i="13"/>
  <c r="AG13" i="14"/>
  <c r="AG14" i="14"/>
  <c r="AG16" i="14"/>
  <c r="AG17" i="14"/>
  <c r="AG18" i="14"/>
  <c r="AG15" i="14"/>
  <c r="AH14" i="14"/>
  <c r="AH18" i="14"/>
  <c r="AH13" i="14"/>
  <c r="AH16" i="14"/>
  <c r="AH17" i="14"/>
  <c r="AH15" i="14"/>
  <c r="AH20" i="13"/>
  <c r="Q4" i="5"/>
  <c r="V56" i="5"/>
  <c r="V82" i="5"/>
  <c r="Q52" i="5"/>
  <c r="Q28" i="5"/>
  <c r="V83" i="5"/>
  <c r="V78" i="5"/>
  <c r="U4" i="5"/>
  <c r="T84" i="5"/>
  <c r="V8" i="5"/>
  <c r="V10" i="5"/>
  <c r="V5" i="5"/>
  <c r="V34" i="5"/>
  <c r="V30" i="5"/>
  <c r="V80" i="5"/>
  <c r="V81" i="5"/>
  <c r="V79" i="5"/>
  <c r="G79" i="5"/>
  <c r="F47" i="29" s="1"/>
  <c r="V71" i="5"/>
  <c r="U68" i="5"/>
  <c r="V74" i="5"/>
  <c r="V70" i="5"/>
  <c r="V73" i="5"/>
  <c r="G65" i="5"/>
  <c r="F33" i="29" s="1"/>
  <c r="G29" i="5"/>
  <c r="F13" i="29" s="1"/>
  <c r="P13" i="29" s="1"/>
  <c r="G53" i="5"/>
  <c r="F21" i="29" s="1"/>
  <c r="P21" i="29" s="1"/>
  <c r="G56" i="5"/>
  <c r="F24" i="29" s="1"/>
  <c r="G77" i="5"/>
  <c r="F45" i="29" s="1"/>
  <c r="P45" i="29" s="1"/>
  <c r="G80" i="5"/>
  <c r="F48" i="29" s="1"/>
  <c r="G9" i="5"/>
  <c r="F9" i="29" s="1"/>
  <c r="G61" i="5"/>
  <c r="F29" i="29" s="1"/>
  <c r="P29" i="29" s="1"/>
  <c r="G64" i="5"/>
  <c r="F32" i="29" s="1"/>
  <c r="G69" i="5"/>
  <c r="F37" i="29" s="1"/>
  <c r="P37" i="29" s="1"/>
  <c r="G72" i="5"/>
  <c r="F40" i="29" s="1"/>
  <c r="G33" i="5"/>
  <c r="F17" i="29" s="1"/>
  <c r="G73" i="5"/>
  <c r="F41" i="29" s="1"/>
  <c r="G81" i="5"/>
  <c r="F49" i="29" s="1"/>
  <c r="G54" i="5"/>
  <c r="F22" i="29" s="1"/>
  <c r="V7" i="5"/>
  <c r="U60" i="5"/>
  <c r="V66" i="5"/>
  <c r="U52" i="5"/>
  <c r="V55" i="5"/>
  <c r="V32" i="5"/>
  <c r="G82" i="5"/>
  <c r="F50" i="29" s="1"/>
  <c r="V54" i="5"/>
  <c r="G57" i="5"/>
  <c r="F25" i="29" s="1"/>
  <c r="V75" i="5"/>
  <c r="Q68" i="5"/>
  <c r="G62" i="5"/>
  <c r="F30" i="29" s="1"/>
  <c r="G58" i="5"/>
  <c r="F26" i="29" s="1"/>
  <c r="V57" i="5"/>
  <c r="S84" i="5"/>
  <c r="U28" i="5"/>
  <c r="V29" i="5"/>
  <c r="P84" i="5"/>
  <c r="V11" i="5"/>
  <c r="G10" i="5"/>
  <c r="F10" i="29" s="1"/>
  <c r="G83" i="5"/>
  <c r="F51" i="29" s="1"/>
  <c r="G75" i="5"/>
  <c r="F43" i="29" s="1"/>
  <c r="V72" i="5"/>
  <c r="G71" i="5"/>
  <c r="F39" i="29" s="1"/>
  <c r="V69" i="5"/>
  <c r="G67" i="5"/>
  <c r="F35" i="29" s="1"/>
  <c r="V65" i="5"/>
  <c r="V64" i="5"/>
  <c r="V63" i="5"/>
  <c r="V62" i="5"/>
  <c r="V61" i="5"/>
  <c r="V58" i="5"/>
  <c r="V6" i="5"/>
  <c r="G70" i="5"/>
  <c r="F38" i="29" s="1"/>
  <c r="G66" i="5"/>
  <c r="F34" i="29" s="1"/>
  <c r="V59" i="5"/>
  <c r="G55" i="5"/>
  <c r="F23" i="29" s="1"/>
  <c r="G34" i="5"/>
  <c r="F18" i="29" s="1"/>
  <c r="V33" i="5"/>
  <c r="V31" i="5"/>
  <c r="G11" i="5"/>
  <c r="F11" i="29" s="1"/>
  <c r="G78" i="5"/>
  <c r="F46" i="29" s="1"/>
  <c r="G74" i="5"/>
  <c r="F42" i="29" s="1"/>
  <c r="V67" i="5"/>
  <c r="G63" i="5"/>
  <c r="F31" i="29" s="1"/>
  <c r="G59" i="5"/>
  <c r="F27" i="29" s="1"/>
  <c r="V53" i="5"/>
  <c r="G35" i="5"/>
  <c r="F19" i="29" s="1"/>
  <c r="G5" i="5"/>
  <c r="F5" i="29" s="1"/>
  <c r="P5" i="29" s="1"/>
  <c r="V35" i="5"/>
  <c r="G32" i="5"/>
  <c r="F16" i="29" s="1"/>
  <c r="G31" i="5"/>
  <c r="F15" i="29" s="1"/>
  <c r="G30" i="5"/>
  <c r="F14" i="29" s="1"/>
  <c r="V9" i="5"/>
  <c r="G7" i="5"/>
  <c r="F7" i="29" s="1"/>
  <c r="G6" i="5"/>
  <c r="F6" i="29" s="1"/>
  <c r="W5" i="5"/>
  <c r="F8" i="5"/>
  <c r="E8" i="29" s="1"/>
  <c r="K8" i="29" s="1"/>
  <c r="P22" i="29" l="1"/>
  <c r="P23" i="29" s="1"/>
  <c r="P24" i="29" s="1"/>
  <c r="P25" i="29" s="1"/>
  <c r="P26" i="29" s="1"/>
  <c r="P27" i="29" s="1"/>
  <c r="Q37" i="29"/>
  <c r="U37" i="29" s="1"/>
  <c r="V37" i="29" s="1"/>
  <c r="O38" i="29"/>
  <c r="O22" i="29"/>
  <c r="Q21" i="29"/>
  <c r="U21" i="29" s="1"/>
  <c r="V21" i="29" s="1"/>
  <c r="O30" i="29"/>
  <c r="Q29" i="29"/>
  <c r="U29" i="29" s="1"/>
  <c r="V29" i="29" s="1"/>
  <c r="P38" i="29"/>
  <c r="P39" i="29" s="1"/>
  <c r="P40" i="29" s="1"/>
  <c r="P41" i="29" s="1"/>
  <c r="P42" i="29" s="1"/>
  <c r="P43" i="29" s="1"/>
  <c r="O15" i="29"/>
  <c r="Q14" i="29"/>
  <c r="U14" i="29" s="1"/>
  <c r="V14" i="29" s="1"/>
  <c r="P30" i="29"/>
  <c r="P31" i="29" s="1"/>
  <c r="P32" i="29" s="1"/>
  <c r="P33" i="29" s="1"/>
  <c r="P34" i="29" s="1"/>
  <c r="Q13" i="29"/>
  <c r="U13" i="29" s="1"/>
  <c r="V13" i="29" s="1"/>
  <c r="P14" i="29"/>
  <c r="P15" i="29" s="1"/>
  <c r="P16" i="29" s="1"/>
  <c r="P17" i="29" s="1"/>
  <c r="P18" i="29" s="1"/>
  <c r="P19" i="29" s="1"/>
  <c r="O46" i="29"/>
  <c r="Q45" i="29"/>
  <c r="U45" i="29" s="1"/>
  <c r="V45" i="29" s="1"/>
  <c r="P46" i="29"/>
  <c r="P47" i="29" s="1"/>
  <c r="P48" i="29" s="1"/>
  <c r="P49" i="29" s="1"/>
  <c r="P50" i="29" s="1"/>
  <c r="P51" i="29" s="1"/>
  <c r="O6" i="29"/>
  <c r="Q5" i="29"/>
  <c r="U5" i="29" s="1"/>
  <c r="V5" i="29" s="1"/>
  <c r="P6" i="29"/>
  <c r="P7" i="29" s="1"/>
  <c r="AI61" i="1"/>
  <c r="AH22" i="19" s="1"/>
  <c r="E37" i="13"/>
  <c r="R1" i="11"/>
  <c r="AH21" i="14"/>
  <c r="AG21" i="14"/>
  <c r="AG22" i="19"/>
  <c r="G8" i="5"/>
  <c r="R84" i="5"/>
  <c r="X62" i="5"/>
  <c r="X53" i="5"/>
  <c r="X71" i="5"/>
  <c r="X5" i="5"/>
  <c r="W11" i="5"/>
  <c r="X33" i="5"/>
  <c r="X59" i="5"/>
  <c r="X83" i="5"/>
  <c r="X77" i="5"/>
  <c r="X30" i="5"/>
  <c r="X58" i="5"/>
  <c r="X54" i="5"/>
  <c r="X82" i="5"/>
  <c r="X79" i="5"/>
  <c r="X69" i="5"/>
  <c r="X72" i="5"/>
  <c r="X29" i="5"/>
  <c r="X32" i="5"/>
  <c r="X64" i="5"/>
  <c r="X65" i="5"/>
  <c r="W10" i="5"/>
  <c r="W9" i="5"/>
  <c r="X55" i="5"/>
  <c r="X57" i="5"/>
  <c r="X78" i="5"/>
  <c r="X81" i="5"/>
  <c r="X74" i="5"/>
  <c r="X70" i="5"/>
  <c r="X34" i="5"/>
  <c r="X35" i="5"/>
  <c r="X61" i="5"/>
  <c r="X67" i="5"/>
  <c r="W8" i="5"/>
  <c r="X56" i="5"/>
  <c r="X80" i="5"/>
  <c r="X75" i="5"/>
  <c r="X73" i="5"/>
  <c r="X31" i="5"/>
  <c r="X66" i="5"/>
  <c r="X63" i="5"/>
  <c r="X6" i="5"/>
  <c r="V84" i="5"/>
  <c r="Q84" i="5"/>
  <c r="U84" i="5"/>
  <c r="X7" i="5"/>
  <c r="P35" i="29" l="1"/>
  <c r="Q15" i="29"/>
  <c r="U15" i="29" s="1"/>
  <c r="V15" i="29" s="1"/>
  <c r="O16" i="29"/>
  <c r="Q30" i="29"/>
  <c r="U30" i="29" s="1"/>
  <c r="V30" i="29" s="1"/>
  <c r="O31" i="29"/>
  <c r="O7" i="29"/>
  <c r="Q6" i="29"/>
  <c r="U6" i="29" s="1"/>
  <c r="V6" i="29" s="1"/>
  <c r="O23" i="29"/>
  <c r="Q22" i="29"/>
  <c r="U22" i="29" s="1"/>
  <c r="V22" i="29" s="1"/>
  <c r="O39" i="29"/>
  <c r="Q38" i="29"/>
  <c r="U38" i="29" s="1"/>
  <c r="V38" i="29" s="1"/>
  <c r="O47" i="29"/>
  <c r="Q46" i="29"/>
  <c r="U46" i="29" s="1"/>
  <c r="V46" i="29" s="1"/>
  <c r="X11" i="5"/>
  <c r="F8" i="29"/>
  <c r="P8" i="29" s="1"/>
  <c r="P9" i="29" s="1"/>
  <c r="P10" i="29" s="1"/>
  <c r="P11" i="29" s="1"/>
  <c r="P45" i="11"/>
  <c r="S1" i="11"/>
  <c r="X9" i="5"/>
  <c r="X8" i="5"/>
  <c r="X10" i="5"/>
  <c r="W84" i="5"/>
  <c r="O48" i="29" l="1"/>
  <c r="Q47" i="29"/>
  <c r="U47" i="29" s="1"/>
  <c r="V47" i="29" s="1"/>
  <c r="Q23" i="29"/>
  <c r="U23" i="29" s="1"/>
  <c r="V23" i="29" s="1"/>
  <c r="O24" i="29"/>
  <c r="Q7" i="29"/>
  <c r="U7" i="29" s="1"/>
  <c r="V7" i="29" s="1"/>
  <c r="O8" i="29"/>
  <c r="O40" i="29"/>
  <c r="Q39" i="29"/>
  <c r="U39" i="29" s="1"/>
  <c r="V39" i="29" s="1"/>
  <c r="O32" i="29"/>
  <c r="Q31" i="29"/>
  <c r="U31" i="29" s="1"/>
  <c r="V31" i="29" s="1"/>
  <c r="O17" i="29"/>
  <c r="Q16" i="29"/>
  <c r="U16" i="29" s="1"/>
  <c r="V16" i="29" s="1"/>
  <c r="Q45" i="11"/>
  <c r="T1" i="11"/>
  <c r="Y89" i="5"/>
  <c r="J13" i="1" s="1"/>
  <c r="X84" i="5"/>
  <c r="W86" i="5" s="1"/>
  <c r="Q17" i="29" l="1"/>
  <c r="U17" i="29" s="1"/>
  <c r="V17" i="29" s="1"/>
  <c r="O18" i="29"/>
  <c r="O33" i="29"/>
  <c r="Q32" i="29"/>
  <c r="U32" i="29" s="1"/>
  <c r="V32" i="29" s="1"/>
  <c r="O41" i="29"/>
  <c r="Q40" i="29"/>
  <c r="U40" i="29" s="1"/>
  <c r="V40" i="29" s="1"/>
  <c r="O9" i="29"/>
  <c r="Q8" i="29"/>
  <c r="U8" i="29" s="1"/>
  <c r="V8" i="29" s="1"/>
  <c r="Q24" i="29"/>
  <c r="U24" i="29" s="1"/>
  <c r="V24" i="29" s="1"/>
  <c r="O25" i="29"/>
  <c r="O49" i="29"/>
  <c r="Q48" i="29"/>
  <c r="U48" i="29" s="1"/>
  <c r="V48" i="29" s="1"/>
  <c r="Y15" i="5"/>
  <c r="Y19" i="5"/>
  <c r="Y24" i="5"/>
  <c r="Y16" i="5"/>
  <c r="Y20" i="5"/>
  <c r="Y22" i="5"/>
  <c r="Y27" i="5"/>
  <c r="Y18" i="5"/>
  <c r="Y12" i="5"/>
  <c r="Y23" i="5"/>
  <c r="Y14" i="5"/>
  <c r="Y21" i="5"/>
  <c r="Y25" i="5"/>
  <c r="Y26" i="5"/>
  <c r="Y17" i="5"/>
  <c r="Y13" i="5"/>
  <c r="Y40" i="5"/>
  <c r="Y43" i="5"/>
  <c r="Y37" i="5"/>
  <c r="Y51" i="5"/>
  <c r="Y48" i="5"/>
  <c r="Y50" i="5"/>
  <c r="Y38" i="5"/>
  <c r="Y45" i="5"/>
  <c r="Y46" i="5"/>
  <c r="Y39" i="5"/>
  <c r="Y36" i="5"/>
  <c r="Y41" i="5"/>
  <c r="Y49" i="5"/>
  <c r="Y42" i="5"/>
  <c r="Y44" i="5"/>
  <c r="Y47" i="5"/>
  <c r="M28" i="1"/>
  <c r="M29" i="1" s="1"/>
  <c r="M30" i="1" s="1"/>
  <c r="Y28" i="1"/>
  <c r="Y29" i="1" s="1"/>
  <c r="Y30" i="1" s="1"/>
  <c r="AK28" i="1"/>
  <c r="AK29" i="1" s="1"/>
  <c r="AK30" i="1" s="1"/>
  <c r="AG28" i="1"/>
  <c r="N28" i="1"/>
  <c r="N29" i="1" s="1"/>
  <c r="N30" i="1" s="1"/>
  <c r="Z28" i="1"/>
  <c r="AL28" i="1"/>
  <c r="U28" i="1"/>
  <c r="O28" i="1"/>
  <c r="AA28" i="1"/>
  <c r="AM28" i="1"/>
  <c r="I28" i="1"/>
  <c r="P28" i="1"/>
  <c r="AB28" i="1"/>
  <c r="AN28" i="1"/>
  <c r="Q28" i="1"/>
  <c r="Q29" i="1" s="1"/>
  <c r="Q30" i="1" s="1"/>
  <c r="AC28" i="1"/>
  <c r="AC29" i="1" s="1"/>
  <c r="AC30" i="1" s="1"/>
  <c r="R28" i="1"/>
  <c r="AD28" i="1"/>
  <c r="G28" i="1"/>
  <c r="S28" i="1"/>
  <c r="S29" i="1" s="1"/>
  <c r="S30" i="1" s="1"/>
  <c r="AE28" i="1"/>
  <c r="AE29" i="1" s="1"/>
  <c r="AE30" i="1" s="1"/>
  <c r="H28" i="1"/>
  <c r="T28" i="1"/>
  <c r="AF28" i="1"/>
  <c r="J28" i="1"/>
  <c r="V28" i="1"/>
  <c r="AH28" i="1"/>
  <c r="X28" i="1"/>
  <c r="K28" i="1"/>
  <c r="W28" i="1"/>
  <c r="AI28" i="1"/>
  <c r="L28" i="1"/>
  <c r="AJ28" i="1"/>
  <c r="F28" i="1"/>
  <c r="R45" i="11"/>
  <c r="E52" i="11" s="1"/>
  <c r="U1" i="11"/>
  <c r="D3" i="8"/>
  <c r="Y86" i="5"/>
  <c r="Y28" i="5"/>
  <c r="Z89" i="5"/>
  <c r="Y90" i="5" s="1"/>
  <c r="J14" i="1" s="1"/>
  <c r="Y54" i="5"/>
  <c r="Y63" i="5"/>
  <c r="Y71" i="5"/>
  <c r="Y58" i="5"/>
  <c r="Y78" i="5"/>
  <c r="Q25" i="29" l="1"/>
  <c r="U25" i="29" s="1"/>
  <c r="V25" i="29" s="1"/>
  <c r="O26" i="29"/>
  <c r="Q9" i="29"/>
  <c r="U9" i="29" s="1"/>
  <c r="V9" i="29" s="1"/>
  <c r="O10" i="29"/>
  <c r="Q49" i="29"/>
  <c r="U49" i="29" s="1"/>
  <c r="V49" i="29" s="1"/>
  <c r="O50" i="29"/>
  <c r="Q41" i="29"/>
  <c r="U41" i="29" s="1"/>
  <c r="V41" i="29" s="1"/>
  <c r="O42" i="29"/>
  <c r="Q33" i="29"/>
  <c r="U33" i="29" s="1"/>
  <c r="V33" i="29" s="1"/>
  <c r="O34" i="29"/>
  <c r="Q18" i="29"/>
  <c r="U18" i="29" s="1"/>
  <c r="V18" i="29" s="1"/>
  <c r="O19" i="29"/>
  <c r="Q19" i="29" s="1"/>
  <c r="U19" i="29" s="1"/>
  <c r="V19" i="29" s="1"/>
  <c r="Z12" i="5"/>
  <c r="Z44" i="5"/>
  <c r="Z20" i="5"/>
  <c r="Z36" i="5"/>
  <c r="I29" i="1"/>
  <c r="I30" i="1" s="1"/>
  <c r="AA29" i="1"/>
  <c r="AA30" i="1" s="1"/>
  <c r="T29" i="1"/>
  <c r="T30" i="1" s="1"/>
  <c r="O29" i="1"/>
  <c r="O30" i="1" s="1"/>
  <c r="AI29" i="1"/>
  <c r="AI30" i="1" s="1"/>
  <c r="G29" i="1"/>
  <c r="G30" i="1" s="1"/>
  <c r="U29" i="1"/>
  <c r="U30" i="1" s="1"/>
  <c r="L29" i="1"/>
  <c r="L30" i="1" s="1"/>
  <c r="AD29" i="1"/>
  <c r="AD30" i="1" s="1"/>
  <c r="AL29" i="1"/>
  <c r="AL30" i="1" s="1"/>
  <c r="H29" i="1"/>
  <c r="H30" i="1" s="1"/>
  <c r="K29" i="1"/>
  <c r="K30" i="1" s="1"/>
  <c r="R29" i="1"/>
  <c r="R30" i="1" s="1"/>
  <c r="Z29" i="1"/>
  <c r="Z30" i="1" s="1"/>
  <c r="X29" i="1"/>
  <c r="X30" i="1" s="1"/>
  <c r="AH29" i="1"/>
  <c r="AH30" i="1" s="1"/>
  <c r="AG29" i="1"/>
  <c r="AG30" i="1" s="1"/>
  <c r="AM29" i="1"/>
  <c r="AM30" i="1" s="1"/>
  <c r="V29" i="1"/>
  <c r="V30" i="1" s="1"/>
  <c r="AN29" i="1"/>
  <c r="AN30" i="1" s="1"/>
  <c r="J29" i="1"/>
  <c r="J30" i="1" s="1"/>
  <c r="AB29" i="1"/>
  <c r="AB30" i="1" s="1"/>
  <c r="AJ29" i="1"/>
  <c r="AJ30" i="1" s="1"/>
  <c r="W29" i="1"/>
  <c r="W30" i="1" s="1"/>
  <c r="F35" i="1"/>
  <c r="G35" i="1"/>
  <c r="S35" i="1"/>
  <c r="S36" i="1" s="1"/>
  <c r="S37" i="1" s="1"/>
  <c r="AE35" i="1"/>
  <c r="AE36" i="1" s="1"/>
  <c r="AE37" i="1" s="1"/>
  <c r="H35" i="1"/>
  <c r="H36" i="1" s="1"/>
  <c r="H37" i="1" s="1"/>
  <c r="T35" i="1"/>
  <c r="T36" i="1" s="1"/>
  <c r="T37" i="1" s="1"/>
  <c r="AF35" i="1"/>
  <c r="AF36" i="1" s="1"/>
  <c r="AF37" i="1" s="1"/>
  <c r="I35" i="1"/>
  <c r="U35" i="1"/>
  <c r="AG35" i="1"/>
  <c r="J35" i="1"/>
  <c r="V35" i="1"/>
  <c r="AH35" i="1"/>
  <c r="K35" i="1"/>
  <c r="W35" i="1"/>
  <c r="W36" i="1" s="1"/>
  <c r="W37" i="1" s="1"/>
  <c r="AI35" i="1"/>
  <c r="L35" i="1"/>
  <c r="L36" i="1" s="1"/>
  <c r="L37" i="1" s="1"/>
  <c r="X35" i="1"/>
  <c r="X36" i="1" s="1"/>
  <c r="X37" i="1" s="1"/>
  <c r="AJ35" i="1"/>
  <c r="AJ36" i="1" s="1"/>
  <c r="AJ37" i="1" s="1"/>
  <c r="AM35" i="1"/>
  <c r="M35" i="1"/>
  <c r="M36" i="1" s="1"/>
  <c r="M37" i="1" s="1"/>
  <c r="Y35" i="1"/>
  <c r="Y36" i="1" s="1"/>
  <c r="Y37" i="1" s="1"/>
  <c r="AK35" i="1"/>
  <c r="AK36" i="1" s="1"/>
  <c r="AK37" i="1" s="1"/>
  <c r="AA35" i="1"/>
  <c r="N35" i="1"/>
  <c r="Z35" i="1"/>
  <c r="AL35" i="1"/>
  <c r="O35" i="1"/>
  <c r="O36" i="1" s="1"/>
  <c r="O37" i="1" s="1"/>
  <c r="P35" i="1"/>
  <c r="AB35" i="1"/>
  <c r="AN35" i="1"/>
  <c r="R35" i="1"/>
  <c r="R36" i="1" s="1"/>
  <c r="R37" i="1" s="1"/>
  <c r="Q35" i="1"/>
  <c r="AC35" i="1"/>
  <c r="AD35" i="1"/>
  <c r="AD36" i="1" s="1"/>
  <c r="AD37" i="1" s="1"/>
  <c r="AF29" i="1"/>
  <c r="AF30" i="1" s="1"/>
  <c r="P29" i="1"/>
  <c r="P30" i="1" s="1"/>
  <c r="S45" i="11"/>
  <c r="T45" i="11"/>
  <c r="V1" i="11"/>
  <c r="Y9" i="5"/>
  <c r="Y52" i="5"/>
  <c r="Y76" i="5"/>
  <c r="Y31" i="5"/>
  <c r="Y53" i="5"/>
  <c r="Y10" i="5"/>
  <c r="Y72" i="5"/>
  <c r="Y79" i="5"/>
  <c r="Y64" i="5"/>
  <c r="Y83" i="5"/>
  <c r="Y7" i="5"/>
  <c r="Y6" i="5"/>
  <c r="Y74" i="5"/>
  <c r="Y68" i="5"/>
  <c r="Y61" i="5"/>
  <c r="Y8" i="5"/>
  <c r="Y81" i="5"/>
  <c r="Y65" i="5"/>
  <c r="Y66" i="5"/>
  <c r="Y35" i="5"/>
  <c r="Y59" i="5"/>
  <c r="Y82" i="5"/>
  <c r="Y4" i="5"/>
  <c r="Y60" i="5"/>
  <c r="Y75" i="5"/>
  <c r="Y62" i="5"/>
  <c r="Y32" i="5"/>
  <c r="Y80" i="5"/>
  <c r="Y11" i="5"/>
  <c r="Y70" i="5"/>
  <c r="Y57" i="5"/>
  <c r="Y69" i="5"/>
  <c r="Y5" i="5"/>
  <c r="Y33" i="5"/>
  <c r="Y29" i="5"/>
  <c r="Y67" i="5"/>
  <c r="Y34" i="5"/>
  <c r="Y77" i="5"/>
  <c r="Y30" i="5"/>
  <c r="Y56" i="5"/>
  <c r="Y73" i="5"/>
  <c r="Y55" i="5"/>
  <c r="H3" i="8"/>
  <c r="Q42" i="29" l="1"/>
  <c r="U42" i="29" s="1"/>
  <c r="V42" i="29" s="1"/>
  <c r="O43" i="29"/>
  <c r="Q43" i="29" s="1"/>
  <c r="U43" i="29" s="1"/>
  <c r="V43" i="29" s="1"/>
  <c r="Q50" i="29"/>
  <c r="U50" i="29" s="1"/>
  <c r="V50" i="29" s="1"/>
  <c r="O51" i="29"/>
  <c r="Q51" i="29" s="1"/>
  <c r="U51" i="29" s="1"/>
  <c r="V51" i="29" s="1"/>
  <c r="O11" i="29"/>
  <c r="Q11" i="29" s="1"/>
  <c r="U11" i="29" s="1"/>
  <c r="V11" i="29" s="1"/>
  <c r="Q10" i="29"/>
  <c r="U10" i="29" s="1"/>
  <c r="V10" i="29" s="1"/>
  <c r="O35" i="29"/>
  <c r="Q35" i="29" s="1"/>
  <c r="U35" i="29" s="1"/>
  <c r="V35" i="29" s="1"/>
  <c r="Q34" i="29"/>
  <c r="U34" i="29" s="1"/>
  <c r="V34" i="29" s="1"/>
  <c r="Q26" i="29"/>
  <c r="U26" i="29" s="1"/>
  <c r="V26" i="29" s="1"/>
  <c r="O27" i="29"/>
  <c r="Q27" i="29" s="1"/>
  <c r="U27" i="29" s="1"/>
  <c r="V27" i="29" s="1"/>
  <c r="AA36" i="1"/>
  <c r="AA37" i="1" s="1"/>
  <c r="V36" i="1"/>
  <c r="V37" i="1" s="1"/>
  <c r="Q36" i="1"/>
  <c r="Q37" i="1" s="1"/>
  <c r="U36" i="1"/>
  <c r="U37" i="1" s="1"/>
  <c r="AM36" i="1"/>
  <c r="AM37" i="1" s="1"/>
  <c r="I36" i="1"/>
  <c r="I37" i="1" s="1"/>
  <c r="J36" i="1"/>
  <c r="J37" i="1" s="1"/>
  <c r="AC36" i="1"/>
  <c r="AC37" i="1" s="1"/>
  <c r="AB36" i="1"/>
  <c r="AB37" i="1" s="1"/>
  <c r="P36" i="1"/>
  <c r="P37" i="1" s="1"/>
  <c r="AI36" i="1"/>
  <c r="AI37" i="1" s="1"/>
  <c r="AG36" i="1"/>
  <c r="AG37" i="1" s="1"/>
  <c r="AN36" i="1"/>
  <c r="AN37" i="1" s="1"/>
  <c r="Z36" i="1"/>
  <c r="Z37" i="1" s="1"/>
  <c r="K36" i="1"/>
  <c r="K37" i="1" s="1"/>
  <c r="G36" i="1"/>
  <c r="G37" i="1" s="1"/>
  <c r="AL36" i="1"/>
  <c r="AL37" i="1" s="1"/>
  <c r="N36" i="1"/>
  <c r="N37" i="1" s="1"/>
  <c r="AH36" i="1"/>
  <c r="AH37" i="1" s="1"/>
  <c r="W1" i="11"/>
  <c r="Z4" i="5"/>
  <c r="Z52" i="5"/>
  <c r="Z76" i="5"/>
  <c r="Z60" i="5"/>
  <c r="Z28" i="5"/>
  <c r="Z68" i="5"/>
  <c r="Y84" i="5"/>
  <c r="U45" i="11" l="1"/>
  <c r="X1" i="11"/>
  <c r="Z84" i="5"/>
  <c r="V45" i="11" l="1"/>
  <c r="Y1" i="11"/>
  <c r="E53" i="11" l="1"/>
  <c r="W45" i="11"/>
  <c r="X45" i="11"/>
  <c r="Z1" i="11"/>
  <c r="AA1" i="11" l="1"/>
  <c r="Y45" i="11" l="1"/>
  <c r="AB1" i="11"/>
  <c r="Z45" i="11" l="1"/>
  <c r="AC1" i="11"/>
  <c r="E54" i="11" l="1"/>
  <c r="AA45" i="11"/>
  <c r="AD1" i="11"/>
  <c r="AB45" i="11" l="1"/>
  <c r="AC45" i="11"/>
  <c r="AE1" i="11"/>
  <c r="AF1" i="11" l="1"/>
  <c r="T51" i="1"/>
  <c r="Y51" i="1"/>
  <c r="R51" i="1"/>
  <c r="S51" i="1"/>
  <c r="AA51" i="1"/>
  <c r="AD51" i="1"/>
  <c r="AB51" i="1"/>
  <c r="AE51" i="1"/>
  <c r="AC51" i="1"/>
  <c r="V51" i="1"/>
  <c r="X51" i="1"/>
  <c r="Q51" i="1"/>
  <c r="W51" i="1"/>
  <c r="U51" i="1"/>
  <c r="AD45" i="11" l="1"/>
  <c r="AG1" i="11"/>
  <c r="Z51" i="1"/>
  <c r="AF51" i="1"/>
  <c r="AG51" i="1" l="1"/>
  <c r="E55" i="11"/>
  <c r="AE45" i="11"/>
  <c r="AH1" i="11"/>
  <c r="AJ23" i="1"/>
  <c r="AH34" i="7"/>
  <c r="AH95" i="7" s="1"/>
  <c r="AH51" i="1" l="1"/>
  <c r="AF45" i="11"/>
  <c r="AI51" i="1" s="1"/>
  <c r="AI4" i="15"/>
  <c r="AH3" i="22"/>
  <c r="AI31" i="13"/>
  <c r="AI4" i="17"/>
  <c r="AH4" i="23"/>
  <c r="AJ20" i="6"/>
  <c r="AI2" i="19" s="1"/>
  <c r="AI10" i="14"/>
  <c r="AG194" i="1"/>
  <c r="AH3" i="26"/>
  <c r="AH3" i="12"/>
  <c r="AI1" i="11"/>
  <c r="AK23" i="1"/>
  <c r="AI34" i="7"/>
  <c r="AI95" i="7" s="1"/>
  <c r="AG45" i="11" l="1"/>
  <c r="AJ51" i="1" s="1"/>
  <c r="AG200" i="1" s="1"/>
  <c r="AJ10" i="14"/>
  <c r="AJ4" i="15"/>
  <c r="AJ4" i="17"/>
  <c r="AI3" i="26"/>
  <c r="AI4" i="23"/>
  <c r="AJ31" i="13"/>
  <c r="AK20" i="6"/>
  <c r="AJ2" i="19" s="1"/>
  <c r="AH194" i="1"/>
  <c r="AI3" i="22"/>
  <c r="AI3" i="12"/>
  <c r="AH26" i="22"/>
  <c r="AH24" i="22"/>
  <c r="AH11" i="22"/>
  <c r="AH13" i="22"/>
  <c r="AH28" i="22"/>
  <c r="AJ1" i="11"/>
  <c r="AL23" i="1"/>
  <c r="AJ34" i="7"/>
  <c r="AJ95" i="7" s="1"/>
  <c r="AH45" i="11" l="1"/>
  <c r="AH60" i="22"/>
  <c r="AH29" i="22"/>
  <c r="AH33" i="22"/>
  <c r="AH30" i="22"/>
  <c r="AK1" i="11"/>
  <c r="AM23" i="1"/>
  <c r="AH53" i="22"/>
  <c r="AH12" i="22"/>
  <c r="AJ4" i="23"/>
  <c r="AK10" i="14"/>
  <c r="AJ3" i="26"/>
  <c r="AI194" i="1"/>
  <c r="AK31" i="13"/>
  <c r="AL20" i="6"/>
  <c r="AK2" i="19" s="1"/>
  <c r="AJ3" i="12"/>
  <c r="AK4" i="15"/>
  <c r="AK4" i="17"/>
  <c r="AJ3" i="22"/>
  <c r="AH59" i="22"/>
  <c r="AH27" i="22"/>
  <c r="AH54" i="22"/>
  <c r="AH14" i="22"/>
  <c r="AH58" i="22"/>
  <c r="AH25" i="22"/>
  <c r="AI26" i="22"/>
  <c r="AI28" i="22"/>
  <c r="AI11" i="22"/>
  <c r="AI13" i="22"/>
  <c r="AI24" i="22"/>
  <c r="AK34" i="7"/>
  <c r="AK95" i="7" s="1"/>
  <c r="AK51" i="1" l="1"/>
  <c r="AH200" i="1" s="1"/>
  <c r="E56" i="11"/>
  <c r="AI45" i="11"/>
  <c r="AL25" i="11"/>
  <c r="L84" i="11" s="1"/>
  <c r="AL33" i="11"/>
  <c r="L92" i="11" s="1"/>
  <c r="AL27" i="11"/>
  <c r="L86" i="11" s="1"/>
  <c r="AL37" i="11"/>
  <c r="L96" i="11" s="1"/>
  <c r="AL35" i="11"/>
  <c r="L94" i="11" s="1"/>
  <c r="AL32" i="11"/>
  <c r="L91" i="11" s="1"/>
  <c r="AL34" i="11"/>
  <c r="L93" i="11" s="1"/>
  <c r="AL29" i="11"/>
  <c r="L88" i="11" s="1"/>
  <c r="AI54" i="22"/>
  <c r="AI14" i="22"/>
  <c r="AJ11" i="22"/>
  <c r="AJ24" i="22"/>
  <c r="AJ13" i="22"/>
  <c r="AJ26" i="22"/>
  <c r="AJ28" i="22"/>
  <c r="AI53" i="22"/>
  <c r="AI12" i="22"/>
  <c r="AI60" i="22"/>
  <c r="AI33" i="22"/>
  <c r="AI30" i="22"/>
  <c r="AI29" i="22"/>
  <c r="AK3" i="12"/>
  <c r="AL4" i="17"/>
  <c r="AL4" i="15"/>
  <c r="AK4" i="23"/>
  <c r="AL31" i="13"/>
  <c r="AM20" i="6"/>
  <c r="AL2" i="19" s="1"/>
  <c r="AJ194" i="1"/>
  <c r="AK3" i="26"/>
  <c r="AK3" i="22"/>
  <c r="AL10" i="14"/>
  <c r="AH62" i="22"/>
  <c r="AH34" i="22"/>
  <c r="AI59" i="22"/>
  <c r="AI27" i="22"/>
  <c r="AN23" i="1"/>
  <c r="AI58" i="22"/>
  <c r="AI25" i="22"/>
  <c r="C38" i="1"/>
  <c r="AJ45" i="11" l="1"/>
  <c r="AM51" i="1" s="1"/>
  <c r="AJ200" i="1" s="1"/>
  <c r="AL51" i="1"/>
  <c r="AI200" i="1" s="1"/>
  <c r="AL38" i="11"/>
  <c r="L97" i="11" s="1"/>
  <c r="AL36" i="11"/>
  <c r="L95" i="11" s="1"/>
  <c r="AL28" i="11"/>
  <c r="L87" i="11" s="1"/>
  <c r="AJ54" i="22"/>
  <c r="AJ14" i="22"/>
  <c r="AM10" i="14"/>
  <c r="AK194" i="1"/>
  <c r="AL3" i="26"/>
  <c r="AM4" i="15"/>
  <c r="AL3" i="22"/>
  <c r="AM4" i="17"/>
  <c r="AL3" i="12"/>
  <c r="AM31" i="13"/>
  <c r="AL4" i="23"/>
  <c r="AN20" i="6"/>
  <c r="AM2" i="19" s="1"/>
  <c r="AJ58" i="22"/>
  <c r="AJ25" i="22"/>
  <c r="AI62" i="22"/>
  <c r="AI34" i="22"/>
  <c r="AK26" i="22"/>
  <c r="AK24" i="22"/>
  <c r="AK13" i="22"/>
  <c r="AK11" i="22"/>
  <c r="AK28" i="22"/>
  <c r="AJ53" i="22"/>
  <c r="AJ12" i="22"/>
  <c r="AJ60" i="22"/>
  <c r="AJ30" i="22"/>
  <c r="AJ29" i="22"/>
  <c r="AJ33" i="22"/>
  <c r="AJ59" i="22"/>
  <c r="AJ27" i="22"/>
  <c r="AL34" i="7"/>
  <c r="AL95" i="7" s="1"/>
  <c r="AJ21" i="7"/>
  <c r="AF21" i="7"/>
  <c r="AL19" i="11" l="1"/>
  <c r="L78" i="11" s="1"/>
  <c r="AK45" i="11"/>
  <c r="AK58" i="22"/>
  <c r="AK25" i="22"/>
  <c r="AK59" i="22"/>
  <c r="AK27" i="22"/>
  <c r="AL26" i="22"/>
  <c r="A15" i="22"/>
  <c r="A18" i="22"/>
  <c r="AL28" i="22"/>
  <c r="AL13" i="22"/>
  <c r="AL24" i="22"/>
  <c r="AL11" i="22"/>
  <c r="AK53" i="22"/>
  <c r="AK12" i="22"/>
  <c r="AJ62" i="22"/>
  <c r="AJ34" i="22"/>
  <c r="AK54" i="22"/>
  <c r="AK14" i="22"/>
  <c r="AK60" i="22"/>
  <c r="AK29" i="22"/>
  <c r="AK33" i="22"/>
  <c r="AK30" i="22"/>
  <c r="D20" i="6"/>
  <c r="C2" i="19" s="1"/>
  <c r="B23" i="1"/>
  <c r="E20" i="6"/>
  <c r="D2" i="19" s="1"/>
  <c r="AK62" i="22" l="1"/>
  <c r="AK34" i="22"/>
  <c r="AD15" i="22"/>
  <c r="I15" i="22"/>
  <c r="AF15" i="22"/>
  <c r="AG15" i="22"/>
  <c r="M15" i="22"/>
  <c r="N15" i="22"/>
  <c r="AI15" i="22"/>
  <c r="W15" i="22"/>
  <c r="P15" i="22"/>
  <c r="AB15" i="22"/>
  <c r="X15" i="22"/>
  <c r="AC15" i="22"/>
  <c r="K15" i="22"/>
  <c r="Z15" i="22"/>
  <c r="Y15" i="22"/>
  <c r="L15" i="22"/>
  <c r="AA15" i="22"/>
  <c r="H15" i="22"/>
  <c r="AJ15" i="22"/>
  <c r="AK15" i="22"/>
  <c r="V15" i="22"/>
  <c r="AL15" i="22"/>
  <c r="R15" i="22"/>
  <c r="J15" i="22"/>
  <c r="E15" i="22"/>
  <c r="G15" i="22"/>
  <c r="F15" i="22"/>
  <c r="U15" i="22"/>
  <c r="Q15" i="22"/>
  <c r="AE15" i="22"/>
  <c r="AH15" i="22"/>
  <c r="T15" i="22"/>
  <c r="O15" i="22"/>
  <c r="S15" i="22"/>
  <c r="D15" i="22"/>
  <c r="AL59" i="22"/>
  <c r="AL27" i="22"/>
  <c r="AL53" i="22"/>
  <c r="AL12" i="22"/>
  <c r="AL58" i="22"/>
  <c r="AL25" i="22"/>
  <c r="AL54" i="22"/>
  <c r="AL14" i="22"/>
  <c r="AL60" i="22"/>
  <c r="AL30" i="22"/>
  <c r="AL29" i="22"/>
  <c r="AL33" i="22"/>
  <c r="AN51" i="1"/>
  <c r="AK200" i="1" s="1"/>
  <c r="AL45" i="11"/>
  <c r="E18" i="22"/>
  <c r="G18" i="22"/>
  <c r="W18" i="22"/>
  <c r="Y18" i="22"/>
  <c r="O18" i="22"/>
  <c r="AB18" i="22"/>
  <c r="AD18" i="22"/>
  <c r="K18" i="22"/>
  <c r="AG18" i="22"/>
  <c r="T18" i="22"/>
  <c r="X18" i="22"/>
  <c r="Z18" i="22"/>
  <c r="AK18" i="22"/>
  <c r="V18" i="22"/>
  <c r="R18" i="22"/>
  <c r="AC18" i="22"/>
  <c r="Q18" i="22"/>
  <c r="AF18" i="22"/>
  <c r="AA18" i="22"/>
  <c r="AH18" i="22"/>
  <c r="H18" i="22"/>
  <c r="M18" i="22"/>
  <c r="J18" i="22"/>
  <c r="U18" i="22"/>
  <c r="P18" i="22"/>
  <c r="AE18" i="22"/>
  <c r="L18" i="22"/>
  <c r="D18" i="22"/>
  <c r="I18" i="22"/>
  <c r="F18" i="22"/>
  <c r="S18" i="22"/>
  <c r="AI18" i="22"/>
  <c r="AL18" i="22"/>
  <c r="N18" i="22"/>
  <c r="AJ18" i="22"/>
  <c r="P23" i="1"/>
  <c r="E21" i="6"/>
  <c r="D3" i="19" s="1"/>
  <c r="M23" i="1"/>
  <c r="O23" i="1"/>
  <c r="N23" i="1"/>
  <c r="F23" i="1"/>
  <c r="G23" i="1"/>
  <c r="H23" i="1"/>
  <c r="I23" i="1"/>
  <c r="J23" i="1"/>
  <c r="K23" i="1"/>
  <c r="L23" i="1"/>
  <c r="E59" i="11" l="1"/>
  <c r="D56" i="22"/>
  <c r="D19" i="22"/>
  <c r="D20" i="22"/>
  <c r="Z55" i="22"/>
  <c r="Z16" i="22"/>
  <c r="Z17" i="22"/>
  <c r="AJ56" i="22"/>
  <c r="AJ20" i="22"/>
  <c r="AJ19" i="22"/>
  <c r="L56" i="22"/>
  <c r="L19" i="22"/>
  <c r="L20" i="22"/>
  <c r="AA56" i="22"/>
  <c r="AA20" i="22"/>
  <c r="AA19" i="22"/>
  <c r="W56" i="22"/>
  <c r="W19" i="22"/>
  <c r="W20" i="22"/>
  <c r="Q55" i="22"/>
  <c r="Q17" i="22"/>
  <c r="Q16" i="22"/>
  <c r="V55" i="22"/>
  <c r="V16" i="22"/>
  <c r="V17" i="22"/>
  <c r="K55" i="22"/>
  <c r="K16" i="22"/>
  <c r="K17" i="22"/>
  <c r="M55" i="22"/>
  <c r="M17" i="22"/>
  <c r="M16" i="22"/>
  <c r="AE55" i="22"/>
  <c r="AE17" i="22"/>
  <c r="AE16" i="22"/>
  <c r="N55" i="22"/>
  <c r="N17" i="22"/>
  <c r="N16" i="22"/>
  <c r="X56" i="22"/>
  <c r="X19" i="22"/>
  <c r="X20" i="22"/>
  <c r="N56" i="22"/>
  <c r="N19" i="22"/>
  <c r="N20" i="22"/>
  <c r="AE56" i="22"/>
  <c r="AE20" i="22"/>
  <c r="AE19" i="22"/>
  <c r="AF56" i="22"/>
  <c r="AF20" i="22"/>
  <c r="AF19" i="22"/>
  <c r="T56" i="22"/>
  <c r="T20" i="22"/>
  <c r="T19" i="22"/>
  <c r="G56" i="22"/>
  <c r="G20" i="22"/>
  <c r="G19" i="22"/>
  <c r="U55" i="22"/>
  <c r="U16" i="22"/>
  <c r="U17" i="22"/>
  <c r="AK55" i="22"/>
  <c r="AK17" i="22"/>
  <c r="AK16" i="22"/>
  <c r="AK21" i="22"/>
  <c r="AC55" i="22"/>
  <c r="AC17" i="22"/>
  <c r="AC16" i="22"/>
  <c r="AG55" i="22"/>
  <c r="AG16" i="22"/>
  <c r="AG17" i="22"/>
  <c r="AL55" i="22"/>
  <c r="AL16" i="22"/>
  <c r="AL17" i="22"/>
  <c r="AL56" i="22"/>
  <c r="AL19" i="22"/>
  <c r="AL20" i="22"/>
  <c r="P56" i="22"/>
  <c r="P19" i="22"/>
  <c r="P20" i="22"/>
  <c r="Q56" i="22"/>
  <c r="Q19" i="22"/>
  <c r="Q20" i="22"/>
  <c r="AG56" i="22"/>
  <c r="AG19" i="22"/>
  <c r="AG20" i="22"/>
  <c r="E56" i="22"/>
  <c r="E20" i="22"/>
  <c r="E19" i="22"/>
  <c r="D55" i="22"/>
  <c r="D16" i="22"/>
  <c r="D17" i="22"/>
  <c r="F55" i="22"/>
  <c r="F17" i="22"/>
  <c r="F16" i="22"/>
  <c r="AJ55" i="22"/>
  <c r="AJ16" i="22"/>
  <c r="AJ17" i="22"/>
  <c r="AJ21" i="22"/>
  <c r="X55" i="22"/>
  <c r="X16" i="22"/>
  <c r="X17" i="22"/>
  <c r="AF55" i="22"/>
  <c r="AF17" i="22"/>
  <c r="AF16" i="22"/>
  <c r="Z56" i="22"/>
  <c r="Z19" i="22"/>
  <c r="Z20" i="22"/>
  <c r="AI56" i="22"/>
  <c r="AI19" i="22"/>
  <c r="AI20" i="22"/>
  <c r="U56" i="22"/>
  <c r="U20" i="22"/>
  <c r="U19" i="22"/>
  <c r="AC56" i="22"/>
  <c r="AC20" i="22"/>
  <c r="AC19" i="22"/>
  <c r="K56" i="22"/>
  <c r="K19" i="22"/>
  <c r="K20" i="22"/>
  <c r="S55" i="22"/>
  <c r="S17" i="22"/>
  <c r="S16" i="22"/>
  <c r="G55" i="22"/>
  <c r="G16" i="22"/>
  <c r="G17" i="22"/>
  <c r="H55" i="22"/>
  <c r="H16" i="22"/>
  <c r="H17" i="22"/>
  <c r="AB55" i="22"/>
  <c r="AB16" i="22"/>
  <c r="AB17" i="22"/>
  <c r="I55" i="22"/>
  <c r="I17" i="22"/>
  <c r="I16" i="22"/>
  <c r="S56" i="22"/>
  <c r="S20" i="22"/>
  <c r="S19" i="22"/>
  <c r="J56" i="22"/>
  <c r="J20" i="22"/>
  <c r="J19" i="22"/>
  <c r="AD56" i="22"/>
  <c r="AD19" i="22"/>
  <c r="AD20" i="22"/>
  <c r="O55" i="22"/>
  <c r="O16" i="22"/>
  <c r="O17" i="22"/>
  <c r="E55" i="22"/>
  <c r="E17" i="22"/>
  <c r="E16" i="22"/>
  <c r="AA55" i="22"/>
  <c r="AA16" i="22"/>
  <c r="AA17" i="22"/>
  <c r="P55" i="22"/>
  <c r="P16" i="22"/>
  <c r="P17" i="22"/>
  <c r="AD55" i="22"/>
  <c r="AD16" i="22"/>
  <c r="AD17" i="22"/>
  <c r="Y56" i="22"/>
  <c r="Y19" i="22"/>
  <c r="Y20" i="22"/>
  <c r="R56" i="22"/>
  <c r="R20" i="22"/>
  <c r="R19" i="22"/>
  <c r="F56" i="22"/>
  <c r="F20" i="22"/>
  <c r="F19" i="22"/>
  <c r="M56" i="22"/>
  <c r="M20" i="22"/>
  <c r="M19" i="22"/>
  <c r="V56" i="22"/>
  <c r="V19" i="22"/>
  <c r="V20" i="22"/>
  <c r="AB56" i="22"/>
  <c r="AB20" i="22"/>
  <c r="AB19" i="22"/>
  <c r="AL21" i="22"/>
  <c r="T55" i="22"/>
  <c r="T16" i="22"/>
  <c r="T17" i="22"/>
  <c r="J55" i="22"/>
  <c r="J17" i="22"/>
  <c r="J16" i="22"/>
  <c r="L55" i="22"/>
  <c r="L16" i="22"/>
  <c r="L17" i="22"/>
  <c r="W55" i="22"/>
  <c r="W16" i="22"/>
  <c r="W17" i="22"/>
  <c r="AH56" i="22"/>
  <c r="AH19" i="22"/>
  <c r="AH20" i="22"/>
  <c r="I56" i="22"/>
  <c r="I19" i="22"/>
  <c r="I20" i="22"/>
  <c r="H56" i="22"/>
  <c r="H20" i="22"/>
  <c r="H19" i="22"/>
  <c r="AK56" i="22"/>
  <c r="AK20" i="22"/>
  <c r="AK19" i="22"/>
  <c r="O56" i="22"/>
  <c r="O19" i="22"/>
  <c r="O20" i="22"/>
  <c r="AL62" i="22"/>
  <c r="AL34" i="22"/>
  <c r="AH55" i="22"/>
  <c r="AH16" i="22"/>
  <c r="AH17" i="22"/>
  <c r="AH21" i="22"/>
  <c r="R55" i="22"/>
  <c r="R17" i="22"/>
  <c r="R16" i="22"/>
  <c r="Y55" i="22"/>
  <c r="Y16" i="22"/>
  <c r="Y17" i="22"/>
  <c r="AI55" i="22"/>
  <c r="AI16" i="22"/>
  <c r="AI17" i="22"/>
  <c r="AI21" i="22"/>
  <c r="J10" i="14"/>
  <c r="I3" i="26"/>
  <c r="F10" i="14"/>
  <c r="E3" i="26"/>
  <c r="H10" i="14"/>
  <c r="G3" i="26"/>
  <c r="G10" i="14"/>
  <c r="F3" i="26"/>
  <c r="I10" i="14"/>
  <c r="H3" i="26"/>
  <c r="E10" i="14"/>
  <c r="D3" i="26"/>
  <c r="O10" i="14"/>
  <c r="N3" i="26"/>
  <c r="M10" i="14"/>
  <c r="L3" i="26"/>
  <c r="N10" i="14"/>
  <c r="M3" i="26"/>
  <c r="L10" i="14"/>
  <c r="K3" i="26"/>
  <c r="K10" i="14"/>
  <c r="J3" i="26"/>
  <c r="I3" i="12"/>
  <c r="I3" i="22"/>
  <c r="J4" i="15"/>
  <c r="I4" i="23"/>
  <c r="H4" i="15"/>
  <c r="G3" i="22"/>
  <c r="G3" i="12"/>
  <c r="G4" i="23"/>
  <c r="H3" i="12"/>
  <c r="I4" i="15"/>
  <c r="H4" i="23"/>
  <c r="H3" i="22"/>
  <c r="E4" i="15"/>
  <c r="D3" i="22"/>
  <c r="D3" i="12"/>
  <c r="D4" i="23"/>
  <c r="G4" i="15"/>
  <c r="F3" i="22"/>
  <c r="F26" i="22" s="1"/>
  <c r="F3" i="12"/>
  <c r="F4" i="23"/>
  <c r="M4" i="15"/>
  <c r="L3" i="22"/>
  <c r="L3" i="12"/>
  <c r="L4" i="23"/>
  <c r="O4" i="15"/>
  <c r="N3" i="22"/>
  <c r="N3" i="12"/>
  <c r="N4" i="23"/>
  <c r="F4" i="15"/>
  <c r="E3" i="22"/>
  <c r="E28" i="22" s="1"/>
  <c r="E3" i="12"/>
  <c r="E4" i="23"/>
  <c r="N4" i="15"/>
  <c r="M3" i="22"/>
  <c r="M3" i="12"/>
  <c r="M4" i="23"/>
  <c r="K3" i="22"/>
  <c r="K3" i="12"/>
  <c r="L4" i="15"/>
  <c r="K4" i="23"/>
  <c r="J3" i="12"/>
  <c r="K4" i="15"/>
  <c r="J3" i="22"/>
  <c r="J4" i="23"/>
  <c r="H4" i="17"/>
  <c r="H31" i="13"/>
  <c r="I20" i="6"/>
  <c r="G4" i="17"/>
  <c r="G31" i="13"/>
  <c r="H20" i="6"/>
  <c r="F31" i="13"/>
  <c r="F4" i="17"/>
  <c r="G20" i="6"/>
  <c r="N31" i="13"/>
  <c r="N4" i="17"/>
  <c r="O20" i="6"/>
  <c r="J4" i="17"/>
  <c r="J31" i="13"/>
  <c r="K20" i="6"/>
  <c r="L31" i="13"/>
  <c r="L4" i="17"/>
  <c r="M20" i="6"/>
  <c r="O4" i="17"/>
  <c r="O31" i="13"/>
  <c r="P20" i="6"/>
  <c r="E31" i="13"/>
  <c r="E4" i="17"/>
  <c r="F20" i="6"/>
  <c r="M31" i="13"/>
  <c r="M4" i="17"/>
  <c r="N20" i="6"/>
  <c r="K4" i="17"/>
  <c r="K31" i="13"/>
  <c r="L20" i="6"/>
  <c r="I31" i="13"/>
  <c r="I4" i="17"/>
  <c r="J20" i="6"/>
  <c r="D34" i="7"/>
  <c r="D95" i="7" s="1"/>
  <c r="Q23" i="1"/>
  <c r="E34" i="7"/>
  <c r="E95" i="7" s="1"/>
  <c r="F59" i="22" l="1"/>
  <c r="F27" i="22"/>
  <c r="E60" i="22"/>
  <c r="E30" i="22"/>
  <c r="E29" i="22"/>
  <c r="AK57" i="22"/>
  <c r="AK63" i="22" s="1"/>
  <c r="AM56" i="1" s="1"/>
  <c r="AK22" i="22"/>
  <c r="AK37" i="22" s="1"/>
  <c r="AI57" i="22"/>
  <c r="AI63" i="22" s="1"/>
  <c r="AK56" i="1" s="1"/>
  <c r="AI22" i="22"/>
  <c r="AI37" i="22" s="1"/>
  <c r="AH57" i="22"/>
  <c r="AH63" i="22" s="1"/>
  <c r="AJ56" i="1" s="1"/>
  <c r="AH22" i="22"/>
  <c r="AH37" i="22" s="1"/>
  <c r="AJ57" i="22"/>
  <c r="AJ63" i="22" s="1"/>
  <c r="AL56" i="1" s="1"/>
  <c r="AJ22" i="22"/>
  <c r="AJ37" i="22" s="1"/>
  <c r="AL57" i="22"/>
  <c r="AL63" i="22" s="1"/>
  <c r="AN56" i="1" s="1"/>
  <c r="AL22" i="22"/>
  <c r="AL37" i="22" s="1"/>
  <c r="P10" i="14"/>
  <c r="O3" i="26"/>
  <c r="AI6" i="17"/>
  <c r="AI7" i="17" s="1"/>
  <c r="AJ6" i="17"/>
  <c r="AJ7" i="17" s="1"/>
  <c r="AM6" i="17"/>
  <c r="AM7" i="17" s="1"/>
  <c r="AK6" i="17"/>
  <c r="AK7" i="17" s="1"/>
  <c r="AL6" i="17"/>
  <c r="AL7" i="17" s="1"/>
  <c r="H11" i="22"/>
  <c r="H53" i="22" s="1"/>
  <c r="H13" i="22"/>
  <c r="H54" i="22" s="1"/>
  <c r="H28" i="22"/>
  <c r="H60" i="22" s="1"/>
  <c r="H24" i="22"/>
  <c r="H58" i="22" s="1"/>
  <c r="H26" i="22"/>
  <c r="H59" i="22" s="1"/>
  <c r="F28" i="22"/>
  <c r="F60" i="22" s="1"/>
  <c r="F13" i="22"/>
  <c r="F54" i="22" s="1"/>
  <c r="F11" i="22"/>
  <c r="F53" i="22" s="1"/>
  <c r="F24" i="22"/>
  <c r="F58" i="22" s="1"/>
  <c r="P4" i="15"/>
  <c r="O3" i="22"/>
  <c r="O3" i="12"/>
  <c r="O4" i="23"/>
  <c r="M28" i="22"/>
  <c r="M60" i="22" s="1"/>
  <c r="M11" i="22"/>
  <c r="M53" i="22" s="1"/>
  <c r="M13" i="22"/>
  <c r="M54" i="22" s="1"/>
  <c r="M24" i="22"/>
  <c r="M58" i="22" s="1"/>
  <c r="M26" i="22"/>
  <c r="M59" i="22" s="1"/>
  <c r="L11" i="22"/>
  <c r="L53" i="22" s="1"/>
  <c r="L13" i="22"/>
  <c r="L54" i="22" s="1"/>
  <c r="L28" i="22"/>
  <c r="L60" i="22" s="1"/>
  <c r="L24" i="22"/>
  <c r="L58" i="22" s="1"/>
  <c r="L26" i="22"/>
  <c r="L59" i="22" s="1"/>
  <c r="J24" i="22"/>
  <c r="J58" i="22" s="1"/>
  <c r="J26" i="22"/>
  <c r="J59" i="22" s="1"/>
  <c r="J28" i="22"/>
  <c r="J60" i="22" s="1"/>
  <c r="J11" i="22"/>
  <c r="J53" i="22" s="1"/>
  <c r="J13" i="22"/>
  <c r="J54" i="22" s="1"/>
  <c r="G28" i="22"/>
  <c r="G60" i="22" s="1"/>
  <c r="G11" i="22"/>
  <c r="G53" i="22" s="1"/>
  <c r="G13" i="22"/>
  <c r="G54" i="22" s="1"/>
  <c r="G26" i="22"/>
  <c r="G59" i="22" s="1"/>
  <c r="G24" i="22"/>
  <c r="G58" i="22" s="1"/>
  <c r="E24" i="22"/>
  <c r="E58" i="22" s="1"/>
  <c r="E13" i="22"/>
  <c r="E54" i="22" s="1"/>
  <c r="E11" i="22"/>
  <c r="E53" i="22" s="1"/>
  <c r="N13" i="22"/>
  <c r="N54" i="22" s="1"/>
  <c r="N11" i="22"/>
  <c r="N53" i="22" s="1"/>
  <c r="N28" i="22"/>
  <c r="N60" i="22" s="1"/>
  <c r="N24" i="22"/>
  <c r="N58" i="22" s="1"/>
  <c r="N26" i="22"/>
  <c r="N59" i="22" s="1"/>
  <c r="D13" i="22"/>
  <c r="D54" i="22" s="1"/>
  <c r="D11" i="22"/>
  <c r="D53" i="22" s="1"/>
  <c r="I11" i="22"/>
  <c r="I53" i="22" s="1"/>
  <c r="I24" i="22"/>
  <c r="I58" i="22" s="1"/>
  <c r="I13" i="22"/>
  <c r="I54" i="22" s="1"/>
  <c r="I26" i="22"/>
  <c r="I59" i="22" s="1"/>
  <c r="I28" i="22"/>
  <c r="I60" i="22" s="1"/>
  <c r="K26" i="22"/>
  <c r="K59" i="22" s="1"/>
  <c r="K24" i="22"/>
  <c r="K58" i="22" s="1"/>
  <c r="K13" i="22"/>
  <c r="K54" i="22" s="1"/>
  <c r="K11" i="22"/>
  <c r="K53" i="22" s="1"/>
  <c r="K28" i="22"/>
  <c r="K60" i="22" s="1"/>
  <c r="E2" i="19"/>
  <c r="F2" i="19"/>
  <c r="K2" i="19"/>
  <c r="O2" i="19"/>
  <c r="J2" i="19"/>
  <c r="N2" i="19"/>
  <c r="H2" i="19"/>
  <c r="I2" i="19"/>
  <c r="M2" i="19"/>
  <c r="L2" i="19"/>
  <c r="G2" i="19"/>
  <c r="P4" i="17"/>
  <c r="P31" i="13"/>
  <c r="Q20" i="6"/>
  <c r="S6" i="17"/>
  <c r="S7" i="17" s="1"/>
  <c r="T6" i="17"/>
  <c r="T7" i="17" s="1"/>
  <c r="R23" i="1"/>
  <c r="F34" i="7"/>
  <c r="F95" i="7" s="1"/>
  <c r="AM17" i="19" l="1"/>
  <c r="AK203" i="1"/>
  <c r="AJ38" i="22"/>
  <c r="AJ36" i="22"/>
  <c r="AJ40" i="22" s="1"/>
  <c r="AG203" i="1"/>
  <c r="AI17" i="19"/>
  <c r="AJ17" i="19"/>
  <c r="AH203" i="1"/>
  <c r="AI203" i="1"/>
  <c r="AK17" i="19"/>
  <c r="AH36" i="22"/>
  <c r="AH40" i="22" s="1"/>
  <c r="AH38" i="22"/>
  <c r="AI36" i="22"/>
  <c r="AI40" i="22" s="1"/>
  <c r="AI38" i="22"/>
  <c r="AK36" i="22"/>
  <c r="AK40" i="22" s="1"/>
  <c r="AK38" i="22"/>
  <c r="AL38" i="22"/>
  <c r="AL36" i="22"/>
  <c r="AL40" i="22" s="1"/>
  <c r="AJ203" i="1"/>
  <c r="AL17" i="19"/>
  <c r="Q10" i="14"/>
  <c r="P3" i="26"/>
  <c r="Q4" i="15"/>
  <c r="P3" i="22"/>
  <c r="P3" i="12"/>
  <c r="P4" i="23"/>
  <c r="I27" i="22"/>
  <c r="E14" i="22"/>
  <c r="J25" i="22"/>
  <c r="I14" i="22"/>
  <c r="E33" i="22"/>
  <c r="E62" i="22" s="1"/>
  <c r="E25" i="22"/>
  <c r="L27" i="22"/>
  <c r="O24" i="22"/>
  <c r="O58" i="22" s="1"/>
  <c r="O28" i="22"/>
  <c r="O60" i="22" s="1"/>
  <c r="O13" i="22"/>
  <c r="O54" i="22" s="1"/>
  <c r="O26" i="22"/>
  <c r="O59" i="22" s="1"/>
  <c r="O11" i="22"/>
  <c r="O53" i="22" s="1"/>
  <c r="L25" i="22"/>
  <c r="I25" i="22"/>
  <c r="I12" i="22"/>
  <c r="I21" i="22"/>
  <c r="I57" i="22" s="1"/>
  <c r="G25" i="22"/>
  <c r="L29" i="22"/>
  <c r="L30" i="22"/>
  <c r="L33" i="22"/>
  <c r="L62" i="22" s="1"/>
  <c r="F25" i="22"/>
  <c r="D21" i="22"/>
  <c r="D57" i="22" s="1"/>
  <c r="D12" i="22"/>
  <c r="G27" i="22"/>
  <c r="L14" i="22"/>
  <c r="F21" i="22"/>
  <c r="F57" i="22" s="1"/>
  <c r="F12" i="22"/>
  <c r="D14" i="22"/>
  <c r="G14" i="22"/>
  <c r="L12" i="22"/>
  <c r="L21" i="22"/>
  <c r="L57" i="22" s="1"/>
  <c r="F14" i="22"/>
  <c r="K29" i="22"/>
  <c r="K30" i="22"/>
  <c r="K33" i="22"/>
  <c r="K62" i="22" s="1"/>
  <c r="N27" i="22"/>
  <c r="G12" i="22"/>
  <c r="G21" i="22"/>
  <c r="G57" i="22" s="1"/>
  <c r="M27" i="22"/>
  <c r="F29" i="22"/>
  <c r="F30" i="22"/>
  <c r="F33" i="22"/>
  <c r="F62" i="22" s="1"/>
  <c r="N25" i="22"/>
  <c r="G29" i="22"/>
  <c r="G30" i="22"/>
  <c r="G33" i="22"/>
  <c r="G62" i="22" s="1"/>
  <c r="M25" i="22"/>
  <c r="H27" i="22"/>
  <c r="K12" i="22"/>
  <c r="K21" i="22"/>
  <c r="K57" i="22" s="1"/>
  <c r="K14" i="22"/>
  <c r="N30" i="22"/>
  <c r="N29" i="22"/>
  <c r="N33" i="22"/>
  <c r="N62" i="22" s="1"/>
  <c r="J14" i="22"/>
  <c r="M14" i="22"/>
  <c r="H25" i="22"/>
  <c r="K25" i="22"/>
  <c r="N12" i="22"/>
  <c r="N21" i="22"/>
  <c r="N57" i="22" s="1"/>
  <c r="J12" i="22"/>
  <c r="J21" i="22"/>
  <c r="J57" i="22" s="1"/>
  <c r="M12" i="22"/>
  <c r="M21" i="22"/>
  <c r="M57" i="22" s="1"/>
  <c r="H29" i="22"/>
  <c r="H30" i="22"/>
  <c r="H33" i="22"/>
  <c r="H62" i="22" s="1"/>
  <c r="K27" i="22"/>
  <c r="N14" i="22"/>
  <c r="J29" i="22"/>
  <c r="J30" i="22"/>
  <c r="J33" i="22"/>
  <c r="J62" i="22" s="1"/>
  <c r="M30" i="22"/>
  <c r="M29" i="22"/>
  <c r="M33" i="22"/>
  <c r="M62" i="22" s="1"/>
  <c r="H14" i="22"/>
  <c r="I30" i="22"/>
  <c r="I29" i="22"/>
  <c r="I33" i="22"/>
  <c r="I62" i="22" s="1"/>
  <c r="E21" i="22"/>
  <c r="E57" i="22" s="1"/>
  <c r="E12" i="22"/>
  <c r="J27" i="22"/>
  <c r="H12" i="22"/>
  <c r="H21" i="22"/>
  <c r="H57" i="22" s="1"/>
  <c r="Q4" i="17"/>
  <c r="Q31" i="13"/>
  <c r="R20" i="6"/>
  <c r="P2" i="19"/>
  <c r="AA6" i="17"/>
  <c r="AA7" i="17" s="1"/>
  <c r="R6" i="17"/>
  <c r="R7" i="17" s="1"/>
  <c r="Q6" i="17"/>
  <c r="Q7" i="17" s="1"/>
  <c r="V6" i="17"/>
  <c r="V7" i="17" s="1"/>
  <c r="AB6" i="17"/>
  <c r="AB7" i="17" s="1"/>
  <c r="W6" i="17"/>
  <c r="W7" i="17" s="1"/>
  <c r="O6" i="17"/>
  <c r="O7" i="17" s="1"/>
  <c r="AG6" i="17"/>
  <c r="AG7" i="17" s="1"/>
  <c r="Y6" i="17"/>
  <c r="Y7" i="17" s="1"/>
  <c r="AF6" i="17"/>
  <c r="AF7" i="17" s="1"/>
  <c r="AH6" i="17"/>
  <c r="AH7" i="17" s="1"/>
  <c r="Z6" i="17"/>
  <c r="Z7" i="17" s="1"/>
  <c r="P6" i="17"/>
  <c r="P7" i="17" s="1"/>
  <c r="X6" i="17"/>
  <c r="X7" i="17" s="1"/>
  <c r="AD6" i="17"/>
  <c r="AD7" i="17" s="1"/>
  <c r="AC6" i="17"/>
  <c r="AC7" i="17" s="1"/>
  <c r="AE6" i="17"/>
  <c r="AE7" i="17" s="1"/>
  <c r="U6" i="17"/>
  <c r="U7" i="17" s="1"/>
  <c r="S23" i="1"/>
  <c r="G34" i="7"/>
  <c r="G95" i="7" s="1"/>
  <c r="R10" i="14" l="1"/>
  <c r="Q3" i="26"/>
  <c r="AO28" i="1"/>
  <c r="F29" i="1"/>
  <c r="J22" i="22"/>
  <c r="J37" i="22" s="1"/>
  <c r="L34" i="22"/>
  <c r="N34" i="22"/>
  <c r="O21" i="22"/>
  <c r="O57" i="22" s="1"/>
  <c r="O12" i="22"/>
  <c r="H22" i="22"/>
  <c r="H37" i="22" s="1"/>
  <c r="N22" i="22"/>
  <c r="N37" i="22" s="1"/>
  <c r="G34" i="22"/>
  <c r="L22" i="22"/>
  <c r="L37" i="22" s="1"/>
  <c r="O27" i="22"/>
  <c r="G22" i="22"/>
  <c r="G37" i="22" s="1"/>
  <c r="O14" i="22"/>
  <c r="R4" i="15"/>
  <c r="Q3" i="22"/>
  <c r="Q4" i="23"/>
  <c r="Q3" i="12"/>
  <c r="M34" i="22"/>
  <c r="H34" i="22"/>
  <c r="O33" i="22"/>
  <c r="O62" i="22" s="1"/>
  <c r="O29" i="22"/>
  <c r="O30" i="22"/>
  <c r="O25" i="22"/>
  <c r="D63" i="22"/>
  <c r="F56" i="1" s="1"/>
  <c r="D22" i="22"/>
  <c r="D37" i="22" s="1"/>
  <c r="I22" i="22"/>
  <c r="I37" i="22" s="1"/>
  <c r="J34" i="22"/>
  <c r="M22" i="22"/>
  <c r="M37" i="22" s="1"/>
  <c r="K22" i="22"/>
  <c r="K37" i="22" s="1"/>
  <c r="F34" i="22"/>
  <c r="E22" i="22"/>
  <c r="E37" i="22" s="1"/>
  <c r="K34" i="22"/>
  <c r="I34" i="22"/>
  <c r="P24" i="22"/>
  <c r="P58" i="22" s="1"/>
  <c r="P13" i="22"/>
  <c r="P54" i="22" s="1"/>
  <c r="P28" i="22"/>
  <c r="P60" i="22" s="1"/>
  <c r="P26" i="22"/>
  <c r="P59" i="22" s="1"/>
  <c r="P11" i="22"/>
  <c r="P53" i="22" s="1"/>
  <c r="F22" i="22"/>
  <c r="F37" i="22" s="1"/>
  <c r="E34" i="22"/>
  <c r="R4" i="17"/>
  <c r="R31" i="13"/>
  <c r="S20" i="6"/>
  <c r="Q2" i="19"/>
  <c r="T23" i="1"/>
  <c r="AO29" i="1" l="1"/>
  <c r="F30" i="1"/>
  <c r="S10" i="14"/>
  <c r="R3" i="26"/>
  <c r="E17" i="19"/>
  <c r="L63" i="22"/>
  <c r="N56" i="1" s="1"/>
  <c r="F6" i="17"/>
  <c r="F7" i="17" s="1"/>
  <c r="N63" i="22"/>
  <c r="P56" i="1" s="1"/>
  <c r="G63" i="22"/>
  <c r="I56" i="1" s="1"/>
  <c r="H63" i="22"/>
  <c r="J56" i="1" s="1"/>
  <c r="F63" i="22"/>
  <c r="H56" i="1" s="1"/>
  <c r="K63" i="22"/>
  <c r="M56" i="1" s="1"/>
  <c r="P29" i="22"/>
  <c r="P33" i="22"/>
  <c r="P62" i="22" s="1"/>
  <c r="P30" i="22"/>
  <c r="E36" i="22"/>
  <c r="E40" i="22" s="1"/>
  <c r="E38" i="22"/>
  <c r="H38" i="22"/>
  <c r="H36" i="22"/>
  <c r="H40" i="22" s="1"/>
  <c r="P25" i="22"/>
  <c r="I38" i="22"/>
  <c r="I36" i="22"/>
  <c r="I40" i="22" s="1"/>
  <c r="N36" i="22"/>
  <c r="N40" i="22" s="1"/>
  <c r="N38" i="22"/>
  <c r="F38" i="22"/>
  <c r="F36" i="22"/>
  <c r="F40" i="22" s="1"/>
  <c r="G36" i="22"/>
  <c r="G40" i="22" s="1"/>
  <c r="G38" i="22"/>
  <c r="I63" i="22"/>
  <c r="K56" i="1" s="1"/>
  <c r="O22" i="22"/>
  <c r="O37" i="22" s="1"/>
  <c r="E63" i="22"/>
  <c r="G56" i="1" s="1"/>
  <c r="L38" i="22"/>
  <c r="L36" i="22"/>
  <c r="L40" i="22" s="1"/>
  <c r="D36" i="22"/>
  <c r="D40" i="22" s="1"/>
  <c r="D38" i="22"/>
  <c r="K38" i="22"/>
  <c r="K36" i="22"/>
  <c r="K40" i="22" s="1"/>
  <c r="P14" i="22"/>
  <c r="S4" i="15"/>
  <c r="R3" i="22"/>
  <c r="R3" i="12"/>
  <c r="R4" i="23"/>
  <c r="M63" i="22"/>
  <c r="O56" i="1" s="1"/>
  <c r="Q26" i="22"/>
  <c r="Q59" i="22" s="1"/>
  <c r="Q13" i="22"/>
  <c r="Q54" i="22" s="1"/>
  <c r="Q11" i="22"/>
  <c r="Q53" i="22" s="1"/>
  <c r="Q24" i="22"/>
  <c r="Q58" i="22" s="1"/>
  <c r="Q28" i="22"/>
  <c r="Q60" i="22" s="1"/>
  <c r="P12" i="22"/>
  <c r="P21" i="22"/>
  <c r="P57" i="22" s="1"/>
  <c r="M38" i="22"/>
  <c r="M36" i="22"/>
  <c r="M40" i="22" s="1"/>
  <c r="J38" i="22"/>
  <c r="J36" i="22"/>
  <c r="J40" i="22" s="1"/>
  <c r="P27" i="22"/>
  <c r="O34" i="22"/>
  <c r="J63" i="22"/>
  <c r="L56" i="1" s="1"/>
  <c r="S4" i="17"/>
  <c r="S31" i="13"/>
  <c r="T20" i="6"/>
  <c r="R2" i="19"/>
  <c r="N6" i="17"/>
  <c r="N7" i="17" s="1"/>
  <c r="H6" i="17"/>
  <c r="H7" i="17" s="1"/>
  <c r="I6" i="17"/>
  <c r="I7" i="17" s="1"/>
  <c r="M6" i="17"/>
  <c r="M7" i="17" s="1"/>
  <c r="G6" i="17"/>
  <c r="G7" i="17" s="1"/>
  <c r="L6" i="17"/>
  <c r="L7" i="17" s="1"/>
  <c r="K6" i="17"/>
  <c r="K7" i="17" s="1"/>
  <c r="J6" i="17"/>
  <c r="J7" i="17" s="1"/>
  <c r="H34" i="7"/>
  <c r="H95" i="7" s="1"/>
  <c r="P51" i="1"/>
  <c r="U23" i="1"/>
  <c r="L51" i="1"/>
  <c r="M51" i="1"/>
  <c r="F51" i="1"/>
  <c r="K51" i="1"/>
  <c r="I34" i="7"/>
  <c r="I95" i="7" s="1"/>
  <c r="H51" i="1"/>
  <c r="G51" i="1"/>
  <c r="I51" i="1"/>
  <c r="J51" i="1"/>
  <c r="N51" i="1"/>
  <c r="T10" i="14" l="1"/>
  <c r="S3" i="26"/>
  <c r="L17" i="19"/>
  <c r="N17" i="19"/>
  <c r="G17" i="19"/>
  <c r="I17" i="19"/>
  <c r="H17" i="19"/>
  <c r="F17" i="19"/>
  <c r="O17" i="19"/>
  <c r="M17" i="19"/>
  <c r="J17" i="19"/>
  <c r="K17" i="19"/>
  <c r="O63" i="22"/>
  <c r="Q56" i="1" s="1"/>
  <c r="Q33" i="22"/>
  <c r="Q62" i="22" s="1"/>
  <c r="Q29" i="22"/>
  <c r="Q30" i="22"/>
  <c r="Q25" i="22"/>
  <c r="Q12" i="22"/>
  <c r="Q21" i="22"/>
  <c r="Q57" i="22" s="1"/>
  <c r="Q14" i="22"/>
  <c r="Q27" i="22"/>
  <c r="T4" i="15"/>
  <c r="S3" i="22"/>
  <c r="S3" i="12"/>
  <c r="S4" i="23"/>
  <c r="O36" i="22"/>
  <c r="O40" i="22" s="1"/>
  <c r="O38" i="22"/>
  <c r="P34" i="22"/>
  <c r="P22" i="22"/>
  <c r="P37" i="22" s="1"/>
  <c r="R24" i="22"/>
  <c r="R58" i="22" s="1"/>
  <c r="R11" i="22"/>
  <c r="R53" i="22" s="1"/>
  <c r="R26" i="22"/>
  <c r="R59" i="22" s="1"/>
  <c r="R13" i="22"/>
  <c r="R54" i="22" s="1"/>
  <c r="R28" i="22"/>
  <c r="R60" i="22" s="1"/>
  <c r="T31" i="13"/>
  <c r="T4" i="17"/>
  <c r="U20" i="6"/>
  <c r="S2" i="19"/>
  <c r="F31" i="1"/>
  <c r="AO30" i="1"/>
  <c r="E6" i="17"/>
  <c r="E7" i="17" s="1"/>
  <c r="V23" i="1"/>
  <c r="J34" i="7"/>
  <c r="J95" i="7" s="1"/>
  <c r="O51" i="1"/>
  <c r="AO51" i="1" s="1"/>
  <c r="E5" i="19" l="1"/>
  <c r="G31" i="1"/>
  <c r="F5" i="19" s="1"/>
  <c r="U10" i="14"/>
  <c r="T3" i="26"/>
  <c r="P17" i="19"/>
  <c r="P63" i="22"/>
  <c r="R56" i="1" s="1"/>
  <c r="R27" i="22"/>
  <c r="R21" i="22"/>
  <c r="R57" i="22" s="1"/>
  <c r="R12" i="22"/>
  <c r="Q22" i="22"/>
  <c r="Q37" i="22" s="1"/>
  <c r="R25" i="22"/>
  <c r="P36" i="22"/>
  <c r="P40" i="22" s="1"/>
  <c r="P38" i="22"/>
  <c r="T3" i="12"/>
  <c r="U4" i="15"/>
  <c r="T3" i="22"/>
  <c r="T4" i="23"/>
  <c r="S26" i="22"/>
  <c r="S59" i="22" s="1"/>
  <c r="S28" i="22"/>
  <c r="S60" i="22" s="1"/>
  <c r="S11" i="22"/>
  <c r="S53" i="22" s="1"/>
  <c r="S24" i="22"/>
  <c r="S58" i="22" s="1"/>
  <c r="S13" i="22"/>
  <c r="S54" i="22" s="1"/>
  <c r="R30" i="22"/>
  <c r="R33" i="22"/>
  <c r="R62" i="22" s="1"/>
  <c r="R29" i="22"/>
  <c r="Q34" i="22"/>
  <c r="R14" i="22"/>
  <c r="U4" i="17"/>
  <c r="U31" i="13"/>
  <c r="V20" i="6"/>
  <c r="T2" i="19"/>
  <c r="F32" i="1"/>
  <c r="W23" i="1"/>
  <c r="K34" i="7"/>
  <c r="K95" i="7" s="1"/>
  <c r="G32" i="1" l="1"/>
  <c r="H31" i="1"/>
  <c r="G5" i="19" s="1"/>
  <c r="V10" i="14"/>
  <c r="U3" i="26"/>
  <c r="Q17" i="19"/>
  <c r="Q63" i="22"/>
  <c r="S56" i="1" s="1"/>
  <c r="U3" i="12"/>
  <c r="U3" i="22"/>
  <c r="V4" i="15"/>
  <c r="U4" i="23"/>
  <c r="S25" i="22"/>
  <c r="S21" i="22"/>
  <c r="S57" i="22" s="1"/>
  <c r="S12" i="22"/>
  <c r="S30" i="22"/>
  <c r="S33" i="22"/>
  <c r="S62" i="22" s="1"/>
  <c r="S29" i="22"/>
  <c r="S27" i="22"/>
  <c r="Q36" i="22"/>
  <c r="Q40" i="22" s="1"/>
  <c r="Q38" i="22"/>
  <c r="T26" i="22"/>
  <c r="T59" i="22" s="1"/>
  <c r="T11" i="22"/>
  <c r="T53" i="22" s="1"/>
  <c r="T13" i="22"/>
  <c r="T54" i="22" s="1"/>
  <c r="T28" i="22"/>
  <c r="T60" i="22" s="1"/>
  <c r="T24" i="22"/>
  <c r="T58" i="22" s="1"/>
  <c r="R22" i="22"/>
  <c r="R37" i="22" s="1"/>
  <c r="R34" i="22"/>
  <c r="S14" i="22"/>
  <c r="V31" i="13"/>
  <c r="V4" i="17"/>
  <c r="W20" i="6"/>
  <c r="U2" i="19"/>
  <c r="X23" i="1"/>
  <c r="H32" i="1" l="1"/>
  <c r="I31" i="1"/>
  <c r="H5" i="19" s="1"/>
  <c r="W10" i="14"/>
  <c r="V3" i="26"/>
  <c r="R17" i="19"/>
  <c r="R36" i="22"/>
  <c r="R40" i="22" s="1"/>
  <c r="R38" i="22"/>
  <c r="T12" i="22"/>
  <c r="T21" i="22"/>
  <c r="T57" i="22" s="1"/>
  <c r="S22" i="22"/>
  <c r="S37" i="22" s="1"/>
  <c r="V3" i="12"/>
  <c r="W4" i="15"/>
  <c r="V3" i="22"/>
  <c r="V4" i="23"/>
  <c r="R63" i="22"/>
  <c r="T56" i="1" s="1"/>
  <c r="U28" i="22"/>
  <c r="U60" i="22" s="1"/>
  <c r="U24" i="22"/>
  <c r="U58" i="22" s="1"/>
  <c r="U26" i="22"/>
  <c r="U59" i="22" s="1"/>
  <c r="U13" i="22"/>
  <c r="U54" i="22" s="1"/>
  <c r="U11" i="22"/>
  <c r="U53" i="22" s="1"/>
  <c r="T25" i="22"/>
  <c r="T27" i="22"/>
  <c r="T30" i="22"/>
  <c r="T29" i="22"/>
  <c r="T33" i="22"/>
  <c r="T62" i="22" s="1"/>
  <c r="T14" i="22"/>
  <c r="S34" i="22"/>
  <c r="W4" i="17"/>
  <c r="W31" i="13"/>
  <c r="X20" i="6"/>
  <c r="V2" i="19"/>
  <c r="L34" i="7"/>
  <c r="L95" i="7" s="1"/>
  <c r="Z23" i="1"/>
  <c r="Y23" i="1"/>
  <c r="J31" i="1" l="1"/>
  <c r="I5" i="19" s="1"/>
  <c r="I32" i="1"/>
  <c r="Y10" i="14"/>
  <c r="X3" i="26"/>
  <c r="X10" i="14"/>
  <c r="W3" i="26"/>
  <c r="S17" i="19"/>
  <c r="S63" i="22"/>
  <c r="U56" i="1" s="1"/>
  <c r="U30" i="22"/>
  <c r="U29" i="22"/>
  <c r="U33" i="22"/>
  <c r="U62" i="22" s="1"/>
  <c r="W3" i="22"/>
  <c r="W3" i="12"/>
  <c r="X4" i="15"/>
  <c r="W4" i="23"/>
  <c r="T34" i="22"/>
  <c r="V11" i="22"/>
  <c r="V53" i="22" s="1"/>
  <c r="V28" i="22"/>
  <c r="V60" i="22" s="1"/>
  <c r="V26" i="22"/>
  <c r="V59" i="22" s="1"/>
  <c r="V24" i="22"/>
  <c r="V58" i="22" s="1"/>
  <c r="V13" i="22"/>
  <c r="V54" i="22" s="1"/>
  <c r="S36" i="22"/>
  <c r="S40" i="22" s="1"/>
  <c r="S38" i="22"/>
  <c r="T22" i="22"/>
  <c r="T37" i="22" s="1"/>
  <c r="U21" i="22"/>
  <c r="U57" i="22" s="1"/>
  <c r="U12" i="22"/>
  <c r="U14" i="22"/>
  <c r="U27" i="22"/>
  <c r="Y4" i="15"/>
  <c r="X3" i="22"/>
  <c r="X3" i="12"/>
  <c r="X4" i="23"/>
  <c r="U25" i="22"/>
  <c r="Y4" i="17"/>
  <c r="Y31" i="13"/>
  <c r="Z20" i="6"/>
  <c r="W2" i="19"/>
  <c r="X4" i="17"/>
  <c r="X31" i="13"/>
  <c r="Y20" i="6"/>
  <c r="N34" i="7"/>
  <c r="N95" i="7" s="1"/>
  <c r="AA23" i="1"/>
  <c r="K31" i="1" l="1"/>
  <c r="J5" i="19" s="1"/>
  <c r="J32" i="1"/>
  <c r="Z10" i="14"/>
  <c r="Y3" i="26"/>
  <c r="T17" i="19"/>
  <c r="T63" i="22"/>
  <c r="V56" i="1" s="1"/>
  <c r="T36" i="22"/>
  <c r="T40" i="22" s="1"/>
  <c r="T38" i="22"/>
  <c r="V29" i="22"/>
  <c r="V30" i="22"/>
  <c r="V33" i="22"/>
  <c r="V62" i="22" s="1"/>
  <c r="V12" i="22"/>
  <c r="V21" i="22"/>
  <c r="V57" i="22" s="1"/>
  <c r="W11" i="22"/>
  <c r="W53" i="22" s="1"/>
  <c r="W28" i="22"/>
  <c r="W60" i="22" s="1"/>
  <c r="W13" i="22"/>
  <c r="W54" i="22" s="1"/>
  <c r="W26" i="22"/>
  <c r="W59" i="22" s="1"/>
  <c r="W24" i="22"/>
  <c r="W58" i="22" s="1"/>
  <c r="U22" i="22"/>
  <c r="U37" i="22" s="1"/>
  <c r="U34" i="22"/>
  <c r="V14" i="22"/>
  <c r="X11" i="22"/>
  <c r="X53" i="22" s="1"/>
  <c r="X28" i="22"/>
  <c r="X60" i="22" s="1"/>
  <c r="X13" i="22"/>
  <c r="X54" i="22" s="1"/>
  <c r="X24" i="22"/>
  <c r="X58" i="22" s="1"/>
  <c r="X26" i="22"/>
  <c r="X59" i="22" s="1"/>
  <c r="V25" i="22"/>
  <c r="Z4" i="15"/>
  <c r="Y3" i="22"/>
  <c r="Y3" i="12"/>
  <c r="Y4" i="23"/>
  <c r="V27" i="22"/>
  <c r="Y2" i="19"/>
  <c r="Z4" i="17"/>
  <c r="Z31" i="13"/>
  <c r="AA20" i="6"/>
  <c r="X2" i="19"/>
  <c r="O34" i="7"/>
  <c r="O95" i="7" s="1"/>
  <c r="M34" i="7"/>
  <c r="M95" i="7" s="1"/>
  <c r="AB23" i="1"/>
  <c r="K32" i="1" l="1"/>
  <c r="L31" i="1"/>
  <c r="K5" i="19" s="1"/>
  <c r="AA10" i="14"/>
  <c r="Z3" i="26"/>
  <c r="U17" i="19"/>
  <c r="U63" i="22"/>
  <c r="W56" i="1" s="1"/>
  <c r="W29" i="22"/>
  <c r="W30" i="22"/>
  <c r="W33" i="22"/>
  <c r="W62" i="22" s="1"/>
  <c r="W21" i="22"/>
  <c r="W57" i="22" s="1"/>
  <c r="W12" i="22"/>
  <c r="X27" i="22"/>
  <c r="V22" i="22"/>
  <c r="V37" i="22" s="1"/>
  <c r="X25" i="22"/>
  <c r="X14" i="22"/>
  <c r="X30" i="22"/>
  <c r="X33" i="22"/>
  <c r="X62" i="22" s="1"/>
  <c r="X29" i="22"/>
  <c r="V34" i="22"/>
  <c r="X12" i="22"/>
  <c r="X21" i="22"/>
  <c r="X57" i="22" s="1"/>
  <c r="Y26" i="22"/>
  <c r="Y59" i="22" s="1"/>
  <c r="Y11" i="22"/>
  <c r="Y53" i="22" s="1"/>
  <c r="Y24" i="22"/>
  <c r="Y58" i="22" s="1"/>
  <c r="Y13" i="22"/>
  <c r="Y54" i="22" s="1"/>
  <c r="Y28" i="22"/>
  <c r="Y60" i="22" s="1"/>
  <c r="U36" i="22"/>
  <c r="U40" i="22" s="1"/>
  <c r="U38" i="22"/>
  <c r="W25" i="22"/>
  <c r="W27" i="22"/>
  <c r="AA4" i="15"/>
  <c r="Z3" i="22"/>
  <c r="Z3" i="12"/>
  <c r="Z4" i="23"/>
  <c r="W14" i="22"/>
  <c r="Z2" i="19"/>
  <c r="AA4" i="17"/>
  <c r="AA31" i="13"/>
  <c r="AB20" i="6"/>
  <c r="P34" i="7"/>
  <c r="P95" i="7" s="1"/>
  <c r="AC23" i="1"/>
  <c r="Q34" i="7"/>
  <c r="Q95" i="7" s="1"/>
  <c r="M31" i="1" l="1"/>
  <c r="L5" i="19" s="1"/>
  <c r="L32" i="1"/>
  <c r="AB10" i="14"/>
  <c r="AA3" i="26"/>
  <c r="V17" i="19"/>
  <c r="V63" i="22"/>
  <c r="X56" i="1" s="1"/>
  <c r="V38" i="22"/>
  <c r="V36" i="22"/>
  <c r="V40" i="22" s="1"/>
  <c r="AB4" i="15"/>
  <c r="AA3" i="22"/>
  <c r="AA3" i="12"/>
  <c r="AA4" i="23"/>
  <c r="Y29" i="22"/>
  <c r="Y30" i="22"/>
  <c r="Y33" i="22"/>
  <c r="Y62" i="22" s="1"/>
  <c r="W22" i="22"/>
  <c r="W37" i="22" s="1"/>
  <c r="Y12" i="22"/>
  <c r="Y21" i="22"/>
  <c r="Y57" i="22" s="1"/>
  <c r="Y25" i="22"/>
  <c r="Y27" i="22"/>
  <c r="W34" i="22"/>
  <c r="Y14" i="22"/>
  <c r="Z28" i="22"/>
  <c r="Z60" i="22" s="1"/>
  <c r="Z24" i="22"/>
  <c r="Z58" i="22" s="1"/>
  <c r="Z11" i="22"/>
  <c r="Z53" i="22" s="1"/>
  <c r="Z26" i="22"/>
  <c r="Z59" i="22" s="1"/>
  <c r="Z13" i="22"/>
  <c r="Z54" i="22" s="1"/>
  <c r="X22" i="22"/>
  <c r="X37" i="22" s="1"/>
  <c r="X34" i="22"/>
  <c r="AA2" i="19"/>
  <c r="AB31" i="13"/>
  <c r="AB4" i="17"/>
  <c r="AC20" i="6"/>
  <c r="AD23" i="1"/>
  <c r="N31" i="1" l="1"/>
  <c r="M5" i="19" s="1"/>
  <c r="M32" i="1"/>
  <c r="AC10" i="14"/>
  <c r="AB3" i="26"/>
  <c r="W17" i="19"/>
  <c r="X63" i="22"/>
  <c r="Z56" i="1" s="1"/>
  <c r="X36" i="22"/>
  <c r="X40" i="22" s="1"/>
  <c r="X38" i="22"/>
  <c r="W38" i="22"/>
  <c r="W36" i="22"/>
  <c r="W40" i="22" s="1"/>
  <c r="AA24" i="22"/>
  <c r="AA58" i="22" s="1"/>
  <c r="AA26" i="22"/>
  <c r="AA59" i="22" s="1"/>
  <c r="AA28" i="22"/>
  <c r="AA60" i="22" s="1"/>
  <c r="AA11" i="22"/>
  <c r="AA53" i="22" s="1"/>
  <c r="AA13" i="22"/>
  <c r="AA54" i="22" s="1"/>
  <c r="Z27" i="22"/>
  <c r="Y34" i="22"/>
  <c r="Z21" i="22"/>
  <c r="Z57" i="22" s="1"/>
  <c r="Z12" i="22"/>
  <c r="Y22" i="22"/>
  <c r="Y37" i="22" s="1"/>
  <c r="AC4" i="15"/>
  <c r="AB3" i="22"/>
  <c r="AB3" i="12"/>
  <c r="AB4" i="23"/>
  <c r="Z25" i="22"/>
  <c r="Z14" i="22"/>
  <c r="Z29" i="22"/>
  <c r="Z33" i="22"/>
  <c r="Z62" i="22" s="1"/>
  <c r="Z30" i="22"/>
  <c r="W63" i="22"/>
  <c r="Y56" i="1" s="1"/>
  <c r="AB2" i="19"/>
  <c r="AC31" i="13"/>
  <c r="AC4" i="17"/>
  <c r="AD20" i="6"/>
  <c r="R34" i="7"/>
  <c r="R95" i="7" s="1"/>
  <c r="AE23" i="1"/>
  <c r="S34" i="7"/>
  <c r="S95" i="7" s="1"/>
  <c r="O31" i="1" l="1"/>
  <c r="N5" i="19" s="1"/>
  <c r="N32" i="1"/>
  <c r="AD10" i="14"/>
  <c r="AC3" i="26"/>
  <c r="Y17" i="19"/>
  <c r="X17" i="19"/>
  <c r="Y63" i="22"/>
  <c r="AA56" i="1" s="1"/>
  <c r="Y38" i="22"/>
  <c r="Y36" i="22"/>
  <c r="Y40" i="22" s="1"/>
  <c r="AA14" i="22"/>
  <c r="AA21" i="22"/>
  <c r="AA57" i="22" s="1"/>
  <c r="AA12" i="22"/>
  <c r="AA30" i="22"/>
  <c r="AA33" i="22"/>
  <c r="AA62" i="22" s="1"/>
  <c r="AA29" i="22"/>
  <c r="AB11" i="22"/>
  <c r="AB53" i="22" s="1"/>
  <c r="AB24" i="22"/>
  <c r="AB58" i="22" s="1"/>
  <c r="AB26" i="22"/>
  <c r="AB59" i="22" s="1"/>
  <c r="AB28" i="22"/>
  <c r="AB60" i="22" s="1"/>
  <c r="AB13" i="22"/>
  <c r="AB54" i="22" s="1"/>
  <c r="Z34" i="22"/>
  <c r="AA25" i="22"/>
  <c r="AD4" i="15"/>
  <c r="AC3" i="22"/>
  <c r="AC4" i="23"/>
  <c r="AC3" i="12"/>
  <c r="Z22" i="22"/>
  <c r="Z37" i="22" s="1"/>
  <c r="AA27" i="22"/>
  <c r="AC2" i="19"/>
  <c r="AD31" i="13"/>
  <c r="AD4" i="17"/>
  <c r="AE20" i="6"/>
  <c r="AF23" i="1"/>
  <c r="O32" i="1" l="1"/>
  <c r="P31" i="1"/>
  <c r="O5" i="19" s="1"/>
  <c r="AE10" i="14"/>
  <c r="AD3" i="26"/>
  <c r="Z17" i="19"/>
  <c r="AB12" i="22"/>
  <c r="AB21" i="22"/>
  <c r="AB57" i="22" s="1"/>
  <c r="AA34" i="22"/>
  <c r="AC28" i="22"/>
  <c r="AC60" i="22" s="1"/>
  <c r="AC24" i="22"/>
  <c r="AC58" i="22" s="1"/>
  <c r="AC26" i="22"/>
  <c r="AC59" i="22" s="1"/>
  <c r="AC13" i="22"/>
  <c r="AC54" i="22" s="1"/>
  <c r="AC11" i="22"/>
  <c r="AC53" i="22" s="1"/>
  <c r="AA22" i="22"/>
  <c r="AA37" i="22" s="1"/>
  <c r="AB14" i="22"/>
  <c r="AE4" i="15"/>
  <c r="AD3" i="22"/>
  <c r="AD3" i="12"/>
  <c r="AD4" i="23"/>
  <c r="AB30" i="22"/>
  <c r="AB29" i="22"/>
  <c r="AB33" i="22"/>
  <c r="AB62" i="22" s="1"/>
  <c r="Z36" i="22"/>
  <c r="Z40" i="22" s="1"/>
  <c r="Z38" i="22"/>
  <c r="AB27" i="22"/>
  <c r="Z63" i="22"/>
  <c r="AB56" i="1" s="1"/>
  <c r="AB25" i="22"/>
  <c r="AE4" i="17"/>
  <c r="AE31" i="13"/>
  <c r="AF20" i="6"/>
  <c r="AD2" i="19"/>
  <c r="T34" i="7"/>
  <c r="T95" i="7" s="1"/>
  <c r="AG23" i="1"/>
  <c r="U34" i="7"/>
  <c r="U95" i="7" s="1"/>
  <c r="P32" i="1" l="1"/>
  <c r="Q31" i="1"/>
  <c r="P5" i="19" s="1"/>
  <c r="AF10" i="14"/>
  <c r="AE3" i="26"/>
  <c r="AA17" i="19"/>
  <c r="AA63" i="22"/>
  <c r="AC56" i="1" s="1"/>
  <c r="AA36" i="22"/>
  <c r="AA40" i="22" s="1"/>
  <c r="AA38" i="22"/>
  <c r="AC14" i="22"/>
  <c r="AB34" i="22"/>
  <c r="AC25" i="22"/>
  <c r="AC30" i="22"/>
  <c r="AC29" i="22"/>
  <c r="AC33" i="22"/>
  <c r="AC62" i="22" s="1"/>
  <c r="AD13" i="22"/>
  <c r="AD54" i="22" s="1"/>
  <c r="AD11" i="22"/>
  <c r="AD53" i="22" s="1"/>
  <c r="AD28" i="22"/>
  <c r="AD60" i="22" s="1"/>
  <c r="AD24" i="22"/>
  <c r="AD58" i="22" s="1"/>
  <c r="AD26" i="22"/>
  <c r="AD59" i="22" s="1"/>
  <c r="AB22" i="22"/>
  <c r="AB37" i="22" s="1"/>
  <c r="AC27" i="22"/>
  <c r="AC12" i="22"/>
  <c r="AC21" i="22"/>
  <c r="AC57" i="22" s="1"/>
  <c r="AF4" i="15"/>
  <c r="AE3" i="22"/>
  <c r="AE3" i="12"/>
  <c r="AE4" i="23"/>
  <c r="AE2" i="19"/>
  <c r="AF31" i="13"/>
  <c r="AF4" i="17"/>
  <c r="AG20" i="6"/>
  <c r="AH23" i="1"/>
  <c r="V34" i="7"/>
  <c r="V95" i="7" s="1"/>
  <c r="F24" i="1"/>
  <c r="D2" i="7" l="1"/>
  <c r="C4" i="11"/>
  <c r="R31" i="1"/>
  <c r="Q5" i="19" s="1"/>
  <c r="Q32" i="1"/>
  <c r="E11" i="14"/>
  <c r="AG10" i="14"/>
  <c r="AF3" i="26"/>
  <c r="AB17" i="19"/>
  <c r="AB63" i="22"/>
  <c r="AD56" i="1" s="1"/>
  <c r="AC34" i="22"/>
  <c r="E5" i="15"/>
  <c r="D4" i="22"/>
  <c r="H4" i="21"/>
  <c r="AB38" i="22"/>
  <c r="AB36" i="22"/>
  <c r="AB40" i="22" s="1"/>
  <c r="AF3" i="12"/>
  <c r="AG4" i="15"/>
  <c r="AF3" i="22"/>
  <c r="AF4" i="23"/>
  <c r="AD25" i="22"/>
  <c r="AC22" i="22"/>
  <c r="AC37" i="22" s="1"/>
  <c r="AD30" i="22"/>
  <c r="AD33" i="22"/>
  <c r="AD62" i="22" s="1"/>
  <c r="AD29" i="22"/>
  <c r="AE28" i="22"/>
  <c r="AE60" i="22" s="1"/>
  <c r="AE13" i="22"/>
  <c r="AE54" i="22" s="1"/>
  <c r="AE26" i="22"/>
  <c r="AE59" i="22" s="1"/>
  <c r="AE11" i="22"/>
  <c r="AE53" i="22" s="1"/>
  <c r="AE24" i="22"/>
  <c r="AE58" i="22" s="1"/>
  <c r="AD12" i="22"/>
  <c r="AD21" i="22"/>
  <c r="AD57" i="22" s="1"/>
  <c r="AD27" i="22"/>
  <c r="AD14" i="22"/>
  <c r="E5" i="17"/>
  <c r="F21" i="6"/>
  <c r="AG31" i="13"/>
  <c r="AG4" i="17"/>
  <c r="AH20" i="6"/>
  <c r="AF2" i="19"/>
  <c r="G24" i="1"/>
  <c r="E2" i="7" s="1"/>
  <c r="AI23" i="1"/>
  <c r="C42" i="11" l="1"/>
  <c r="D4" i="26"/>
  <c r="D5" i="23"/>
  <c r="E7" i="13"/>
  <c r="E32" i="13" s="1"/>
  <c r="D4" i="12"/>
  <c r="D4" i="11"/>
  <c r="S31" i="1"/>
  <c r="R5" i="19" s="1"/>
  <c r="R32" i="1"/>
  <c r="AH10" i="14"/>
  <c r="AG3" i="26"/>
  <c r="F11" i="14"/>
  <c r="AC17" i="19"/>
  <c r="AC63" i="22"/>
  <c r="AE56" i="1" s="1"/>
  <c r="AC36" i="22"/>
  <c r="AC40" i="22" s="1"/>
  <c r="AC38" i="22"/>
  <c r="AE14" i="22"/>
  <c r="AF26" i="22"/>
  <c r="AF59" i="22" s="1"/>
  <c r="AF11" i="22"/>
  <c r="AF53" i="22" s="1"/>
  <c r="AF13" i="22"/>
  <c r="AF54" i="22" s="1"/>
  <c r="AF28" i="22"/>
  <c r="AF60" i="22" s="1"/>
  <c r="AF24" i="22"/>
  <c r="AF58" i="22" s="1"/>
  <c r="AE29" i="22"/>
  <c r="AE30" i="22"/>
  <c r="AE33" i="22"/>
  <c r="AE62" i="22" s="1"/>
  <c r="AD34" i="22"/>
  <c r="AD22" i="22"/>
  <c r="AD37" i="22" s="1"/>
  <c r="H1" i="21"/>
  <c r="H43" i="21"/>
  <c r="H82" i="21" s="1"/>
  <c r="F5" i="15"/>
  <c r="E4" i="22"/>
  <c r="I4" i="21"/>
  <c r="AE25" i="22"/>
  <c r="AE12" i="22"/>
  <c r="AE21" i="22"/>
  <c r="AE57" i="22" s="1"/>
  <c r="AG3" i="12"/>
  <c r="AG3" i="22"/>
  <c r="AH4" i="15"/>
  <c r="AG4" i="23"/>
  <c r="AE27" i="22"/>
  <c r="AH4" i="17"/>
  <c r="AH31" i="13"/>
  <c r="AI20" i="6"/>
  <c r="E3" i="19"/>
  <c r="F5" i="17"/>
  <c r="G21" i="6"/>
  <c r="AG2" i="19"/>
  <c r="H24" i="1"/>
  <c r="F2" i="7" s="1"/>
  <c r="Y34" i="7"/>
  <c r="Y95" i="7" s="1"/>
  <c r="E4" i="12" l="1"/>
  <c r="E4" i="11"/>
  <c r="F7" i="13"/>
  <c r="F32" i="13" s="1"/>
  <c r="D42" i="11"/>
  <c r="E4" i="26"/>
  <c r="E5" i="23"/>
  <c r="S32" i="1"/>
  <c r="T31" i="1"/>
  <c r="S5" i="19" s="1"/>
  <c r="G11" i="14"/>
  <c r="AD17" i="19"/>
  <c r="AD63" i="22"/>
  <c r="AF56" i="1" s="1"/>
  <c r="AD38" i="22"/>
  <c r="AD36" i="22"/>
  <c r="AD40" i="22" s="1"/>
  <c r="I1" i="21"/>
  <c r="I43" i="21"/>
  <c r="I82" i="21" s="1"/>
  <c r="AG26" i="22"/>
  <c r="AG59" i="22" s="1"/>
  <c r="AG13" i="22"/>
  <c r="AG54" i="22" s="1"/>
  <c r="AG24" i="22"/>
  <c r="AG58" i="22" s="1"/>
  <c r="AG28" i="22"/>
  <c r="AG60" i="22" s="1"/>
  <c r="AG11" i="22"/>
  <c r="AG53" i="22" s="1"/>
  <c r="AF25" i="22"/>
  <c r="AF29" i="22"/>
  <c r="AF30" i="22"/>
  <c r="AF33" i="22"/>
  <c r="AF62" i="22" s="1"/>
  <c r="H121" i="21"/>
  <c r="AF14" i="22"/>
  <c r="J4" i="21"/>
  <c r="G5" i="15"/>
  <c r="F4" i="22"/>
  <c r="AF21" i="22"/>
  <c r="AF57" i="22" s="1"/>
  <c r="AF12" i="22"/>
  <c r="AF27" i="22"/>
  <c r="AE22" i="22"/>
  <c r="AE37" i="22" s="1"/>
  <c r="AE34" i="22"/>
  <c r="AH2" i="19"/>
  <c r="F3" i="19"/>
  <c r="G5" i="17"/>
  <c r="H21" i="6"/>
  <c r="I24" i="1"/>
  <c r="G2" i="7" s="1"/>
  <c r="W34" i="7"/>
  <c r="W95" i="7" s="1"/>
  <c r="X34" i="7"/>
  <c r="X95" i="7" s="1"/>
  <c r="Z34" i="7"/>
  <c r="Z95" i="7" s="1"/>
  <c r="F4" i="12" l="1"/>
  <c r="F4" i="26"/>
  <c r="G7" i="13"/>
  <c r="G32" i="13" s="1"/>
  <c r="F5" i="23"/>
  <c r="F4" i="11"/>
  <c r="E42" i="11"/>
  <c r="T32" i="1"/>
  <c r="U31" i="1"/>
  <c r="T5" i="19" s="1"/>
  <c r="H11" i="14"/>
  <c r="AE17" i="19"/>
  <c r="AE38" i="22"/>
  <c r="AE36" i="22"/>
  <c r="AE40" i="22" s="1"/>
  <c r="K4" i="21"/>
  <c r="H5" i="15"/>
  <c r="G4" i="22"/>
  <c r="AE63" i="22"/>
  <c r="AG56" i="1" s="1"/>
  <c r="AG21" i="22"/>
  <c r="AG57" i="22" s="1"/>
  <c r="AG12" i="22"/>
  <c r="AG30" i="22"/>
  <c r="AG33" i="22"/>
  <c r="AG62" i="22" s="1"/>
  <c r="AG29" i="22"/>
  <c r="J1" i="21"/>
  <c r="J43" i="21"/>
  <c r="J82" i="21" s="1"/>
  <c r="AG25" i="22"/>
  <c r="AG14" i="22"/>
  <c r="AG27" i="22"/>
  <c r="AF34" i="22"/>
  <c r="I121" i="21"/>
  <c r="AF22" i="22"/>
  <c r="AF37" i="22" s="1"/>
  <c r="H5" i="17"/>
  <c r="I21" i="6"/>
  <c r="G3" i="19"/>
  <c r="J24" i="1"/>
  <c r="H2" i="7" s="1"/>
  <c r="AA34" i="7"/>
  <c r="AA95" i="7" s="1"/>
  <c r="G5" i="23" l="1"/>
  <c r="F42" i="11"/>
  <c r="H7" i="13"/>
  <c r="H32" i="13" s="1"/>
  <c r="G4" i="12"/>
  <c r="G4" i="26"/>
  <c r="G4" i="11"/>
  <c r="U32" i="1"/>
  <c r="V31" i="1"/>
  <c r="U5" i="19" s="1"/>
  <c r="I11" i="14"/>
  <c r="AF17" i="19"/>
  <c r="AG22" i="22"/>
  <c r="AG37" i="22" s="1"/>
  <c r="L4" i="21"/>
  <c r="I5" i="15"/>
  <c r="H4" i="22"/>
  <c r="AF38" i="22"/>
  <c r="AF36" i="22"/>
  <c r="AF40" i="22" s="1"/>
  <c r="J121" i="21"/>
  <c r="AF63" i="22"/>
  <c r="AH56" i="1" s="1"/>
  <c r="AG34" i="22"/>
  <c r="K1" i="21"/>
  <c r="K43" i="21"/>
  <c r="K82" i="21" s="1"/>
  <c r="I5" i="17"/>
  <c r="J21" i="6"/>
  <c r="H3" i="19"/>
  <c r="K24" i="1"/>
  <c r="I2" i="7" s="1"/>
  <c r="H4" i="11" l="1"/>
  <c r="G42" i="11"/>
  <c r="H5" i="23"/>
  <c r="H4" i="12"/>
  <c r="I7" i="13"/>
  <c r="I32" i="13" s="1"/>
  <c r="H4" i="26"/>
  <c r="W31" i="1"/>
  <c r="V5" i="19" s="1"/>
  <c r="V32" i="1"/>
  <c r="J11" i="14"/>
  <c r="AG17" i="19"/>
  <c r="AG63" i="22"/>
  <c r="AI56" i="1" s="1"/>
  <c r="L43" i="21"/>
  <c r="L82" i="21" s="1"/>
  <c r="L1" i="21"/>
  <c r="K121" i="21"/>
  <c r="J5" i="15"/>
  <c r="M4" i="21"/>
  <c r="I4" i="22"/>
  <c r="AG36" i="22"/>
  <c r="AG40" i="22" s="1"/>
  <c r="AG38" i="22"/>
  <c r="J5" i="17"/>
  <c r="K21" i="6"/>
  <c r="I3" i="19"/>
  <c r="L24" i="1"/>
  <c r="J2" i="7" s="1"/>
  <c r="AB34" i="7"/>
  <c r="AB95" i="7" s="1"/>
  <c r="AC34" i="7"/>
  <c r="AC95" i="7" s="1"/>
  <c r="H42" i="11" l="1"/>
  <c r="I5" i="23"/>
  <c r="I4" i="26"/>
  <c r="J7" i="13"/>
  <c r="J32" i="13" s="1"/>
  <c r="I4" i="12"/>
  <c r="I4" i="11"/>
  <c r="W32" i="1"/>
  <c r="X31" i="1"/>
  <c r="W5" i="19" s="1"/>
  <c r="K11" i="14"/>
  <c r="AH17" i="19"/>
  <c r="AN17" i="19" s="1"/>
  <c r="AO56" i="1"/>
  <c r="L121" i="21"/>
  <c r="J4" i="22"/>
  <c r="N4" i="21"/>
  <c r="K5" i="15"/>
  <c r="M43" i="21"/>
  <c r="M82" i="21" s="1"/>
  <c r="M1" i="21"/>
  <c r="K5" i="17"/>
  <c r="L21" i="6"/>
  <c r="J3" i="19"/>
  <c r="M24" i="1"/>
  <c r="K2" i="7" s="1"/>
  <c r="J4" i="11" l="1"/>
  <c r="J4" i="12"/>
  <c r="I42" i="11"/>
  <c r="J4" i="26"/>
  <c r="K7" i="13"/>
  <c r="K32" i="13" s="1"/>
  <c r="J5" i="23"/>
  <c r="Y31" i="1"/>
  <c r="X32" i="1"/>
  <c r="L11" i="14"/>
  <c r="O4" i="21"/>
  <c r="L5" i="15"/>
  <c r="K4" i="22"/>
  <c r="M121" i="21"/>
  <c r="N1" i="21"/>
  <c r="N43" i="21"/>
  <c r="N82" i="21" s="1"/>
  <c r="K3" i="19"/>
  <c r="L5" i="17"/>
  <c r="M21" i="6"/>
  <c r="N24" i="1"/>
  <c r="L2" i="7" s="1"/>
  <c r="AD34" i="7"/>
  <c r="AD95" i="7" s="1"/>
  <c r="AE34" i="7"/>
  <c r="AE95" i="7" s="1"/>
  <c r="J42" i="11" l="1"/>
  <c r="K5" i="23"/>
  <c r="K4" i="26"/>
  <c r="K4" i="12"/>
  <c r="L7" i="13"/>
  <c r="L32" i="13" s="1"/>
  <c r="K4" i="11"/>
  <c r="Z31" i="1"/>
  <c r="Y5" i="19" s="1"/>
  <c r="Y32" i="1"/>
  <c r="M11" i="14"/>
  <c r="X5" i="19"/>
  <c r="N121" i="21"/>
  <c r="L4" i="22"/>
  <c r="P4" i="21"/>
  <c r="M5" i="15"/>
  <c r="O1" i="21"/>
  <c r="O43" i="21"/>
  <c r="O82" i="21" s="1"/>
  <c r="M5" i="17"/>
  <c r="N21" i="6"/>
  <c r="L3" i="19"/>
  <c r="AN42" i="1"/>
  <c r="AN63" i="1" s="1"/>
  <c r="AB42" i="1"/>
  <c r="AB63" i="1" s="1"/>
  <c r="AA25" i="19" s="1"/>
  <c r="AG42" i="1"/>
  <c r="AG63" i="1" s="1"/>
  <c r="AF25" i="19" s="1"/>
  <c r="W42" i="1"/>
  <c r="W63" i="1" s="1"/>
  <c r="V25" i="19" s="1"/>
  <c r="AH42" i="1"/>
  <c r="AH63" i="1" s="1"/>
  <c r="AG25" i="19" s="1"/>
  <c r="AE42" i="1"/>
  <c r="AE63" i="1" s="1"/>
  <c r="AD25" i="19" s="1"/>
  <c r="Y42" i="1"/>
  <c r="Y63" i="1" s="1"/>
  <c r="X25" i="19" s="1"/>
  <c r="AF42" i="1"/>
  <c r="AF63" i="1" s="1"/>
  <c r="AE25" i="19" s="1"/>
  <c r="S42" i="1"/>
  <c r="S63" i="1" s="1"/>
  <c r="R25" i="19" s="1"/>
  <c r="Q42" i="1"/>
  <c r="Q63" i="1" s="1"/>
  <c r="P25" i="19" s="1"/>
  <c r="AD42" i="1"/>
  <c r="AD63" i="1" s="1"/>
  <c r="AC25" i="19" s="1"/>
  <c r="T42" i="1"/>
  <c r="T63" i="1" s="1"/>
  <c r="S25" i="19" s="1"/>
  <c r="P42" i="1"/>
  <c r="P63" i="1" s="1"/>
  <c r="O25" i="19" s="1"/>
  <c r="AA42" i="1"/>
  <c r="AA63" i="1" s="1"/>
  <c r="Z25" i="19" s="1"/>
  <c r="O24" i="1"/>
  <c r="M2" i="7" s="1"/>
  <c r="M7" i="13" l="1"/>
  <c r="M32" i="13" s="1"/>
  <c r="K42" i="11"/>
  <c r="L4" i="12"/>
  <c r="L5" i="23"/>
  <c r="L4" i="11"/>
  <c r="L4" i="26"/>
  <c r="Z32" i="1"/>
  <c r="AA31" i="1"/>
  <c r="Z5" i="19" s="1"/>
  <c r="AM25" i="19"/>
  <c r="AK210" i="1"/>
  <c r="N11" i="14"/>
  <c r="AJ8" i="17"/>
  <c r="AJ9" i="17" s="1"/>
  <c r="AJ10" i="17" s="1"/>
  <c r="AK64" i="1" s="1"/>
  <c r="AK8" i="17"/>
  <c r="AK9" i="17" s="1"/>
  <c r="AK10" i="17" s="1"/>
  <c r="AL64" i="1" s="1"/>
  <c r="AL8" i="17"/>
  <c r="AL9" i="17" s="1"/>
  <c r="AL10" i="17" s="1"/>
  <c r="AM64" i="1" s="1"/>
  <c r="AI8" i="17"/>
  <c r="AI9" i="17" s="1"/>
  <c r="AI10" i="17" s="1"/>
  <c r="AJ64" i="1" s="1"/>
  <c r="O121" i="21"/>
  <c r="N5" i="15"/>
  <c r="M4" i="22"/>
  <c r="Q4" i="21"/>
  <c r="P1" i="21"/>
  <c r="P43" i="21"/>
  <c r="P82" i="21" s="1"/>
  <c r="AD22" i="10"/>
  <c r="AB22" i="10"/>
  <c r="W22" i="10"/>
  <c r="Z22" i="10"/>
  <c r="AC22" i="10"/>
  <c r="AF22" i="10"/>
  <c r="Y22" i="10"/>
  <c r="U22" i="10"/>
  <c r="N22" i="10"/>
  <c r="AL22" i="10"/>
  <c r="O22" i="10"/>
  <c r="R22" i="10"/>
  <c r="Q22" i="10"/>
  <c r="AE22" i="10"/>
  <c r="M3" i="19"/>
  <c r="N5" i="17"/>
  <c r="O21" i="6"/>
  <c r="AK42" i="1"/>
  <c r="AK63" i="1" s="1"/>
  <c r="AJ42" i="1"/>
  <c r="AJ63" i="1" s="1"/>
  <c r="AL42" i="1"/>
  <c r="AL63" i="1" s="1"/>
  <c r="AK196" i="1"/>
  <c r="AN81" i="1"/>
  <c r="AM42" i="1"/>
  <c r="AM63" i="1" s="1"/>
  <c r="Z42" i="1"/>
  <c r="Z63" i="1" s="1"/>
  <c r="Y25" i="19" s="1"/>
  <c r="V42" i="1"/>
  <c r="V63" i="1" s="1"/>
  <c r="U25" i="19" s="1"/>
  <c r="U42" i="1"/>
  <c r="U63" i="1" s="1"/>
  <c r="T25" i="19" s="1"/>
  <c r="AI42" i="1"/>
  <c r="AI63" i="1" s="1"/>
  <c r="AH25" i="19" s="1"/>
  <c r="AC42" i="1"/>
  <c r="AC63" i="1" s="1"/>
  <c r="AB25" i="19" s="1"/>
  <c r="R42" i="1"/>
  <c r="R63" i="1" s="1"/>
  <c r="Q25" i="19" s="1"/>
  <c r="X42" i="1"/>
  <c r="X63" i="1" s="1"/>
  <c r="W25" i="19" s="1"/>
  <c r="AB8" i="17"/>
  <c r="AB9" i="17" s="1"/>
  <c r="AB10" i="17" s="1"/>
  <c r="AC64" i="1" s="1"/>
  <c r="W8" i="17"/>
  <c r="W9" i="17" s="1"/>
  <c r="W10" i="17" s="1"/>
  <c r="X64" i="1" s="1"/>
  <c r="Q8" i="17"/>
  <c r="Q9" i="17" s="1"/>
  <c r="Q10" i="17" s="1"/>
  <c r="R64" i="1" s="1"/>
  <c r="AH8" i="17"/>
  <c r="AH9" i="17" s="1"/>
  <c r="AH10" i="17" s="1"/>
  <c r="AI64" i="1" s="1"/>
  <c r="T8" i="17"/>
  <c r="T9" i="17" s="1"/>
  <c r="T10" i="17" s="1"/>
  <c r="U64" i="1" s="1"/>
  <c r="U8" i="17"/>
  <c r="U9" i="17" s="1"/>
  <c r="U10" i="17" s="1"/>
  <c r="V64" i="1" s="1"/>
  <c r="Y8" i="17"/>
  <c r="Y9" i="17" s="1"/>
  <c r="Y10" i="17" s="1"/>
  <c r="Z64" i="1" s="1"/>
  <c r="P24" i="1"/>
  <c r="N2" i="7" s="1"/>
  <c r="AA81" i="1"/>
  <c r="P81" i="1"/>
  <c r="W81" i="1"/>
  <c r="AF34" i="7"/>
  <c r="AF95" i="7" s="1"/>
  <c r="AH81" i="1"/>
  <c r="AE81" i="1"/>
  <c r="S81" i="1"/>
  <c r="AG81" i="1"/>
  <c r="AB81" i="1"/>
  <c r="Y81" i="1"/>
  <c r="AD81" i="1"/>
  <c r="AF81" i="1"/>
  <c r="T81" i="1"/>
  <c r="Q81" i="1"/>
  <c r="AB21" i="7"/>
  <c r="M4" i="11" l="1"/>
  <c r="M4" i="26"/>
  <c r="L42" i="11"/>
  <c r="M5" i="23"/>
  <c r="N7" i="13"/>
  <c r="N32" i="13" s="1"/>
  <c r="M4" i="12"/>
  <c r="AB31" i="1"/>
  <c r="AA5" i="19" s="1"/>
  <c r="AA32" i="1"/>
  <c r="AL25" i="19"/>
  <c r="AJ210" i="1"/>
  <c r="AI25" i="19"/>
  <c r="AG210" i="1"/>
  <c r="AJ25" i="19"/>
  <c r="AH210" i="1"/>
  <c r="O11" i="14"/>
  <c r="AK25" i="19"/>
  <c r="AI210" i="1"/>
  <c r="U26" i="19"/>
  <c r="AH26" i="19"/>
  <c r="AB26" i="19"/>
  <c r="Y26" i="19"/>
  <c r="T26" i="19"/>
  <c r="AI26" i="19"/>
  <c r="AG211" i="1"/>
  <c r="AL26" i="19"/>
  <c r="AJ211" i="1"/>
  <c r="Q26" i="19"/>
  <c r="AK26" i="19"/>
  <c r="AI211" i="1"/>
  <c r="W26" i="19"/>
  <c r="AJ26" i="19"/>
  <c r="AH211" i="1"/>
  <c r="AM8" i="17"/>
  <c r="AM9" i="17" s="1"/>
  <c r="AM10" i="17" s="1"/>
  <c r="AN64" i="1" s="1"/>
  <c r="O5" i="15"/>
  <c r="N4" i="22"/>
  <c r="R4" i="21"/>
  <c r="P121" i="21"/>
  <c r="Q1" i="21"/>
  <c r="Q43" i="21"/>
  <c r="Q82" i="21" s="1"/>
  <c r="AK22" i="10"/>
  <c r="AJ22" i="10"/>
  <c r="AH22" i="10"/>
  <c r="AI22" i="10"/>
  <c r="S22" i="10"/>
  <c r="AG22" i="10"/>
  <c r="X22" i="10"/>
  <c r="V22" i="10"/>
  <c r="P22" i="10"/>
  <c r="AA22" i="10"/>
  <c r="T22" i="10"/>
  <c r="AK81" i="1"/>
  <c r="N3" i="19"/>
  <c r="O5" i="17"/>
  <c r="P21" i="6"/>
  <c r="AG196" i="1"/>
  <c r="AJ81" i="1"/>
  <c r="AH196" i="1"/>
  <c r="AI196" i="1"/>
  <c r="AL81" i="1"/>
  <c r="AM81" i="1"/>
  <c r="AJ196" i="1"/>
  <c r="AF8" i="17"/>
  <c r="AF9" i="17" s="1"/>
  <c r="AF10" i="17" s="1"/>
  <c r="AG64" i="1" s="1"/>
  <c r="AG8" i="17"/>
  <c r="AG9" i="17" s="1"/>
  <c r="AG10" i="17" s="1"/>
  <c r="AH64" i="1" s="1"/>
  <c r="R8" i="17"/>
  <c r="R9" i="17" s="1"/>
  <c r="R10" i="17" s="1"/>
  <c r="S64" i="1" s="1"/>
  <c r="P8" i="17"/>
  <c r="P9" i="17" s="1"/>
  <c r="P10" i="17" s="1"/>
  <c r="Q64" i="1" s="1"/>
  <c r="S8" i="17"/>
  <c r="S9" i="17" s="1"/>
  <c r="S10" i="17" s="1"/>
  <c r="T64" i="1" s="1"/>
  <c r="R81" i="1"/>
  <c r="AD8" i="17"/>
  <c r="AD9" i="17" s="1"/>
  <c r="AD10" i="17" s="1"/>
  <c r="AE64" i="1" s="1"/>
  <c r="AI81" i="1"/>
  <c r="V81" i="1"/>
  <c r="O8" i="17"/>
  <c r="O9" i="17" s="1"/>
  <c r="O10" i="17" s="1"/>
  <c r="P64" i="1" s="1"/>
  <c r="AA8" i="17"/>
  <c r="AA9" i="17" s="1"/>
  <c r="AA10" i="17" s="1"/>
  <c r="AB64" i="1" s="1"/>
  <c r="V8" i="17"/>
  <c r="V9" i="17" s="1"/>
  <c r="V10" i="17" s="1"/>
  <c r="W64" i="1" s="1"/>
  <c r="X8" i="17"/>
  <c r="X9" i="17" s="1"/>
  <c r="X10" i="17" s="1"/>
  <c r="Y64" i="1" s="1"/>
  <c r="X81" i="1"/>
  <c r="AC8" i="17"/>
  <c r="AC9" i="17" s="1"/>
  <c r="AC10" i="17" s="1"/>
  <c r="AD64" i="1" s="1"/>
  <c r="Z8" i="17"/>
  <c r="Z9" i="17" s="1"/>
  <c r="Z10" i="17" s="1"/>
  <c r="AA64" i="1" s="1"/>
  <c r="AC81" i="1"/>
  <c r="AE8" i="17"/>
  <c r="AE9" i="17" s="1"/>
  <c r="AE10" i="17" s="1"/>
  <c r="AF64" i="1" s="1"/>
  <c r="U81" i="1"/>
  <c r="Z81" i="1"/>
  <c r="Q24" i="1"/>
  <c r="O2" i="7" s="1"/>
  <c r="X21" i="7"/>
  <c r="AG34" i="7"/>
  <c r="AG95" i="7" s="1"/>
  <c r="D21" i="7"/>
  <c r="H21" i="7"/>
  <c r="L21" i="7"/>
  <c r="P21" i="7"/>
  <c r="T21" i="7"/>
  <c r="O7" i="13" l="1"/>
  <c r="O32" i="13" s="1"/>
  <c r="N4" i="12"/>
  <c r="N5" i="23"/>
  <c r="N4" i="11"/>
  <c r="M42" i="11"/>
  <c r="N4" i="26"/>
  <c r="AC31" i="1"/>
  <c r="AB5" i="19" s="1"/>
  <c r="AB32" i="1"/>
  <c r="P11" i="14"/>
  <c r="Z26" i="19"/>
  <c r="V26" i="19"/>
  <c r="AA26" i="19"/>
  <c r="O26" i="19"/>
  <c r="AD26" i="19"/>
  <c r="AE26" i="19"/>
  <c r="S26" i="19"/>
  <c r="AM26" i="19"/>
  <c r="AK211" i="1"/>
  <c r="P26" i="19"/>
  <c r="R26" i="19"/>
  <c r="AC26" i="19"/>
  <c r="AG26" i="19"/>
  <c r="X26" i="19"/>
  <c r="AF26" i="19"/>
  <c r="P5" i="15"/>
  <c r="O4" i="22"/>
  <c r="S4" i="21"/>
  <c r="Q121" i="21"/>
  <c r="R1" i="21"/>
  <c r="R43" i="21"/>
  <c r="R82" i="21" s="1"/>
  <c r="P5" i="17"/>
  <c r="Q21" i="6"/>
  <c r="O3" i="19"/>
  <c r="R24" i="1"/>
  <c r="P2" i="7" s="1"/>
  <c r="F36" i="1"/>
  <c r="F37" i="1" s="1"/>
  <c r="O4" i="26" l="1"/>
  <c r="O5" i="23"/>
  <c r="O4" i="12"/>
  <c r="O4" i="11"/>
  <c r="P7" i="13"/>
  <c r="P32" i="13" s="1"/>
  <c r="N42" i="11"/>
  <c r="AD31" i="1"/>
  <c r="AC5" i="19" s="1"/>
  <c r="AC32" i="1"/>
  <c r="Q11" i="14"/>
  <c r="R121" i="21"/>
  <c r="S1" i="21"/>
  <c r="S43" i="21"/>
  <c r="S82" i="21" s="1"/>
  <c r="Q5" i="15"/>
  <c r="P4" i="22"/>
  <c r="T4" i="21"/>
  <c r="P3" i="19"/>
  <c r="Q5" i="17"/>
  <c r="R21" i="6"/>
  <c r="AO35" i="1"/>
  <c r="L42" i="1"/>
  <c r="L63" i="1" s="1"/>
  <c r="K25" i="19" s="1"/>
  <c r="I42" i="1"/>
  <c r="I63" i="1" s="1"/>
  <c r="H25" i="19" s="1"/>
  <c r="J42" i="1"/>
  <c r="J63" i="1" s="1"/>
  <c r="I25" i="19" s="1"/>
  <c r="M42" i="1"/>
  <c r="M63" i="1" s="1"/>
  <c r="L25" i="19" s="1"/>
  <c r="K42" i="1"/>
  <c r="K63" i="1" s="1"/>
  <c r="J25" i="19" s="1"/>
  <c r="S24" i="1"/>
  <c r="Q2" i="7" s="1"/>
  <c r="F42" i="1"/>
  <c r="F63" i="1" s="1"/>
  <c r="P4" i="11" l="1"/>
  <c r="P5" i="23"/>
  <c r="Q7" i="13"/>
  <c r="Q32" i="13" s="1"/>
  <c r="O42" i="11"/>
  <c r="P4" i="26"/>
  <c r="P4" i="12"/>
  <c r="AD32" i="1"/>
  <c r="AE31" i="1"/>
  <c r="AD5" i="19" s="1"/>
  <c r="R11" i="14"/>
  <c r="E25" i="19"/>
  <c r="E8" i="17"/>
  <c r="E9" i="17" s="1"/>
  <c r="E10" i="17" s="1"/>
  <c r="F64" i="1" s="1"/>
  <c r="S121" i="21"/>
  <c r="R5" i="15"/>
  <c r="Q4" i="22"/>
  <c r="U4" i="21"/>
  <c r="T1" i="21"/>
  <c r="T43" i="21"/>
  <c r="T82" i="21" s="1"/>
  <c r="D22" i="10"/>
  <c r="J22" i="10"/>
  <c r="G22" i="10"/>
  <c r="I22" i="10"/>
  <c r="K22" i="10"/>
  <c r="H22" i="10"/>
  <c r="R5" i="17"/>
  <c r="S21" i="6"/>
  <c r="Q3" i="19"/>
  <c r="F38" i="1"/>
  <c r="AO36" i="1"/>
  <c r="G42" i="1"/>
  <c r="G63" i="1" s="1"/>
  <c r="F25" i="19" s="1"/>
  <c r="O42" i="1"/>
  <c r="O63" i="1" s="1"/>
  <c r="N25" i="19" s="1"/>
  <c r="F8" i="17"/>
  <c r="F9" i="17" s="1"/>
  <c r="F10" i="17" s="1"/>
  <c r="G64" i="1" s="1"/>
  <c r="T24" i="1"/>
  <c r="R2" i="7" s="1"/>
  <c r="F81" i="1"/>
  <c r="I81" i="1"/>
  <c r="M81" i="1"/>
  <c r="K81" i="1"/>
  <c r="J81" i="1"/>
  <c r="L81" i="1"/>
  <c r="H42" i="1"/>
  <c r="H63" i="1" s="1"/>
  <c r="G25" i="19" s="1"/>
  <c r="N42" i="1"/>
  <c r="N63" i="1" s="1"/>
  <c r="M25" i="19" s="1"/>
  <c r="P42" i="11" l="1"/>
  <c r="Q4" i="26"/>
  <c r="R7" i="13"/>
  <c r="R32" i="13" s="1"/>
  <c r="Q5" i="23"/>
  <c r="Q4" i="11"/>
  <c r="Q4" i="12"/>
  <c r="F43" i="1"/>
  <c r="F76" i="1" s="1"/>
  <c r="G38" i="1"/>
  <c r="AE32" i="1"/>
  <c r="AF31" i="1"/>
  <c r="AE5" i="19" s="1"/>
  <c r="S11" i="14"/>
  <c r="AO63" i="1"/>
  <c r="AN25" i="19"/>
  <c r="F26" i="19"/>
  <c r="E26" i="19"/>
  <c r="D23" i="10"/>
  <c r="E6" i="19"/>
  <c r="M8" i="17"/>
  <c r="M9" i="17" s="1"/>
  <c r="M10" i="17" s="1"/>
  <c r="N64" i="1" s="1"/>
  <c r="G8" i="17"/>
  <c r="G9" i="17" s="1"/>
  <c r="G10" i="17" s="1"/>
  <c r="H64" i="1" s="1"/>
  <c r="T121" i="21"/>
  <c r="U1" i="21"/>
  <c r="U43" i="21"/>
  <c r="U82" i="21" s="1"/>
  <c r="V4" i="21"/>
  <c r="S5" i="15"/>
  <c r="R4" i="22"/>
  <c r="M22" i="10"/>
  <c r="E22" i="10"/>
  <c r="F22" i="10"/>
  <c r="L22" i="10"/>
  <c r="F39" i="1"/>
  <c r="R3" i="19"/>
  <c r="S5" i="17"/>
  <c r="T21" i="6"/>
  <c r="AO42" i="1"/>
  <c r="AO37" i="1"/>
  <c r="O81" i="1"/>
  <c r="K8" i="17"/>
  <c r="K9" i="17" s="1"/>
  <c r="K10" i="17" s="1"/>
  <c r="L64" i="1" s="1"/>
  <c r="J8" i="17"/>
  <c r="J9" i="17" s="1"/>
  <c r="J10" i="17" s="1"/>
  <c r="K64" i="1" s="1"/>
  <c r="G81" i="1"/>
  <c r="L8" i="17"/>
  <c r="L9" i="17" s="1"/>
  <c r="L10" i="17" s="1"/>
  <c r="M64" i="1" s="1"/>
  <c r="I8" i="17"/>
  <c r="I9" i="17" s="1"/>
  <c r="I10" i="17" s="1"/>
  <c r="J64" i="1" s="1"/>
  <c r="H8" i="17"/>
  <c r="H9" i="17" s="1"/>
  <c r="H10" i="17" s="1"/>
  <c r="I64" i="1" s="1"/>
  <c r="N8" i="17"/>
  <c r="N9" i="17" s="1"/>
  <c r="N10" i="17" s="1"/>
  <c r="O64" i="1" s="1"/>
  <c r="U24" i="1"/>
  <c r="S2" i="7" s="1"/>
  <c r="N81" i="1"/>
  <c r="H81" i="1"/>
  <c r="R4" i="11" l="1"/>
  <c r="S7" i="13"/>
  <c r="S32" i="13" s="1"/>
  <c r="R4" i="12"/>
  <c r="Q42" i="11"/>
  <c r="R5" i="23"/>
  <c r="R4" i="26"/>
  <c r="F82" i="1"/>
  <c r="F83" i="1" s="1"/>
  <c r="F44" i="1"/>
  <c r="AG31" i="1"/>
  <c r="AF5" i="19" s="1"/>
  <c r="AF32" i="1"/>
  <c r="G39" i="1"/>
  <c r="H38" i="1"/>
  <c r="G6" i="19" s="1"/>
  <c r="T11" i="14"/>
  <c r="G26" i="19"/>
  <c r="M26" i="19"/>
  <c r="H26" i="19"/>
  <c r="J26" i="19"/>
  <c r="I26" i="19"/>
  <c r="K26" i="19"/>
  <c r="L26" i="19"/>
  <c r="AO64" i="1"/>
  <c r="N26" i="19"/>
  <c r="B23" i="10"/>
  <c r="F6" i="19"/>
  <c r="E4" i="19"/>
  <c r="W4" i="21"/>
  <c r="T5" i="15"/>
  <c r="S4" i="22"/>
  <c r="V1" i="21"/>
  <c r="V43" i="21"/>
  <c r="V82" i="21" s="1"/>
  <c r="U121" i="21"/>
  <c r="E23" i="10"/>
  <c r="F23" i="10" s="1"/>
  <c r="G23" i="10" s="1"/>
  <c r="H23" i="10" s="1"/>
  <c r="I23" i="10" s="1"/>
  <c r="J23" i="10" s="1"/>
  <c r="K23" i="10" s="1"/>
  <c r="L23" i="10" s="1"/>
  <c r="M23" i="10" s="1"/>
  <c r="N23" i="10" s="1"/>
  <c r="O23" i="10" s="1"/>
  <c r="P23" i="10" s="1"/>
  <c r="Q23" i="10" s="1"/>
  <c r="R23" i="10" s="1"/>
  <c r="S23" i="10" s="1"/>
  <c r="T23" i="10" s="1"/>
  <c r="U23" i="10" s="1"/>
  <c r="V23" i="10" s="1"/>
  <c r="W23" i="10" s="1"/>
  <c r="X23" i="10" s="1"/>
  <c r="Y23" i="10" s="1"/>
  <c r="Z23" i="10" s="1"/>
  <c r="AA23" i="10" s="1"/>
  <c r="AB23" i="10" s="1"/>
  <c r="AC23" i="10" s="1"/>
  <c r="AD23" i="10" s="1"/>
  <c r="AE23" i="10" s="1"/>
  <c r="AF23" i="10" s="1"/>
  <c r="AG23" i="10" s="1"/>
  <c r="AH23" i="10" s="1"/>
  <c r="AI23" i="10" s="1"/>
  <c r="AJ23" i="10" s="1"/>
  <c r="AK23" i="10" s="1"/>
  <c r="AL23" i="10" s="1"/>
  <c r="G43" i="1"/>
  <c r="T5" i="17"/>
  <c r="U21" i="6"/>
  <c r="S3" i="19"/>
  <c r="AO81" i="1"/>
  <c r="E31" i="19"/>
  <c r="V24" i="1"/>
  <c r="T2" i="7" s="1"/>
  <c r="S5" i="23" l="1"/>
  <c r="T7" i="13"/>
  <c r="T32" i="13" s="1"/>
  <c r="S4" i="26"/>
  <c r="S4" i="12"/>
  <c r="S4" i="11"/>
  <c r="R42" i="11"/>
  <c r="H39" i="1"/>
  <c r="I38" i="1"/>
  <c r="H6" i="19" s="1"/>
  <c r="AG32" i="1"/>
  <c r="AH31" i="1"/>
  <c r="AG5" i="19" s="1"/>
  <c r="AN26" i="19"/>
  <c r="U11" i="14"/>
  <c r="E29" i="10"/>
  <c r="E32" i="10" s="1"/>
  <c r="E34" i="10" s="1"/>
  <c r="Q29" i="10"/>
  <c r="Q32" i="10" s="1"/>
  <c r="Q34" i="10" s="1"/>
  <c r="AC29" i="10"/>
  <c r="AC32" i="10" s="1"/>
  <c r="AC34" i="10" s="1"/>
  <c r="U29" i="10"/>
  <c r="U32" i="10" s="1"/>
  <c r="U34" i="10" s="1"/>
  <c r="F29" i="10"/>
  <c r="F32" i="10" s="1"/>
  <c r="F34" i="10" s="1"/>
  <c r="R29" i="10"/>
  <c r="R32" i="10" s="1"/>
  <c r="R34" i="10" s="1"/>
  <c r="G29" i="10"/>
  <c r="G32" i="10" s="1"/>
  <c r="G34" i="10" s="1"/>
  <c r="S29" i="10"/>
  <c r="S32" i="10" s="1"/>
  <c r="S34" i="10" s="1"/>
  <c r="T29" i="10"/>
  <c r="T32" i="10" s="1"/>
  <c r="T34" i="10" s="1"/>
  <c r="H29" i="10"/>
  <c r="H32" i="10" s="1"/>
  <c r="H34" i="10" s="1"/>
  <c r="I29" i="10"/>
  <c r="I32" i="10" s="1"/>
  <c r="I34" i="10" s="1"/>
  <c r="J29" i="10"/>
  <c r="J32" i="10" s="1"/>
  <c r="J34" i="10" s="1"/>
  <c r="K29" i="10"/>
  <c r="K32" i="10" s="1"/>
  <c r="K34" i="10" s="1"/>
  <c r="W29" i="10"/>
  <c r="W32" i="10" s="1"/>
  <c r="W34" i="10" s="1"/>
  <c r="P29" i="10"/>
  <c r="P32" i="10" s="1"/>
  <c r="P34" i="10" s="1"/>
  <c r="L29" i="10"/>
  <c r="L32" i="10" s="1"/>
  <c r="L34" i="10" s="1"/>
  <c r="X29" i="10"/>
  <c r="X32" i="10" s="1"/>
  <c r="X34" i="10" s="1"/>
  <c r="D29" i="10"/>
  <c r="D32" i="10" s="1"/>
  <c r="D34" i="10" s="1"/>
  <c r="AB29" i="10"/>
  <c r="AB32" i="10" s="1"/>
  <c r="AB34" i="10" s="1"/>
  <c r="M29" i="10"/>
  <c r="M32" i="10" s="1"/>
  <c r="M34" i="10" s="1"/>
  <c r="Y29" i="10"/>
  <c r="Y32" i="10" s="1"/>
  <c r="Y34" i="10" s="1"/>
  <c r="N29" i="10"/>
  <c r="N32" i="10" s="1"/>
  <c r="N34" i="10" s="1"/>
  <c r="Z29" i="10"/>
  <c r="Z32" i="10" s="1"/>
  <c r="Z34" i="10" s="1"/>
  <c r="AA29" i="10"/>
  <c r="AA32" i="10" s="1"/>
  <c r="AA34" i="10" s="1"/>
  <c r="V29" i="10"/>
  <c r="V32" i="10" s="1"/>
  <c r="V34" i="10" s="1"/>
  <c r="O29" i="10"/>
  <c r="O32" i="10" s="1"/>
  <c r="O34" i="10" s="1"/>
  <c r="AG26" i="10"/>
  <c r="Z26" i="10"/>
  <c r="Q26" i="10"/>
  <c r="W26" i="10"/>
  <c r="AL26" i="10"/>
  <c r="AN73" i="1" s="1"/>
  <c r="AC26" i="10"/>
  <c r="L26" i="10"/>
  <c r="X26" i="10"/>
  <c r="AE26" i="10"/>
  <c r="R26" i="10"/>
  <c r="M26" i="10"/>
  <c r="O26" i="10"/>
  <c r="AD26" i="10"/>
  <c r="AF26" i="10"/>
  <c r="J26" i="10"/>
  <c r="AA26" i="10"/>
  <c r="S26" i="10"/>
  <c r="AD29" i="10"/>
  <c r="AD32" i="10" s="1"/>
  <c r="AD34" i="10" s="1"/>
  <c r="V26" i="10"/>
  <c r="AK26" i="10"/>
  <c r="AM73" i="1" s="1"/>
  <c r="H26" i="10"/>
  <c r="AH26" i="10"/>
  <c r="AJ73" i="1" s="1"/>
  <c r="P26" i="10"/>
  <c r="D26" i="10"/>
  <c r="T26" i="10"/>
  <c r="AI26" i="10"/>
  <c r="AK73" i="1" s="1"/>
  <c r="AB26" i="10"/>
  <c r="U26" i="10"/>
  <c r="AJ26" i="10"/>
  <c r="AL73" i="1" s="1"/>
  <c r="F26" i="10"/>
  <c r="K26" i="10"/>
  <c r="Y26" i="10"/>
  <c r="G26" i="10"/>
  <c r="I26" i="10"/>
  <c r="N26" i="10"/>
  <c r="E26" i="10"/>
  <c r="AE29" i="10"/>
  <c r="AE32" i="10" s="1"/>
  <c r="AE34" i="10" s="1"/>
  <c r="AF29" i="10"/>
  <c r="AF32" i="10" s="1"/>
  <c r="AF34" i="10" s="1"/>
  <c r="AG29" i="10"/>
  <c r="AG32" i="10" s="1"/>
  <c r="AG34" i="10" s="1"/>
  <c r="AH29" i="10"/>
  <c r="AH32" i="10" s="1"/>
  <c r="AH34" i="10" s="1"/>
  <c r="AI29" i="10"/>
  <c r="AI32" i="10" s="1"/>
  <c r="AI34" i="10" s="1"/>
  <c r="AJ29" i="10"/>
  <c r="AJ32" i="10" s="1"/>
  <c r="AJ34" i="10" s="1"/>
  <c r="AK29" i="10"/>
  <c r="AK32" i="10" s="1"/>
  <c r="AK34" i="10" s="1"/>
  <c r="AL29" i="10"/>
  <c r="AL32" i="10" s="1"/>
  <c r="AL34" i="10" s="1"/>
  <c r="G4" i="19"/>
  <c r="F4" i="19"/>
  <c r="V121" i="21"/>
  <c r="X4" i="21"/>
  <c r="U5" i="15"/>
  <c r="T4" i="22"/>
  <c r="W43" i="21"/>
  <c r="W82" i="21" s="1"/>
  <c r="W1" i="21"/>
  <c r="G82" i="1"/>
  <c r="G83" i="1" s="1"/>
  <c r="G76" i="1"/>
  <c r="F31" i="19" s="1"/>
  <c r="D24" i="10"/>
  <c r="E24" i="10" s="1"/>
  <c r="F24" i="10" s="1"/>
  <c r="G24" i="10" s="1"/>
  <c r="H24" i="10" s="1"/>
  <c r="I24" i="10" s="1"/>
  <c r="J24" i="10" s="1"/>
  <c r="K24" i="10" s="1"/>
  <c r="L24" i="10" s="1"/>
  <c r="M24" i="10" s="1"/>
  <c r="N24" i="10" s="1"/>
  <c r="O24" i="10" s="1"/>
  <c r="P24" i="10" s="1"/>
  <c r="Q24" i="10" s="1"/>
  <c r="R24" i="10" s="1"/>
  <c r="S24" i="10" s="1"/>
  <c r="T24" i="10" s="1"/>
  <c r="U24" i="10" s="1"/>
  <c r="V24" i="10" s="1"/>
  <c r="W24" i="10" s="1"/>
  <c r="X24" i="10" s="1"/>
  <c r="Y24" i="10" s="1"/>
  <c r="Z24" i="10" s="1"/>
  <c r="AA24" i="10" s="1"/>
  <c r="AB24" i="10" s="1"/>
  <c r="AC24" i="10" s="1"/>
  <c r="AD24" i="10" s="1"/>
  <c r="AE24" i="10" s="1"/>
  <c r="AF24" i="10" s="1"/>
  <c r="AG24" i="10" s="1"/>
  <c r="AH24" i="10" s="1"/>
  <c r="AI24" i="10" s="1"/>
  <c r="AJ24" i="10" s="1"/>
  <c r="AK24" i="10" s="1"/>
  <c r="AL24" i="10" s="1"/>
  <c r="G44" i="1"/>
  <c r="H43" i="1"/>
  <c r="T3" i="19"/>
  <c r="U5" i="17"/>
  <c r="V21" i="6"/>
  <c r="W24" i="1"/>
  <c r="U2" i="7" s="1"/>
  <c r="T4" i="11" l="1"/>
  <c r="T4" i="12"/>
  <c r="T4" i="26"/>
  <c r="S42" i="11"/>
  <c r="U7" i="13"/>
  <c r="U32" i="13" s="1"/>
  <c r="T5" i="23"/>
  <c r="AH32" i="1"/>
  <c r="AI31" i="1"/>
  <c r="AH5" i="19" s="1"/>
  <c r="I39" i="1"/>
  <c r="J38" i="1"/>
  <c r="V11" i="14"/>
  <c r="H4" i="19"/>
  <c r="AL72" i="1"/>
  <c r="AK30" i="19" s="1"/>
  <c r="V5" i="15"/>
  <c r="U4" i="22"/>
  <c r="Y4" i="21"/>
  <c r="W121" i="21"/>
  <c r="X1" i="21"/>
  <c r="X43" i="21"/>
  <c r="X82" i="21" s="1"/>
  <c r="H76" i="1"/>
  <c r="G31" i="19" s="1"/>
  <c r="AN72" i="1"/>
  <c r="AM30" i="19" s="1"/>
  <c r="F72" i="1"/>
  <c r="E30" i="19" s="1"/>
  <c r="H82" i="1"/>
  <c r="H83" i="1" s="1"/>
  <c r="H44" i="1"/>
  <c r="I43" i="1"/>
  <c r="U3" i="19"/>
  <c r="V5" i="17"/>
  <c r="W21" i="6"/>
  <c r="AK72" i="1"/>
  <c r="AJ30" i="19" s="1"/>
  <c r="AM72" i="1"/>
  <c r="AL30" i="19" s="1"/>
  <c r="AJ72" i="1"/>
  <c r="G73" i="1"/>
  <c r="F73" i="1"/>
  <c r="X24" i="1"/>
  <c r="V2" i="7" s="1"/>
  <c r="G72" i="1"/>
  <c r="F30" i="19" s="1"/>
  <c r="U4" i="11" l="1"/>
  <c r="U4" i="12"/>
  <c r="V7" i="13"/>
  <c r="V32" i="13" s="1"/>
  <c r="T42" i="11"/>
  <c r="U5" i="23"/>
  <c r="U4" i="26"/>
  <c r="J39" i="1"/>
  <c r="K38" i="1"/>
  <c r="J6" i="19" s="1"/>
  <c r="AJ31" i="1"/>
  <c r="AI5" i="19" s="1"/>
  <c r="AI32" i="1"/>
  <c r="W11" i="14"/>
  <c r="AI30" i="19"/>
  <c r="I6" i="19"/>
  <c r="V4" i="22"/>
  <c r="W5" i="15"/>
  <c r="Z4" i="21"/>
  <c r="X121" i="21"/>
  <c r="Y1" i="21"/>
  <c r="Y43" i="21"/>
  <c r="Y82" i="21" s="1"/>
  <c r="I76" i="1"/>
  <c r="H31" i="19" s="1"/>
  <c r="I82" i="1"/>
  <c r="I83" i="1" s="1"/>
  <c r="J43" i="1"/>
  <c r="I44" i="1"/>
  <c r="W5" i="17"/>
  <c r="X21" i="6"/>
  <c r="V3" i="19"/>
  <c r="H73" i="1"/>
  <c r="Y24" i="1"/>
  <c r="W2" i="7" s="1"/>
  <c r="H72" i="1"/>
  <c r="G30" i="19" s="1"/>
  <c r="V4" i="11" l="1"/>
  <c r="U42" i="11"/>
  <c r="V5" i="23"/>
  <c r="V4" i="12"/>
  <c r="W7" i="13"/>
  <c r="W32" i="13" s="1"/>
  <c r="V4" i="26"/>
  <c r="AJ32" i="1"/>
  <c r="AK31" i="1"/>
  <c r="AJ5" i="19" s="1"/>
  <c r="L38" i="1"/>
  <c r="K6" i="19" s="1"/>
  <c r="K4" i="19" s="1"/>
  <c r="K39" i="1"/>
  <c r="X11" i="14"/>
  <c r="K43" i="1"/>
  <c r="K76" i="1" s="1"/>
  <c r="J31" i="19" s="1"/>
  <c r="I4" i="19"/>
  <c r="J4" i="19"/>
  <c r="Z1" i="21"/>
  <c r="Z43" i="21"/>
  <c r="Z82" i="21" s="1"/>
  <c r="AA4" i="21"/>
  <c r="X5" i="15"/>
  <c r="W4" i="22"/>
  <c r="Y121" i="21"/>
  <c r="J44" i="1"/>
  <c r="J76" i="1"/>
  <c r="I31" i="19" s="1"/>
  <c r="J82" i="1"/>
  <c r="J83" i="1" s="1"/>
  <c r="X5" i="17"/>
  <c r="Y21" i="6"/>
  <c r="W3" i="19"/>
  <c r="I73" i="1"/>
  <c r="Z24" i="1"/>
  <c r="X2" i="7" s="1"/>
  <c r="D10" i="1"/>
  <c r="H3" i="30" s="1"/>
  <c r="I72" i="1"/>
  <c r="H30" i="19" s="1"/>
  <c r="W5" i="23" l="1"/>
  <c r="X7" i="13"/>
  <c r="X32" i="13" s="1"/>
  <c r="W4" i="26"/>
  <c r="V42" i="11"/>
  <c r="W4" i="12"/>
  <c r="W4" i="11"/>
  <c r="H8" i="30"/>
  <c r="H38" i="30"/>
  <c r="H39" i="30"/>
  <c r="H37" i="30"/>
  <c r="H7" i="30"/>
  <c r="H36" i="30"/>
  <c r="M38" i="1"/>
  <c r="L6" i="19" s="1"/>
  <c r="L4" i="19" s="1"/>
  <c r="L39" i="1"/>
  <c r="AK32" i="1"/>
  <c r="AL31" i="1"/>
  <c r="AK5" i="19" s="1"/>
  <c r="Y11" i="14"/>
  <c r="K82" i="1"/>
  <c r="K83" i="1" s="1"/>
  <c r="K44" i="1"/>
  <c r="L43" i="1"/>
  <c r="L76" i="1" s="1"/>
  <c r="K31" i="19" s="1"/>
  <c r="H27" i="6"/>
  <c r="P27" i="6"/>
  <c r="P40" i="6" s="1"/>
  <c r="X27" i="6"/>
  <c r="X40" i="6" s="1"/>
  <c r="AF27" i="6"/>
  <c r="AF40" i="6" s="1"/>
  <c r="AN27" i="6"/>
  <c r="AN40" i="6" s="1"/>
  <c r="S27" i="6"/>
  <c r="S40" i="6" s="1"/>
  <c r="AI27" i="6"/>
  <c r="AI40" i="6" s="1"/>
  <c r="AB27" i="6"/>
  <c r="AB40" i="6" s="1"/>
  <c r="I27" i="6"/>
  <c r="Q27" i="6"/>
  <c r="Q40" i="6" s="1"/>
  <c r="Y27" i="6"/>
  <c r="Y40" i="6" s="1"/>
  <c r="AG27" i="6"/>
  <c r="AG40" i="6" s="1"/>
  <c r="F27" i="6"/>
  <c r="K27" i="6"/>
  <c r="K40" i="6" s="1"/>
  <c r="T27" i="6"/>
  <c r="T40" i="6" s="1"/>
  <c r="AJ27" i="6"/>
  <c r="AJ40" i="6" s="1"/>
  <c r="J27" i="6"/>
  <c r="R27" i="6"/>
  <c r="R40" i="6" s="1"/>
  <c r="Z27" i="6"/>
  <c r="Z40" i="6" s="1"/>
  <c r="AH27" i="6"/>
  <c r="AH40" i="6" s="1"/>
  <c r="AA27" i="6"/>
  <c r="AA40" i="6" s="1"/>
  <c r="L27" i="6"/>
  <c r="L40" i="6" s="1"/>
  <c r="N27" i="6"/>
  <c r="N40" i="6" s="1"/>
  <c r="V27" i="6"/>
  <c r="V40" i="6" s="1"/>
  <c r="AD27" i="6"/>
  <c r="AD40" i="6" s="1"/>
  <c r="AL27" i="6"/>
  <c r="AL40" i="6" s="1"/>
  <c r="U27" i="6"/>
  <c r="U40" i="6" s="1"/>
  <c r="AM27" i="6"/>
  <c r="AM40" i="6" s="1"/>
  <c r="W27" i="6"/>
  <c r="W40" i="6" s="1"/>
  <c r="G27" i="6"/>
  <c r="AC27" i="6"/>
  <c r="AC40" i="6" s="1"/>
  <c r="AE27" i="6"/>
  <c r="AE40" i="6" s="1"/>
  <c r="AK27" i="6"/>
  <c r="AK40" i="6" s="1"/>
  <c r="O27" i="6"/>
  <c r="O40" i="6" s="1"/>
  <c r="M27" i="6"/>
  <c r="M40" i="6" s="1"/>
  <c r="Z121" i="21"/>
  <c r="AA43" i="21"/>
  <c r="AA82" i="21" s="1"/>
  <c r="AA1" i="21"/>
  <c r="X4" i="22"/>
  <c r="AB4" i="21"/>
  <c r="Y5" i="15"/>
  <c r="Y5" i="17"/>
  <c r="Z21" i="6"/>
  <c r="X3" i="19"/>
  <c r="J73" i="1"/>
  <c r="AA24" i="1"/>
  <c r="Y2" i="7" s="1"/>
  <c r="D16" i="8"/>
  <c r="J72" i="1"/>
  <c r="I30" i="19" s="1"/>
  <c r="X4" i="11" l="1"/>
  <c r="Y7" i="13"/>
  <c r="Y32" i="13" s="1"/>
  <c r="W42" i="11"/>
  <c r="X4" i="12"/>
  <c r="X4" i="26"/>
  <c r="X5" i="23"/>
  <c r="F40" i="6"/>
  <c r="AM31" i="1"/>
  <c r="AL32" i="1"/>
  <c r="N38" i="1"/>
  <c r="M6" i="19" s="1"/>
  <c r="M4" i="19" s="1"/>
  <c r="M39" i="1"/>
  <c r="H40" i="6"/>
  <c r="J40" i="6"/>
  <c r="I40" i="6"/>
  <c r="G40" i="6"/>
  <c r="Z11" i="14"/>
  <c r="M43" i="1"/>
  <c r="M76" i="1" s="1"/>
  <c r="L31" i="19" s="1"/>
  <c r="L44" i="1"/>
  <c r="L82" i="1"/>
  <c r="L83" i="1" s="1"/>
  <c r="AA121" i="21"/>
  <c r="Z5" i="15"/>
  <c r="Y4" i="22"/>
  <c r="AC4" i="21"/>
  <c r="AB1" i="21"/>
  <c r="AB43" i="21"/>
  <c r="AB82" i="21" s="1"/>
  <c r="Y3" i="19"/>
  <c r="Z5" i="17"/>
  <c r="AA21" i="6"/>
  <c r="AO27" i="6"/>
  <c r="C27" i="6" s="1"/>
  <c r="H16" i="30" s="1"/>
  <c r="AK26" i="6"/>
  <c r="AN26" i="6"/>
  <c r="AM26" i="6"/>
  <c r="AL26" i="6"/>
  <c r="AJ26" i="6"/>
  <c r="K73" i="1"/>
  <c r="AB24" i="1"/>
  <c r="Z2" i="7" s="1"/>
  <c r="K72" i="1"/>
  <c r="J30" i="19" s="1"/>
  <c r="Y4" i="11" l="1"/>
  <c r="Y5" i="23"/>
  <c r="X42" i="11"/>
  <c r="Y4" i="12"/>
  <c r="Z7" i="13"/>
  <c r="Z32" i="13" s="1"/>
  <c r="Y4" i="26"/>
  <c r="AM32" i="1"/>
  <c r="AN31" i="1"/>
  <c r="AN32" i="1" s="1"/>
  <c r="AL5" i="19"/>
  <c r="O38" i="1"/>
  <c r="N39" i="1"/>
  <c r="AO40" i="6"/>
  <c r="C40" i="6" s="1"/>
  <c r="AA11" i="14"/>
  <c r="M44" i="1"/>
  <c r="M82" i="1"/>
  <c r="M83" i="1" s="1"/>
  <c r="N43" i="1"/>
  <c r="N76" i="1" s="1"/>
  <c r="M31" i="19" s="1"/>
  <c r="AA5" i="15"/>
  <c r="Z4" i="22"/>
  <c r="AD4" i="21"/>
  <c r="AB121" i="21"/>
  <c r="AC43" i="21"/>
  <c r="AC82" i="21" s="1"/>
  <c r="AC1" i="21"/>
  <c r="Z3" i="19"/>
  <c r="AA5" i="17"/>
  <c r="AB21" i="6"/>
  <c r="L73" i="1"/>
  <c r="AC24" i="1"/>
  <c r="AA2" i="7" s="1"/>
  <c r="L72" i="1"/>
  <c r="K30" i="19" s="1"/>
  <c r="Z4" i="11" l="1"/>
  <c r="Z4" i="12"/>
  <c r="Y42" i="11"/>
  <c r="AA7" i="13"/>
  <c r="AA32" i="13" s="1"/>
  <c r="Z5" i="23"/>
  <c r="Z4" i="26"/>
  <c r="AM5" i="19"/>
  <c r="AN5" i="19" s="1"/>
  <c r="O39" i="1"/>
  <c r="P38" i="1"/>
  <c r="P43" i="1" s="1"/>
  <c r="P76" i="1" s="1"/>
  <c r="O31" i="19" s="1"/>
  <c r="AB11" i="14"/>
  <c r="N44" i="1"/>
  <c r="N82" i="1"/>
  <c r="N83" i="1" s="1"/>
  <c r="N6" i="19"/>
  <c r="N4" i="19" s="1"/>
  <c r="O43" i="1"/>
  <c r="O44" i="1" s="1"/>
  <c r="AB5" i="15"/>
  <c r="AA4" i="22"/>
  <c r="AE4" i="21"/>
  <c r="AC121" i="21"/>
  <c r="AD1" i="21"/>
  <c r="AD43" i="21"/>
  <c r="AD82" i="21" s="1"/>
  <c r="AB5" i="17"/>
  <c r="AC21" i="6"/>
  <c r="AA3" i="19"/>
  <c r="AO31" i="1"/>
  <c r="AO32" i="1"/>
  <c r="M73" i="1"/>
  <c r="AD24" i="1"/>
  <c r="AB2" i="7" s="1"/>
  <c r="M72" i="1"/>
  <c r="L30" i="19" s="1"/>
  <c r="Z42" i="11" l="1"/>
  <c r="AA4" i="26"/>
  <c r="AB7" i="13"/>
  <c r="AB32" i="13" s="1"/>
  <c r="AA5" i="23"/>
  <c r="AA4" i="12"/>
  <c r="AA4" i="11"/>
  <c r="P39" i="1"/>
  <c r="Q38" i="1"/>
  <c r="Q43" i="1" s="1"/>
  <c r="Q76" i="1" s="1"/>
  <c r="P31" i="19" s="1"/>
  <c r="O6" i="19"/>
  <c r="O4" i="19" s="1"/>
  <c r="AC11" i="14"/>
  <c r="O76" i="1"/>
  <c r="N31" i="19" s="1"/>
  <c r="O82" i="1"/>
  <c r="O83" i="1" s="1"/>
  <c r="AD121" i="21"/>
  <c r="AE1" i="21"/>
  <c r="AE43" i="21"/>
  <c r="AE82" i="21" s="1"/>
  <c r="AC5" i="15"/>
  <c r="AB4" i="22"/>
  <c r="AF4" i="21"/>
  <c r="AB3" i="19"/>
  <c r="AC5" i="17"/>
  <c r="AD21" i="6"/>
  <c r="N73" i="1"/>
  <c r="P82" i="1"/>
  <c r="P83" i="1" s="1"/>
  <c r="P44" i="1"/>
  <c r="AE24" i="1"/>
  <c r="AC2" i="7" s="1"/>
  <c r="N72" i="1"/>
  <c r="M30" i="19" s="1"/>
  <c r="AB4" i="11" l="1"/>
  <c r="AB4" i="12"/>
  <c r="AB5" i="23"/>
  <c r="AA42" i="11"/>
  <c r="AB4" i="26"/>
  <c r="AC7" i="13"/>
  <c r="AC32" i="13" s="1"/>
  <c r="P6" i="19"/>
  <c r="P4" i="19" s="1"/>
  <c r="Q39" i="1"/>
  <c r="R38" i="1"/>
  <c r="R43" i="1" s="1"/>
  <c r="R44" i="1" s="1"/>
  <c r="AD11" i="14"/>
  <c r="AF1" i="21"/>
  <c r="AF43" i="21"/>
  <c r="AF82" i="21" s="1"/>
  <c r="AD5" i="15"/>
  <c r="AC4" i="22"/>
  <c r="AG4" i="21"/>
  <c r="AE121" i="21"/>
  <c r="AD5" i="17"/>
  <c r="AE21" i="6"/>
  <c r="AC3" i="19"/>
  <c r="O73" i="1"/>
  <c r="Q44" i="1"/>
  <c r="Q82" i="1"/>
  <c r="Q83" i="1" s="1"/>
  <c r="AF24" i="1"/>
  <c r="AD2" i="7" s="1"/>
  <c r="O72" i="1"/>
  <c r="N30" i="19" s="1"/>
  <c r="AC4" i="11" l="1"/>
  <c r="AB42" i="11"/>
  <c r="AC5" i="23"/>
  <c r="AD7" i="13"/>
  <c r="AD32" i="13" s="1"/>
  <c r="AC4" i="26"/>
  <c r="AC4" i="12"/>
  <c r="R39" i="1"/>
  <c r="S38" i="1"/>
  <c r="S43" i="1" s="1"/>
  <c r="S82" i="1" s="1"/>
  <c r="Q6" i="19"/>
  <c r="Q4" i="19" s="1"/>
  <c r="AE11" i="14"/>
  <c r="R76" i="1"/>
  <c r="Q31" i="19" s="1"/>
  <c r="R82" i="1"/>
  <c r="R83" i="1" s="1"/>
  <c r="AH4" i="21"/>
  <c r="AE5" i="15"/>
  <c r="AD4" i="22"/>
  <c r="AG1" i="21"/>
  <c r="AG43" i="21"/>
  <c r="AG82" i="21" s="1"/>
  <c r="AF121" i="21"/>
  <c r="AD3" i="19"/>
  <c r="AE5" i="17"/>
  <c r="AF21" i="6"/>
  <c r="P73" i="1"/>
  <c r="AG24" i="1"/>
  <c r="AE2" i="7" s="1"/>
  <c r="P72" i="1"/>
  <c r="O30" i="19" s="1"/>
  <c r="AD4" i="11" l="1"/>
  <c r="AD5" i="23"/>
  <c r="AC42" i="11"/>
  <c r="AD4" i="12"/>
  <c r="AD4" i="26"/>
  <c r="AE7" i="13"/>
  <c r="AE32" i="13" s="1"/>
  <c r="S39" i="1"/>
  <c r="T38" i="1"/>
  <c r="T43" i="1" s="1"/>
  <c r="T44" i="1" s="1"/>
  <c r="R6" i="19"/>
  <c r="R4" i="19" s="1"/>
  <c r="S76" i="1"/>
  <c r="R31" i="19" s="1"/>
  <c r="S44" i="1"/>
  <c r="AF11" i="14"/>
  <c r="AI4" i="21"/>
  <c r="AF5" i="15"/>
  <c r="AE4" i="22"/>
  <c r="AG121" i="21"/>
  <c r="AH1" i="21"/>
  <c r="AH43" i="21"/>
  <c r="AH82" i="21" s="1"/>
  <c r="AE3" i="19"/>
  <c r="AF5" i="17"/>
  <c r="AG21" i="6"/>
  <c r="Q73" i="1"/>
  <c r="S83" i="1"/>
  <c r="AH24" i="1"/>
  <c r="AF2" i="7" s="1"/>
  <c r="Q72" i="1"/>
  <c r="P30" i="19" s="1"/>
  <c r="AE4" i="11" l="1"/>
  <c r="AE5" i="23"/>
  <c r="AD42" i="11"/>
  <c r="AF7" i="13"/>
  <c r="AF32" i="13" s="1"/>
  <c r="AE4" i="26"/>
  <c r="AE4" i="12"/>
  <c r="U38" i="1"/>
  <c r="T6" i="19" s="1"/>
  <c r="T4" i="19" s="1"/>
  <c r="T39" i="1"/>
  <c r="S6" i="19"/>
  <c r="S4" i="19" s="1"/>
  <c r="T82" i="1"/>
  <c r="T83" i="1" s="1"/>
  <c r="AG11" i="14"/>
  <c r="T76" i="1"/>
  <c r="S31" i="19" s="1"/>
  <c r="AJ4" i="21"/>
  <c r="AG5" i="15"/>
  <c r="AF4" i="22"/>
  <c r="AH121" i="21"/>
  <c r="AI1" i="21"/>
  <c r="AI43" i="21"/>
  <c r="AI82" i="21" s="1"/>
  <c r="AG5" i="17"/>
  <c r="AH21" i="6"/>
  <c r="AF3" i="19"/>
  <c r="R73" i="1"/>
  <c r="AI24" i="1"/>
  <c r="AG2" i="7" s="1"/>
  <c r="R72" i="1"/>
  <c r="Q30" i="19" s="1"/>
  <c r="AF4" i="11" l="1"/>
  <c r="AF4" i="12"/>
  <c r="AE42" i="11"/>
  <c r="AG7" i="13"/>
  <c r="AG32" i="13" s="1"/>
  <c r="AF5" i="23"/>
  <c r="AF4" i="26"/>
  <c r="V38" i="1"/>
  <c r="U6" i="19" s="1"/>
  <c r="U4" i="19" s="1"/>
  <c r="U39" i="1"/>
  <c r="U43" i="1"/>
  <c r="AH11" i="14"/>
  <c r="AI121" i="21"/>
  <c r="AH5" i="15"/>
  <c r="AG4" i="22"/>
  <c r="AK4" i="21"/>
  <c r="AJ1" i="21"/>
  <c r="AJ43" i="21"/>
  <c r="AJ82" i="21" s="1"/>
  <c r="AG3" i="19"/>
  <c r="AH5" i="17"/>
  <c r="AI21" i="6"/>
  <c r="AJ24" i="1"/>
  <c r="AH2" i="7" s="1"/>
  <c r="S73" i="1"/>
  <c r="S72" i="1"/>
  <c r="R30" i="19" s="1"/>
  <c r="AG4" i="11" l="1"/>
  <c r="AG4" i="12"/>
  <c r="AF42" i="11"/>
  <c r="AH7" i="13"/>
  <c r="AH32" i="13" s="1"/>
  <c r="AG4" i="26"/>
  <c r="AG5" i="23"/>
  <c r="U76" i="1"/>
  <c r="T31" i="19" s="1"/>
  <c r="U82" i="1"/>
  <c r="U83" i="1" s="1"/>
  <c r="U44" i="1"/>
  <c r="V39" i="1"/>
  <c r="W38" i="1"/>
  <c r="W43" i="1" s="1"/>
  <c r="V43" i="1"/>
  <c r="AI11" i="14"/>
  <c r="AJ121" i="21"/>
  <c r="AK1" i="21"/>
  <c r="AK43" i="21"/>
  <c r="AK82" i="21" s="1"/>
  <c r="AH4" i="22"/>
  <c r="AI5" i="15"/>
  <c r="AL4" i="21"/>
  <c r="AI5" i="17"/>
  <c r="AJ21" i="6"/>
  <c r="AH3" i="19"/>
  <c r="AK24" i="1"/>
  <c r="AI2" i="7" s="1"/>
  <c r="AG195" i="1"/>
  <c r="T73" i="1"/>
  <c r="T72" i="1"/>
  <c r="S30" i="19" s="1"/>
  <c r="AH4" i="11" l="1"/>
  <c r="AI7" i="13"/>
  <c r="AI32" i="13" s="1"/>
  <c r="AG42" i="11"/>
  <c r="AH4" i="12"/>
  <c r="AH4" i="26"/>
  <c r="AH5" i="23"/>
  <c r="V82" i="1"/>
  <c r="V83" i="1" s="1"/>
  <c r="V44" i="1"/>
  <c r="V76" i="1"/>
  <c r="U31" i="19" s="1"/>
  <c r="X38" i="1"/>
  <c r="X43" i="1" s="1"/>
  <c r="X76" i="1" s="1"/>
  <c r="W31" i="19" s="1"/>
  <c r="W39" i="1"/>
  <c r="V6" i="19"/>
  <c r="V4" i="19" s="1"/>
  <c r="AJ11" i="14"/>
  <c r="W44" i="1"/>
  <c r="W82" i="1"/>
  <c r="W83" i="1" s="1"/>
  <c r="W76" i="1"/>
  <c r="V31" i="19" s="1"/>
  <c r="AK121" i="21"/>
  <c r="AM4" i="21"/>
  <c r="AJ5" i="15"/>
  <c r="AI4" i="22"/>
  <c r="AL1" i="21"/>
  <c r="AL43" i="21"/>
  <c r="AL82" i="21" s="1"/>
  <c r="AI3" i="19"/>
  <c r="AJ5" i="17"/>
  <c r="AK21" i="6"/>
  <c r="AH195" i="1"/>
  <c r="AL24" i="1"/>
  <c r="AJ2" i="7" s="1"/>
  <c r="U73" i="1"/>
  <c r="U72" i="1"/>
  <c r="T30" i="19" s="1"/>
  <c r="AI4" i="11" l="1"/>
  <c r="AI5" i="23"/>
  <c r="AI4" i="12"/>
  <c r="AH42" i="11"/>
  <c r="AI4" i="26"/>
  <c r="AJ7" i="13"/>
  <c r="AJ32" i="13" s="1"/>
  <c r="X39" i="1"/>
  <c r="Y38" i="1"/>
  <c r="Y43" i="1" s="1"/>
  <c r="Y76" i="1" s="1"/>
  <c r="X31" i="19" s="1"/>
  <c r="W6" i="19"/>
  <c r="W4" i="19" s="1"/>
  <c r="X44" i="1"/>
  <c r="X82" i="1"/>
  <c r="X83" i="1" s="1"/>
  <c r="AK11" i="14"/>
  <c r="AM1" i="21"/>
  <c r="AM43" i="21"/>
  <c r="AM82" i="21" s="1"/>
  <c r="AL121" i="21"/>
  <c r="AJ4" i="22"/>
  <c r="AK5" i="15"/>
  <c r="AN4" i="21"/>
  <c r="AJ3" i="19"/>
  <c r="AK5" i="17"/>
  <c r="AL21" i="6"/>
  <c r="AM24" i="1"/>
  <c r="AK2" i="7" s="1"/>
  <c r="AI195" i="1"/>
  <c r="V73" i="1"/>
  <c r="V72" i="1"/>
  <c r="U30" i="19" s="1"/>
  <c r="AJ4" i="11" l="1"/>
  <c r="AJ5" i="23"/>
  <c r="AI42" i="11"/>
  <c r="AJ4" i="26"/>
  <c r="AJ4" i="12"/>
  <c r="AK7" i="13"/>
  <c r="AK32" i="13" s="1"/>
  <c r="Y39" i="1"/>
  <c r="Z38" i="1"/>
  <c r="Z43" i="1" s="1"/>
  <c r="Z76" i="1" s="1"/>
  <c r="Y31" i="19" s="1"/>
  <c r="X6" i="19"/>
  <c r="X4" i="19" s="1"/>
  <c r="AL11" i="14"/>
  <c r="Y44" i="1"/>
  <c r="Y82" i="1"/>
  <c r="Y83" i="1" s="1"/>
  <c r="AN1" i="21"/>
  <c r="AN43" i="21"/>
  <c r="AN82" i="21" s="1"/>
  <c r="AM121" i="21"/>
  <c r="AL5" i="15"/>
  <c r="AK4" i="22"/>
  <c r="AO4" i="21"/>
  <c r="AK3" i="19"/>
  <c r="AL5" i="17"/>
  <c r="AM21" i="6"/>
  <c r="AN24" i="1"/>
  <c r="AL2" i="7" s="1"/>
  <c r="AJ195" i="1"/>
  <c r="W73" i="1"/>
  <c r="W72" i="1"/>
  <c r="V30" i="19" s="1"/>
  <c r="AK4" i="11" l="1"/>
  <c r="AK5" i="23"/>
  <c r="AK4" i="26"/>
  <c r="AJ42" i="11"/>
  <c r="AL7" i="13"/>
  <c r="AL32" i="13" s="1"/>
  <c r="AK4" i="12"/>
  <c r="Z39" i="1"/>
  <c r="AA38" i="1"/>
  <c r="AA43" i="1" s="1"/>
  <c r="AA44" i="1" s="1"/>
  <c r="Y6" i="19"/>
  <c r="Y4" i="19" s="1"/>
  <c r="AM11" i="14"/>
  <c r="Z44" i="1"/>
  <c r="Z82" i="1"/>
  <c r="Z83" i="1" s="1"/>
  <c r="AO1" i="21"/>
  <c r="AO43" i="21"/>
  <c r="AO82" i="21" s="1"/>
  <c r="AM5" i="15"/>
  <c r="AL4" i="22"/>
  <c r="AP4" i="21"/>
  <c r="AN121" i="21"/>
  <c r="AL3" i="19"/>
  <c r="AM5" i="17"/>
  <c r="AN21" i="6"/>
  <c r="AK195" i="1"/>
  <c r="X73" i="1"/>
  <c r="X72" i="1"/>
  <c r="W30" i="19" s="1"/>
  <c r="AL4" i="12" l="1"/>
  <c r="AL4" i="26"/>
  <c r="AK42" i="11"/>
  <c r="AM7" i="13"/>
  <c r="AM32" i="13" s="1"/>
  <c r="AL5" i="23"/>
  <c r="AA39" i="1"/>
  <c r="AB38" i="1"/>
  <c r="AA6" i="19" s="1"/>
  <c r="AA4" i="19" s="1"/>
  <c r="Z6" i="19"/>
  <c r="Z4" i="19" s="1"/>
  <c r="AA76" i="1"/>
  <c r="Z31" i="19" s="1"/>
  <c r="AA82" i="1"/>
  <c r="AA83" i="1" s="1"/>
  <c r="B1" i="21"/>
  <c r="AP43" i="21"/>
  <c r="AP82" i="21" s="1"/>
  <c r="AP1" i="21"/>
  <c r="E5" i="21" a="1"/>
  <c r="AO121" i="21"/>
  <c r="AM3" i="19"/>
  <c r="Y73" i="1"/>
  <c r="Y72" i="1"/>
  <c r="X30" i="19" s="1"/>
  <c r="AB43" i="1" l="1"/>
  <c r="AB76" i="1" s="1"/>
  <c r="AA31" i="19" s="1"/>
  <c r="AC38" i="1"/>
  <c r="AC43" i="1" s="1"/>
  <c r="AC82" i="1" s="1"/>
  <c r="AC83" i="1" s="1"/>
  <c r="AB39" i="1"/>
  <c r="AP121" i="21"/>
  <c r="E33" i="21"/>
  <c r="E18" i="21"/>
  <c r="E37" i="21"/>
  <c r="E11" i="21"/>
  <c r="E10" i="21"/>
  <c r="E39" i="21"/>
  <c r="E12" i="21"/>
  <c r="E34" i="21"/>
  <c r="E38" i="21"/>
  <c r="E5" i="21"/>
  <c r="E35" i="21"/>
  <c r="E31" i="21"/>
  <c r="E23" i="21"/>
  <c r="E13" i="21"/>
  <c r="E25" i="21"/>
  <c r="E24" i="21"/>
  <c r="E6" i="21"/>
  <c r="E14" i="21"/>
  <c r="E30" i="21"/>
  <c r="E7" i="21"/>
  <c r="E9" i="21"/>
  <c r="E29" i="21"/>
  <c r="E26" i="21"/>
  <c r="E17" i="21"/>
  <c r="E27" i="21"/>
  <c r="E36" i="21"/>
  <c r="E28" i="21"/>
  <c r="E32" i="21"/>
  <c r="E15" i="21"/>
  <c r="E19" i="21"/>
  <c r="E21" i="21"/>
  <c r="E20" i="21"/>
  <c r="E22" i="21"/>
  <c r="E8" i="21"/>
  <c r="E16" i="21"/>
  <c r="Z73" i="1"/>
  <c r="Z72" i="1"/>
  <c r="Y30" i="19" s="1"/>
  <c r="AB6" i="19" l="1"/>
  <c r="AB4" i="19" s="1"/>
  <c r="AB82" i="1"/>
  <c r="AB83" i="1" s="1"/>
  <c r="AB44" i="1"/>
  <c r="AC39" i="1"/>
  <c r="AD38" i="1"/>
  <c r="AD43" i="1" s="1"/>
  <c r="AD76" i="1" s="1"/>
  <c r="AC31" i="19" s="1"/>
  <c r="AC44" i="1"/>
  <c r="AC76" i="1"/>
  <c r="AB31" i="19" s="1"/>
  <c r="D28" i="21"/>
  <c r="F28" i="21" s="1"/>
  <c r="E67" i="21"/>
  <c r="E106" i="21" s="1"/>
  <c r="D25" i="21"/>
  <c r="F25" i="21" s="1"/>
  <c r="E64" i="21"/>
  <c r="E103" i="21" s="1"/>
  <c r="E76" i="21"/>
  <c r="E115" i="21" s="1"/>
  <c r="D37" i="21"/>
  <c r="F37" i="21" s="1"/>
  <c r="D36" i="21"/>
  <c r="F36" i="21" s="1"/>
  <c r="E75" i="21"/>
  <c r="E114" i="21" s="1"/>
  <c r="D27" i="21"/>
  <c r="F27" i="21" s="1"/>
  <c r="E66" i="21"/>
  <c r="E105" i="21" s="1"/>
  <c r="D23" i="21"/>
  <c r="F23" i="21" s="1"/>
  <c r="E62" i="21"/>
  <c r="E101" i="21" s="1"/>
  <c r="D33" i="21"/>
  <c r="F33" i="21" s="1"/>
  <c r="E72" i="21"/>
  <c r="E111" i="21" s="1"/>
  <c r="D17" i="21"/>
  <c r="F17" i="21" s="1"/>
  <c r="E56" i="21"/>
  <c r="E95" i="21" s="1"/>
  <c r="D31" i="21"/>
  <c r="F31" i="21" s="1"/>
  <c r="E70" i="21"/>
  <c r="E109" i="21" s="1"/>
  <c r="D18" i="21"/>
  <c r="F18" i="21" s="1"/>
  <c r="E57" i="21"/>
  <c r="E96" i="21" s="1"/>
  <c r="D16" i="21"/>
  <c r="F16" i="21" s="1"/>
  <c r="E55" i="21"/>
  <c r="E94" i="21" s="1"/>
  <c r="E65" i="21"/>
  <c r="E104" i="21" s="1"/>
  <c r="D26" i="21"/>
  <c r="F26" i="21" s="1"/>
  <c r="D35" i="21"/>
  <c r="F35" i="21" s="1"/>
  <c r="E74" i="21"/>
  <c r="E113" i="21" s="1"/>
  <c r="D8" i="21"/>
  <c r="F8" i="21" s="1"/>
  <c r="E47" i="21"/>
  <c r="E86" i="21" s="1"/>
  <c r="D29" i="21"/>
  <c r="F29" i="21" s="1"/>
  <c r="E68" i="21"/>
  <c r="E107" i="21" s="1"/>
  <c r="D5" i="21"/>
  <c r="F5" i="21" s="1"/>
  <c r="E44" i="21"/>
  <c r="E83" i="21" s="1"/>
  <c r="D13" i="21"/>
  <c r="F13" i="21" s="1"/>
  <c r="E52" i="21"/>
  <c r="E91" i="21" s="1"/>
  <c r="D22" i="21"/>
  <c r="F22" i="21" s="1"/>
  <c r="E61" i="21"/>
  <c r="E100" i="21" s="1"/>
  <c r="D9" i="21"/>
  <c r="F9" i="21" s="1"/>
  <c r="E48" i="21"/>
  <c r="E87" i="21" s="1"/>
  <c r="E77" i="21"/>
  <c r="E116" i="21" s="1"/>
  <c r="D38" i="21"/>
  <c r="F38" i="21" s="1"/>
  <c r="E46" i="21"/>
  <c r="E85" i="21" s="1"/>
  <c r="D7" i="21"/>
  <c r="F7" i="21" s="1"/>
  <c r="E73" i="21"/>
  <c r="E112" i="21" s="1"/>
  <c r="D34" i="21"/>
  <c r="F34" i="21" s="1"/>
  <c r="D20" i="21"/>
  <c r="F20" i="21" s="1"/>
  <c r="E59" i="21"/>
  <c r="E98" i="21" s="1"/>
  <c r="D21" i="21"/>
  <c r="F21" i="21" s="1"/>
  <c r="E60" i="21"/>
  <c r="E99" i="21" s="1"/>
  <c r="D30" i="21"/>
  <c r="F30" i="21" s="1"/>
  <c r="E69" i="21"/>
  <c r="E108" i="21" s="1"/>
  <c r="E51" i="21"/>
  <c r="E90" i="21" s="1"/>
  <c r="D12" i="21"/>
  <c r="F12" i="21" s="1"/>
  <c r="D19" i="21"/>
  <c r="F19" i="21" s="1"/>
  <c r="E58" i="21"/>
  <c r="E97" i="21" s="1"/>
  <c r="D14" i="21"/>
  <c r="F14" i="21" s="1"/>
  <c r="E53" i="21"/>
  <c r="E92" i="21" s="1"/>
  <c r="E78" i="21"/>
  <c r="E117" i="21" s="1"/>
  <c r="D39" i="21"/>
  <c r="F39" i="21" s="1"/>
  <c r="E54" i="21"/>
  <c r="E93" i="21" s="1"/>
  <c r="D15" i="21"/>
  <c r="F15" i="21" s="1"/>
  <c r="D6" i="21"/>
  <c r="F6" i="21" s="1"/>
  <c r="E45" i="21"/>
  <c r="E84" i="21" s="1"/>
  <c r="D10" i="21"/>
  <c r="F10" i="21" s="1"/>
  <c r="E49" i="21"/>
  <c r="E88" i="21" s="1"/>
  <c r="E71" i="21"/>
  <c r="E110" i="21" s="1"/>
  <c r="D32" i="21"/>
  <c r="F32" i="21" s="1"/>
  <c r="E63" i="21"/>
  <c r="E102" i="21" s="1"/>
  <c r="D24" i="21"/>
  <c r="F24" i="21" s="1"/>
  <c r="D11" i="21"/>
  <c r="F11" i="21" s="1"/>
  <c r="E50" i="21"/>
  <c r="E89" i="21" s="1"/>
  <c r="AA73" i="1"/>
  <c r="AA72" i="1"/>
  <c r="Z30" i="19" s="1"/>
  <c r="AD39" i="1" l="1"/>
  <c r="AE38" i="1"/>
  <c r="AE43" i="1" s="1"/>
  <c r="AE82" i="1" s="1"/>
  <c r="AE83" i="1" s="1"/>
  <c r="AC6" i="19"/>
  <c r="AC4" i="19" s="1"/>
  <c r="AD82" i="1"/>
  <c r="AD83" i="1" s="1"/>
  <c r="AD44" i="1"/>
  <c r="N15" i="21"/>
  <c r="J15" i="21"/>
  <c r="P15" i="21"/>
  <c r="K15" i="21"/>
  <c r="L15" i="21"/>
  <c r="O15" i="21"/>
  <c r="I15" i="21"/>
  <c r="Q15" i="21"/>
  <c r="M15" i="21"/>
  <c r="H15" i="21"/>
  <c r="E138" i="21"/>
  <c r="H99" i="21"/>
  <c r="I99" i="21"/>
  <c r="J99" i="21"/>
  <c r="K99" i="21"/>
  <c r="L99" i="21"/>
  <c r="M99" i="21"/>
  <c r="N99" i="21"/>
  <c r="O99" i="21"/>
  <c r="P99" i="21"/>
  <c r="Q99" i="21"/>
  <c r="R99" i="21"/>
  <c r="S99" i="21"/>
  <c r="T99" i="21"/>
  <c r="U99" i="21"/>
  <c r="V99" i="21"/>
  <c r="W99" i="21"/>
  <c r="X99" i="21"/>
  <c r="Y99" i="21"/>
  <c r="Z99" i="21"/>
  <c r="AA99" i="21"/>
  <c r="AB99" i="21"/>
  <c r="AC99" i="21"/>
  <c r="AD99" i="21"/>
  <c r="AE99" i="21"/>
  <c r="AF99" i="21"/>
  <c r="AG99" i="21"/>
  <c r="AH99" i="21"/>
  <c r="AI99" i="21"/>
  <c r="AJ99" i="21"/>
  <c r="AK99" i="21"/>
  <c r="AL99" i="21"/>
  <c r="AM99" i="21"/>
  <c r="AN99" i="21"/>
  <c r="AO99" i="21"/>
  <c r="AP99" i="21"/>
  <c r="E139" i="21"/>
  <c r="H100" i="21"/>
  <c r="I100" i="21"/>
  <c r="J100" i="21"/>
  <c r="K100" i="21"/>
  <c r="L100" i="21"/>
  <c r="M100" i="21"/>
  <c r="N100" i="21"/>
  <c r="O100" i="21"/>
  <c r="P100" i="21"/>
  <c r="Q100" i="21"/>
  <c r="R100" i="21"/>
  <c r="S100" i="21"/>
  <c r="T100" i="21"/>
  <c r="U100" i="21"/>
  <c r="V100" i="21"/>
  <c r="W100" i="21"/>
  <c r="X100" i="21"/>
  <c r="Y100" i="21"/>
  <c r="Z100" i="21"/>
  <c r="AA100" i="21"/>
  <c r="AB100" i="21"/>
  <c r="AC100" i="21"/>
  <c r="AD100" i="21"/>
  <c r="AE100" i="21"/>
  <c r="AF100" i="21"/>
  <c r="AG100" i="21"/>
  <c r="AH100" i="21"/>
  <c r="AI100" i="21"/>
  <c r="AJ100" i="21"/>
  <c r="AK100" i="21"/>
  <c r="AL100" i="21"/>
  <c r="AM100" i="21"/>
  <c r="AN100" i="21"/>
  <c r="AO100" i="21"/>
  <c r="AP100" i="21"/>
  <c r="Q26" i="21"/>
  <c r="O26" i="21"/>
  <c r="AB26" i="21"/>
  <c r="W26" i="21"/>
  <c r="N26" i="21"/>
  <c r="R26" i="21"/>
  <c r="H26" i="21"/>
  <c r="S26" i="21"/>
  <c r="P26" i="21"/>
  <c r="L26" i="21"/>
  <c r="X26" i="21"/>
  <c r="T26" i="21"/>
  <c r="M26" i="21"/>
  <c r="Z26" i="21"/>
  <c r="V26" i="21"/>
  <c r="K26" i="21"/>
  <c r="I26" i="21"/>
  <c r="J26" i="21"/>
  <c r="AA26" i="21"/>
  <c r="Y26" i="21"/>
  <c r="U26" i="21"/>
  <c r="E140" i="21"/>
  <c r="H101" i="21"/>
  <c r="I101" i="21"/>
  <c r="J101" i="21"/>
  <c r="K101" i="21"/>
  <c r="L101" i="21"/>
  <c r="M101" i="21"/>
  <c r="N101" i="21"/>
  <c r="O101" i="21"/>
  <c r="P101" i="21"/>
  <c r="Q101" i="21"/>
  <c r="R101" i="21"/>
  <c r="S101" i="21"/>
  <c r="T101" i="21"/>
  <c r="U101" i="21"/>
  <c r="V101" i="21"/>
  <c r="W101" i="21"/>
  <c r="X101" i="21"/>
  <c r="Y101" i="21"/>
  <c r="Z101" i="21"/>
  <c r="AA101" i="21"/>
  <c r="AB101" i="21"/>
  <c r="AC101" i="21"/>
  <c r="AD101" i="21"/>
  <c r="AE101" i="21"/>
  <c r="AF101" i="21"/>
  <c r="AG101" i="21"/>
  <c r="AH101" i="21"/>
  <c r="AI101" i="21"/>
  <c r="AJ101" i="21"/>
  <c r="AK101" i="21"/>
  <c r="AL101" i="21"/>
  <c r="AM101" i="21"/>
  <c r="AN101" i="21"/>
  <c r="AO101" i="21"/>
  <c r="AP101" i="21"/>
  <c r="L21" i="21"/>
  <c r="H21" i="21"/>
  <c r="R21" i="21"/>
  <c r="T21" i="21"/>
  <c r="W21" i="21"/>
  <c r="P21" i="21"/>
  <c r="N21" i="21"/>
  <c r="I21" i="21"/>
  <c r="V21" i="21"/>
  <c r="Q21" i="21"/>
  <c r="K21" i="21"/>
  <c r="O21" i="21"/>
  <c r="M21" i="21"/>
  <c r="S21" i="21"/>
  <c r="J21" i="21"/>
  <c r="U21" i="21"/>
  <c r="P22" i="21"/>
  <c r="L22" i="21"/>
  <c r="O22" i="21"/>
  <c r="U22" i="21"/>
  <c r="K22" i="21"/>
  <c r="R22" i="21"/>
  <c r="W22" i="21"/>
  <c r="V22" i="21"/>
  <c r="J22" i="21"/>
  <c r="H22" i="21"/>
  <c r="S22" i="21"/>
  <c r="X22" i="21"/>
  <c r="M22" i="21"/>
  <c r="I22" i="21"/>
  <c r="T22" i="21"/>
  <c r="Q22" i="21"/>
  <c r="N22" i="21"/>
  <c r="E143" i="21"/>
  <c r="H104" i="21"/>
  <c r="I104" i="21"/>
  <c r="J104" i="21"/>
  <c r="K104" i="21"/>
  <c r="L104" i="21"/>
  <c r="M104" i="21"/>
  <c r="N104" i="21"/>
  <c r="O104" i="21"/>
  <c r="P104" i="21"/>
  <c r="Q104" i="21"/>
  <c r="R104" i="21"/>
  <c r="S104" i="21"/>
  <c r="T104" i="21"/>
  <c r="U104" i="21"/>
  <c r="V104" i="21"/>
  <c r="W104" i="21"/>
  <c r="X104" i="21"/>
  <c r="Y104" i="21"/>
  <c r="Z104" i="21"/>
  <c r="AA104" i="21"/>
  <c r="AB104" i="21"/>
  <c r="AC104" i="21"/>
  <c r="AD104" i="21"/>
  <c r="AE104" i="21"/>
  <c r="AF104" i="21"/>
  <c r="AG104" i="21"/>
  <c r="AH104" i="21"/>
  <c r="AI104" i="21"/>
  <c r="AJ104" i="21"/>
  <c r="AK104" i="21"/>
  <c r="AL104" i="21"/>
  <c r="AM104" i="21"/>
  <c r="AN104" i="21"/>
  <c r="AO104" i="21"/>
  <c r="AP104" i="21"/>
  <c r="L23" i="21"/>
  <c r="Q23" i="21"/>
  <c r="J23" i="21"/>
  <c r="N23" i="21"/>
  <c r="U23" i="21"/>
  <c r="P23" i="21"/>
  <c r="K23" i="21"/>
  <c r="S23" i="21"/>
  <c r="H23" i="21"/>
  <c r="R23" i="21"/>
  <c r="X23" i="21"/>
  <c r="M23" i="21"/>
  <c r="I23" i="21"/>
  <c r="Y23" i="21"/>
  <c r="V23" i="21"/>
  <c r="T23" i="21"/>
  <c r="O23" i="21"/>
  <c r="W23" i="21"/>
  <c r="E128" i="21"/>
  <c r="H89" i="21"/>
  <c r="I89" i="21"/>
  <c r="J89" i="21"/>
  <c r="K89" i="21"/>
  <c r="L89" i="21"/>
  <c r="M89" i="21"/>
  <c r="N89" i="21"/>
  <c r="O89" i="21"/>
  <c r="P89" i="21"/>
  <c r="Q89" i="21"/>
  <c r="R89" i="21"/>
  <c r="S89" i="21"/>
  <c r="T89" i="21"/>
  <c r="U89" i="21"/>
  <c r="V89" i="21"/>
  <c r="W89" i="21"/>
  <c r="X89" i="21"/>
  <c r="Y89" i="21"/>
  <c r="Z89" i="21"/>
  <c r="AA89" i="21"/>
  <c r="AB89" i="21"/>
  <c r="AC89" i="21"/>
  <c r="AD89" i="21"/>
  <c r="AE89" i="21"/>
  <c r="AF89" i="21"/>
  <c r="AG89" i="21"/>
  <c r="AH89" i="21"/>
  <c r="AI89" i="21"/>
  <c r="AJ89" i="21"/>
  <c r="AK89" i="21"/>
  <c r="AL89" i="21"/>
  <c r="AM89" i="21"/>
  <c r="AN89" i="21"/>
  <c r="AO89" i="21"/>
  <c r="AP89" i="21"/>
  <c r="O39" i="21"/>
  <c r="Q39" i="21"/>
  <c r="V39" i="21"/>
  <c r="R39" i="21"/>
  <c r="AH39" i="21"/>
  <c r="S39" i="21"/>
  <c r="Y39" i="21"/>
  <c r="W39" i="21"/>
  <c r="AB39" i="21"/>
  <c r="AM39" i="21"/>
  <c r="U39" i="21"/>
  <c r="P39" i="21"/>
  <c r="AI39" i="21"/>
  <c r="AK39" i="21"/>
  <c r="AO39" i="21"/>
  <c r="AN39" i="21"/>
  <c r="M39" i="21"/>
  <c r="K39" i="21"/>
  <c r="AC39" i="21"/>
  <c r="N39" i="21"/>
  <c r="H39" i="21"/>
  <c r="Z39" i="21"/>
  <c r="AA39" i="21"/>
  <c r="X39" i="21"/>
  <c r="AJ39" i="21"/>
  <c r="AG39" i="21"/>
  <c r="I39" i="21"/>
  <c r="J39" i="21"/>
  <c r="AL39" i="21"/>
  <c r="AD39" i="21"/>
  <c r="AE39" i="21"/>
  <c r="T39" i="21"/>
  <c r="AF39" i="21"/>
  <c r="L39" i="21"/>
  <c r="E137" i="21"/>
  <c r="H98" i="21"/>
  <c r="I98" i="21"/>
  <c r="J98" i="21"/>
  <c r="K98" i="21"/>
  <c r="L98" i="21"/>
  <c r="M98" i="21"/>
  <c r="N98" i="21"/>
  <c r="O98" i="21"/>
  <c r="P98" i="21"/>
  <c r="Q98" i="21"/>
  <c r="R98" i="21"/>
  <c r="S98" i="21"/>
  <c r="T98" i="21"/>
  <c r="U98" i="21"/>
  <c r="V98" i="21"/>
  <c r="W98" i="21"/>
  <c r="X98" i="21"/>
  <c r="Y98" i="21"/>
  <c r="Z98" i="21"/>
  <c r="AA98" i="21"/>
  <c r="AB98" i="21"/>
  <c r="AC98" i="21"/>
  <c r="AD98" i="21"/>
  <c r="AE98" i="21"/>
  <c r="AF98" i="21"/>
  <c r="AG98" i="21"/>
  <c r="AH98" i="21"/>
  <c r="AI98" i="21"/>
  <c r="AJ98" i="21"/>
  <c r="AK98" i="21"/>
  <c r="AL98" i="21"/>
  <c r="AM98" i="21"/>
  <c r="AN98" i="21"/>
  <c r="AO98" i="21"/>
  <c r="AP98" i="21"/>
  <c r="E130" i="21"/>
  <c r="H91" i="21"/>
  <c r="I91" i="21"/>
  <c r="J91" i="21"/>
  <c r="K91" i="21"/>
  <c r="L91" i="21"/>
  <c r="M91" i="21"/>
  <c r="N91" i="21"/>
  <c r="O91" i="21"/>
  <c r="P91" i="21"/>
  <c r="Q91" i="21"/>
  <c r="R91" i="21"/>
  <c r="S91" i="21"/>
  <c r="T91" i="21"/>
  <c r="U91" i="21"/>
  <c r="V91" i="21"/>
  <c r="W91" i="21"/>
  <c r="X91" i="21"/>
  <c r="Y91" i="21"/>
  <c r="Z91" i="21"/>
  <c r="AA91" i="21"/>
  <c r="AB91" i="21"/>
  <c r="AC91" i="21"/>
  <c r="AD91" i="21"/>
  <c r="AE91" i="21"/>
  <c r="AF91" i="21"/>
  <c r="AG91" i="21"/>
  <c r="AH91" i="21"/>
  <c r="AI91" i="21"/>
  <c r="AJ91" i="21"/>
  <c r="AK91" i="21"/>
  <c r="AL91" i="21"/>
  <c r="AM91" i="21"/>
  <c r="AN91" i="21"/>
  <c r="AO91" i="21"/>
  <c r="AP91" i="21"/>
  <c r="E133" i="21"/>
  <c r="H94" i="21"/>
  <c r="I94" i="21"/>
  <c r="J94" i="21"/>
  <c r="K94" i="21"/>
  <c r="L94" i="21"/>
  <c r="M94" i="21"/>
  <c r="N94" i="21"/>
  <c r="O94" i="21"/>
  <c r="P94" i="21"/>
  <c r="Q94" i="21"/>
  <c r="R94" i="21"/>
  <c r="S94" i="21"/>
  <c r="T94" i="21"/>
  <c r="U94" i="21"/>
  <c r="V94" i="21"/>
  <c r="W94" i="21"/>
  <c r="X94" i="21"/>
  <c r="Y94" i="21"/>
  <c r="Z94" i="21"/>
  <c r="AA94" i="21"/>
  <c r="AB94" i="21"/>
  <c r="AC94" i="21"/>
  <c r="AD94" i="21"/>
  <c r="AE94" i="21"/>
  <c r="AF94" i="21"/>
  <c r="AG94" i="21"/>
  <c r="AH94" i="21"/>
  <c r="AI94" i="21"/>
  <c r="AJ94" i="21"/>
  <c r="AK94" i="21"/>
  <c r="AL94" i="21"/>
  <c r="AM94" i="21"/>
  <c r="AN94" i="21"/>
  <c r="AO94" i="21"/>
  <c r="AP94" i="21"/>
  <c r="E144" i="21"/>
  <c r="H105" i="21"/>
  <c r="I105" i="21"/>
  <c r="J105" i="21"/>
  <c r="K105" i="21"/>
  <c r="L105" i="21"/>
  <c r="M105" i="21"/>
  <c r="N105" i="21"/>
  <c r="O105" i="21"/>
  <c r="P105" i="21"/>
  <c r="Q105" i="21"/>
  <c r="R105" i="21"/>
  <c r="S105" i="21"/>
  <c r="T105" i="21"/>
  <c r="U105" i="21"/>
  <c r="V105" i="21"/>
  <c r="W105" i="21"/>
  <c r="X105" i="21"/>
  <c r="Y105" i="21"/>
  <c r="Z105" i="21"/>
  <c r="AA105" i="21"/>
  <c r="AB105" i="21"/>
  <c r="AC105" i="21"/>
  <c r="AD105" i="21"/>
  <c r="AE105" i="21"/>
  <c r="AF105" i="21"/>
  <c r="AG105" i="21"/>
  <c r="AH105" i="21"/>
  <c r="AI105" i="21"/>
  <c r="AJ105" i="21"/>
  <c r="AK105" i="21"/>
  <c r="AL105" i="21"/>
  <c r="AM105" i="21"/>
  <c r="AN105" i="21"/>
  <c r="AO105" i="21"/>
  <c r="AP105" i="21"/>
  <c r="E132" i="21"/>
  <c r="H93" i="21"/>
  <c r="I93" i="21"/>
  <c r="J93" i="21"/>
  <c r="K93" i="21"/>
  <c r="L93" i="21"/>
  <c r="M93" i="21"/>
  <c r="N93" i="21"/>
  <c r="O93" i="21"/>
  <c r="P93" i="21"/>
  <c r="Q93" i="21"/>
  <c r="R93" i="21"/>
  <c r="S93" i="21"/>
  <c r="T93" i="21"/>
  <c r="U93" i="21"/>
  <c r="V93" i="21"/>
  <c r="W93" i="21"/>
  <c r="X93" i="21"/>
  <c r="Y93" i="21"/>
  <c r="Z93" i="21"/>
  <c r="AA93" i="21"/>
  <c r="AB93" i="21"/>
  <c r="AC93" i="21"/>
  <c r="AD93" i="21"/>
  <c r="AE93" i="21"/>
  <c r="AF93" i="21"/>
  <c r="AG93" i="21"/>
  <c r="AH93" i="21"/>
  <c r="AI93" i="21"/>
  <c r="AJ93" i="21"/>
  <c r="AK93" i="21"/>
  <c r="AL93" i="21"/>
  <c r="AM93" i="21"/>
  <c r="AN93" i="21"/>
  <c r="AO93" i="21"/>
  <c r="AP93" i="21"/>
  <c r="J11" i="21"/>
  <c r="K11" i="21"/>
  <c r="H11" i="21"/>
  <c r="L11" i="21"/>
  <c r="M11" i="21"/>
  <c r="I11" i="21"/>
  <c r="E156" i="21"/>
  <c r="H117" i="21"/>
  <c r="I117" i="21"/>
  <c r="J117" i="21"/>
  <c r="K117" i="21"/>
  <c r="L117" i="21"/>
  <c r="M117" i="21"/>
  <c r="N117" i="21"/>
  <c r="O117" i="21"/>
  <c r="P117" i="21"/>
  <c r="Q117" i="21"/>
  <c r="R117" i="21"/>
  <c r="S117" i="21"/>
  <c r="T117" i="21"/>
  <c r="U117" i="21"/>
  <c r="V117" i="21"/>
  <c r="W117" i="21"/>
  <c r="X117" i="21"/>
  <c r="Y117" i="21"/>
  <c r="Z117" i="21"/>
  <c r="AA117" i="21"/>
  <c r="AB117" i="21"/>
  <c r="AC117" i="21"/>
  <c r="AD117" i="21"/>
  <c r="AE117" i="21"/>
  <c r="AF117" i="21"/>
  <c r="AG117" i="21"/>
  <c r="AH117" i="21"/>
  <c r="AI117" i="21"/>
  <c r="AJ117" i="21"/>
  <c r="AK117" i="21"/>
  <c r="AL117" i="21"/>
  <c r="AM117" i="21"/>
  <c r="AN117" i="21"/>
  <c r="AO117" i="21"/>
  <c r="AP117" i="21"/>
  <c r="O20" i="21"/>
  <c r="M20" i="21"/>
  <c r="K20" i="21"/>
  <c r="L20" i="21"/>
  <c r="R20" i="21"/>
  <c r="S20" i="21"/>
  <c r="H20" i="21"/>
  <c r="J20" i="21"/>
  <c r="V20" i="21"/>
  <c r="T20" i="21"/>
  <c r="I20" i="21"/>
  <c r="U20" i="21"/>
  <c r="P20" i="21"/>
  <c r="Q20" i="21"/>
  <c r="N20" i="21"/>
  <c r="I13" i="21"/>
  <c r="O13" i="21"/>
  <c r="M13" i="21"/>
  <c r="J13" i="21"/>
  <c r="K13" i="21"/>
  <c r="H13" i="21"/>
  <c r="L13" i="21"/>
  <c r="N13" i="21"/>
  <c r="M16" i="21"/>
  <c r="R16" i="21"/>
  <c r="P16" i="21"/>
  <c r="N16" i="21"/>
  <c r="J16" i="21"/>
  <c r="K16" i="21"/>
  <c r="L16" i="21"/>
  <c r="H16" i="21"/>
  <c r="O16" i="21"/>
  <c r="I16" i="21"/>
  <c r="Q16" i="21"/>
  <c r="O27" i="21"/>
  <c r="K27" i="21"/>
  <c r="N27" i="21"/>
  <c r="T27" i="21"/>
  <c r="X27" i="21"/>
  <c r="AC27" i="21"/>
  <c r="M27" i="21"/>
  <c r="S27" i="21"/>
  <c r="V27" i="21"/>
  <c r="I27" i="21"/>
  <c r="Z27" i="21"/>
  <c r="L27" i="21"/>
  <c r="Y27" i="21"/>
  <c r="AA27" i="21"/>
  <c r="Q27" i="21"/>
  <c r="AB27" i="21"/>
  <c r="R27" i="21"/>
  <c r="J27" i="21"/>
  <c r="W27" i="21"/>
  <c r="H27" i="21"/>
  <c r="U27" i="21"/>
  <c r="P27" i="21"/>
  <c r="O24" i="21"/>
  <c r="T24" i="21"/>
  <c r="X24" i="21"/>
  <c r="K24" i="21"/>
  <c r="I24" i="21"/>
  <c r="M24" i="21"/>
  <c r="Y24" i="21"/>
  <c r="R24" i="21"/>
  <c r="H24" i="21"/>
  <c r="P24" i="21"/>
  <c r="L24" i="21"/>
  <c r="Q24" i="21"/>
  <c r="S24" i="21"/>
  <c r="J24" i="21"/>
  <c r="U24" i="21"/>
  <c r="V24" i="21"/>
  <c r="Z24" i="21"/>
  <c r="W24" i="21"/>
  <c r="N24" i="21"/>
  <c r="E131" i="21"/>
  <c r="H92" i="21"/>
  <c r="I92" i="21"/>
  <c r="J92" i="21"/>
  <c r="K92" i="21"/>
  <c r="L92" i="21"/>
  <c r="M92" i="21"/>
  <c r="N92" i="21"/>
  <c r="O92" i="21"/>
  <c r="P92" i="21"/>
  <c r="Q92" i="21"/>
  <c r="R92" i="21"/>
  <c r="S92" i="21"/>
  <c r="T92" i="21"/>
  <c r="U92" i="21"/>
  <c r="V92" i="21"/>
  <c r="W92" i="21"/>
  <c r="X92" i="21"/>
  <c r="Y92" i="21"/>
  <c r="Z92" i="21"/>
  <c r="AA92" i="21"/>
  <c r="AB92" i="21"/>
  <c r="AC92" i="21"/>
  <c r="AD92" i="21"/>
  <c r="AE92" i="21"/>
  <c r="AF92" i="21"/>
  <c r="AG92" i="21"/>
  <c r="AH92" i="21"/>
  <c r="AI92" i="21"/>
  <c r="AJ92" i="21"/>
  <c r="AK92" i="21"/>
  <c r="AL92" i="21"/>
  <c r="AM92" i="21"/>
  <c r="AN92" i="21"/>
  <c r="AO92" i="21"/>
  <c r="AP92" i="21"/>
  <c r="N34" i="21"/>
  <c r="AE34" i="21"/>
  <c r="R34" i="21"/>
  <c r="J34" i="21"/>
  <c r="AC34" i="21"/>
  <c r="AA34" i="21"/>
  <c r="X34" i="21"/>
  <c r="T34" i="21"/>
  <c r="AB34" i="21"/>
  <c r="AF34" i="21"/>
  <c r="AH34" i="21"/>
  <c r="L34" i="21"/>
  <c r="V34" i="21"/>
  <c r="W34" i="21"/>
  <c r="I34" i="21"/>
  <c r="AI34" i="21"/>
  <c r="Z34" i="21"/>
  <c r="Q34" i="21"/>
  <c r="M34" i="21"/>
  <c r="H34" i="21"/>
  <c r="Y34" i="21"/>
  <c r="AJ34" i="21"/>
  <c r="O34" i="21"/>
  <c r="AG34" i="21"/>
  <c r="K34" i="21"/>
  <c r="P34" i="21"/>
  <c r="S34" i="21"/>
  <c r="AD34" i="21"/>
  <c r="U34" i="21"/>
  <c r="E122" i="21"/>
  <c r="H83" i="21"/>
  <c r="I83" i="21"/>
  <c r="J83" i="21"/>
  <c r="K83" i="21"/>
  <c r="L83" i="21"/>
  <c r="M83" i="21"/>
  <c r="N83" i="21"/>
  <c r="O83" i="21"/>
  <c r="P83" i="21"/>
  <c r="Q83" i="21"/>
  <c r="R83" i="21"/>
  <c r="S83" i="21"/>
  <c r="T83" i="21"/>
  <c r="U83" i="21"/>
  <c r="V83" i="21"/>
  <c r="W83" i="21"/>
  <c r="X83" i="21"/>
  <c r="Y83" i="21"/>
  <c r="Z83" i="21"/>
  <c r="AA83" i="21"/>
  <c r="AB83" i="21"/>
  <c r="AC83" i="21"/>
  <c r="AD83" i="21"/>
  <c r="AE83" i="21"/>
  <c r="AF83" i="21"/>
  <c r="AG83" i="21"/>
  <c r="AH83" i="21"/>
  <c r="AI83" i="21"/>
  <c r="AJ83" i="21"/>
  <c r="AK83" i="21"/>
  <c r="AL83" i="21"/>
  <c r="AM83" i="21"/>
  <c r="AN83" i="21"/>
  <c r="AO83" i="21"/>
  <c r="AP83" i="21"/>
  <c r="E135" i="21"/>
  <c r="H96" i="21"/>
  <c r="I96" i="21"/>
  <c r="J96" i="21"/>
  <c r="K96" i="21"/>
  <c r="L96" i="21"/>
  <c r="M96" i="21"/>
  <c r="N96" i="21"/>
  <c r="O96" i="21"/>
  <c r="P96" i="21"/>
  <c r="Q96" i="21"/>
  <c r="R96" i="21"/>
  <c r="S96" i="21"/>
  <c r="T96" i="21"/>
  <c r="U96" i="21"/>
  <c r="V96" i="21"/>
  <c r="W96" i="21"/>
  <c r="X96" i="21"/>
  <c r="Y96" i="21"/>
  <c r="Z96" i="21"/>
  <c r="AA96" i="21"/>
  <c r="AB96" i="21"/>
  <c r="AC96" i="21"/>
  <c r="AD96" i="21"/>
  <c r="AE96" i="21"/>
  <c r="AF96" i="21"/>
  <c r="AG96" i="21"/>
  <c r="AH96" i="21"/>
  <c r="AI96" i="21"/>
  <c r="AJ96" i="21"/>
  <c r="AK96" i="21"/>
  <c r="AL96" i="21"/>
  <c r="AM96" i="21"/>
  <c r="AN96" i="21"/>
  <c r="AO96" i="21"/>
  <c r="AP96" i="21"/>
  <c r="E153" i="21"/>
  <c r="H114" i="21"/>
  <c r="I114" i="21"/>
  <c r="J114" i="21"/>
  <c r="K114" i="21"/>
  <c r="L114" i="21"/>
  <c r="M114" i="21"/>
  <c r="N114" i="21"/>
  <c r="O114" i="21"/>
  <c r="P114" i="21"/>
  <c r="Q114" i="21"/>
  <c r="R114" i="21"/>
  <c r="S114" i="21"/>
  <c r="T114" i="21"/>
  <c r="U114" i="21"/>
  <c r="V114" i="21"/>
  <c r="W114" i="21"/>
  <c r="X114" i="21"/>
  <c r="Y114" i="21"/>
  <c r="Z114" i="21"/>
  <c r="AA114" i="21"/>
  <c r="AB114" i="21"/>
  <c r="AC114" i="21"/>
  <c r="AD114" i="21"/>
  <c r="AE114" i="21"/>
  <c r="AF114" i="21"/>
  <c r="AG114" i="21"/>
  <c r="AH114" i="21"/>
  <c r="AI114" i="21"/>
  <c r="AJ114" i="21"/>
  <c r="AK114" i="21"/>
  <c r="AL114" i="21"/>
  <c r="AM114" i="21"/>
  <c r="AN114" i="21"/>
  <c r="AO114" i="21"/>
  <c r="AP114" i="21"/>
  <c r="E141" i="21"/>
  <c r="H102" i="21"/>
  <c r="I102" i="21"/>
  <c r="J102" i="21"/>
  <c r="K102" i="21"/>
  <c r="L102" i="21"/>
  <c r="M102" i="21"/>
  <c r="N102" i="21"/>
  <c r="O102" i="21"/>
  <c r="P102" i="21"/>
  <c r="Q102" i="21"/>
  <c r="R102" i="21"/>
  <c r="S102" i="21"/>
  <c r="T102" i="21"/>
  <c r="U102" i="21"/>
  <c r="V102" i="21"/>
  <c r="W102" i="21"/>
  <c r="X102" i="21"/>
  <c r="Y102" i="21"/>
  <c r="Z102" i="21"/>
  <c r="AA102" i="21"/>
  <c r="AB102" i="21"/>
  <c r="AC102" i="21"/>
  <c r="AD102" i="21"/>
  <c r="AE102" i="21"/>
  <c r="AF102" i="21"/>
  <c r="AG102" i="21"/>
  <c r="AH102" i="21"/>
  <c r="AI102" i="21"/>
  <c r="AJ102" i="21"/>
  <c r="AK102" i="21"/>
  <c r="AL102" i="21"/>
  <c r="AM102" i="21"/>
  <c r="AN102" i="21"/>
  <c r="AO102" i="21"/>
  <c r="AP102" i="21"/>
  <c r="J14" i="21"/>
  <c r="L14" i="21"/>
  <c r="M14" i="21"/>
  <c r="I14" i="21"/>
  <c r="N14" i="21"/>
  <c r="H14" i="21"/>
  <c r="O14" i="21"/>
  <c r="K14" i="21"/>
  <c r="P14" i="21"/>
  <c r="E151" i="21"/>
  <c r="H112" i="21"/>
  <c r="I112" i="21"/>
  <c r="J112" i="21"/>
  <c r="K112" i="21"/>
  <c r="L112" i="21"/>
  <c r="M112" i="21"/>
  <c r="N112" i="21"/>
  <c r="O112" i="21"/>
  <c r="P112" i="21"/>
  <c r="Q112" i="21"/>
  <c r="R112" i="21"/>
  <c r="S112" i="21"/>
  <c r="T112" i="21"/>
  <c r="U112" i="21"/>
  <c r="V112" i="21"/>
  <c r="W112" i="21"/>
  <c r="X112" i="21"/>
  <c r="Y112" i="21"/>
  <c r="Z112" i="21"/>
  <c r="AA112" i="21"/>
  <c r="AB112" i="21"/>
  <c r="AC112" i="21"/>
  <c r="AD112" i="21"/>
  <c r="AE112" i="21"/>
  <c r="AF112" i="21"/>
  <c r="AG112" i="21"/>
  <c r="AH112" i="21"/>
  <c r="AI112" i="21"/>
  <c r="AJ112" i="21"/>
  <c r="AK112" i="21"/>
  <c r="AL112" i="21"/>
  <c r="AM112" i="21"/>
  <c r="AN112" i="21"/>
  <c r="AO112" i="21"/>
  <c r="AP112" i="21"/>
  <c r="H18" i="21"/>
  <c r="P18" i="21"/>
  <c r="O18" i="21"/>
  <c r="I18" i="21"/>
  <c r="L18" i="21"/>
  <c r="Q18" i="21"/>
  <c r="K18" i="21"/>
  <c r="T18" i="21"/>
  <c r="J18" i="21"/>
  <c r="M18" i="21"/>
  <c r="S18" i="21"/>
  <c r="R18" i="21"/>
  <c r="N18" i="21"/>
  <c r="X36" i="21"/>
  <c r="AC36" i="21"/>
  <c r="T36" i="21"/>
  <c r="AF36" i="21"/>
  <c r="U36" i="21"/>
  <c r="AD36" i="21"/>
  <c r="AK36" i="21"/>
  <c r="AA36" i="21"/>
  <c r="I36" i="21"/>
  <c r="V36" i="21"/>
  <c r="L36" i="21"/>
  <c r="Q36" i="21"/>
  <c r="AL36" i="21"/>
  <c r="M36" i="21"/>
  <c r="Y36" i="21"/>
  <c r="J36" i="21"/>
  <c r="O36" i="21"/>
  <c r="AG36" i="21"/>
  <c r="Z36" i="21"/>
  <c r="W36" i="21"/>
  <c r="S36" i="21"/>
  <c r="AE36" i="21"/>
  <c r="N36" i="21"/>
  <c r="AI36" i="21"/>
  <c r="AB36" i="21"/>
  <c r="AH36" i="21"/>
  <c r="H36" i="21"/>
  <c r="AJ36" i="21"/>
  <c r="P36" i="21"/>
  <c r="R36" i="21"/>
  <c r="K36" i="21"/>
  <c r="Q32" i="21"/>
  <c r="L32" i="21"/>
  <c r="Z32" i="21"/>
  <c r="O32" i="21"/>
  <c r="AG32" i="21"/>
  <c r="M32" i="21"/>
  <c r="H32" i="21"/>
  <c r="J32" i="21"/>
  <c r="AA32" i="21"/>
  <c r="P32" i="21"/>
  <c r="U32" i="21"/>
  <c r="R32" i="21"/>
  <c r="AF32" i="21"/>
  <c r="K32" i="21"/>
  <c r="I32" i="21"/>
  <c r="S32" i="21"/>
  <c r="AD32" i="21"/>
  <c r="AE32" i="21"/>
  <c r="N32" i="21"/>
  <c r="X32" i="21"/>
  <c r="AB32" i="21"/>
  <c r="Y32" i="21"/>
  <c r="T32" i="21"/>
  <c r="AH32" i="21"/>
  <c r="V32" i="21"/>
  <c r="AC32" i="21"/>
  <c r="W32" i="21"/>
  <c r="E136" i="21"/>
  <c r="H97" i="21"/>
  <c r="I97" i="21"/>
  <c r="J97" i="21"/>
  <c r="K97" i="21"/>
  <c r="L97" i="21"/>
  <c r="M97" i="21"/>
  <c r="N97" i="21"/>
  <c r="O97" i="21"/>
  <c r="P97" i="21"/>
  <c r="Q97" i="21"/>
  <c r="R97" i="21"/>
  <c r="S97" i="21"/>
  <c r="T97" i="21"/>
  <c r="U97" i="21"/>
  <c r="V97" i="21"/>
  <c r="W97" i="21"/>
  <c r="X97" i="21"/>
  <c r="Y97" i="21"/>
  <c r="Z97" i="21"/>
  <c r="AA97" i="21"/>
  <c r="AB97" i="21"/>
  <c r="AC97" i="21"/>
  <c r="AD97" i="21"/>
  <c r="AE97" i="21"/>
  <c r="AF97" i="21"/>
  <c r="AG97" i="21"/>
  <c r="AH97" i="21"/>
  <c r="AI97" i="21"/>
  <c r="AJ97" i="21"/>
  <c r="AK97" i="21"/>
  <c r="AL97" i="21"/>
  <c r="AM97" i="21"/>
  <c r="AN97" i="21"/>
  <c r="AO97" i="21"/>
  <c r="AP97" i="21"/>
  <c r="I7" i="21"/>
  <c r="H7" i="21"/>
  <c r="E146" i="21"/>
  <c r="H107" i="21"/>
  <c r="I107" i="21"/>
  <c r="J107" i="21"/>
  <c r="K107" i="21"/>
  <c r="L107" i="21"/>
  <c r="M107" i="21"/>
  <c r="N107" i="21"/>
  <c r="O107" i="21"/>
  <c r="P107" i="21"/>
  <c r="Q107" i="21"/>
  <c r="R107" i="21"/>
  <c r="S107" i="21"/>
  <c r="T107" i="21"/>
  <c r="U107" i="21"/>
  <c r="V107" i="21"/>
  <c r="W107" i="21"/>
  <c r="X107" i="21"/>
  <c r="Y107" i="21"/>
  <c r="Z107" i="21"/>
  <c r="AA107" i="21"/>
  <c r="AB107" i="21"/>
  <c r="AC107" i="21"/>
  <c r="AD107" i="21"/>
  <c r="AE107" i="21"/>
  <c r="AF107" i="21"/>
  <c r="AG107" i="21"/>
  <c r="AH107" i="21"/>
  <c r="AI107" i="21"/>
  <c r="AJ107" i="21"/>
  <c r="AK107" i="21"/>
  <c r="AL107" i="21"/>
  <c r="AM107" i="21"/>
  <c r="AN107" i="21"/>
  <c r="AO107" i="21"/>
  <c r="AP107" i="21"/>
  <c r="E148" i="21"/>
  <c r="H109" i="21"/>
  <c r="I109" i="21"/>
  <c r="J109" i="21"/>
  <c r="K109" i="21"/>
  <c r="L109" i="21"/>
  <c r="M109" i="21"/>
  <c r="N109" i="21"/>
  <c r="O109" i="21"/>
  <c r="P109" i="21"/>
  <c r="Q109" i="21"/>
  <c r="R109" i="21"/>
  <c r="S109" i="21"/>
  <c r="T109" i="21"/>
  <c r="U109" i="21"/>
  <c r="V109" i="21"/>
  <c r="W109" i="21"/>
  <c r="X109" i="21"/>
  <c r="Y109" i="21"/>
  <c r="Z109" i="21"/>
  <c r="AA109" i="21"/>
  <c r="AB109" i="21"/>
  <c r="AC109" i="21"/>
  <c r="AD109" i="21"/>
  <c r="AE109" i="21"/>
  <c r="AF109" i="21"/>
  <c r="AG109" i="21"/>
  <c r="AH109" i="21"/>
  <c r="AI109" i="21"/>
  <c r="AJ109" i="21"/>
  <c r="AK109" i="21"/>
  <c r="AL109" i="21"/>
  <c r="AM109" i="21"/>
  <c r="AN109" i="21"/>
  <c r="AO109" i="21"/>
  <c r="AP109" i="21"/>
  <c r="X37" i="21"/>
  <c r="AB37" i="21"/>
  <c r="AK37" i="21"/>
  <c r="W37" i="21"/>
  <c r="AJ37" i="21"/>
  <c r="AC37" i="21"/>
  <c r="M37" i="21"/>
  <c r="Z37" i="21"/>
  <c r="O37" i="21"/>
  <c r="AA37" i="21"/>
  <c r="AD37" i="21"/>
  <c r="AE37" i="21"/>
  <c r="AL37" i="21"/>
  <c r="L37" i="21"/>
  <c r="AM37" i="21"/>
  <c r="N37" i="21"/>
  <c r="J37" i="21"/>
  <c r="P37" i="21"/>
  <c r="R37" i="21"/>
  <c r="V37" i="21"/>
  <c r="AF37" i="21"/>
  <c r="AH37" i="21"/>
  <c r="S37" i="21"/>
  <c r="I37" i="21"/>
  <c r="AI37" i="21"/>
  <c r="Q37" i="21"/>
  <c r="T37" i="21"/>
  <c r="Y37" i="21"/>
  <c r="K37" i="21"/>
  <c r="AG37" i="21"/>
  <c r="U37" i="21"/>
  <c r="H37" i="21"/>
  <c r="E149" i="21"/>
  <c r="H110" i="21"/>
  <c r="I110" i="21"/>
  <c r="J110" i="21"/>
  <c r="K110" i="21"/>
  <c r="L110" i="21"/>
  <c r="M110" i="21"/>
  <c r="N110" i="21"/>
  <c r="O110" i="21"/>
  <c r="P110" i="21"/>
  <c r="Q110" i="21"/>
  <c r="R110" i="21"/>
  <c r="S110" i="21"/>
  <c r="T110" i="21"/>
  <c r="U110" i="21"/>
  <c r="V110" i="21"/>
  <c r="W110" i="21"/>
  <c r="X110" i="21"/>
  <c r="Y110" i="21"/>
  <c r="Z110" i="21"/>
  <c r="AA110" i="21"/>
  <c r="AB110" i="21"/>
  <c r="AC110" i="21"/>
  <c r="AD110" i="21"/>
  <c r="AE110" i="21"/>
  <c r="AF110" i="21"/>
  <c r="AG110" i="21"/>
  <c r="AH110" i="21"/>
  <c r="AI110" i="21"/>
  <c r="AJ110" i="21"/>
  <c r="AK110" i="21"/>
  <c r="AL110" i="21"/>
  <c r="AM110" i="21"/>
  <c r="AN110" i="21"/>
  <c r="AO110" i="21"/>
  <c r="AP110" i="21"/>
  <c r="I19" i="21"/>
  <c r="T19" i="21"/>
  <c r="U19" i="21"/>
  <c r="R19" i="21"/>
  <c r="N19" i="21"/>
  <c r="H19" i="21"/>
  <c r="P19" i="21"/>
  <c r="O19" i="21"/>
  <c r="Q19" i="21"/>
  <c r="K19" i="21"/>
  <c r="L19" i="21"/>
  <c r="J19" i="21"/>
  <c r="S19" i="21"/>
  <c r="M19" i="21"/>
  <c r="E124" i="21"/>
  <c r="H85" i="21"/>
  <c r="I85" i="21"/>
  <c r="J85" i="21"/>
  <c r="K85" i="21"/>
  <c r="L85" i="21"/>
  <c r="M85" i="21"/>
  <c r="N85" i="21"/>
  <c r="O85" i="21"/>
  <c r="P85" i="21"/>
  <c r="Q85" i="21"/>
  <c r="R85" i="21"/>
  <c r="S85" i="21"/>
  <c r="T85" i="21"/>
  <c r="U85" i="21"/>
  <c r="V85" i="21"/>
  <c r="W85" i="21"/>
  <c r="X85" i="21"/>
  <c r="Y85" i="21"/>
  <c r="Z85" i="21"/>
  <c r="AA85" i="21"/>
  <c r="AB85" i="21"/>
  <c r="AC85" i="21"/>
  <c r="AD85" i="21"/>
  <c r="AE85" i="21"/>
  <c r="AF85" i="21"/>
  <c r="AG85" i="21"/>
  <c r="AH85" i="21"/>
  <c r="AI85" i="21"/>
  <c r="AJ85" i="21"/>
  <c r="AK85" i="21"/>
  <c r="AL85" i="21"/>
  <c r="AM85" i="21"/>
  <c r="AN85" i="21"/>
  <c r="AO85" i="21"/>
  <c r="AP85" i="21"/>
  <c r="P29" i="21"/>
  <c r="M29" i="21"/>
  <c r="U29" i="21"/>
  <c r="X29" i="21"/>
  <c r="AA29" i="21"/>
  <c r="V29" i="21"/>
  <c r="R29" i="21"/>
  <c r="N29" i="21"/>
  <c r="S29" i="21"/>
  <c r="I29" i="21"/>
  <c r="AB29" i="21"/>
  <c r="Q29" i="21"/>
  <c r="Y29" i="21"/>
  <c r="AC29" i="21"/>
  <c r="O29" i="21"/>
  <c r="J29" i="21"/>
  <c r="W29" i="21"/>
  <c r="AD29" i="21"/>
  <c r="AE29" i="21"/>
  <c r="L29" i="21"/>
  <c r="K29" i="21"/>
  <c r="Z29" i="21"/>
  <c r="H29" i="21"/>
  <c r="T29" i="21"/>
  <c r="X31" i="21"/>
  <c r="V31" i="21"/>
  <c r="AB31" i="21"/>
  <c r="L31" i="21"/>
  <c r="T31" i="21"/>
  <c r="O31" i="21"/>
  <c r="AG31" i="21"/>
  <c r="M31" i="21"/>
  <c r="W31" i="21"/>
  <c r="AD31" i="21"/>
  <c r="U31" i="21"/>
  <c r="P31" i="21"/>
  <c r="K31" i="21"/>
  <c r="R31" i="21"/>
  <c r="J31" i="21"/>
  <c r="Z31" i="21"/>
  <c r="AC31" i="21"/>
  <c r="AE31" i="21"/>
  <c r="N31" i="21"/>
  <c r="H31" i="21"/>
  <c r="AA31" i="21"/>
  <c r="AF31" i="21"/>
  <c r="S31" i="21"/>
  <c r="I31" i="21"/>
  <c r="Q31" i="21"/>
  <c r="Y31" i="21"/>
  <c r="E154" i="21"/>
  <c r="H115" i="21"/>
  <c r="I115" i="21"/>
  <c r="J115" i="21"/>
  <c r="K115" i="21"/>
  <c r="L115" i="21"/>
  <c r="M115" i="21"/>
  <c r="N115" i="21"/>
  <c r="O115" i="21"/>
  <c r="P115" i="21"/>
  <c r="Q115" i="21"/>
  <c r="R115" i="21"/>
  <c r="S115" i="21"/>
  <c r="T115" i="21"/>
  <c r="U115" i="21"/>
  <c r="V115" i="21"/>
  <c r="W115" i="21"/>
  <c r="X115" i="21"/>
  <c r="Y115" i="21"/>
  <c r="Z115" i="21"/>
  <c r="AA115" i="21"/>
  <c r="AB115" i="21"/>
  <c r="AC115" i="21"/>
  <c r="AD115" i="21"/>
  <c r="AE115" i="21"/>
  <c r="AF115" i="21"/>
  <c r="AG115" i="21"/>
  <c r="AH115" i="21"/>
  <c r="AI115" i="21"/>
  <c r="AJ115" i="21"/>
  <c r="AK115" i="21"/>
  <c r="AL115" i="21"/>
  <c r="AM115" i="21"/>
  <c r="AN115" i="21"/>
  <c r="AO115" i="21"/>
  <c r="AP115" i="21"/>
  <c r="E127" i="21"/>
  <c r="H88" i="21"/>
  <c r="I88" i="21"/>
  <c r="J88" i="21"/>
  <c r="K88" i="21"/>
  <c r="L88" i="21"/>
  <c r="M88" i="21"/>
  <c r="N88" i="21"/>
  <c r="O88" i="21"/>
  <c r="P88" i="21"/>
  <c r="Q88" i="21"/>
  <c r="R88" i="21"/>
  <c r="S88" i="21"/>
  <c r="T88" i="21"/>
  <c r="U88" i="21"/>
  <c r="V88" i="21"/>
  <c r="W88" i="21"/>
  <c r="X88" i="21"/>
  <c r="Y88" i="21"/>
  <c r="Z88" i="21"/>
  <c r="AA88" i="21"/>
  <c r="AB88" i="21"/>
  <c r="AC88" i="21"/>
  <c r="AD88" i="21"/>
  <c r="AE88" i="21"/>
  <c r="AF88" i="21"/>
  <c r="AG88" i="21"/>
  <c r="AH88" i="21"/>
  <c r="AI88" i="21"/>
  <c r="AJ88" i="21"/>
  <c r="AK88" i="21"/>
  <c r="AL88" i="21"/>
  <c r="AM88" i="21"/>
  <c r="AN88" i="21"/>
  <c r="AO88" i="21"/>
  <c r="AP88" i="21"/>
  <c r="K12" i="21"/>
  <c r="H12" i="21"/>
  <c r="L12" i="21"/>
  <c r="I12" i="21"/>
  <c r="N12" i="21"/>
  <c r="J12" i="21"/>
  <c r="M12" i="21"/>
  <c r="AB38" i="21"/>
  <c r="K38" i="21"/>
  <c r="Y38" i="21"/>
  <c r="AC38" i="21"/>
  <c r="O38" i="21"/>
  <c r="AG38" i="21"/>
  <c r="N38" i="21"/>
  <c r="AM38" i="21"/>
  <c r="Z38" i="21"/>
  <c r="H38" i="21"/>
  <c r="AK38" i="21"/>
  <c r="T38" i="21"/>
  <c r="P38" i="21"/>
  <c r="M38" i="21"/>
  <c r="V38" i="21"/>
  <c r="R38" i="21"/>
  <c r="AD38" i="21"/>
  <c r="X38" i="21"/>
  <c r="AA38" i="21"/>
  <c r="AH38" i="21"/>
  <c r="AF38" i="21"/>
  <c r="AL38" i="21"/>
  <c r="S38" i="21"/>
  <c r="W38" i="21"/>
  <c r="AN38" i="21"/>
  <c r="J38" i="21"/>
  <c r="AI38" i="21"/>
  <c r="I38" i="21"/>
  <c r="AJ38" i="21"/>
  <c r="Q38" i="21"/>
  <c r="AE38" i="21"/>
  <c r="L38" i="21"/>
  <c r="U38" i="21"/>
  <c r="E125" i="21"/>
  <c r="H86" i="21"/>
  <c r="I86" i="21"/>
  <c r="J86" i="21"/>
  <c r="K86" i="21"/>
  <c r="L86" i="21"/>
  <c r="M86" i="21"/>
  <c r="N86" i="21"/>
  <c r="O86" i="21"/>
  <c r="P86" i="21"/>
  <c r="Q86" i="21"/>
  <c r="R86" i="21"/>
  <c r="S86" i="21"/>
  <c r="T86" i="21"/>
  <c r="U86" i="21"/>
  <c r="V86" i="21"/>
  <c r="W86" i="21"/>
  <c r="X86" i="21"/>
  <c r="Y86" i="21"/>
  <c r="Z86" i="21"/>
  <c r="AA86" i="21"/>
  <c r="AB86" i="21"/>
  <c r="AC86" i="21"/>
  <c r="AD86" i="21"/>
  <c r="AE86" i="21"/>
  <c r="AF86" i="21"/>
  <c r="AG86" i="21"/>
  <c r="AH86" i="21"/>
  <c r="AI86" i="21"/>
  <c r="AJ86" i="21"/>
  <c r="AK86" i="21"/>
  <c r="AL86" i="21"/>
  <c r="AM86" i="21"/>
  <c r="AN86" i="21"/>
  <c r="AO86" i="21"/>
  <c r="AP86" i="21"/>
  <c r="E134" i="21"/>
  <c r="H95" i="21"/>
  <c r="I95" i="21"/>
  <c r="J95" i="21"/>
  <c r="K95" i="21"/>
  <c r="L95" i="21"/>
  <c r="M95" i="21"/>
  <c r="N95" i="21"/>
  <c r="O95" i="21"/>
  <c r="P95" i="21"/>
  <c r="Q95" i="21"/>
  <c r="R95" i="21"/>
  <c r="S95" i="21"/>
  <c r="T95" i="21"/>
  <c r="U95" i="21"/>
  <c r="V95" i="21"/>
  <c r="W95" i="21"/>
  <c r="X95" i="21"/>
  <c r="Y95" i="21"/>
  <c r="Z95" i="21"/>
  <c r="AA95" i="21"/>
  <c r="AB95" i="21"/>
  <c r="AC95" i="21"/>
  <c r="AD95" i="21"/>
  <c r="AE95" i="21"/>
  <c r="AF95" i="21"/>
  <c r="AG95" i="21"/>
  <c r="AH95" i="21"/>
  <c r="AI95" i="21"/>
  <c r="AJ95" i="21"/>
  <c r="AK95" i="21"/>
  <c r="AL95" i="21"/>
  <c r="AM95" i="21"/>
  <c r="AN95" i="21"/>
  <c r="AO95" i="21"/>
  <c r="AP95" i="21"/>
  <c r="E142" i="21"/>
  <c r="H103" i="21"/>
  <c r="I103" i="21"/>
  <c r="J103" i="21"/>
  <c r="K103" i="21"/>
  <c r="L103" i="21"/>
  <c r="M103" i="21"/>
  <c r="N103" i="21"/>
  <c r="O103" i="21"/>
  <c r="P103" i="21"/>
  <c r="Q103" i="21"/>
  <c r="R103" i="21"/>
  <c r="S103" i="21"/>
  <c r="T103" i="21"/>
  <c r="U103" i="21"/>
  <c r="V103" i="21"/>
  <c r="W103" i="21"/>
  <c r="X103" i="21"/>
  <c r="Y103" i="21"/>
  <c r="Z103" i="21"/>
  <c r="AA103" i="21"/>
  <c r="AB103" i="21"/>
  <c r="AC103" i="21"/>
  <c r="AD103" i="21"/>
  <c r="AE103" i="21"/>
  <c r="AF103" i="21"/>
  <c r="AG103" i="21"/>
  <c r="AH103" i="21"/>
  <c r="AI103" i="21"/>
  <c r="AJ103" i="21"/>
  <c r="AK103" i="21"/>
  <c r="AL103" i="21"/>
  <c r="AM103" i="21"/>
  <c r="AN103" i="21"/>
  <c r="AO103" i="21"/>
  <c r="AP103" i="21"/>
  <c r="H10" i="21"/>
  <c r="L10" i="21"/>
  <c r="I10" i="21"/>
  <c r="K10" i="21"/>
  <c r="J10" i="21"/>
  <c r="E129" i="21"/>
  <c r="H90" i="21"/>
  <c r="I90" i="21"/>
  <c r="J90" i="21"/>
  <c r="K90" i="21"/>
  <c r="L90" i="21"/>
  <c r="M90" i="21"/>
  <c r="N90" i="21"/>
  <c r="O90" i="21"/>
  <c r="P90" i="21"/>
  <c r="Q90" i="21"/>
  <c r="R90" i="21"/>
  <c r="S90" i="21"/>
  <c r="T90" i="21"/>
  <c r="U90" i="21"/>
  <c r="V90" i="21"/>
  <c r="W90" i="21"/>
  <c r="X90" i="21"/>
  <c r="Y90" i="21"/>
  <c r="Z90" i="21"/>
  <c r="AA90" i="21"/>
  <c r="AB90" i="21"/>
  <c r="AC90" i="21"/>
  <c r="AD90" i="21"/>
  <c r="AE90" i="21"/>
  <c r="AF90" i="21"/>
  <c r="AG90" i="21"/>
  <c r="AH90" i="21"/>
  <c r="AI90" i="21"/>
  <c r="AJ90" i="21"/>
  <c r="AK90" i="21"/>
  <c r="AL90" i="21"/>
  <c r="AM90" i="21"/>
  <c r="AN90" i="21"/>
  <c r="AO90" i="21"/>
  <c r="AP90" i="21"/>
  <c r="E155" i="21"/>
  <c r="H116" i="21"/>
  <c r="I116" i="21"/>
  <c r="J116" i="21"/>
  <c r="K116" i="21"/>
  <c r="L116" i="21"/>
  <c r="M116" i="21"/>
  <c r="N116" i="21"/>
  <c r="O116" i="21"/>
  <c r="P116" i="21"/>
  <c r="Q116" i="21"/>
  <c r="R116" i="21"/>
  <c r="S116" i="21"/>
  <c r="T116" i="21"/>
  <c r="U116" i="21"/>
  <c r="V116" i="21"/>
  <c r="W116" i="21"/>
  <c r="X116" i="21"/>
  <c r="Y116" i="21"/>
  <c r="Z116" i="21"/>
  <c r="AA116" i="21"/>
  <c r="AB116" i="21"/>
  <c r="AC116" i="21"/>
  <c r="AD116" i="21"/>
  <c r="AE116" i="21"/>
  <c r="AF116" i="21"/>
  <c r="AG116" i="21"/>
  <c r="AH116" i="21"/>
  <c r="AI116" i="21"/>
  <c r="AJ116" i="21"/>
  <c r="AK116" i="21"/>
  <c r="AL116" i="21"/>
  <c r="AM116" i="21"/>
  <c r="AN116" i="21"/>
  <c r="AO116" i="21"/>
  <c r="AP116" i="21"/>
  <c r="I8" i="21"/>
  <c r="H8" i="21"/>
  <c r="J8" i="21"/>
  <c r="M17" i="21"/>
  <c r="J17" i="21"/>
  <c r="R17" i="21"/>
  <c r="N17" i="21"/>
  <c r="H17" i="21"/>
  <c r="S17" i="21"/>
  <c r="P17" i="21"/>
  <c r="K17" i="21"/>
  <c r="I17" i="21"/>
  <c r="L17" i="21"/>
  <c r="Q17" i="21"/>
  <c r="O17" i="21"/>
  <c r="I25" i="21"/>
  <c r="Z25" i="21"/>
  <c r="M25" i="21"/>
  <c r="Y25" i="21"/>
  <c r="K25" i="21"/>
  <c r="O25" i="21"/>
  <c r="R25" i="21"/>
  <c r="H25" i="21"/>
  <c r="T25" i="21"/>
  <c r="X25" i="21"/>
  <c r="J25" i="21"/>
  <c r="V25" i="21"/>
  <c r="U25" i="21"/>
  <c r="L25" i="21"/>
  <c r="W25" i="21"/>
  <c r="P25" i="21"/>
  <c r="Q25" i="21"/>
  <c r="S25" i="21"/>
  <c r="AA25" i="21"/>
  <c r="N25" i="21"/>
  <c r="E123" i="21"/>
  <c r="H84" i="21"/>
  <c r="I84" i="21"/>
  <c r="J84" i="21"/>
  <c r="K84" i="21"/>
  <c r="L84" i="21"/>
  <c r="M84" i="21"/>
  <c r="N84" i="21"/>
  <c r="O84" i="21"/>
  <c r="P84" i="21"/>
  <c r="Q84" i="21"/>
  <c r="R84" i="21"/>
  <c r="S84" i="21"/>
  <c r="T84" i="21"/>
  <c r="U84" i="21"/>
  <c r="V84" i="21"/>
  <c r="W84" i="21"/>
  <c r="X84" i="21"/>
  <c r="Y84" i="21"/>
  <c r="Z84" i="21"/>
  <c r="AA84" i="21"/>
  <c r="AB84" i="21"/>
  <c r="AC84" i="21"/>
  <c r="AD84" i="21"/>
  <c r="AE84" i="21"/>
  <c r="AF84" i="21"/>
  <c r="AG84" i="21"/>
  <c r="AH84" i="21"/>
  <c r="AI84" i="21"/>
  <c r="AJ84" i="21"/>
  <c r="AK84" i="21"/>
  <c r="AL84" i="21"/>
  <c r="AM84" i="21"/>
  <c r="AN84" i="21"/>
  <c r="AO84" i="21"/>
  <c r="AP84" i="21"/>
  <c r="E147" i="21"/>
  <c r="H108" i="21"/>
  <c r="I108" i="21"/>
  <c r="J108" i="21"/>
  <c r="K108" i="21"/>
  <c r="L108" i="21"/>
  <c r="M108" i="21"/>
  <c r="N108" i="21"/>
  <c r="O108" i="21"/>
  <c r="P108" i="21"/>
  <c r="Q108" i="21"/>
  <c r="R108" i="21"/>
  <c r="S108" i="21"/>
  <c r="T108" i="21"/>
  <c r="U108" i="21"/>
  <c r="V108" i="21"/>
  <c r="W108" i="21"/>
  <c r="X108" i="21"/>
  <c r="Y108" i="21"/>
  <c r="Z108" i="21"/>
  <c r="AA108" i="21"/>
  <c r="AB108" i="21"/>
  <c r="AC108" i="21"/>
  <c r="AD108" i="21"/>
  <c r="AE108" i="21"/>
  <c r="AF108" i="21"/>
  <c r="AG108" i="21"/>
  <c r="AH108" i="21"/>
  <c r="AI108" i="21"/>
  <c r="AJ108" i="21"/>
  <c r="AK108" i="21"/>
  <c r="AL108" i="21"/>
  <c r="AM108" i="21"/>
  <c r="AN108" i="21"/>
  <c r="AO108" i="21"/>
  <c r="AP108" i="21"/>
  <c r="E126" i="21"/>
  <c r="H87" i="21"/>
  <c r="I87" i="21"/>
  <c r="J87" i="21"/>
  <c r="K87" i="21"/>
  <c r="L87" i="21"/>
  <c r="M87" i="21"/>
  <c r="N87" i="21"/>
  <c r="O87" i="21"/>
  <c r="P87" i="21"/>
  <c r="Q87" i="21"/>
  <c r="R87" i="21"/>
  <c r="S87" i="21"/>
  <c r="T87" i="21"/>
  <c r="U87" i="21"/>
  <c r="V87" i="21"/>
  <c r="W87" i="21"/>
  <c r="X87" i="21"/>
  <c r="Y87" i="21"/>
  <c r="Z87" i="21"/>
  <c r="AA87" i="21"/>
  <c r="AB87" i="21"/>
  <c r="AC87" i="21"/>
  <c r="AD87" i="21"/>
  <c r="AE87" i="21"/>
  <c r="AF87" i="21"/>
  <c r="AG87" i="21"/>
  <c r="AH87" i="21"/>
  <c r="AI87" i="21"/>
  <c r="AJ87" i="21"/>
  <c r="AK87" i="21"/>
  <c r="AL87" i="21"/>
  <c r="AM87" i="21"/>
  <c r="AN87" i="21"/>
  <c r="AO87" i="21"/>
  <c r="AP87" i="21"/>
  <c r="E152" i="21"/>
  <c r="H113" i="21"/>
  <c r="I113" i="21"/>
  <c r="J113" i="21"/>
  <c r="K113" i="21"/>
  <c r="L113" i="21"/>
  <c r="M113" i="21"/>
  <c r="N113" i="21"/>
  <c r="O113" i="21"/>
  <c r="P113" i="21"/>
  <c r="Q113" i="21"/>
  <c r="R113" i="21"/>
  <c r="S113" i="21"/>
  <c r="T113" i="21"/>
  <c r="U113" i="21"/>
  <c r="V113" i="21"/>
  <c r="W113" i="21"/>
  <c r="X113" i="21"/>
  <c r="Y113" i="21"/>
  <c r="Z113" i="21"/>
  <c r="AA113" i="21"/>
  <c r="AB113" i="21"/>
  <c r="AC113" i="21"/>
  <c r="AD113" i="21"/>
  <c r="AE113" i="21"/>
  <c r="AF113" i="21"/>
  <c r="AG113" i="21"/>
  <c r="AH113" i="21"/>
  <c r="AI113" i="21"/>
  <c r="AJ113" i="21"/>
  <c r="AK113" i="21"/>
  <c r="AL113" i="21"/>
  <c r="AM113" i="21"/>
  <c r="AN113" i="21"/>
  <c r="AO113" i="21"/>
  <c r="AP113" i="21"/>
  <c r="E150" i="21"/>
  <c r="H111" i="21"/>
  <c r="I111" i="21"/>
  <c r="J111" i="21"/>
  <c r="K111" i="21"/>
  <c r="L111" i="21"/>
  <c r="M111" i="21"/>
  <c r="N111" i="21"/>
  <c r="O111" i="21"/>
  <c r="P111" i="21"/>
  <c r="Q111" i="21"/>
  <c r="R111" i="21"/>
  <c r="S111" i="21"/>
  <c r="T111" i="21"/>
  <c r="U111" i="21"/>
  <c r="V111" i="21"/>
  <c r="W111" i="21"/>
  <c r="X111" i="21"/>
  <c r="Y111" i="21"/>
  <c r="Z111" i="21"/>
  <c r="AA111" i="21"/>
  <c r="AB111" i="21"/>
  <c r="AC111" i="21"/>
  <c r="AD111" i="21"/>
  <c r="AE111" i="21"/>
  <c r="AF111" i="21"/>
  <c r="AG111" i="21"/>
  <c r="AH111" i="21"/>
  <c r="AI111" i="21"/>
  <c r="AJ111" i="21"/>
  <c r="AK111" i="21"/>
  <c r="AL111" i="21"/>
  <c r="AM111" i="21"/>
  <c r="AN111" i="21"/>
  <c r="AO111" i="21"/>
  <c r="AP111" i="21"/>
  <c r="E145" i="21"/>
  <c r="H106" i="21"/>
  <c r="I106" i="21"/>
  <c r="J106" i="21"/>
  <c r="K106" i="21"/>
  <c r="L106" i="21"/>
  <c r="M106" i="21"/>
  <c r="N106" i="21"/>
  <c r="O106" i="21"/>
  <c r="P106" i="21"/>
  <c r="Q106" i="21"/>
  <c r="R106" i="21"/>
  <c r="S106" i="21"/>
  <c r="T106" i="21"/>
  <c r="U106" i="21"/>
  <c r="V106" i="21"/>
  <c r="W106" i="21"/>
  <c r="X106" i="21"/>
  <c r="Y106" i="21"/>
  <c r="Z106" i="21"/>
  <c r="AA106" i="21"/>
  <c r="AB106" i="21"/>
  <c r="AC106" i="21"/>
  <c r="AD106" i="21"/>
  <c r="AE106" i="21"/>
  <c r="AF106" i="21"/>
  <c r="AG106" i="21"/>
  <c r="AH106" i="21"/>
  <c r="AI106" i="21"/>
  <c r="AJ106" i="21"/>
  <c r="AK106" i="21"/>
  <c r="AL106" i="21"/>
  <c r="AM106" i="21"/>
  <c r="AN106" i="21"/>
  <c r="AO106" i="21"/>
  <c r="AP106" i="21"/>
  <c r="H6" i="21"/>
  <c r="AF30" i="21"/>
  <c r="I30" i="21"/>
  <c r="AA30" i="21"/>
  <c r="T30" i="21"/>
  <c r="W30" i="21"/>
  <c r="AD30" i="21"/>
  <c r="AE30" i="21"/>
  <c r="K30" i="21"/>
  <c r="N30" i="21"/>
  <c r="H30" i="21"/>
  <c r="U30" i="21"/>
  <c r="X30" i="21"/>
  <c r="Z30" i="21"/>
  <c r="AB30" i="21"/>
  <c r="P30" i="21"/>
  <c r="R30" i="21"/>
  <c r="S30" i="21"/>
  <c r="Q30" i="21"/>
  <c r="Y30" i="21"/>
  <c r="V30" i="21"/>
  <c r="L30" i="21"/>
  <c r="M30" i="21"/>
  <c r="AC30" i="21"/>
  <c r="O30" i="21"/>
  <c r="J30" i="21"/>
  <c r="J9" i="21"/>
  <c r="I9" i="21"/>
  <c r="K9" i="21"/>
  <c r="H9" i="21"/>
  <c r="AC35" i="21"/>
  <c r="J35" i="21"/>
  <c r="H35" i="21"/>
  <c r="S35" i="21"/>
  <c r="P35" i="21"/>
  <c r="AD35" i="21"/>
  <c r="N35" i="21"/>
  <c r="X35" i="21"/>
  <c r="K35" i="21"/>
  <c r="Z35" i="21"/>
  <c r="AF35" i="21"/>
  <c r="AA35" i="21"/>
  <c r="T35" i="21"/>
  <c r="L35" i="21"/>
  <c r="U35" i="21"/>
  <c r="I35" i="21"/>
  <c r="AB35" i="21"/>
  <c r="AI35" i="21"/>
  <c r="Q35" i="21"/>
  <c r="M35" i="21"/>
  <c r="AJ35" i="21"/>
  <c r="Y35" i="21"/>
  <c r="AH35" i="21"/>
  <c r="O35" i="21"/>
  <c r="AG35" i="21"/>
  <c r="V35" i="21"/>
  <c r="W35" i="21"/>
  <c r="AE35" i="21"/>
  <c r="R35" i="21"/>
  <c r="AK35" i="21"/>
  <c r="AI33" i="21"/>
  <c r="Z33" i="21"/>
  <c r="AD33" i="21"/>
  <c r="AA33" i="21"/>
  <c r="M33" i="21"/>
  <c r="Q33" i="21"/>
  <c r="Y33" i="21"/>
  <c r="N33" i="21"/>
  <c r="AG33" i="21"/>
  <c r="O33" i="21"/>
  <c r="S33" i="21"/>
  <c r="R33" i="21"/>
  <c r="W33" i="21"/>
  <c r="T33" i="21"/>
  <c r="AB33" i="21"/>
  <c r="AE33" i="21"/>
  <c r="AH33" i="21"/>
  <c r="V33" i="21"/>
  <c r="H33" i="21"/>
  <c r="J33" i="21"/>
  <c r="P33" i="21"/>
  <c r="U33" i="21"/>
  <c r="I33" i="21"/>
  <c r="X33" i="21"/>
  <c r="L33" i="21"/>
  <c r="AF33" i="21"/>
  <c r="AC33" i="21"/>
  <c r="K33" i="21"/>
  <c r="Q28" i="21"/>
  <c r="Z28" i="21"/>
  <c r="S28" i="21"/>
  <c r="O28" i="21"/>
  <c r="AD28" i="21"/>
  <c r="H28" i="21"/>
  <c r="P28" i="21"/>
  <c r="N28" i="21"/>
  <c r="U28" i="21"/>
  <c r="I28" i="21"/>
  <c r="AC28" i="21"/>
  <c r="V28" i="21"/>
  <c r="X28" i="21"/>
  <c r="L28" i="21"/>
  <c r="Y28" i="21"/>
  <c r="M28" i="21"/>
  <c r="AA28" i="21"/>
  <c r="AB28" i="21"/>
  <c r="R28" i="21"/>
  <c r="J28" i="21"/>
  <c r="W28" i="21"/>
  <c r="K28" i="21"/>
  <c r="T28" i="21"/>
  <c r="AB73" i="1"/>
  <c r="AB72" i="1"/>
  <c r="AA30" i="19" s="1"/>
  <c r="AE39" i="1" l="1"/>
  <c r="AF38" i="1"/>
  <c r="AF43" i="1" s="1"/>
  <c r="AF82" i="1" s="1"/>
  <c r="AF83" i="1" s="1"/>
  <c r="AD6" i="19"/>
  <c r="AD4" i="19" s="1"/>
  <c r="AE76" i="1"/>
  <c r="AD31" i="19" s="1"/>
  <c r="AE44" i="1"/>
  <c r="H142" i="21"/>
  <c r="H64" i="21" s="1"/>
  <c r="I142" i="21"/>
  <c r="I64" i="21" s="1"/>
  <c r="J142" i="21"/>
  <c r="J64" i="21" s="1"/>
  <c r="K142" i="21"/>
  <c r="K64" i="21" s="1"/>
  <c r="L142" i="21"/>
  <c r="L64" i="21" s="1"/>
  <c r="M142" i="21"/>
  <c r="M64" i="21" s="1"/>
  <c r="N142" i="21"/>
  <c r="N64" i="21" s="1"/>
  <c r="O142" i="21"/>
  <c r="O64" i="21" s="1"/>
  <c r="P142" i="21"/>
  <c r="P64" i="21" s="1"/>
  <c r="Q142" i="21"/>
  <c r="Q64" i="21" s="1"/>
  <c r="R142" i="21"/>
  <c r="R64" i="21" s="1"/>
  <c r="S142" i="21"/>
  <c r="S64" i="21" s="1"/>
  <c r="T142" i="21"/>
  <c r="T64" i="21" s="1"/>
  <c r="U142" i="21"/>
  <c r="U64" i="21" s="1"/>
  <c r="V142" i="21"/>
  <c r="V64" i="21" s="1"/>
  <c r="W142" i="21"/>
  <c r="W64" i="21" s="1"/>
  <c r="X142" i="21"/>
  <c r="X64" i="21" s="1"/>
  <c r="Y142" i="21"/>
  <c r="Y64" i="21" s="1"/>
  <c r="Z142" i="21"/>
  <c r="Z64" i="21" s="1"/>
  <c r="AA142" i="21"/>
  <c r="AA64" i="21" s="1"/>
  <c r="AB142" i="21"/>
  <c r="AC142" i="21" s="1"/>
  <c r="H134" i="21"/>
  <c r="H56" i="21" s="1"/>
  <c r="I134" i="21"/>
  <c r="I56" i="21" s="1"/>
  <c r="J134" i="21"/>
  <c r="J56" i="21" s="1"/>
  <c r="K134" i="21"/>
  <c r="K56" i="21" s="1"/>
  <c r="L134" i="21"/>
  <c r="L56" i="21" s="1"/>
  <c r="M134" i="21"/>
  <c r="M56" i="21" s="1"/>
  <c r="N134" i="21"/>
  <c r="N56" i="21" s="1"/>
  <c r="O134" i="21"/>
  <c r="O56" i="21" s="1"/>
  <c r="P134" i="21"/>
  <c r="P56" i="21" s="1"/>
  <c r="Q134" i="21"/>
  <c r="Q56" i="21" s="1"/>
  <c r="R134" i="21"/>
  <c r="R56" i="21" s="1"/>
  <c r="S134" i="21"/>
  <c r="S56" i="21" s="1"/>
  <c r="T134" i="21"/>
  <c r="H125" i="21"/>
  <c r="H47" i="21" s="1"/>
  <c r="I125" i="21"/>
  <c r="I47" i="21" s="1"/>
  <c r="J125" i="21"/>
  <c r="J47" i="21" s="1"/>
  <c r="K125" i="21"/>
  <c r="L125" i="21" s="1"/>
  <c r="H141" i="21"/>
  <c r="H63" i="21" s="1"/>
  <c r="I141" i="21"/>
  <c r="I63" i="21" s="1"/>
  <c r="J141" i="21"/>
  <c r="J63" i="21" s="1"/>
  <c r="K141" i="21"/>
  <c r="K63" i="21" s="1"/>
  <c r="L141" i="21"/>
  <c r="L63" i="21" s="1"/>
  <c r="M141" i="21"/>
  <c r="M63" i="21" s="1"/>
  <c r="N141" i="21"/>
  <c r="N63" i="21" s="1"/>
  <c r="O141" i="21"/>
  <c r="O63" i="21" s="1"/>
  <c r="P141" i="21"/>
  <c r="P63" i="21" s="1"/>
  <c r="Q141" i="21"/>
  <c r="Q63" i="21" s="1"/>
  <c r="R141" i="21"/>
  <c r="R63" i="21" s="1"/>
  <c r="S141" i="21"/>
  <c r="S63" i="21" s="1"/>
  <c r="T141" i="21"/>
  <c r="T63" i="21" s="1"/>
  <c r="U141" i="21"/>
  <c r="U63" i="21" s="1"/>
  <c r="V141" i="21"/>
  <c r="V63" i="21" s="1"/>
  <c r="W141" i="21"/>
  <c r="W63" i="21" s="1"/>
  <c r="X141" i="21"/>
  <c r="X63" i="21" s="1"/>
  <c r="Y141" i="21"/>
  <c r="Y63" i="21" s="1"/>
  <c r="Z141" i="21"/>
  <c r="Z63" i="21" s="1"/>
  <c r="AA141" i="21"/>
  <c r="H153" i="21"/>
  <c r="H75" i="21" s="1"/>
  <c r="I153" i="21"/>
  <c r="I75" i="21" s="1"/>
  <c r="J153" i="21"/>
  <c r="J75" i="21" s="1"/>
  <c r="K153" i="21"/>
  <c r="K75" i="21" s="1"/>
  <c r="L153" i="21"/>
  <c r="L75" i="21" s="1"/>
  <c r="M153" i="21"/>
  <c r="M75" i="21" s="1"/>
  <c r="N153" i="21"/>
  <c r="N75" i="21" s="1"/>
  <c r="O153" i="21"/>
  <c r="O75" i="21" s="1"/>
  <c r="P153" i="21"/>
  <c r="P75" i="21" s="1"/>
  <c r="Q153" i="21"/>
  <c r="Q75" i="21" s="1"/>
  <c r="R153" i="21"/>
  <c r="R75" i="21" s="1"/>
  <c r="S153" i="21"/>
  <c r="S75" i="21" s="1"/>
  <c r="T153" i="21"/>
  <c r="T75" i="21" s="1"/>
  <c r="U153" i="21"/>
  <c r="U75" i="21" s="1"/>
  <c r="V153" i="21"/>
  <c r="V75" i="21" s="1"/>
  <c r="W153" i="21"/>
  <c r="W75" i="21" s="1"/>
  <c r="X153" i="21"/>
  <c r="X75" i="21" s="1"/>
  <c r="Y153" i="21"/>
  <c r="Y75" i="21" s="1"/>
  <c r="Z153" i="21"/>
  <c r="AA153" i="21"/>
  <c r="AA75" i="21" s="1"/>
  <c r="AB153" i="21"/>
  <c r="AB75" i="21" s="1"/>
  <c r="AC153" i="21"/>
  <c r="AC75" i="21" s="1"/>
  <c r="AD153" i="21"/>
  <c r="AD75" i="21" s="1"/>
  <c r="AE153" i="21"/>
  <c r="AE75" i="21" s="1"/>
  <c r="AF153" i="21"/>
  <c r="AF75" i="21" s="1"/>
  <c r="AG153" i="21"/>
  <c r="AG75" i="21" s="1"/>
  <c r="AH153" i="21"/>
  <c r="AH75" i="21" s="1"/>
  <c r="AI153" i="21"/>
  <c r="AI75" i="21" s="1"/>
  <c r="AJ153" i="21"/>
  <c r="AJ75" i="21" s="1"/>
  <c r="AK153" i="21"/>
  <c r="AK75" i="21" s="1"/>
  <c r="AL153" i="21"/>
  <c r="AL75" i="21" s="1"/>
  <c r="AM153" i="21"/>
  <c r="AN153" i="21" s="1"/>
  <c r="AO153" i="21" s="1"/>
  <c r="H135" i="21"/>
  <c r="H57" i="21" s="1"/>
  <c r="I135" i="21"/>
  <c r="I57" i="21" s="1"/>
  <c r="J135" i="21"/>
  <c r="J57" i="21" s="1"/>
  <c r="K135" i="21"/>
  <c r="K57" i="21" s="1"/>
  <c r="L135" i="21"/>
  <c r="L57" i="21" s="1"/>
  <c r="M135" i="21"/>
  <c r="M57" i="21" s="1"/>
  <c r="N135" i="21"/>
  <c r="N57" i="21" s="1"/>
  <c r="O135" i="21"/>
  <c r="O57" i="21" s="1"/>
  <c r="P135" i="21"/>
  <c r="P57" i="21" s="1"/>
  <c r="Q135" i="21"/>
  <c r="Q57" i="21" s="1"/>
  <c r="R135" i="21"/>
  <c r="R57" i="21" s="1"/>
  <c r="S135" i="21"/>
  <c r="S57" i="21" s="1"/>
  <c r="T135" i="21"/>
  <c r="T57" i="21" s="1"/>
  <c r="U135" i="21"/>
  <c r="V135" i="21" s="1"/>
  <c r="W135" i="21" s="1"/>
  <c r="H122" i="21"/>
  <c r="I122" i="21" s="1"/>
  <c r="J122" i="21" s="1"/>
  <c r="H139" i="21"/>
  <c r="H61" i="21" s="1"/>
  <c r="I139" i="21"/>
  <c r="I61" i="21" s="1"/>
  <c r="J139" i="21"/>
  <c r="J61" i="21" s="1"/>
  <c r="K139" i="21"/>
  <c r="K61" i="21" s="1"/>
  <c r="L139" i="21"/>
  <c r="L61" i="21" s="1"/>
  <c r="M139" i="21"/>
  <c r="M61" i="21" s="1"/>
  <c r="N139" i="21"/>
  <c r="N61" i="21" s="1"/>
  <c r="O139" i="21"/>
  <c r="O61" i="21" s="1"/>
  <c r="P139" i="21"/>
  <c r="P61" i="21" s="1"/>
  <c r="Q139" i="21"/>
  <c r="Q61" i="21" s="1"/>
  <c r="R139" i="21"/>
  <c r="R61" i="21" s="1"/>
  <c r="S139" i="21"/>
  <c r="S61" i="21" s="1"/>
  <c r="T139" i="21"/>
  <c r="T61" i="21" s="1"/>
  <c r="U139" i="21"/>
  <c r="U61" i="21" s="1"/>
  <c r="V139" i="21"/>
  <c r="V61" i="21" s="1"/>
  <c r="W139" i="21"/>
  <c r="W61" i="21" s="1"/>
  <c r="X139" i="21"/>
  <c r="X61" i="21" s="1"/>
  <c r="Y139" i="21"/>
  <c r="Z139" i="21" s="1"/>
  <c r="AA139" i="21" s="1"/>
  <c r="H138" i="21"/>
  <c r="H60" i="21" s="1"/>
  <c r="I138" i="21"/>
  <c r="I60" i="21" s="1"/>
  <c r="J138" i="21"/>
  <c r="J60" i="21" s="1"/>
  <c r="K138" i="21"/>
  <c r="K60" i="21" s="1"/>
  <c r="L138" i="21"/>
  <c r="L60" i="21" s="1"/>
  <c r="M138" i="21"/>
  <c r="M60" i="21" s="1"/>
  <c r="N138" i="21"/>
  <c r="N60" i="21" s="1"/>
  <c r="O138" i="21"/>
  <c r="O60" i="21" s="1"/>
  <c r="P138" i="21"/>
  <c r="P60" i="21" s="1"/>
  <c r="Q138" i="21"/>
  <c r="Q60" i="21" s="1"/>
  <c r="R138" i="21"/>
  <c r="R60" i="21" s="1"/>
  <c r="S138" i="21"/>
  <c r="S60" i="21" s="1"/>
  <c r="T138" i="21"/>
  <c r="T60" i="21" s="1"/>
  <c r="U138" i="21"/>
  <c r="U60" i="21" s="1"/>
  <c r="V138" i="21"/>
  <c r="V60" i="21" s="1"/>
  <c r="W138" i="21"/>
  <c r="W60" i="21" s="1"/>
  <c r="X138" i="21"/>
  <c r="Y138" i="21" s="1"/>
  <c r="Z138" i="21" s="1"/>
  <c r="H155" i="21"/>
  <c r="H77" i="21" s="1"/>
  <c r="I155" i="21"/>
  <c r="I77" i="21" s="1"/>
  <c r="J155" i="21"/>
  <c r="J77" i="21" s="1"/>
  <c r="K155" i="21"/>
  <c r="K77" i="21" s="1"/>
  <c r="L155" i="21"/>
  <c r="L77" i="21" s="1"/>
  <c r="M155" i="21"/>
  <c r="M77" i="21" s="1"/>
  <c r="N155" i="21"/>
  <c r="N77" i="21" s="1"/>
  <c r="O155" i="21"/>
  <c r="O77" i="21" s="1"/>
  <c r="P155" i="21"/>
  <c r="P77" i="21" s="1"/>
  <c r="Q155" i="21"/>
  <c r="Q77" i="21" s="1"/>
  <c r="R155" i="21"/>
  <c r="R77" i="21" s="1"/>
  <c r="S155" i="21"/>
  <c r="S77" i="21" s="1"/>
  <c r="T155" i="21"/>
  <c r="T77" i="21" s="1"/>
  <c r="U155" i="21"/>
  <c r="U77" i="21" s="1"/>
  <c r="V155" i="21"/>
  <c r="V77" i="21" s="1"/>
  <c r="W155" i="21"/>
  <c r="W77" i="21" s="1"/>
  <c r="X155" i="21"/>
  <c r="X77" i="21" s="1"/>
  <c r="Y155" i="21"/>
  <c r="Y77" i="21" s="1"/>
  <c r="Z155" i="21"/>
  <c r="Z77" i="21" s="1"/>
  <c r="AA155" i="21"/>
  <c r="AA77" i="21" s="1"/>
  <c r="AB155" i="21"/>
  <c r="AB77" i="21" s="1"/>
  <c r="AC155" i="21"/>
  <c r="AC77" i="21" s="1"/>
  <c r="AD155" i="21"/>
  <c r="AD77" i="21" s="1"/>
  <c r="AE155" i="21"/>
  <c r="AE77" i="21" s="1"/>
  <c r="AF155" i="21"/>
  <c r="AF77" i="21" s="1"/>
  <c r="AG155" i="21"/>
  <c r="AG77" i="21" s="1"/>
  <c r="AH155" i="21"/>
  <c r="AH77" i="21" s="1"/>
  <c r="AI155" i="21"/>
  <c r="AI77" i="21" s="1"/>
  <c r="AJ155" i="21"/>
  <c r="AJ77" i="21" s="1"/>
  <c r="AK155" i="21"/>
  <c r="AK77" i="21" s="1"/>
  <c r="AL155" i="21"/>
  <c r="AL77" i="21" s="1"/>
  <c r="AM155" i="21"/>
  <c r="AM77" i="21" s="1"/>
  <c r="AN155" i="21"/>
  <c r="AN77" i="21" s="1"/>
  <c r="AO155" i="21"/>
  <c r="H129" i="21"/>
  <c r="H51" i="21" s="1"/>
  <c r="I129" i="21"/>
  <c r="I51" i="21" s="1"/>
  <c r="J129" i="21"/>
  <c r="J51" i="21" s="1"/>
  <c r="K129" i="21"/>
  <c r="K51" i="21" s="1"/>
  <c r="L129" i="21"/>
  <c r="L51" i="21" s="1"/>
  <c r="M129" i="21"/>
  <c r="M51" i="21" s="1"/>
  <c r="N129" i="21"/>
  <c r="N51" i="21" s="1"/>
  <c r="O129" i="21"/>
  <c r="H151" i="21"/>
  <c r="H73" i="21" s="1"/>
  <c r="I151" i="21"/>
  <c r="I73" i="21" s="1"/>
  <c r="J151" i="21"/>
  <c r="J73" i="21" s="1"/>
  <c r="K151" i="21"/>
  <c r="K73" i="21" s="1"/>
  <c r="L151" i="21"/>
  <c r="L73" i="21" s="1"/>
  <c r="M151" i="21"/>
  <c r="M73" i="21" s="1"/>
  <c r="N151" i="21"/>
  <c r="N73" i="21" s="1"/>
  <c r="O151" i="21"/>
  <c r="O73" i="21" s="1"/>
  <c r="P151" i="21"/>
  <c r="P73" i="21" s="1"/>
  <c r="Q151" i="21"/>
  <c r="Q73" i="21" s="1"/>
  <c r="R151" i="21"/>
  <c r="R73" i="21" s="1"/>
  <c r="S151" i="21"/>
  <c r="S73" i="21" s="1"/>
  <c r="T151" i="21"/>
  <c r="T73" i="21" s="1"/>
  <c r="U151" i="21"/>
  <c r="U73" i="21" s="1"/>
  <c r="V151" i="21"/>
  <c r="V73" i="21" s="1"/>
  <c r="W151" i="21"/>
  <c r="W73" i="21" s="1"/>
  <c r="X151" i="21"/>
  <c r="X73" i="21" s="1"/>
  <c r="Y151" i="21"/>
  <c r="Y73" i="21" s="1"/>
  <c r="Z151" i="21"/>
  <c r="Z73" i="21" s="1"/>
  <c r="AA151" i="21"/>
  <c r="AA73" i="21" s="1"/>
  <c r="AB151" i="21"/>
  <c r="AB73" i="21" s="1"/>
  <c r="AC151" i="21"/>
  <c r="AC73" i="21" s="1"/>
  <c r="AD151" i="21"/>
  <c r="AD73" i="21" s="1"/>
  <c r="AE151" i="21"/>
  <c r="AE73" i="21" s="1"/>
  <c r="AF151" i="21"/>
  <c r="AF73" i="21" s="1"/>
  <c r="AG151" i="21"/>
  <c r="AG73" i="21" s="1"/>
  <c r="AH151" i="21"/>
  <c r="AH73" i="21" s="1"/>
  <c r="AI151" i="21"/>
  <c r="AI73" i="21" s="1"/>
  <c r="AJ151" i="21"/>
  <c r="AJ73" i="21" s="1"/>
  <c r="AK151" i="21"/>
  <c r="H140" i="21"/>
  <c r="H62" i="21" s="1"/>
  <c r="I140" i="21"/>
  <c r="I62" i="21" s="1"/>
  <c r="J140" i="21"/>
  <c r="J62" i="21" s="1"/>
  <c r="K140" i="21"/>
  <c r="K62" i="21" s="1"/>
  <c r="L140" i="21"/>
  <c r="L62" i="21" s="1"/>
  <c r="M140" i="21"/>
  <c r="M62" i="21" s="1"/>
  <c r="N140" i="21"/>
  <c r="N62" i="21" s="1"/>
  <c r="O140" i="21"/>
  <c r="O62" i="21" s="1"/>
  <c r="P140" i="21"/>
  <c r="P62" i="21" s="1"/>
  <c r="Q140" i="21"/>
  <c r="Q62" i="21" s="1"/>
  <c r="R140" i="21"/>
  <c r="R62" i="21" s="1"/>
  <c r="S140" i="21"/>
  <c r="S62" i="21" s="1"/>
  <c r="T140" i="21"/>
  <c r="T62" i="21" s="1"/>
  <c r="U140" i="21"/>
  <c r="U62" i="21" s="1"/>
  <c r="V140" i="21"/>
  <c r="V62" i="21" s="1"/>
  <c r="W140" i="21"/>
  <c r="W62" i="21" s="1"/>
  <c r="X140" i="21"/>
  <c r="X62" i="21" s="1"/>
  <c r="Y140" i="21"/>
  <c r="Y62" i="21" s="1"/>
  <c r="Z140" i="21"/>
  <c r="AA140" i="21" s="1"/>
  <c r="AB140" i="21" s="1"/>
  <c r="AC140" i="21" s="1"/>
  <c r="H143" i="21"/>
  <c r="H65" i="21" s="1"/>
  <c r="I143" i="21"/>
  <c r="I65" i="21" s="1"/>
  <c r="J143" i="21"/>
  <c r="J65" i="21" s="1"/>
  <c r="K143" i="21"/>
  <c r="K65" i="21" s="1"/>
  <c r="L143" i="21"/>
  <c r="L65" i="21" s="1"/>
  <c r="M143" i="21"/>
  <c r="M65" i="21" s="1"/>
  <c r="N143" i="21"/>
  <c r="N65" i="21" s="1"/>
  <c r="O143" i="21"/>
  <c r="O65" i="21" s="1"/>
  <c r="P143" i="21"/>
  <c r="P65" i="21" s="1"/>
  <c r="Q143" i="21"/>
  <c r="Q65" i="21" s="1"/>
  <c r="R143" i="21"/>
  <c r="R65" i="21" s="1"/>
  <c r="S143" i="21"/>
  <c r="S65" i="21" s="1"/>
  <c r="T143" i="21"/>
  <c r="T65" i="21" s="1"/>
  <c r="U143" i="21"/>
  <c r="U65" i="21" s="1"/>
  <c r="V143" i="21"/>
  <c r="V65" i="21" s="1"/>
  <c r="W143" i="21"/>
  <c r="W65" i="21" s="1"/>
  <c r="X143" i="21"/>
  <c r="X65" i="21" s="1"/>
  <c r="Y143" i="21"/>
  <c r="Z143" i="21"/>
  <c r="Z65" i="21" s="1"/>
  <c r="AA143" i="21"/>
  <c r="AA65" i="21" s="1"/>
  <c r="AB143" i="21"/>
  <c r="AB65" i="21" s="1"/>
  <c r="AC143" i="21"/>
  <c r="AD143" i="21" s="1"/>
  <c r="AE143" i="21" s="1"/>
  <c r="H145" i="21"/>
  <c r="H67" i="21" s="1"/>
  <c r="I145" i="21"/>
  <c r="I67" i="21" s="1"/>
  <c r="J145" i="21"/>
  <c r="J67" i="21" s="1"/>
  <c r="K145" i="21"/>
  <c r="K67" i="21" s="1"/>
  <c r="L145" i="21"/>
  <c r="L67" i="21" s="1"/>
  <c r="M145" i="21"/>
  <c r="M67" i="21" s="1"/>
  <c r="N145" i="21"/>
  <c r="N67" i="21" s="1"/>
  <c r="O145" i="21"/>
  <c r="O67" i="21" s="1"/>
  <c r="P145" i="21"/>
  <c r="P67" i="21" s="1"/>
  <c r="Q145" i="21"/>
  <c r="Q67" i="21" s="1"/>
  <c r="R145" i="21"/>
  <c r="R67" i="21" s="1"/>
  <c r="S145" i="21"/>
  <c r="S67" i="21" s="1"/>
  <c r="T145" i="21"/>
  <c r="T67" i="21" s="1"/>
  <c r="U145" i="21"/>
  <c r="U67" i="21" s="1"/>
  <c r="V145" i="21"/>
  <c r="V67" i="21" s="1"/>
  <c r="W145" i="21"/>
  <c r="W67" i="21" s="1"/>
  <c r="X145" i="21"/>
  <c r="X67" i="21" s="1"/>
  <c r="Y145" i="21"/>
  <c r="Y67" i="21" s="1"/>
  <c r="Z145" i="21"/>
  <c r="Z67" i="21" s="1"/>
  <c r="AA145" i="21"/>
  <c r="AA67" i="21" s="1"/>
  <c r="AB145" i="21"/>
  <c r="AB67" i="21" s="1"/>
  <c r="AC145" i="21"/>
  <c r="AC67" i="21" s="1"/>
  <c r="AD145" i="21"/>
  <c r="AD67" i="21" s="1"/>
  <c r="AE145" i="21"/>
  <c r="AF145" i="21" s="1"/>
  <c r="AG145" i="21" s="1"/>
  <c r="H150" i="21"/>
  <c r="H72" i="21" s="1"/>
  <c r="I150" i="21"/>
  <c r="I72" i="21" s="1"/>
  <c r="J150" i="21"/>
  <c r="J72" i="21" s="1"/>
  <c r="K150" i="21"/>
  <c r="K72" i="21" s="1"/>
  <c r="L150" i="21"/>
  <c r="L72" i="21" s="1"/>
  <c r="M150" i="21"/>
  <c r="M72" i="21" s="1"/>
  <c r="N150" i="21"/>
  <c r="N72" i="21" s="1"/>
  <c r="O150" i="21"/>
  <c r="O72" i="21" s="1"/>
  <c r="P150" i="21"/>
  <c r="P72" i="21" s="1"/>
  <c r="Q150" i="21"/>
  <c r="Q72" i="21" s="1"/>
  <c r="R150" i="21"/>
  <c r="R72" i="21" s="1"/>
  <c r="S150" i="21"/>
  <c r="S72" i="21" s="1"/>
  <c r="T150" i="21"/>
  <c r="T72" i="21" s="1"/>
  <c r="U150" i="21"/>
  <c r="U72" i="21" s="1"/>
  <c r="V150" i="21"/>
  <c r="V72" i="21" s="1"/>
  <c r="W150" i="21"/>
  <c r="W72" i="21" s="1"/>
  <c r="X150" i="21"/>
  <c r="X72" i="21" s="1"/>
  <c r="Y150" i="21"/>
  <c r="Y72" i="21" s="1"/>
  <c r="Z150" i="21"/>
  <c r="Z72" i="21" s="1"/>
  <c r="AA150" i="21"/>
  <c r="AA72" i="21" s="1"/>
  <c r="AB150" i="21"/>
  <c r="AB72" i="21" s="1"/>
  <c r="AC150" i="21"/>
  <c r="AC72" i="21" s="1"/>
  <c r="AD150" i="21"/>
  <c r="AD72" i="21" s="1"/>
  <c r="AE150" i="21"/>
  <c r="AE72" i="21" s="1"/>
  <c r="AF150" i="21"/>
  <c r="AF72" i="21" s="1"/>
  <c r="AG150" i="21"/>
  <c r="AG72" i="21" s="1"/>
  <c r="AH150" i="21"/>
  <c r="AH72" i="21" s="1"/>
  <c r="AI150" i="21"/>
  <c r="AI72" i="21" s="1"/>
  <c r="AJ150" i="21"/>
  <c r="AK150" i="21" s="1"/>
  <c r="AL150" i="21" s="1"/>
  <c r="AM150" i="21" s="1"/>
  <c r="AN150" i="21" s="1"/>
  <c r="AO150" i="21" s="1"/>
  <c r="AP150" i="21" s="1"/>
  <c r="H152" i="21"/>
  <c r="H74" i="21" s="1"/>
  <c r="I152" i="21"/>
  <c r="I74" i="21" s="1"/>
  <c r="J152" i="21"/>
  <c r="J74" i="21" s="1"/>
  <c r="K152" i="21"/>
  <c r="K74" i="21" s="1"/>
  <c r="L152" i="21"/>
  <c r="L74" i="21" s="1"/>
  <c r="M152" i="21"/>
  <c r="M74" i="21" s="1"/>
  <c r="N152" i="21"/>
  <c r="N74" i="21" s="1"/>
  <c r="O152" i="21"/>
  <c r="O74" i="21" s="1"/>
  <c r="P152" i="21"/>
  <c r="P74" i="21" s="1"/>
  <c r="Q152" i="21"/>
  <c r="Q74" i="21" s="1"/>
  <c r="R152" i="21"/>
  <c r="R74" i="21" s="1"/>
  <c r="S152" i="21"/>
  <c r="S74" i="21" s="1"/>
  <c r="T152" i="21"/>
  <c r="T74" i="21" s="1"/>
  <c r="U152" i="21"/>
  <c r="U74" i="21" s="1"/>
  <c r="V152" i="21"/>
  <c r="V74" i="21" s="1"/>
  <c r="W152" i="21"/>
  <c r="W74" i="21" s="1"/>
  <c r="X152" i="21"/>
  <c r="X74" i="21" s="1"/>
  <c r="Y152" i="21"/>
  <c r="Y74" i="21" s="1"/>
  <c r="Z152" i="21"/>
  <c r="Z74" i="21" s="1"/>
  <c r="AA152" i="21"/>
  <c r="AA74" i="21" s="1"/>
  <c r="AB152" i="21"/>
  <c r="AB74" i="21" s="1"/>
  <c r="AC152" i="21"/>
  <c r="AC74" i="21" s="1"/>
  <c r="AD152" i="21"/>
  <c r="AD74" i="21" s="1"/>
  <c r="AE152" i="21"/>
  <c r="AE74" i="21" s="1"/>
  <c r="AF152" i="21"/>
  <c r="AF74" i="21" s="1"/>
  <c r="AG152" i="21"/>
  <c r="AG74" i="21" s="1"/>
  <c r="AH152" i="21"/>
  <c r="AH74" i="21" s="1"/>
  <c r="AI152" i="21"/>
  <c r="AI74" i="21" s="1"/>
  <c r="AJ152" i="21"/>
  <c r="AJ74" i="21" s="1"/>
  <c r="AK152" i="21"/>
  <c r="AK74" i="21" s="1"/>
  <c r="AL152" i="21"/>
  <c r="AM152" i="21" s="1"/>
  <c r="H126" i="21"/>
  <c r="H48" i="21" s="1"/>
  <c r="I126" i="21"/>
  <c r="I48" i="21" s="1"/>
  <c r="J126" i="21"/>
  <c r="J48" i="21" s="1"/>
  <c r="K126" i="21"/>
  <c r="K48" i="21" s="1"/>
  <c r="L126" i="21"/>
  <c r="H147" i="21"/>
  <c r="H69" i="21" s="1"/>
  <c r="I147" i="21"/>
  <c r="I69" i="21" s="1"/>
  <c r="J147" i="21"/>
  <c r="J69" i="21" s="1"/>
  <c r="K147" i="21"/>
  <c r="K69" i="21" s="1"/>
  <c r="L147" i="21"/>
  <c r="L69" i="21" s="1"/>
  <c r="M147" i="21"/>
  <c r="M69" i="21" s="1"/>
  <c r="N147" i="21"/>
  <c r="N69" i="21" s="1"/>
  <c r="O147" i="21"/>
  <c r="O69" i="21" s="1"/>
  <c r="P147" i="21"/>
  <c r="P69" i="21" s="1"/>
  <c r="Q147" i="21"/>
  <c r="Q69" i="21" s="1"/>
  <c r="R147" i="21"/>
  <c r="R69" i="21" s="1"/>
  <c r="S147" i="21"/>
  <c r="S69" i="21" s="1"/>
  <c r="T147" i="21"/>
  <c r="T69" i="21" s="1"/>
  <c r="U147" i="21"/>
  <c r="U69" i="21" s="1"/>
  <c r="V147" i="21"/>
  <c r="V69" i="21" s="1"/>
  <c r="W147" i="21"/>
  <c r="W69" i="21" s="1"/>
  <c r="X147" i="21"/>
  <c r="X69" i="21" s="1"/>
  <c r="Y147" i="21"/>
  <c r="Y69" i="21" s="1"/>
  <c r="Z147" i="21"/>
  <c r="Z69" i="21" s="1"/>
  <c r="AA147" i="21"/>
  <c r="AA69" i="21" s="1"/>
  <c r="AB147" i="21"/>
  <c r="AB69" i="21" s="1"/>
  <c r="AC147" i="21"/>
  <c r="AC69" i="21" s="1"/>
  <c r="AD147" i="21"/>
  <c r="AD69" i="21" s="1"/>
  <c r="AE147" i="21"/>
  <c r="AE69" i="21" s="1"/>
  <c r="AF147" i="21"/>
  <c r="AF69" i="21" s="1"/>
  <c r="AG147" i="21"/>
  <c r="AH147" i="21" s="1"/>
  <c r="H123" i="21"/>
  <c r="H45" i="21" s="1"/>
  <c r="I123" i="21"/>
  <c r="J123" i="21" s="1"/>
  <c r="H128" i="21"/>
  <c r="H50" i="21" s="1"/>
  <c r="I128" i="21"/>
  <c r="I50" i="21" s="1"/>
  <c r="J128" i="21"/>
  <c r="J50" i="21" s="1"/>
  <c r="K128" i="21"/>
  <c r="K50" i="21" s="1"/>
  <c r="L128" i="21"/>
  <c r="L50" i="21" s="1"/>
  <c r="M128" i="21"/>
  <c r="M50" i="21" s="1"/>
  <c r="N128" i="21"/>
  <c r="O128" i="21" s="1"/>
  <c r="H132" i="21"/>
  <c r="H54" i="21" s="1"/>
  <c r="I132" i="21"/>
  <c r="I54" i="21" s="1"/>
  <c r="J132" i="21"/>
  <c r="J54" i="21" s="1"/>
  <c r="K132" i="21"/>
  <c r="K54" i="21" s="1"/>
  <c r="L132" i="21"/>
  <c r="L54" i="21" s="1"/>
  <c r="M132" i="21"/>
  <c r="M54" i="21" s="1"/>
  <c r="N132" i="21"/>
  <c r="N54" i="21" s="1"/>
  <c r="O132" i="21"/>
  <c r="O54" i="21" s="1"/>
  <c r="P132" i="21"/>
  <c r="P54" i="21" s="1"/>
  <c r="Q132" i="21"/>
  <c r="Q54" i="21" s="1"/>
  <c r="R132" i="21"/>
  <c r="H144" i="21"/>
  <c r="H66" i="21" s="1"/>
  <c r="I144" i="21"/>
  <c r="I66" i="21" s="1"/>
  <c r="J144" i="21"/>
  <c r="J66" i="21" s="1"/>
  <c r="K144" i="21"/>
  <c r="K66" i="21" s="1"/>
  <c r="L144" i="21"/>
  <c r="L66" i="21" s="1"/>
  <c r="M144" i="21"/>
  <c r="M66" i="21" s="1"/>
  <c r="N144" i="21"/>
  <c r="N66" i="21" s="1"/>
  <c r="O144" i="21"/>
  <c r="O66" i="21" s="1"/>
  <c r="P144" i="21"/>
  <c r="P66" i="21" s="1"/>
  <c r="Q144" i="21"/>
  <c r="Q66" i="21" s="1"/>
  <c r="R144" i="21"/>
  <c r="R66" i="21" s="1"/>
  <c r="S144" i="21"/>
  <c r="S66" i="21" s="1"/>
  <c r="T144" i="21"/>
  <c r="T66" i="21" s="1"/>
  <c r="U144" i="21"/>
  <c r="U66" i="21" s="1"/>
  <c r="V144" i="21"/>
  <c r="V66" i="21" s="1"/>
  <c r="W144" i="21"/>
  <c r="W66" i="21" s="1"/>
  <c r="X144" i="21"/>
  <c r="X66" i="21" s="1"/>
  <c r="Y144" i="21"/>
  <c r="Y66" i="21" s="1"/>
  <c r="Z144" i="21"/>
  <c r="Z66" i="21" s="1"/>
  <c r="AA144" i="21"/>
  <c r="AA66" i="21" s="1"/>
  <c r="AB144" i="21"/>
  <c r="AB66" i="21" s="1"/>
  <c r="AC144" i="21"/>
  <c r="AC66" i="21" s="1"/>
  <c r="AD144" i="21"/>
  <c r="H148" i="21"/>
  <c r="H70" i="21" s="1"/>
  <c r="I148" i="21"/>
  <c r="I70" i="21" s="1"/>
  <c r="J148" i="21"/>
  <c r="J70" i="21" s="1"/>
  <c r="K148" i="21"/>
  <c r="K70" i="21" s="1"/>
  <c r="L148" i="21"/>
  <c r="L70" i="21" s="1"/>
  <c r="M148" i="21"/>
  <c r="M70" i="21" s="1"/>
  <c r="N148" i="21"/>
  <c r="N70" i="21" s="1"/>
  <c r="O148" i="21"/>
  <c r="O70" i="21" s="1"/>
  <c r="P148" i="21"/>
  <c r="P70" i="21" s="1"/>
  <c r="Q148" i="21"/>
  <c r="Q70" i="21" s="1"/>
  <c r="R148" i="21"/>
  <c r="R70" i="21" s="1"/>
  <c r="S148" i="21"/>
  <c r="S70" i="21" s="1"/>
  <c r="T148" i="21"/>
  <c r="T70" i="21" s="1"/>
  <c r="U148" i="21"/>
  <c r="U70" i="21" s="1"/>
  <c r="V148" i="21"/>
  <c r="V70" i="21" s="1"/>
  <c r="W148" i="21"/>
  <c r="W70" i="21" s="1"/>
  <c r="X148" i="21"/>
  <c r="X70" i="21" s="1"/>
  <c r="Y148" i="21"/>
  <c r="Y70" i="21" s="1"/>
  <c r="Z148" i="21"/>
  <c r="Z70" i="21" s="1"/>
  <c r="AA148" i="21"/>
  <c r="AA70" i="21" s="1"/>
  <c r="AB148" i="21"/>
  <c r="AB70" i="21" s="1"/>
  <c r="AC148" i="21"/>
  <c r="AC70" i="21" s="1"/>
  <c r="AD148" i="21"/>
  <c r="AD70" i="21" s="1"/>
  <c r="AE148" i="21"/>
  <c r="AE70" i="21" s="1"/>
  <c r="AF148" i="21"/>
  <c r="AF70" i="21" s="1"/>
  <c r="AG148" i="21"/>
  <c r="AG70" i="21" s="1"/>
  <c r="AH148" i="21"/>
  <c r="AI148" i="21" s="1"/>
  <c r="AJ148" i="21" s="1"/>
  <c r="H146" i="21"/>
  <c r="H68" i="21" s="1"/>
  <c r="I146" i="21"/>
  <c r="I68" i="21" s="1"/>
  <c r="J146" i="21"/>
  <c r="J68" i="21" s="1"/>
  <c r="K146" i="21"/>
  <c r="K68" i="21" s="1"/>
  <c r="L146" i="21"/>
  <c r="L68" i="21" s="1"/>
  <c r="M146" i="21"/>
  <c r="M68" i="21" s="1"/>
  <c r="N146" i="21"/>
  <c r="N68" i="21" s="1"/>
  <c r="O146" i="21"/>
  <c r="O68" i="21" s="1"/>
  <c r="P146" i="21"/>
  <c r="P68" i="21" s="1"/>
  <c r="Q146" i="21"/>
  <c r="Q68" i="21" s="1"/>
  <c r="R146" i="21"/>
  <c r="R68" i="21" s="1"/>
  <c r="S146" i="21"/>
  <c r="S68" i="21" s="1"/>
  <c r="T146" i="21"/>
  <c r="T68" i="21" s="1"/>
  <c r="U146" i="21"/>
  <c r="U68" i="21" s="1"/>
  <c r="V146" i="21"/>
  <c r="V68" i="21" s="1"/>
  <c r="W146" i="21"/>
  <c r="W68" i="21" s="1"/>
  <c r="X146" i="21"/>
  <c r="X68" i="21" s="1"/>
  <c r="Y146" i="21"/>
  <c r="Y68" i="21" s="1"/>
  <c r="Z146" i="21"/>
  <c r="Z68" i="21" s="1"/>
  <c r="AA146" i="21"/>
  <c r="AA68" i="21" s="1"/>
  <c r="AB146" i="21"/>
  <c r="AB68" i="21" s="1"/>
  <c r="AC146" i="21"/>
  <c r="AC68" i="21" s="1"/>
  <c r="AD146" i="21"/>
  <c r="AD68" i="21" s="1"/>
  <c r="AE146" i="21"/>
  <c r="AE68" i="21" s="1"/>
  <c r="AF146" i="21"/>
  <c r="H156" i="21"/>
  <c r="H78" i="21" s="1"/>
  <c r="I156" i="21"/>
  <c r="I78" i="21" s="1"/>
  <c r="J156" i="21"/>
  <c r="J78" i="21" s="1"/>
  <c r="K156" i="21"/>
  <c r="K78" i="21" s="1"/>
  <c r="L156" i="21"/>
  <c r="L78" i="21" s="1"/>
  <c r="M156" i="21"/>
  <c r="M78" i="21" s="1"/>
  <c r="N156" i="21"/>
  <c r="N78" i="21" s="1"/>
  <c r="O156" i="21"/>
  <c r="O78" i="21" s="1"/>
  <c r="P156" i="21"/>
  <c r="P78" i="21" s="1"/>
  <c r="Q156" i="21"/>
  <c r="Q78" i="21" s="1"/>
  <c r="R156" i="21"/>
  <c r="R78" i="21" s="1"/>
  <c r="S156" i="21"/>
  <c r="S78" i="21" s="1"/>
  <c r="T156" i="21"/>
  <c r="T78" i="21" s="1"/>
  <c r="U156" i="21"/>
  <c r="U78" i="21" s="1"/>
  <c r="V156" i="21"/>
  <c r="V78" i="21" s="1"/>
  <c r="W156" i="21"/>
  <c r="W78" i="21" s="1"/>
  <c r="X156" i="21"/>
  <c r="X78" i="21" s="1"/>
  <c r="Y156" i="21"/>
  <c r="Y78" i="21" s="1"/>
  <c r="Z156" i="21"/>
  <c r="Z78" i="21" s="1"/>
  <c r="AA156" i="21"/>
  <c r="AA78" i="21" s="1"/>
  <c r="AB156" i="21"/>
  <c r="AB78" i="21" s="1"/>
  <c r="AC156" i="21"/>
  <c r="AC78" i="21" s="1"/>
  <c r="AD156" i="21"/>
  <c r="AD78" i="21" s="1"/>
  <c r="AE156" i="21"/>
  <c r="AE78" i="21" s="1"/>
  <c r="AF156" i="21"/>
  <c r="AF78" i="21" s="1"/>
  <c r="AG156" i="21"/>
  <c r="AG78" i="21" s="1"/>
  <c r="AH156" i="21"/>
  <c r="AH78" i="21" s="1"/>
  <c r="AI156" i="21"/>
  <c r="AI78" i="21" s="1"/>
  <c r="AJ156" i="21"/>
  <c r="AJ78" i="21" s="1"/>
  <c r="AK156" i="21"/>
  <c r="AK78" i="21" s="1"/>
  <c r="AL156" i="21"/>
  <c r="AL78" i="21" s="1"/>
  <c r="AM156" i="21"/>
  <c r="AM78" i="21" s="1"/>
  <c r="AN156" i="21"/>
  <c r="AN78" i="21" s="1"/>
  <c r="AO156" i="21"/>
  <c r="AO78" i="21" s="1"/>
  <c r="AP156" i="21"/>
  <c r="Y65" i="21"/>
  <c r="H136" i="21"/>
  <c r="H58" i="21" s="1"/>
  <c r="I136" i="21"/>
  <c r="I58" i="21" s="1"/>
  <c r="J136" i="21"/>
  <c r="J58" i="21" s="1"/>
  <c r="K136" i="21"/>
  <c r="K58" i="21" s="1"/>
  <c r="L136" i="21"/>
  <c r="L58" i="21" s="1"/>
  <c r="M136" i="21"/>
  <c r="M58" i="21" s="1"/>
  <c r="N136" i="21"/>
  <c r="N58" i="21" s="1"/>
  <c r="O136" i="21"/>
  <c r="O58" i="21" s="1"/>
  <c r="P136" i="21"/>
  <c r="P58" i="21" s="1"/>
  <c r="Q136" i="21"/>
  <c r="Q58" i="21" s="1"/>
  <c r="R136" i="21"/>
  <c r="R58" i="21" s="1"/>
  <c r="S136" i="21"/>
  <c r="S58" i="21" s="1"/>
  <c r="T136" i="21"/>
  <c r="T58" i="21" s="1"/>
  <c r="U136" i="21"/>
  <c r="U58" i="21" s="1"/>
  <c r="V136" i="21"/>
  <c r="W136" i="21" s="1"/>
  <c r="H149" i="21"/>
  <c r="H71" i="21" s="1"/>
  <c r="I149" i="21"/>
  <c r="I71" i="21" s="1"/>
  <c r="J149" i="21"/>
  <c r="J71" i="21" s="1"/>
  <c r="K149" i="21"/>
  <c r="K71" i="21" s="1"/>
  <c r="L149" i="21"/>
  <c r="L71" i="21" s="1"/>
  <c r="M149" i="21"/>
  <c r="M71" i="21" s="1"/>
  <c r="N149" i="21"/>
  <c r="N71" i="21" s="1"/>
  <c r="O149" i="21"/>
  <c r="O71" i="21" s="1"/>
  <c r="P149" i="21"/>
  <c r="P71" i="21" s="1"/>
  <c r="Q149" i="21"/>
  <c r="Q71" i="21" s="1"/>
  <c r="R149" i="21"/>
  <c r="R71" i="21" s="1"/>
  <c r="S149" i="21"/>
  <c r="S71" i="21" s="1"/>
  <c r="T149" i="21"/>
  <c r="T71" i="21" s="1"/>
  <c r="U149" i="21"/>
  <c r="U71" i="21" s="1"/>
  <c r="V149" i="21"/>
  <c r="V71" i="21" s="1"/>
  <c r="W149" i="21"/>
  <c r="W71" i="21" s="1"/>
  <c r="X149" i="21"/>
  <c r="X71" i="21" s="1"/>
  <c r="Y149" i="21"/>
  <c r="Y71" i="21" s="1"/>
  <c r="Z149" i="21"/>
  <c r="Z71" i="21" s="1"/>
  <c r="AA149" i="21"/>
  <c r="AA71" i="21" s="1"/>
  <c r="AB149" i="21"/>
  <c r="AB71" i="21" s="1"/>
  <c r="AC149" i="21"/>
  <c r="AC71" i="21" s="1"/>
  <c r="AD149" i="21"/>
  <c r="AD71" i="21" s="1"/>
  <c r="AE149" i="21"/>
  <c r="AE71" i="21" s="1"/>
  <c r="AF149" i="21"/>
  <c r="AF71" i="21" s="1"/>
  <c r="AG149" i="21"/>
  <c r="AG71" i="21" s="1"/>
  <c r="AH149" i="21"/>
  <c r="AH71" i="21" s="1"/>
  <c r="AI149" i="21"/>
  <c r="H133" i="21"/>
  <c r="H55" i="21" s="1"/>
  <c r="I133" i="21"/>
  <c r="I55" i="21" s="1"/>
  <c r="J133" i="21"/>
  <c r="J55" i="21" s="1"/>
  <c r="K133" i="21"/>
  <c r="K55" i="21" s="1"/>
  <c r="L133" i="21"/>
  <c r="L55" i="21" s="1"/>
  <c r="M133" i="21"/>
  <c r="M55" i="21" s="1"/>
  <c r="N133" i="21"/>
  <c r="N55" i="21" s="1"/>
  <c r="O133" i="21"/>
  <c r="O55" i="21" s="1"/>
  <c r="P133" i="21"/>
  <c r="P55" i="21" s="1"/>
  <c r="Q133" i="21"/>
  <c r="Q55" i="21" s="1"/>
  <c r="R133" i="21"/>
  <c r="R55" i="21" s="1"/>
  <c r="S133" i="21"/>
  <c r="H124" i="21"/>
  <c r="H46" i="21" s="1"/>
  <c r="I124" i="21"/>
  <c r="I46" i="21" s="1"/>
  <c r="J124" i="21"/>
  <c r="Z75" i="21"/>
  <c r="H130" i="21"/>
  <c r="H52" i="21" s="1"/>
  <c r="I130" i="21"/>
  <c r="I52" i="21" s="1"/>
  <c r="J130" i="21"/>
  <c r="J52" i="21" s="1"/>
  <c r="K130" i="21"/>
  <c r="K52" i="21" s="1"/>
  <c r="L130" i="21"/>
  <c r="L52" i="21" s="1"/>
  <c r="M130" i="21"/>
  <c r="M52" i="21" s="1"/>
  <c r="N130" i="21"/>
  <c r="N52" i="21" s="1"/>
  <c r="O130" i="21"/>
  <c r="O52" i="21" s="1"/>
  <c r="P130" i="21"/>
  <c r="H137" i="21"/>
  <c r="H59" i="21" s="1"/>
  <c r="I137" i="21"/>
  <c r="I59" i="21" s="1"/>
  <c r="J137" i="21"/>
  <c r="J59" i="21" s="1"/>
  <c r="K137" i="21"/>
  <c r="K59" i="21" s="1"/>
  <c r="L137" i="21"/>
  <c r="L59" i="21" s="1"/>
  <c r="M137" i="21"/>
  <c r="M59" i="21" s="1"/>
  <c r="N137" i="21"/>
  <c r="N59" i="21" s="1"/>
  <c r="O137" i="21"/>
  <c r="O59" i="21" s="1"/>
  <c r="P137" i="21"/>
  <c r="P59" i="21" s="1"/>
  <c r="Q137" i="21"/>
  <c r="Q59" i="21" s="1"/>
  <c r="R137" i="21"/>
  <c r="R59" i="21" s="1"/>
  <c r="S137" i="21"/>
  <c r="S59" i="21" s="1"/>
  <c r="T137" i="21"/>
  <c r="T59" i="21" s="1"/>
  <c r="U137" i="21"/>
  <c r="U59" i="21" s="1"/>
  <c r="V137" i="21"/>
  <c r="V59" i="21" s="1"/>
  <c r="W137" i="21"/>
  <c r="X137" i="21" s="1"/>
  <c r="H127" i="21"/>
  <c r="H49" i="21" s="1"/>
  <c r="I127" i="21"/>
  <c r="I49" i="21" s="1"/>
  <c r="J127" i="21"/>
  <c r="J49" i="21" s="1"/>
  <c r="K127" i="21"/>
  <c r="K49" i="21" s="1"/>
  <c r="L127" i="21"/>
  <c r="L49" i="21" s="1"/>
  <c r="M127" i="21"/>
  <c r="H154" i="21"/>
  <c r="H76" i="21" s="1"/>
  <c r="I154" i="21"/>
  <c r="I76" i="21" s="1"/>
  <c r="J154" i="21"/>
  <c r="J76" i="21" s="1"/>
  <c r="K154" i="21"/>
  <c r="K76" i="21" s="1"/>
  <c r="L154" i="21"/>
  <c r="L76" i="21" s="1"/>
  <c r="M154" i="21"/>
  <c r="M76" i="21" s="1"/>
  <c r="N154" i="21"/>
  <c r="N76" i="21" s="1"/>
  <c r="O154" i="21"/>
  <c r="O76" i="21" s="1"/>
  <c r="P154" i="21"/>
  <c r="P76" i="21" s="1"/>
  <c r="Q154" i="21"/>
  <c r="Q76" i="21" s="1"/>
  <c r="R154" i="21"/>
  <c r="R76" i="21" s="1"/>
  <c r="S154" i="21"/>
  <c r="S76" i="21" s="1"/>
  <c r="T154" i="21"/>
  <c r="T76" i="21" s="1"/>
  <c r="U154" i="21"/>
  <c r="U76" i="21" s="1"/>
  <c r="V154" i="21"/>
  <c r="V76" i="21" s="1"/>
  <c r="W154" i="21"/>
  <c r="W76" i="21" s="1"/>
  <c r="X154" i="21"/>
  <c r="X76" i="21" s="1"/>
  <c r="Y154" i="21"/>
  <c r="Y76" i="21" s="1"/>
  <c r="Z154" i="21"/>
  <c r="Z76" i="21" s="1"/>
  <c r="AA154" i="21"/>
  <c r="AA76" i="21" s="1"/>
  <c r="AB154" i="21"/>
  <c r="AB76" i="21" s="1"/>
  <c r="AC154" i="21"/>
  <c r="AC76" i="21" s="1"/>
  <c r="AD154" i="21"/>
  <c r="AD76" i="21" s="1"/>
  <c r="AE154" i="21"/>
  <c r="AE76" i="21" s="1"/>
  <c r="AF154" i="21"/>
  <c r="AF76" i="21" s="1"/>
  <c r="AG154" i="21"/>
  <c r="AG76" i="21" s="1"/>
  <c r="AH154" i="21"/>
  <c r="AH76" i="21" s="1"/>
  <c r="AI154" i="21"/>
  <c r="AI76" i="21" s="1"/>
  <c r="AJ154" i="21"/>
  <c r="AJ76" i="21" s="1"/>
  <c r="AK154" i="21"/>
  <c r="AK76" i="21" s="1"/>
  <c r="AL154" i="21"/>
  <c r="AL76" i="21" s="1"/>
  <c r="AM154" i="21"/>
  <c r="AM76" i="21" s="1"/>
  <c r="AN154" i="21"/>
  <c r="H131" i="21"/>
  <c r="H53" i="21" s="1"/>
  <c r="I131" i="21"/>
  <c r="I53" i="21" s="1"/>
  <c r="J131" i="21"/>
  <c r="J53" i="21" s="1"/>
  <c r="K131" i="21"/>
  <c r="K53" i="21" s="1"/>
  <c r="L131" i="21"/>
  <c r="L53" i="21" s="1"/>
  <c r="M131" i="21"/>
  <c r="M53" i="21" s="1"/>
  <c r="N131" i="21"/>
  <c r="N53" i="21" s="1"/>
  <c r="O131" i="21"/>
  <c r="O53" i="21" s="1"/>
  <c r="P131" i="21"/>
  <c r="P53" i="21" s="1"/>
  <c r="Q131" i="21"/>
  <c r="AC73" i="1"/>
  <c r="AC72" i="1"/>
  <c r="AB30" i="19" s="1"/>
  <c r="AF39" i="1" l="1"/>
  <c r="AG38" i="1"/>
  <c r="AG43" i="1" s="1"/>
  <c r="AG82" i="1" s="1"/>
  <c r="AG83" i="1" s="1"/>
  <c r="AE6" i="19"/>
  <c r="AE4" i="19" s="1"/>
  <c r="AF76" i="1"/>
  <c r="AE31" i="19" s="1"/>
  <c r="AF44" i="1"/>
  <c r="AI147" i="21"/>
  <c r="AF143" i="21"/>
  <c r="AH145" i="21"/>
  <c r="X136" i="21"/>
  <c r="P128" i="21"/>
  <c r="Q128" i="21" s="1"/>
  <c r="AJ149" i="21"/>
  <c r="U134" i="21"/>
  <c r="AB139" i="21"/>
  <c r="K123" i="21"/>
  <c r="K122" i="21"/>
  <c r="AG146" i="21"/>
  <c r="M126" i="21"/>
  <c r="S132" i="21"/>
  <c r="AP155" i="21"/>
  <c r="AA138" i="21"/>
  <c r="AP153" i="21"/>
  <c r="M125" i="21"/>
  <c r="Y137" i="21"/>
  <c r="Q130" i="21"/>
  <c r="AO154" i="21"/>
  <c r="AN152" i="21"/>
  <c r="AD142" i="21"/>
  <c r="R131" i="21"/>
  <c r="N127" i="21"/>
  <c r="T133" i="21"/>
  <c r="AD140" i="21"/>
  <c r="AL151" i="21"/>
  <c r="AE144" i="21"/>
  <c r="X135" i="21"/>
  <c r="AB141" i="21"/>
  <c r="P129" i="21"/>
  <c r="K124" i="21"/>
  <c r="AK148" i="21"/>
  <c r="AD73" i="1"/>
  <c r="AD72" i="1"/>
  <c r="AC30" i="19" s="1"/>
  <c r="AG39" i="1" l="1"/>
  <c r="AH38" i="1"/>
  <c r="AH43" i="1" s="1"/>
  <c r="AH82" i="1" s="1"/>
  <c r="AH83" i="1" s="1"/>
  <c r="AF6" i="19"/>
  <c r="AF4" i="19" s="1"/>
  <c r="AG76" i="1"/>
  <c r="AF31" i="19" s="1"/>
  <c r="AG44" i="1"/>
  <c r="AJ147" i="21"/>
  <c r="AK147" i="21" s="1"/>
  <c r="AL147" i="21" s="1"/>
  <c r="AI145" i="21"/>
  <c r="AG143" i="21"/>
  <c r="AH143" i="21" s="1"/>
  <c r="R128" i="21"/>
  <c r="V134" i="21"/>
  <c r="AK149" i="21"/>
  <c r="Y136" i="21"/>
  <c r="T132" i="21"/>
  <c r="N126" i="21"/>
  <c r="AH146" i="21"/>
  <c r="L122" i="21"/>
  <c r="L123" i="21"/>
  <c r="AC139" i="21"/>
  <c r="S131" i="21"/>
  <c r="Y135" i="21"/>
  <c r="AE142" i="21"/>
  <c r="AB138" i="21"/>
  <c r="AO152" i="21"/>
  <c r="R130" i="21"/>
  <c r="AC141" i="21"/>
  <c r="Z137" i="21"/>
  <c r="AF144" i="21"/>
  <c r="AL148" i="21"/>
  <c r="AE140" i="21"/>
  <c r="L124" i="21"/>
  <c r="AM151" i="21"/>
  <c r="N125" i="21"/>
  <c r="U133" i="21"/>
  <c r="Q129" i="21"/>
  <c r="O127" i="21"/>
  <c r="AP154" i="21"/>
  <c r="AE73" i="1"/>
  <c r="AE72" i="1"/>
  <c r="AD30" i="19" s="1"/>
  <c r="AH39" i="1" l="1"/>
  <c r="AI38" i="1"/>
  <c r="AG6" i="19"/>
  <c r="AG4" i="19" s="1"/>
  <c r="AH44" i="1"/>
  <c r="AH76" i="1"/>
  <c r="AG31" i="19" s="1"/>
  <c r="AJ145" i="21"/>
  <c r="S128" i="21"/>
  <c r="Z136" i="21"/>
  <c r="AL149" i="21"/>
  <c r="W134" i="21"/>
  <c r="M122" i="21"/>
  <c r="AI146" i="21"/>
  <c r="O126" i="21"/>
  <c r="AD139" i="21"/>
  <c r="M123" i="21"/>
  <c r="U132" i="21"/>
  <c r="P127" i="21"/>
  <c r="AF140" i="21"/>
  <c r="S130" i="21"/>
  <c r="AM147" i="21"/>
  <c r="R129" i="21"/>
  <c r="AM148" i="21"/>
  <c r="AP152" i="21"/>
  <c r="AI143" i="21"/>
  <c r="O125" i="21"/>
  <c r="AG144" i="21"/>
  <c r="AC138" i="21"/>
  <c r="AA137" i="21"/>
  <c r="Z135" i="21"/>
  <c r="AN151" i="21"/>
  <c r="M124" i="21"/>
  <c r="AD141" i="21"/>
  <c r="AF142" i="21"/>
  <c r="T131" i="21"/>
  <c r="V133" i="21"/>
  <c r="AF73" i="1"/>
  <c r="AF72" i="1"/>
  <c r="AE30" i="19" s="1"/>
  <c r="AJ38" i="1" l="1"/>
  <c r="AI39" i="1"/>
  <c r="AH6" i="19"/>
  <c r="AH4" i="19" s="1"/>
  <c r="AI43" i="1"/>
  <c r="AK145" i="21"/>
  <c r="AL145" i="21" s="1"/>
  <c r="T128" i="21"/>
  <c r="X134" i="21"/>
  <c r="AM149" i="21"/>
  <c r="AA136" i="21"/>
  <c r="AE139" i="21"/>
  <c r="P126" i="21"/>
  <c r="AJ146" i="21"/>
  <c r="V132" i="21"/>
  <c r="N123" i="21"/>
  <c r="N122" i="21"/>
  <c r="N124" i="21"/>
  <c r="AB137" i="21"/>
  <c r="P125" i="21"/>
  <c r="W133" i="21"/>
  <c r="T130" i="21"/>
  <c r="AJ143" i="21"/>
  <c r="AN147" i="21"/>
  <c r="AO151" i="21"/>
  <c r="S129" i="21"/>
  <c r="AG140" i="21"/>
  <c r="U131" i="21"/>
  <c r="AD138" i="21"/>
  <c r="Q127" i="21"/>
  <c r="AN148" i="21"/>
  <c r="AA135" i="21"/>
  <c r="AG142" i="21"/>
  <c r="AE141" i="21"/>
  <c r="AH144" i="21"/>
  <c r="AG73" i="1"/>
  <c r="AG72" i="1"/>
  <c r="AF30" i="19" s="1"/>
  <c r="AI76" i="1" l="1"/>
  <c r="AH31" i="19" s="1"/>
  <c r="AI44" i="1"/>
  <c r="AI82" i="1"/>
  <c r="AI83" i="1" s="1"/>
  <c r="AJ39" i="1"/>
  <c r="AK38" i="1"/>
  <c r="AI6" i="19"/>
  <c r="AI4" i="19" s="1"/>
  <c r="AJ43" i="1"/>
  <c r="U128" i="21"/>
  <c r="V128" i="21" s="1"/>
  <c r="AB136" i="21"/>
  <c r="AN149" i="21"/>
  <c r="Y134" i="21"/>
  <c r="W132" i="21"/>
  <c r="AK146" i="21"/>
  <c r="Q126" i="21"/>
  <c r="O122" i="21"/>
  <c r="O123" i="21"/>
  <c r="AF139" i="21"/>
  <c r="AB135" i="21"/>
  <c r="AE138" i="21"/>
  <c r="AP151" i="21"/>
  <c r="Q125" i="21"/>
  <c r="AO148" i="21"/>
  <c r="AH140" i="21"/>
  <c r="T129" i="21"/>
  <c r="AO147" i="21"/>
  <c r="AI144" i="21"/>
  <c r="AK143" i="21"/>
  <c r="X133" i="21"/>
  <c r="AM145" i="21"/>
  <c r="U130" i="21"/>
  <c r="AC137" i="21"/>
  <c r="V131" i="21"/>
  <c r="AF141" i="21"/>
  <c r="O124" i="21"/>
  <c r="AH142" i="21"/>
  <c r="R127" i="21"/>
  <c r="AH73" i="1"/>
  <c r="AH72" i="1"/>
  <c r="AG30" i="19" s="1"/>
  <c r="AL38" i="1" l="1"/>
  <c r="AK39" i="1"/>
  <c r="AK43" i="1"/>
  <c r="AJ6" i="19"/>
  <c r="AJ4" i="19" s="1"/>
  <c r="AG197" i="1"/>
  <c r="AJ76" i="1"/>
  <c r="AJ82" i="1"/>
  <c r="AJ83" i="1" s="1"/>
  <c r="AJ44" i="1"/>
  <c r="Z134" i="21"/>
  <c r="AO149" i="21"/>
  <c r="AC136" i="21"/>
  <c r="P123" i="21"/>
  <c r="P122" i="21"/>
  <c r="R126" i="21"/>
  <c r="AG139" i="21"/>
  <c r="AL146" i="21"/>
  <c r="W128" i="21"/>
  <c r="X132" i="21"/>
  <c r="AP147" i="21"/>
  <c r="P124" i="21"/>
  <c r="AN145" i="21"/>
  <c r="U129" i="21"/>
  <c r="S127" i="21"/>
  <c r="AI140" i="21"/>
  <c r="AG141" i="21"/>
  <c r="W131" i="21"/>
  <c r="Y133" i="21"/>
  <c r="AI142" i="21"/>
  <c r="AP148" i="21"/>
  <c r="AF138" i="21"/>
  <c r="AD137" i="21"/>
  <c r="R125" i="21"/>
  <c r="AL143" i="21"/>
  <c r="AC135" i="21"/>
  <c r="V130" i="21"/>
  <c r="AJ144" i="21"/>
  <c r="AI73" i="1"/>
  <c r="AI72" i="1"/>
  <c r="AK82" i="1" l="1"/>
  <c r="AK83" i="1" s="1"/>
  <c r="AK76" i="1"/>
  <c r="AH197" i="1"/>
  <c r="AK44" i="1"/>
  <c r="AG216" i="1"/>
  <c r="AI31" i="19"/>
  <c r="AM38" i="1"/>
  <c r="AL39" i="1"/>
  <c r="AK6" i="19"/>
  <c r="AK4" i="19" s="1"/>
  <c r="AL43" i="1"/>
  <c r="AO73" i="1"/>
  <c r="AO72" i="1"/>
  <c r="AH30" i="19"/>
  <c r="AD136" i="21"/>
  <c r="AP149" i="21"/>
  <c r="AA134" i="21"/>
  <c r="AM146" i="21"/>
  <c r="AH139" i="21"/>
  <c r="S126" i="21"/>
  <c r="Q122" i="21"/>
  <c r="Y132" i="21"/>
  <c r="X128" i="21"/>
  <c r="Q123" i="21"/>
  <c r="AJ140" i="21"/>
  <c r="AD135" i="21"/>
  <c r="T127" i="21"/>
  <c r="Z133" i="21"/>
  <c r="AG138" i="21"/>
  <c r="AJ142" i="21"/>
  <c r="X131" i="21"/>
  <c r="AK144" i="21"/>
  <c r="S125" i="21"/>
  <c r="V129" i="21"/>
  <c r="AE137" i="21"/>
  <c r="AO145" i="21"/>
  <c r="Q124" i="21"/>
  <c r="W130" i="21"/>
  <c r="AM143" i="21"/>
  <c r="AH141" i="21"/>
  <c r="AL44" i="1" l="1"/>
  <c r="AL82" i="1"/>
  <c r="AL83" i="1" s="1"/>
  <c r="AI197" i="1"/>
  <c r="AL76" i="1"/>
  <c r="AM39" i="1"/>
  <c r="AN38" i="1"/>
  <c r="AO38" i="1" s="1"/>
  <c r="AM43" i="1"/>
  <c r="AL6" i="19"/>
  <c r="AL4" i="19" s="1"/>
  <c r="AJ31" i="19"/>
  <c r="AH216" i="1"/>
  <c r="AN30" i="19"/>
  <c r="AB134" i="21"/>
  <c r="AE136" i="21"/>
  <c r="Y128" i="21"/>
  <c r="Z132" i="21"/>
  <c r="R122" i="21"/>
  <c r="T126" i="21"/>
  <c r="AI139" i="21"/>
  <c r="AN146" i="21"/>
  <c r="R123" i="21"/>
  <c r="AN143" i="21"/>
  <c r="Y131" i="21"/>
  <c r="AF137" i="21"/>
  <c r="U127" i="21"/>
  <c r="AK142" i="21"/>
  <c r="X130" i="21"/>
  <c r="W129" i="21"/>
  <c r="AI141" i="21"/>
  <c r="R124" i="21"/>
  <c r="T125" i="21"/>
  <c r="AH138" i="21"/>
  <c r="AE135" i="21"/>
  <c r="AL144" i="21"/>
  <c r="AK140" i="21"/>
  <c r="AP145" i="21"/>
  <c r="AA133" i="21"/>
  <c r="AJ197" i="1" l="1"/>
  <c r="AM82" i="1"/>
  <c r="AM83" i="1" s="1"/>
  <c r="AM44" i="1"/>
  <c r="AM76" i="1"/>
  <c r="AK31" i="19"/>
  <c r="AI216" i="1"/>
  <c r="AN39" i="1"/>
  <c r="AO39" i="1" s="1"/>
  <c r="AN43" i="1"/>
  <c r="AM6" i="19"/>
  <c r="AM4" i="19" s="1"/>
  <c r="AN4" i="19" s="1"/>
  <c r="AF136" i="21"/>
  <c r="AC134" i="21"/>
  <c r="AO146" i="21"/>
  <c r="AJ139" i="21"/>
  <c r="U126" i="21"/>
  <c r="S122" i="21"/>
  <c r="AA132" i="21"/>
  <c r="S123" i="21"/>
  <c r="Z128" i="21"/>
  <c r="AL140" i="21"/>
  <c r="AJ141" i="21"/>
  <c r="AM144" i="21"/>
  <c r="X129" i="21"/>
  <c r="AF135" i="21"/>
  <c r="Y130" i="21"/>
  <c r="AG137" i="21"/>
  <c r="V127" i="21"/>
  <c r="AI138" i="21"/>
  <c r="U125" i="21"/>
  <c r="Z131" i="21"/>
  <c r="AB133" i="21"/>
  <c r="S124" i="21"/>
  <c r="AL142" i="21"/>
  <c r="AO143" i="21"/>
  <c r="AN6" i="19" l="1"/>
  <c r="AK197" i="1"/>
  <c r="AN82" i="1"/>
  <c r="AN76" i="1"/>
  <c r="AO43" i="1"/>
  <c r="D11" i="1" s="1"/>
  <c r="AN44" i="1"/>
  <c r="AO44" i="1" s="1"/>
  <c r="AL31" i="19"/>
  <c r="AJ216" i="1"/>
  <c r="AD134" i="21"/>
  <c r="AG136" i="21"/>
  <c r="AB132" i="21"/>
  <c r="T122" i="21"/>
  <c r="V126" i="21"/>
  <c r="AK139" i="21"/>
  <c r="AA128" i="21"/>
  <c r="AP146" i="21"/>
  <c r="T123" i="21"/>
  <c r="Y129" i="21"/>
  <c r="V125" i="21"/>
  <c r="AH137" i="21"/>
  <c r="T124" i="21"/>
  <c r="AM142" i="21"/>
  <c r="AN144" i="21"/>
  <c r="AP143" i="21"/>
  <c r="AJ138" i="21"/>
  <c r="Z130" i="21"/>
  <c r="AK141" i="21"/>
  <c r="W127" i="21"/>
  <c r="AC133" i="21"/>
  <c r="AA131" i="21"/>
  <c r="AG135" i="21"/>
  <c r="AM140" i="21"/>
  <c r="AM31" i="19" l="1"/>
  <c r="AN31" i="19" s="1"/>
  <c r="AK216" i="1"/>
  <c r="AO76" i="1"/>
  <c r="AN83" i="1"/>
  <c r="AO83" i="1" s="1"/>
  <c r="AO82" i="1"/>
  <c r="AH136" i="21"/>
  <c r="AE134" i="21"/>
  <c r="AB128" i="21"/>
  <c r="AL139" i="21"/>
  <c r="W126" i="21"/>
  <c r="U122" i="21"/>
  <c r="U123" i="21"/>
  <c r="AC132" i="21"/>
  <c r="AH135" i="21"/>
  <c r="AL141" i="21"/>
  <c r="AO144" i="21"/>
  <c r="U124" i="21"/>
  <c r="AB131" i="21"/>
  <c r="AA130" i="21"/>
  <c r="AK138" i="21"/>
  <c r="AN142" i="21"/>
  <c r="AI137" i="21"/>
  <c r="AN140" i="21"/>
  <c r="W125" i="21"/>
  <c r="AD133" i="21"/>
  <c r="X127" i="21"/>
  <c r="Z129" i="21"/>
  <c r="AF134" i="21" l="1"/>
  <c r="AI136" i="21"/>
  <c r="AD132" i="21"/>
  <c r="V123" i="21"/>
  <c r="V122" i="21"/>
  <c r="X126" i="21"/>
  <c r="AM139" i="21"/>
  <c r="AC128" i="21"/>
  <c r="Y127" i="21"/>
  <c r="V124" i="21"/>
  <c r="AO140" i="21"/>
  <c r="AL138" i="21"/>
  <c r="AJ137" i="21"/>
  <c r="AP144" i="21"/>
  <c r="AM141" i="21"/>
  <c r="X125" i="21"/>
  <c r="AO142" i="21"/>
  <c r="AB130" i="21"/>
  <c r="AI135" i="21"/>
  <c r="AE133" i="21"/>
  <c r="AA129" i="21"/>
  <c r="AC131" i="21"/>
  <c r="AJ136" i="21" l="1"/>
  <c r="AG134" i="21"/>
  <c r="AD128" i="21"/>
  <c r="AN139" i="21"/>
  <c r="Y126" i="21"/>
  <c r="W122" i="21"/>
  <c r="W123" i="21"/>
  <c r="AE132" i="21"/>
  <c r="AM138" i="21"/>
  <c r="AF133" i="21"/>
  <c r="Y125" i="21"/>
  <c r="AP140" i="21"/>
  <c r="AK137" i="21"/>
  <c r="AD131" i="21"/>
  <c r="AN141" i="21"/>
  <c r="W124" i="21"/>
  <c r="AP142" i="21"/>
  <c r="Z127" i="21"/>
  <c r="AJ135" i="21"/>
  <c r="AC130" i="21"/>
  <c r="AB129" i="21"/>
  <c r="AH134" i="21" l="1"/>
  <c r="AK136" i="21"/>
  <c r="AF132" i="21"/>
  <c r="X123" i="21"/>
  <c r="X122" i="21"/>
  <c r="Z126" i="21"/>
  <c r="AO139" i="21"/>
  <c r="AE128" i="21"/>
  <c r="AL137" i="21"/>
  <c r="X124" i="21"/>
  <c r="AO141" i="21"/>
  <c r="Z125" i="21"/>
  <c r="AK135" i="21"/>
  <c r="AA127" i="21"/>
  <c r="AG133" i="21"/>
  <c r="AC129" i="21"/>
  <c r="AE131" i="21"/>
  <c r="AD130" i="21"/>
  <c r="AN138" i="21"/>
  <c r="AL136" i="21" l="1"/>
  <c r="AI134" i="21"/>
  <c r="AF128" i="21"/>
  <c r="AP139" i="21"/>
  <c r="AA126" i="21"/>
  <c r="Y122" i="21"/>
  <c r="Y123" i="21"/>
  <c r="AG132" i="21"/>
  <c r="AL135" i="21"/>
  <c r="AE130" i="21"/>
  <c r="AA125" i="21"/>
  <c r="AP141" i="21"/>
  <c r="AH133" i="21"/>
  <c r="AF131" i="21"/>
  <c r="AD129" i="21"/>
  <c r="AB127" i="21"/>
  <c r="Y124" i="21"/>
  <c r="AM137" i="21"/>
  <c r="AO138" i="21"/>
  <c r="AJ134" i="21" l="1"/>
  <c r="AM136" i="21"/>
  <c r="AH132" i="21"/>
  <c r="Z123" i="21"/>
  <c r="Z122" i="21"/>
  <c r="AB126" i="21"/>
  <c r="AG128" i="21"/>
  <c r="AB125" i="21"/>
  <c r="AN137" i="21"/>
  <c r="AC127" i="21"/>
  <c r="AE129" i="21"/>
  <c r="AG131" i="21"/>
  <c r="AF130" i="21"/>
  <c r="Z124" i="21"/>
  <c r="AP138" i="21"/>
  <c r="AI133" i="21"/>
  <c r="AM135" i="21"/>
  <c r="AN136" i="21" l="1"/>
  <c r="AK134" i="21"/>
  <c r="AH128" i="21"/>
  <c r="AC126" i="21"/>
  <c r="AA122" i="21"/>
  <c r="AA123" i="21"/>
  <c r="AI132" i="21"/>
  <c r="AA124" i="21"/>
  <c r="AG130" i="21"/>
  <c r="AJ133" i="21"/>
  <c r="AF129" i="21"/>
  <c r="AD127" i="21"/>
  <c r="AO137" i="21"/>
  <c r="AC125" i="21"/>
  <c r="AH131" i="21"/>
  <c r="AN135" i="21"/>
  <c r="AL134" i="21" l="1"/>
  <c r="AO136" i="21"/>
  <c r="AJ132" i="21"/>
  <c r="AB123" i="21"/>
  <c r="AB122" i="21"/>
  <c r="AD126" i="21"/>
  <c r="AI128" i="21"/>
  <c r="AO135" i="21"/>
  <c r="AG129" i="21"/>
  <c r="AK133" i="21"/>
  <c r="AP137" i="21"/>
  <c r="AH130" i="21"/>
  <c r="AE127" i="21"/>
  <c r="AD125" i="21"/>
  <c r="AB124" i="21"/>
  <c r="AI131" i="21"/>
  <c r="AP136" i="21" l="1"/>
  <c r="AM134" i="21"/>
  <c r="AJ128" i="21"/>
  <c r="AE126" i="21"/>
  <c r="AC122" i="21"/>
  <c r="AC123" i="21"/>
  <c r="AK132" i="21"/>
  <c r="AF127" i="21"/>
  <c r="AL133" i="21"/>
  <c r="AH129" i="21"/>
  <c r="AJ131" i="21"/>
  <c r="AP135" i="21"/>
  <c r="AC124" i="21"/>
  <c r="AI130" i="21"/>
  <c r="AE125" i="21"/>
  <c r="AN134" i="21" l="1"/>
  <c r="AL132" i="21"/>
  <c r="AD123" i="21"/>
  <c r="AD122" i="21"/>
  <c r="AF126" i="21"/>
  <c r="AK128" i="21"/>
  <c r="AJ130" i="21"/>
  <c r="AI129" i="21"/>
  <c r="AD124" i="21"/>
  <c r="AK131" i="21"/>
  <c r="AF125" i="21"/>
  <c r="AM133" i="21"/>
  <c r="AG127" i="21"/>
  <c r="AO134" i="21" l="1"/>
  <c r="AL128" i="21"/>
  <c r="AG126" i="21"/>
  <c r="AE122" i="21"/>
  <c r="AE123" i="21"/>
  <c r="AM132" i="21"/>
  <c r="AE124" i="21"/>
  <c r="AH127" i="21"/>
  <c r="AL131" i="21"/>
  <c r="AJ129" i="21"/>
  <c r="AK130" i="21"/>
  <c r="AN133" i="21"/>
  <c r="AG125" i="21"/>
  <c r="AP134" i="21" l="1"/>
  <c r="AN132" i="21"/>
  <c r="AF123" i="21"/>
  <c r="AF122" i="21"/>
  <c r="AH126" i="21"/>
  <c r="AM128" i="21"/>
  <c r="AK129" i="21"/>
  <c r="AH125" i="21"/>
  <c r="AM131" i="21"/>
  <c r="AI127" i="21"/>
  <c r="AO133" i="21"/>
  <c r="AL130" i="21"/>
  <c r="AF124" i="21"/>
  <c r="AN128" i="21" l="1"/>
  <c r="AI126" i="21"/>
  <c r="AG122" i="21"/>
  <c r="AG123" i="21"/>
  <c r="AO132" i="21"/>
  <c r="AP133" i="21"/>
  <c r="AJ127" i="21"/>
  <c r="AN131" i="21"/>
  <c r="AG124" i="21"/>
  <c r="AM130" i="21"/>
  <c r="AI125" i="21"/>
  <c r="AL129" i="21"/>
  <c r="AP132" i="21" l="1"/>
  <c r="AH123" i="21"/>
  <c r="AH122" i="21"/>
  <c r="AJ126" i="21"/>
  <c r="AO128" i="21"/>
  <c r="AN130" i="21"/>
  <c r="AH124" i="21"/>
  <c r="AO131" i="21"/>
  <c r="AJ125" i="21"/>
  <c r="AK127" i="21"/>
  <c r="AM129" i="21"/>
  <c r="AP128" i="21" l="1"/>
  <c r="AK126" i="21"/>
  <c r="AI122" i="21"/>
  <c r="AI123" i="21"/>
  <c r="AN129" i="21"/>
  <c r="AP131" i="21"/>
  <c r="AI124" i="21"/>
  <c r="AO130" i="21"/>
  <c r="AL127" i="21"/>
  <c r="AK125" i="21"/>
  <c r="AJ123" i="21" l="1"/>
  <c r="AJ122" i="21"/>
  <c r="AL126" i="21"/>
  <c r="AJ124" i="21"/>
  <c r="AL125" i="21"/>
  <c r="AO129" i="21"/>
  <c r="AM127" i="21"/>
  <c r="AP130" i="21"/>
  <c r="AM126" i="21" l="1"/>
  <c r="AK122" i="21"/>
  <c r="AK123" i="21"/>
  <c r="AP129" i="21"/>
  <c r="AM125" i="21"/>
  <c r="AK124" i="21"/>
  <c r="AN127" i="21"/>
  <c r="AL123" i="21" l="1"/>
  <c r="AL122" i="21"/>
  <c r="AN126" i="21"/>
  <c r="AN125" i="21"/>
  <c r="AL124" i="21"/>
  <c r="AO127" i="21"/>
  <c r="AO126" i="21" l="1"/>
  <c r="AM122" i="21"/>
  <c r="AM123" i="21"/>
  <c r="AP127" i="21"/>
  <c r="AM124" i="21"/>
  <c r="AO125" i="21"/>
  <c r="AN122" i="21" l="1"/>
  <c r="AN123" i="21"/>
  <c r="AP126" i="21"/>
  <c r="AP125" i="21"/>
  <c r="AN124" i="21"/>
  <c r="AO123" i="21" l="1"/>
  <c r="AO122" i="21"/>
  <c r="AO124" i="21"/>
  <c r="AP122" i="21" l="1"/>
  <c r="AP123" i="21"/>
  <c r="AP124" i="21"/>
  <c r="AN40" i="19" l="1"/>
  <c r="R26" i="6" l="1"/>
  <c r="Z26" i="6"/>
  <c r="AD26" i="6" l="1"/>
  <c r="AE26" i="6"/>
  <c r="AA26" i="6"/>
  <c r="J26" i="6"/>
  <c r="U26" i="6"/>
  <c r="O26" i="6"/>
  <c r="I26" i="6"/>
  <c r="Y26" i="6"/>
  <c r="AH26" i="6"/>
  <c r="AG26" i="6"/>
  <c r="AC26" i="6"/>
  <c r="AI26" i="6"/>
  <c r="M26" i="6"/>
  <c r="AB26" i="6"/>
  <c r="W26" i="6"/>
  <c r="H26" i="6"/>
  <c r="V26" i="6"/>
  <c r="S26" i="6"/>
  <c r="L26" i="6"/>
  <c r="P26" i="6"/>
  <c r="X26" i="6"/>
  <c r="Q26" i="6"/>
  <c r="N26" i="6"/>
  <c r="AF26" i="6"/>
  <c r="T26" i="6"/>
  <c r="K26" i="6" l="1"/>
  <c r="G26" i="6" l="1"/>
  <c r="F26" i="6" l="1"/>
  <c r="AO26" i="6" s="1"/>
  <c r="D10" i="6" s="1"/>
  <c r="E10" i="6" l="1"/>
  <c r="C26" i="6"/>
  <c r="AH27" i="14" l="1"/>
  <c r="AG27" i="14"/>
  <c r="AD27" i="14"/>
  <c r="AC27" i="14"/>
  <c r="AB27" i="14"/>
  <c r="AA27" i="14"/>
  <c r="Z27" i="14"/>
  <c r="L27" i="14"/>
  <c r="N27" i="14"/>
  <c r="K27" i="14"/>
  <c r="G27" i="14"/>
  <c r="Q27" i="14"/>
  <c r="R27" i="14"/>
  <c r="S27" i="14"/>
  <c r="X27" i="14"/>
  <c r="W27" i="14"/>
  <c r="I27" i="14"/>
  <c r="U27" i="14"/>
  <c r="F27" i="14"/>
  <c r="V27" i="14"/>
  <c r="AJ27" i="14"/>
  <c r="AI27" i="14"/>
  <c r="AL27" i="14"/>
  <c r="AK27" i="14"/>
  <c r="AM27" i="14"/>
  <c r="AF27" i="14"/>
  <c r="Y27" i="14"/>
  <c r="P27" i="14"/>
  <c r="T27" i="14"/>
  <c r="M27" i="14"/>
  <c r="J27" i="14"/>
  <c r="O27" i="14"/>
  <c r="H27" i="14"/>
  <c r="AE27" i="14"/>
  <c r="E27" i="14"/>
  <c r="R62" i="1" l="1"/>
  <c r="W62" i="1"/>
  <c r="AK62" i="1"/>
  <c r="K62" i="1"/>
  <c r="AL62" i="1"/>
  <c r="AC62" i="1"/>
  <c r="AJ62" i="1"/>
  <c r="M62" i="1"/>
  <c r="AF62" i="1"/>
  <c r="V62" i="1"/>
  <c r="AD62" i="1"/>
  <c r="L62" i="1"/>
  <c r="P62" i="1"/>
  <c r="AA62" i="1"/>
  <c r="AB62" i="1"/>
  <c r="X62" i="1"/>
  <c r="AE62" i="1"/>
  <c r="AM62" i="1"/>
  <c r="G62" i="1"/>
  <c r="U62" i="1"/>
  <c r="I62" i="1"/>
  <c r="Q62" i="1"/>
  <c r="Z62" i="1"/>
  <c r="AG62" i="1"/>
  <c r="T62" i="1"/>
  <c r="AH62" i="1"/>
  <c r="H62" i="1"/>
  <c r="O62" i="1"/>
  <c r="N62" i="1"/>
  <c r="J62" i="1"/>
  <c r="Y62" i="1"/>
  <c r="AN62" i="1"/>
  <c r="S62" i="1"/>
  <c r="AI62" i="1"/>
  <c r="F62" i="1"/>
  <c r="I23" i="19" l="1"/>
  <c r="AL23" i="19"/>
  <c r="AJ209" i="1"/>
  <c r="AK23" i="19"/>
  <c r="AI209" i="1"/>
  <c r="Y23" i="19"/>
  <c r="J23" i="19"/>
  <c r="AB23" i="19"/>
  <c r="W23" i="19"/>
  <c r="K23" i="19"/>
  <c r="AD23" i="19"/>
  <c r="N23" i="19"/>
  <c r="U23" i="19"/>
  <c r="AJ23" i="19"/>
  <c r="AH209" i="1"/>
  <c r="M23" i="19"/>
  <c r="P23" i="19"/>
  <c r="R23" i="19"/>
  <c r="G23" i="19"/>
  <c r="AE23" i="19"/>
  <c r="AC23" i="19"/>
  <c r="H23" i="19"/>
  <c r="V23" i="19"/>
  <c r="Z23" i="19"/>
  <c r="AF23" i="19"/>
  <c r="AH23" i="19"/>
  <c r="AA23" i="19"/>
  <c r="AM23" i="19"/>
  <c r="AK209" i="1"/>
  <c r="AG23" i="19"/>
  <c r="T23" i="19"/>
  <c r="L23" i="19"/>
  <c r="X23" i="19"/>
  <c r="S23" i="19"/>
  <c r="F23" i="19"/>
  <c r="O23" i="19"/>
  <c r="AI23" i="19"/>
  <c r="AG209" i="1"/>
  <c r="Q23" i="19"/>
  <c r="E23" i="19"/>
  <c r="AO62" i="1"/>
  <c r="AN23" i="19" l="1"/>
  <c r="AJ213" i="1" l="1"/>
  <c r="Y27" i="19"/>
  <c r="Z27" i="19"/>
  <c r="AA27" i="19"/>
  <c r="AG27" i="19"/>
  <c r="AC27" i="19"/>
  <c r="AG213" i="1"/>
  <c r="W27" i="19"/>
  <c r="U27" i="19"/>
  <c r="I27" i="19"/>
  <c r="O27" i="19"/>
  <c r="M27" i="19"/>
  <c r="K27" i="19"/>
  <c r="S27" i="19"/>
  <c r="AB27" i="19"/>
  <c r="P27" i="19"/>
  <c r="AL27" i="19"/>
  <c r="N27" i="19"/>
  <c r="AJ27" i="19"/>
  <c r="L27" i="19"/>
  <c r="AH27" i="19"/>
  <c r="V27" i="19"/>
  <c r="AF27" i="19"/>
  <c r="H27" i="19"/>
  <c r="AD27" i="19"/>
  <c r="R27" i="19"/>
  <c r="F27" i="19"/>
  <c r="G27" i="19" l="1"/>
  <c r="AO66" i="1"/>
  <c r="AK213" i="1"/>
  <c r="AM27" i="19"/>
  <c r="T27" i="19"/>
  <c r="AI27" i="19"/>
  <c r="X27" i="19"/>
  <c r="AE27" i="19"/>
  <c r="Q27" i="19"/>
  <c r="AH213" i="1"/>
  <c r="J27" i="19"/>
  <c r="AK27" i="19"/>
  <c r="AI213" i="1"/>
  <c r="AN27" i="19" l="1"/>
  <c r="G62" i="25" l="1"/>
  <c r="G61" i="25" s="1"/>
  <c r="G59" i="25" s="1"/>
  <c r="G57" i="25" s="1"/>
  <c r="F5" i="25" l="1"/>
  <c r="E312" i="25"/>
  <c r="G312" i="25" s="1"/>
  <c r="G310" i="25" s="1"/>
  <c r="G308" i="25" s="1"/>
  <c r="G55" i="25" s="1"/>
  <c r="D5" i="25" l="1"/>
  <c r="F11" i="25"/>
  <c r="D11" i="25" s="1"/>
  <c r="F24" i="25"/>
  <c r="D24" i="25" l="1"/>
  <c r="Y5" i="11"/>
  <c r="AC5" i="11"/>
  <c r="AK5" i="11"/>
  <c r="Z5" i="11"/>
  <c r="X5" i="11"/>
  <c r="L5" i="11"/>
  <c r="AH5" i="11"/>
  <c r="AD5" i="11"/>
  <c r="AJ5" i="11"/>
  <c r="AJ12" i="11" s="1"/>
  <c r="D5" i="11"/>
  <c r="AB5" i="11"/>
  <c r="AA5" i="11"/>
  <c r="D12" i="25"/>
  <c r="I5" i="11"/>
  <c r="U5" i="11"/>
  <c r="E5" i="11"/>
  <c r="H5" i="11"/>
  <c r="AG5" i="11"/>
  <c r="S5" i="11"/>
  <c r="T5" i="11"/>
  <c r="T12" i="11" s="1"/>
  <c r="N5" i="11"/>
  <c r="C5" i="11"/>
  <c r="W5" i="11"/>
  <c r="AI5" i="11"/>
  <c r="V5" i="11"/>
  <c r="P5" i="11"/>
  <c r="M5" i="11"/>
  <c r="O5" i="11"/>
  <c r="K5" i="11"/>
  <c r="F5" i="11"/>
  <c r="AF5" i="11"/>
  <c r="AE5" i="11"/>
  <c r="G5" i="11"/>
  <c r="Q5" i="11"/>
  <c r="R5" i="11"/>
  <c r="J5" i="11"/>
  <c r="AE11" i="11"/>
  <c r="T11" i="11"/>
  <c r="D11" i="11"/>
  <c r="AG11" i="11"/>
  <c r="G11" i="11"/>
  <c r="AH11" i="11"/>
  <c r="AA11" i="11"/>
  <c r="AF11" i="11"/>
  <c r="N11" i="11"/>
  <c r="M11" i="11"/>
  <c r="R11" i="11"/>
  <c r="U11" i="11"/>
  <c r="J11" i="11"/>
  <c r="AC11" i="11"/>
  <c r="AI11" i="11"/>
  <c r="S11" i="11"/>
  <c r="F11" i="11"/>
  <c r="P11" i="11"/>
  <c r="AK11" i="11"/>
  <c r="E11" i="11"/>
  <c r="W11" i="11"/>
  <c r="I11" i="11"/>
  <c r="Y11" i="11"/>
  <c r="L11" i="11"/>
  <c r="AJ11" i="11"/>
  <c r="AD11" i="11"/>
  <c r="H11" i="11"/>
  <c r="C11" i="11"/>
  <c r="X11" i="11"/>
  <c r="K11" i="11"/>
  <c r="V11" i="11"/>
  <c r="AB11" i="11"/>
  <c r="O11" i="11"/>
  <c r="Q11" i="11"/>
  <c r="Z11" i="11"/>
  <c r="F30" i="25"/>
  <c r="D30" i="25" s="1"/>
  <c r="F12" i="25"/>
  <c r="D12" i="11" l="1"/>
  <c r="AD12" i="11"/>
  <c r="AD20" i="11" s="1"/>
  <c r="AE3" i="7" s="1"/>
  <c r="U12" i="11"/>
  <c r="F12" i="11"/>
  <c r="Z12" i="11"/>
  <c r="H70" i="11"/>
  <c r="G70" i="11"/>
  <c r="Q12" i="11"/>
  <c r="C12" i="11"/>
  <c r="C64" i="11"/>
  <c r="AL5" i="11"/>
  <c r="L64" i="11" s="1"/>
  <c r="D20" i="11"/>
  <c r="E3" i="7" s="1"/>
  <c r="AJ20" i="11"/>
  <c r="AK3" i="7" s="1"/>
  <c r="I70" i="11"/>
  <c r="G64" i="11"/>
  <c r="S12" i="11"/>
  <c r="AH12" i="11"/>
  <c r="AE12" i="11"/>
  <c r="J64" i="11"/>
  <c r="AF12" i="11"/>
  <c r="F20" i="11"/>
  <c r="G3" i="7" s="1"/>
  <c r="AG12" i="11"/>
  <c r="L12" i="11"/>
  <c r="E70" i="11"/>
  <c r="D70" i="11"/>
  <c r="E64" i="11"/>
  <c r="K12" i="11"/>
  <c r="H12" i="11"/>
  <c r="X12" i="11"/>
  <c r="F70" i="11"/>
  <c r="E12" i="11"/>
  <c r="Z20" i="11"/>
  <c r="AA3" i="7" s="1"/>
  <c r="U20" i="11"/>
  <c r="V3" i="7" s="1"/>
  <c r="AK12" i="11"/>
  <c r="T20" i="11"/>
  <c r="U3" i="7" s="1"/>
  <c r="M12" i="11"/>
  <c r="P12" i="11"/>
  <c r="I12" i="11"/>
  <c r="AC12" i="11"/>
  <c r="G12" i="11"/>
  <c r="D64" i="11"/>
  <c r="K70" i="11"/>
  <c r="V12" i="11"/>
  <c r="D20" i="25"/>
  <c r="D44" i="25" s="1"/>
  <c r="D42" i="25"/>
  <c r="Y12" i="11"/>
  <c r="AL11" i="11"/>
  <c r="L70" i="11" s="1"/>
  <c r="C70" i="11"/>
  <c r="AA30" i="11"/>
  <c r="K30" i="11"/>
  <c r="I30" i="11"/>
  <c r="X30" i="11"/>
  <c r="E30" i="11"/>
  <c r="AG30" i="11"/>
  <c r="C30" i="11"/>
  <c r="O30" i="11"/>
  <c r="F89" i="11" s="1"/>
  <c r="AK30" i="11"/>
  <c r="AH30" i="11"/>
  <c r="Y30" i="11"/>
  <c r="W30" i="11"/>
  <c r="U30" i="11"/>
  <c r="T30" i="11"/>
  <c r="M30" i="11"/>
  <c r="AE30" i="11"/>
  <c r="P30" i="11"/>
  <c r="AF30" i="11"/>
  <c r="L30" i="11"/>
  <c r="N30" i="11"/>
  <c r="V30" i="11"/>
  <c r="D30" i="11"/>
  <c r="AJ30" i="11"/>
  <c r="AD30" i="11"/>
  <c r="G30" i="11"/>
  <c r="S30" i="11"/>
  <c r="J30" i="11"/>
  <c r="R30" i="11"/>
  <c r="F30" i="11"/>
  <c r="Q30" i="11"/>
  <c r="H30" i="11"/>
  <c r="AB30" i="11"/>
  <c r="Z30" i="11"/>
  <c r="AI30" i="11"/>
  <c r="AC30" i="11"/>
  <c r="J12" i="11"/>
  <c r="K64" i="11"/>
  <c r="AI12" i="11"/>
  <c r="AA12" i="11"/>
  <c r="I64" i="11"/>
  <c r="O24" i="11"/>
  <c r="U24" i="11"/>
  <c r="C24" i="11"/>
  <c r="AI24" i="11"/>
  <c r="D24" i="11"/>
  <c r="AC24" i="11"/>
  <c r="J24" i="11"/>
  <c r="J31" i="11" s="1"/>
  <c r="J39" i="11" s="1"/>
  <c r="K4" i="7" s="1"/>
  <c r="Y24" i="11"/>
  <c r="AJ24" i="11"/>
  <c r="F24" i="11"/>
  <c r="R24" i="11"/>
  <c r="AE24" i="11"/>
  <c r="N24" i="11"/>
  <c r="S24" i="11"/>
  <c r="D31" i="25"/>
  <c r="W24" i="11"/>
  <c r="V24" i="11"/>
  <c r="P24" i="11"/>
  <c r="P31" i="11" s="1"/>
  <c r="P39" i="11" s="1"/>
  <c r="Q4" i="7" s="1"/>
  <c r="Z24" i="11"/>
  <c r="AD24" i="11"/>
  <c r="M24" i="11"/>
  <c r="M31" i="11" s="1"/>
  <c r="M39" i="11" s="1"/>
  <c r="N4" i="7" s="1"/>
  <c r="K24" i="11"/>
  <c r="AB24" i="11"/>
  <c r="H24" i="11"/>
  <c r="T24" i="11"/>
  <c r="AH24" i="11"/>
  <c r="X24" i="11"/>
  <c r="X31" i="11" s="1"/>
  <c r="X39" i="11" s="1"/>
  <c r="Y4" i="7" s="1"/>
  <c r="E24" i="11"/>
  <c r="E31" i="11" s="1"/>
  <c r="E39" i="11" s="1"/>
  <c r="F4" i="7" s="1"/>
  <c r="AF24" i="11"/>
  <c r="AF31" i="11" s="1"/>
  <c r="AF39" i="11" s="1"/>
  <c r="AG4" i="7" s="1"/>
  <c r="AG24" i="11"/>
  <c r="AG31" i="11" s="1"/>
  <c r="AG39" i="11" s="1"/>
  <c r="AH4" i="7" s="1"/>
  <c r="I24" i="11"/>
  <c r="I31" i="11" s="1"/>
  <c r="I39" i="11" s="1"/>
  <c r="J4" i="7" s="1"/>
  <c r="Q24" i="11"/>
  <c r="L24" i="11"/>
  <c r="AA24" i="11"/>
  <c r="AK24" i="11"/>
  <c r="G24" i="11"/>
  <c r="N12" i="11"/>
  <c r="O12" i="11"/>
  <c r="F64" i="11"/>
  <c r="F42" i="25"/>
  <c r="F20" i="25"/>
  <c r="J70" i="11"/>
  <c r="R12" i="11"/>
  <c r="W12" i="11"/>
  <c r="H64" i="11"/>
  <c r="AB12" i="11"/>
  <c r="F31" i="25"/>
  <c r="AD31" i="11" l="1"/>
  <c r="AD39" i="11" s="1"/>
  <c r="AE4" i="7" s="1"/>
  <c r="Z31" i="11"/>
  <c r="Z39" i="11" s="1"/>
  <c r="AA4" i="7" s="1"/>
  <c r="V31" i="11"/>
  <c r="V39" i="11" s="1"/>
  <c r="W4" i="7" s="1"/>
  <c r="T31" i="11"/>
  <c r="K89" i="11"/>
  <c r="AC31" i="11"/>
  <c r="AC39" i="11" s="1"/>
  <c r="AD4" i="7" s="1"/>
  <c r="U31" i="11"/>
  <c r="AK20" i="11"/>
  <c r="AL3" i="7" s="1"/>
  <c r="L20" i="11"/>
  <c r="M3" i="7" s="1"/>
  <c r="R20" i="11"/>
  <c r="S3" i="7" s="1"/>
  <c r="D31" i="11"/>
  <c r="D46" i="25"/>
  <c r="D39" i="25"/>
  <c r="D48" i="25" s="1"/>
  <c r="AL30" i="11"/>
  <c r="L89" i="11" s="1"/>
  <c r="C89" i="11"/>
  <c r="V20" i="11"/>
  <c r="W3" i="7" s="1"/>
  <c r="AG44" i="11"/>
  <c r="AG20" i="11"/>
  <c r="AH3" i="7" s="1"/>
  <c r="AD44" i="11"/>
  <c r="Y20" i="11"/>
  <c r="Z3" i="7" s="1"/>
  <c r="AI31" i="11"/>
  <c r="AI44" i="11" s="1"/>
  <c r="K83" i="11"/>
  <c r="Z44" i="11"/>
  <c r="F44" i="25"/>
  <c r="AF20" i="11"/>
  <c r="AG3" i="7" s="1"/>
  <c r="AF44" i="11"/>
  <c r="H83" i="11"/>
  <c r="W31" i="11"/>
  <c r="W44" i="11" s="1"/>
  <c r="N31" i="11"/>
  <c r="N39" i="11" s="1"/>
  <c r="O4" i="7" s="1"/>
  <c r="D83" i="11"/>
  <c r="G31" i="11"/>
  <c r="G44" i="11" s="1"/>
  <c r="J89" i="11"/>
  <c r="G20" i="11"/>
  <c r="D71" i="11"/>
  <c r="E20" i="11"/>
  <c r="F3" i="7" s="1"/>
  <c r="E44" i="11"/>
  <c r="AK31" i="11"/>
  <c r="AK39" i="11" s="1"/>
  <c r="AL4" i="7" s="1"/>
  <c r="AB31" i="11"/>
  <c r="AB39" i="11" s="1"/>
  <c r="AC4" i="7" s="1"/>
  <c r="R31" i="11"/>
  <c r="R39" i="11" s="1"/>
  <c r="S4" i="7" s="1"/>
  <c r="AA20" i="11"/>
  <c r="I71" i="11"/>
  <c r="AC20" i="11"/>
  <c r="AD3" i="7" s="1"/>
  <c r="C31" i="11"/>
  <c r="C83" i="11"/>
  <c r="AL24" i="11"/>
  <c r="L83" i="11" s="1"/>
  <c r="F71" i="11"/>
  <c r="O20" i="11"/>
  <c r="G83" i="11"/>
  <c r="S31" i="11"/>
  <c r="F39" i="25"/>
  <c r="F46" i="25"/>
  <c r="F48" i="25" s="1"/>
  <c r="AB20" i="11"/>
  <c r="AC3" i="7" s="1"/>
  <c r="I83" i="11"/>
  <c r="AA31" i="11"/>
  <c r="K31" i="11"/>
  <c r="K44" i="11" s="1"/>
  <c r="E83" i="11"/>
  <c r="F31" i="11"/>
  <c r="AI20" i="11"/>
  <c r="K71" i="11"/>
  <c r="G89" i="11"/>
  <c r="E89" i="11"/>
  <c r="I44" i="11"/>
  <c r="I20" i="11"/>
  <c r="J3" i="7" s="1"/>
  <c r="X20" i="11"/>
  <c r="Y3" i="7" s="1"/>
  <c r="X44" i="11"/>
  <c r="J71" i="11"/>
  <c r="AE20" i="11"/>
  <c r="AH31" i="11"/>
  <c r="AH39" i="11" s="1"/>
  <c r="AI4" i="7" s="1"/>
  <c r="N20" i="11"/>
  <c r="O3" i="7" s="1"/>
  <c r="O31" i="11"/>
  <c r="O44" i="11" s="1"/>
  <c r="F83" i="11"/>
  <c r="H31" i="11"/>
  <c r="H39" i="11" s="1"/>
  <c r="I4" i="7" s="1"/>
  <c r="L31" i="11"/>
  <c r="L39" i="11" s="1"/>
  <c r="M4" i="7" s="1"/>
  <c r="AJ31" i="11"/>
  <c r="D89" i="11"/>
  <c r="I89" i="11"/>
  <c r="P44" i="11"/>
  <c r="P20" i="11"/>
  <c r="Q3" i="7" s="1"/>
  <c r="H20" i="11"/>
  <c r="I3" i="7" s="1"/>
  <c r="AH20" i="11"/>
  <c r="AI3" i="7" s="1"/>
  <c r="C20" i="11"/>
  <c r="C71" i="11"/>
  <c r="AL12" i="11"/>
  <c r="L71" i="11" s="1"/>
  <c r="J83" i="11"/>
  <c r="AE31" i="11"/>
  <c r="AE44" i="11" s="1"/>
  <c r="W20" i="11"/>
  <c r="H71" i="11"/>
  <c r="Q31" i="11"/>
  <c r="Q39" i="11" s="1"/>
  <c r="R4" i="7" s="1"/>
  <c r="Y31" i="11"/>
  <c r="Y39" i="11" s="1"/>
  <c r="Z4" i="7" s="1"/>
  <c r="J44" i="11"/>
  <c r="J20" i="11"/>
  <c r="K3" i="7" s="1"/>
  <c r="H89" i="11"/>
  <c r="M20" i="11"/>
  <c r="N3" i="7" s="1"/>
  <c r="M44" i="11"/>
  <c r="E71" i="11"/>
  <c r="K20" i="11"/>
  <c r="S20" i="11"/>
  <c r="G71" i="11"/>
  <c r="Q20" i="11"/>
  <c r="R3" i="7" s="1"/>
  <c r="AC44" i="11" l="1"/>
  <c r="V44" i="11"/>
  <c r="N44" i="11"/>
  <c r="AH44" i="11"/>
  <c r="D56" i="11" s="1"/>
  <c r="Q44" i="11"/>
  <c r="Q46" i="11" s="1"/>
  <c r="T39" i="11"/>
  <c r="U4" i="7" s="1"/>
  <c r="T44" i="11"/>
  <c r="AB44" i="11"/>
  <c r="AB46" i="11" s="1"/>
  <c r="R44" i="11"/>
  <c r="R46" i="11" s="1"/>
  <c r="F51" i="25"/>
  <c r="F53" i="25" s="1"/>
  <c r="U39" i="11"/>
  <c r="V4" i="7" s="1"/>
  <c r="U44" i="11"/>
  <c r="H44" i="11"/>
  <c r="D50" i="11" s="1"/>
  <c r="AH50" i="1"/>
  <c r="AH48" i="1" s="1"/>
  <c r="AE46" i="11"/>
  <c r="J79" i="11"/>
  <c r="AF3" i="7"/>
  <c r="F39" i="11"/>
  <c r="G4" i="7" s="1"/>
  <c r="F44" i="11"/>
  <c r="P3" i="7"/>
  <c r="F79" i="11"/>
  <c r="AI39" i="11"/>
  <c r="K90" i="11"/>
  <c r="AK50" i="1"/>
  <c r="F90" i="11"/>
  <c r="O39" i="11"/>
  <c r="AJ3" i="7"/>
  <c r="K79" i="11"/>
  <c r="L3" i="7"/>
  <c r="E79" i="11"/>
  <c r="K46" i="11"/>
  <c r="N50" i="1"/>
  <c r="N48" i="1" s="1"/>
  <c r="AG50" i="1"/>
  <c r="AG48" i="1" s="1"/>
  <c r="AD46" i="11"/>
  <c r="G79" i="11"/>
  <c r="T3" i="7"/>
  <c r="X3" i="7"/>
  <c r="H79" i="11"/>
  <c r="H50" i="1"/>
  <c r="H48" i="1" s="1"/>
  <c r="E46" i="11"/>
  <c r="D39" i="11"/>
  <c r="E4" i="7" s="1"/>
  <c r="D44" i="11"/>
  <c r="C39" i="11"/>
  <c r="C90" i="11"/>
  <c r="AL31" i="11"/>
  <c r="J50" i="1"/>
  <c r="J48" i="1" s="1"/>
  <c r="G46" i="11"/>
  <c r="AF46" i="11"/>
  <c r="AI50" i="1"/>
  <c r="AI48" i="1" s="1"/>
  <c r="AC46" i="11"/>
  <c r="AF50" i="1"/>
  <c r="AF48" i="1" s="1"/>
  <c r="H3" i="7"/>
  <c r="D79" i="11"/>
  <c r="AG46" i="11"/>
  <c r="AJ50" i="1"/>
  <c r="C79" i="11"/>
  <c r="D3" i="7"/>
  <c r="AL20" i="11"/>
  <c r="L79" i="11" s="1"/>
  <c r="L50" i="1"/>
  <c r="L48" i="1" s="1"/>
  <c r="I46" i="11"/>
  <c r="L44" i="11"/>
  <c r="D51" i="11" s="1"/>
  <c r="W46" i="11"/>
  <c r="Z50" i="1"/>
  <c r="Z48" i="1" s="1"/>
  <c r="S50" i="1"/>
  <c r="S48" i="1" s="1"/>
  <c r="P46" i="11"/>
  <c r="Y44" i="11"/>
  <c r="D54" i="11" s="1"/>
  <c r="AE39" i="11"/>
  <c r="J90" i="11"/>
  <c r="E90" i="11"/>
  <c r="K39" i="11"/>
  <c r="AA50" i="1"/>
  <c r="AA48" i="1" s="1"/>
  <c r="X46" i="11"/>
  <c r="I90" i="11"/>
  <c r="AA39" i="11"/>
  <c r="P50" i="1"/>
  <c r="P48" i="1" s="1"/>
  <c r="M46" i="11"/>
  <c r="AJ39" i="11"/>
  <c r="AK4" i="7" s="1"/>
  <c r="AJ44" i="11"/>
  <c r="C44" i="11"/>
  <c r="D90" i="11"/>
  <c r="G39" i="11"/>
  <c r="V46" i="11"/>
  <c r="Y50" i="1"/>
  <c r="Y48" i="1" s="1"/>
  <c r="AA44" i="11"/>
  <c r="AK44" i="11"/>
  <c r="M50" i="1"/>
  <c r="M48" i="1" s="1"/>
  <c r="J46" i="11"/>
  <c r="Q50" i="1"/>
  <c r="Q48" i="1" s="1"/>
  <c r="N46" i="11"/>
  <c r="AL50" i="1"/>
  <c r="AI46" i="11"/>
  <c r="S39" i="11"/>
  <c r="G90" i="11"/>
  <c r="AB3" i="7"/>
  <c r="I79" i="11"/>
  <c r="S44" i="11"/>
  <c r="H90" i="11"/>
  <c r="W39" i="11"/>
  <c r="AC50" i="1"/>
  <c r="AC48" i="1" s="1"/>
  <c r="Z46" i="11"/>
  <c r="R50" i="1"/>
  <c r="R48" i="1" s="1"/>
  <c r="O46" i="11"/>
  <c r="T50" i="1" l="1"/>
  <c r="T48" i="1" s="1"/>
  <c r="D52" i="11"/>
  <c r="AH46" i="11"/>
  <c r="U50" i="1"/>
  <c r="U48" i="1" s="1"/>
  <c r="AE50" i="1"/>
  <c r="AE48" i="1" s="1"/>
  <c r="AE71" i="1" s="1"/>
  <c r="D1" i="23"/>
  <c r="D16" i="23" s="1"/>
  <c r="D57" i="11"/>
  <c r="K50" i="1"/>
  <c r="K48" i="1" s="1"/>
  <c r="K87" i="1" s="1"/>
  <c r="T46" i="11"/>
  <c r="W50" i="1"/>
  <c r="W48" i="1" s="1"/>
  <c r="H46" i="11"/>
  <c r="C50" i="11" s="1"/>
  <c r="U46" i="11"/>
  <c r="X50" i="1"/>
  <c r="X48" i="1" s="1"/>
  <c r="H4" i="7"/>
  <c r="D98" i="11"/>
  <c r="AF87" i="1"/>
  <c r="AF71" i="1"/>
  <c r="H98" i="11"/>
  <c r="X4" i="7"/>
  <c r="AA46" i="11"/>
  <c r="C55" i="11" s="1"/>
  <c r="AD50" i="1"/>
  <c r="AD48" i="1" s="1"/>
  <c r="D55" i="11"/>
  <c r="C52" i="11"/>
  <c r="AA71" i="1"/>
  <c r="AA87" i="1"/>
  <c r="AL39" i="11"/>
  <c r="L98" i="11" s="1"/>
  <c r="L90" i="11"/>
  <c r="R71" i="1"/>
  <c r="R87" i="1"/>
  <c r="D4" i="7"/>
  <c r="G5" i="7" s="1"/>
  <c r="G9" i="7" s="1"/>
  <c r="C98" i="11"/>
  <c r="F98" i="11"/>
  <c r="P4" i="7"/>
  <c r="T4" i="7"/>
  <c r="G98" i="11"/>
  <c r="L4" i="7"/>
  <c r="E98" i="11"/>
  <c r="C46" i="11"/>
  <c r="AL44" i="11"/>
  <c r="D59" i="11" s="1"/>
  <c r="F50" i="1"/>
  <c r="D49" i="11"/>
  <c r="AE87" i="1"/>
  <c r="AJ4" i="7"/>
  <c r="K98" i="11"/>
  <c r="AC71" i="1"/>
  <c r="AC87" i="1"/>
  <c r="AL48" i="1"/>
  <c r="AI199" i="1"/>
  <c r="AF4" i="7"/>
  <c r="J98" i="11"/>
  <c r="L71" i="1"/>
  <c r="L87" i="1"/>
  <c r="D46" i="11"/>
  <c r="G50" i="1"/>
  <c r="G48" i="1" s="1"/>
  <c r="AG71" i="1"/>
  <c r="AG87" i="1"/>
  <c r="I50" i="1"/>
  <c r="I48" i="1" s="1"/>
  <c r="F46" i="11"/>
  <c r="AM50" i="1"/>
  <c r="AJ46" i="11"/>
  <c r="Y46" i="11"/>
  <c r="C54" i="11" s="1"/>
  <c r="AB50" i="1"/>
  <c r="AB48" i="1" s="1"/>
  <c r="U71" i="1"/>
  <c r="U87" i="1"/>
  <c r="S71" i="1"/>
  <c r="S87" i="1"/>
  <c r="H71" i="1"/>
  <c r="H87" i="1"/>
  <c r="Q71" i="1"/>
  <c r="Q87" i="1"/>
  <c r="Z71" i="1"/>
  <c r="Z87" i="1"/>
  <c r="N71" i="1"/>
  <c r="N87" i="1"/>
  <c r="C56" i="11"/>
  <c r="AM3" i="7"/>
  <c r="AI71" i="1"/>
  <c r="AI87" i="1"/>
  <c r="T71" i="1"/>
  <c r="T87" i="1"/>
  <c r="P71" i="1"/>
  <c r="P87" i="1"/>
  <c r="AJ48" i="1"/>
  <c r="AG199" i="1"/>
  <c r="M71" i="1"/>
  <c r="M87" i="1"/>
  <c r="V50" i="1"/>
  <c r="V48" i="1" s="1"/>
  <c r="D53" i="11"/>
  <c r="S46" i="11"/>
  <c r="AB4" i="7"/>
  <c r="I98" i="11"/>
  <c r="AN50" i="1"/>
  <c r="AK46" i="11"/>
  <c r="Y71" i="1"/>
  <c r="Y87" i="1"/>
  <c r="O50" i="1"/>
  <c r="O48" i="1" s="1"/>
  <c r="L46" i="11"/>
  <c r="C51" i="11" s="1"/>
  <c r="J71" i="1"/>
  <c r="J87" i="1"/>
  <c r="AK48" i="1"/>
  <c r="AH199" i="1"/>
  <c r="AH71" i="1"/>
  <c r="AH87" i="1"/>
  <c r="AK16" i="23" l="1"/>
  <c r="O12" i="23"/>
  <c r="M13" i="23"/>
  <c r="S13" i="23"/>
  <c r="AA16" i="23"/>
  <c r="V15" i="23"/>
  <c r="E12" i="23"/>
  <c r="W14" i="23"/>
  <c r="T13" i="23"/>
  <c r="N13" i="23"/>
  <c r="G16" i="23"/>
  <c r="AC13" i="23"/>
  <c r="AA15" i="23"/>
  <c r="AF13" i="23"/>
  <c r="AJ12" i="23"/>
  <c r="AJ30" i="23" s="1"/>
  <c r="AL15" i="23"/>
  <c r="E13" i="23"/>
  <c r="W12" i="23"/>
  <c r="I12" i="23"/>
  <c r="AI16" i="23"/>
  <c r="AB15" i="23"/>
  <c r="F12" i="23"/>
  <c r="F30" i="23" s="1"/>
  <c r="M15" i="23"/>
  <c r="Y15" i="23"/>
  <c r="I16" i="23"/>
  <c r="F16" i="23"/>
  <c r="K12" i="23"/>
  <c r="K28" i="23" s="1"/>
  <c r="F15" i="23"/>
  <c r="AB12" i="23"/>
  <c r="AB26" i="23" s="1"/>
  <c r="AG13" i="23"/>
  <c r="AF15" i="23"/>
  <c r="AH15" i="23"/>
  <c r="P16" i="23"/>
  <c r="N14" i="23"/>
  <c r="Z15" i="23"/>
  <c r="U12" i="23"/>
  <c r="U28" i="23" s="1"/>
  <c r="G15" i="23"/>
  <c r="R12" i="23"/>
  <c r="R30" i="23" s="1"/>
  <c r="AA13" i="23"/>
  <c r="E15" i="23"/>
  <c r="AJ14" i="23"/>
  <c r="AF16" i="23"/>
  <c r="Q15" i="23"/>
  <c r="Q16" i="23"/>
  <c r="R15" i="23"/>
  <c r="AD15" i="23"/>
  <c r="M14" i="23"/>
  <c r="G14" i="23"/>
  <c r="AH16" i="23"/>
  <c r="H12" i="23"/>
  <c r="H30" i="23" s="1"/>
  <c r="D14" i="23"/>
  <c r="P14" i="23"/>
  <c r="AD16" i="23"/>
  <c r="AH13" i="23"/>
  <c r="AG16" i="23"/>
  <c r="U14" i="23"/>
  <c r="X12" i="23"/>
  <c r="D12" i="23"/>
  <c r="D30" i="23" s="1"/>
  <c r="AH12" i="23"/>
  <c r="AH30" i="23" s="1"/>
  <c r="AH31" i="23" s="1"/>
  <c r="E5" i="7"/>
  <c r="E9" i="7" s="1"/>
  <c r="D5" i="7"/>
  <c r="D9" i="7" s="1"/>
  <c r="AI13" i="23"/>
  <c r="AG15" i="23"/>
  <c r="M12" i="23"/>
  <c r="M30" i="23" s="1"/>
  <c r="M16" i="23"/>
  <c r="H16" i="23"/>
  <c r="AI14" i="23"/>
  <c r="AE14" i="23"/>
  <c r="F14" i="23"/>
  <c r="Z14" i="23"/>
  <c r="AE16" i="23"/>
  <c r="I14" i="23"/>
  <c r="Z12" i="23"/>
  <c r="Z26" i="23" s="1"/>
  <c r="V13" i="23"/>
  <c r="P13" i="23"/>
  <c r="AD13" i="23"/>
  <c r="AA14" i="23"/>
  <c r="AC16" i="23"/>
  <c r="AD14" i="23"/>
  <c r="O16" i="23"/>
  <c r="Z13" i="23"/>
  <c r="K15" i="23"/>
  <c r="H13" i="23"/>
  <c r="N15" i="23"/>
  <c r="Z16" i="23"/>
  <c r="AE13" i="23"/>
  <c r="T16" i="23"/>
  <c r="AL12" i="23"/>
  <c r="AL26" i="23" s="1"/>
  <c r="W13" i="23"/>
  <c r="K14" i="23"/>
  <c r="L15" i="23"/>
  <c r="J16" i="23"/>
  <c r="S14" i="23"/>
  <c r="N16" i="23"/>
  <c r="S16" i="23"/>
  <c r="AJ15" i="23"/>
  <c r="O13" i="23"/>
  <c r="X15" i="23"/>
  <c r="K16" i="23"/>
  <c r="R14" i="23"/>
  <c r="AB16" i="23"/>
  <c r="P12" i="23"/>
  <c r="P26" i="23" s="1"/>
  <c r="G13" i="23"/>
  <c r="AF12" i="23"/>
  <c r="AF30" i="23" s="1"/>
  <c r="Q14" i="23"/>
  <c r="AB14" i="23"/>
  <c r="R16" i="23"/>
  <c r="L16" i="23"/>
  <c r="S15" i="23"/>
  <c r="S12" i="23"/>
  <c r="S30" i="23" s="1"/>
  <c r="S31" i="23" s="1"/>
  <c r="AH14" i="23"/>
  <c r="J14" i="23"/>
  <c r="J13" i="23"/>
  <c r="AC14" i="23"/>
  <c r="O15" i="23"/>
  <c r="Y14" i="23"/>
  <c r="T12" i="23"/>
  <c r="J15" i="23"/>
  <c r="P15" i="23"/>
  <c r="AK15" i="23"/>
  <c r="AC15" i="23"/>
  <c r="X16" i="23"/>
  <c r="L14" i="23"/>
  <c r="H14" i="23"/>
  <c r="AJ16" i="23"/>
  <c r="AK12" i="23"/>
  <c r="AK26" i="23" s="1"/>
  <c r="W16" i="23"/>
  <c r="V12" i="23"/>
  <c r="V28" i="23" s="1"/>
  <c r="AG14" i="23"/>
  <c r="V14" i="23"/>
  <c r="AC12" i="23"/>
  <c r="AC26" i="23" s="1"/>
  <c r="Q13" i="23"/>
  <c r="I13" i="23"/>
  <c r="K13" i="23"/>
  <c r="T15" i="23"/>
  <c r="D15" i="23"/>
  <c r="U13" i="23"/>
  <c r="L13" i="23"/>
  <c r="W15" i="23"/>
  <c r="J12" i="23"/>
  <c r="AA12" i="23"/>
  <c r="AG12" i="23"/>
  <c r="Y13" i="23"/>
  <c r="Q12" i="23"/>
  <c r="AB13" i="23"/>
  <c r="G12" i="23"/>
  <c r="G26" i="23" s="1"/>
  <c r="L12" i="23"/>
  <c r="L28" i="23" s="1"/>
  <c r="U15" i="23"/>
  <c r="AL16" i="23"/>
  <c r="Y12" i="23"/>
  <c r="Y26" i="23" s="1"/>
  <c r="AK14" i="23"/>
  <c r="AL13" i="23"/>
  <c r="F13" i="23"/>
  <c r="D13" i="23"/>
  <c r="V16" i="23"/>
  <c r="AI15" i="23"/>
  <c r="AL14" i="23"/>
  <c r="X13" i="23"/>
  <c r="N12" i="23"/>
  <c r="N28" i="23" s="1"/>
  <c r="N29" i="23" s="1"/>
  <c r="AK13" i="23"/>
  <c r="I15" i="23"/>
  <c r="AE12" i="23"/>
  <c r="AE26" i="23" s="1"/>
  <c r="AJ13" i="23"/>
  <c r="U16" i="23"/>
  <c r="AD12" i="23"/>
  <c r="E14" i="23"/>
  <c r="X14" i="23"/>
  <c r="T14" i="23"/>
  <c r="AF14" i="23"/>
  <c r="AE15" i="23"/>
  <c r="E16" i="23"/>
  <c r="H15" i="23"/>
  <c r="R13" i="23"/>
  <c r="AI12" i="23"/>
  <c r="AI28" i="23" s="1"/>
  <c r="Y16" i="23"/>
  <c r="O14" i="23"/>
  <c r="K71" i="1"/>
  <c r="AK5" i="7"/>
  <c r="AK9" i="7" s="1"/>
  <c r="C53" i="11"/>
  <c r="AE5" i="7"/>
  <c r="AE9" i="7" s="1"/>
  <c r="V5" i="7"/>
  <c r="V9" i="7" s="1"/>
  <c r="AB5" i="7"/>
  <c r="AB9" i="7" s="1"/>
  <c r="I5" i="7"/>
  <c r="I9" i="7" s="1"/>
  <c r="AG5" i="7"/>
  <c r="AG9" i="7" s="1"/>
  <c r="L5" i="7"/>
  <c r="L9" i="7" s="1"/>
  <c r="AH5" i="7"/>
  <c r="AH9" i="7" s="1"/>
  <c r="H5" i="7"/>
  <c r="H9" i="7" s="1"/>
  <c r="N5" i="7"/>
  <c r="N9" i="7" s="1"/>
  <c r="K5" i="7"/>
  <c r="K9" i="7" s="1"/>
  <c r="Z5" i="7"/>
  <c r="Z9" i="7" s="1"/>
  <c r="AA5" i="7"/>
  <c r="AA9" i="7" s="1"/>
  <c r="M5" i="7"/>
  <c r="M9" i="7" s="1"/>
  <c r="O5" i="7"/>
  <c r="O9" i="7" s="1"/>
  <c r="AJ5" i="7"/>
  <c r="AJ9" i="7" s="1"/>
  <c r="W71" i="1"/>
  <c r="W87" i="1"/>
  <c r="J5" i="7"/>
  <c r="J9" i="7" s="1"/>
  <c r="D58" i="11"/>
  <c r="C57" i="11"/>
  <c r="X71" i="1"/>
  <c r="X87" i="1"/>
  <c r="Y5" i="7"/>
  <c r="Y9" i="7" s="1"/>
  <c r="AH198" i="1"/>
  <c r="AK87" i="1"/>
  <c r="AK71" i="1"/>
  <c r="AL28" i="23"/>
  <c r="AC5" i="7"/>
  <c r="AC9" i="7" s="1"/>
  <c r="U5" i="7"/>
  <c r="U9" i="7" s="1"/>
  <c r="T28" i="23"/>
  <c r="T30" i="23"/>
  <c r="T26" i="23"/>
  <c r="AM48" i="1"/>
  <c r="AJ199" i="1"/>
  <c r="AO50" i="1"/>
  <c r="F48" i="1"/>
  <c r="AD71" i="1"/>
  <c r="AD87" i="1"/>
  <c r="S5" i="7"/>
  <c r="S9" i="7" s="1"/>
  <c r="AJ26" i="23"/>
  <c r="E28" i="23"/>
  <c r="E26" i="23"/>
  <c r="E30" i="23"/>
  <c r="I26" i="23"/>
  <c r="I30" i="23"/>
  <c r="I31" i="23" s="1"/>
  <c r="I28" i="23"/>
  <c r="I29" i="23" s="1"/>
  <c r="I71" i="1"/>
  <c r="I87" i="1"/>
  <c r="C49" i="11"/>
  <c r="AL46" i="11"/>
  <c r="C59" i="11" s="1"/>
  <c r="O30" i="23"/>
  <c r="O26" i="23"/>
  <c r="O28" i="23"/>
  <c r="K26" i="23"/>
  <c r="K30" i="23"/>
  <c r="F28" i="23"/>
  <c r="R5" i="7"/>
  <c r="R9" i="7" s="1"/>
  <c r="E57" i="11"/>
  <c r="E58" i="11" s="1"/>
  <c r="AM4" i="7"/>
  <c r="AM14" i="7" s="1"/>
  <c r="W5" i="7"/>
  <c r="W9" i="7" s="1"/>
  <c r="AD5" i="7"/>
  <c r="AD9" i="7" s="1"/>
  <c r="J28" i="23"/>
  <c r="AA26" i="23"/>
  <c r="AA30" i="23"/>
  <c r="AA28" i="23"/>
  <c r="L30" i="23"/>
  <c r="X5" i="7"/>
  <c r="X9" i="7" s="1"/>
  <c r="X26" i="23"/>
  <c r="X28" i="23"/>
  <c r="X29" i="23" s="1"/>
  <c r="X30" i="23"/>
  <c r="X31" i="23" s="1"/>
  <c r="AL5" i="7"/>
  <c r="AL9" i="7" s="1"/>
  <c r="AJ71" i="1"/>
  <c r="AG198" i="1"/>
  <c r="AJ87" i="1"/>
  <c r="Y28" i="23"/>
  <c r="O71" i="1"/>
  <c r="O87" i="1"/>
  <c r="Q5" i="7"/>
  <c r="Q9" i="7" s="1"/>
  <c r="V71" i="1"/>
  <c r="V87" i="1"/>
  <c r="AD30" i="23"/>
  <c r="AD26" i="23"/>
  <c r="AD28" i="23"/>
  <c r="T5" i="7"/>
  <c r="T9" i="7" s="1"/>
  <c r="AF5" i="7"/>
  <c r="AF9" i="7" s="1"/>
  <c r="M28" i="23"/>
  <c r="G71" i="1"/>
  <c r="G87" i="1"/>
  <c r="P5" i="7"/>
  <c r="P9" i="7" s="1"/>
  <c r="AI5" i="7"/>
  <c r="AI9" i="7" s="1"/>
  <c r="AK199" i="1"/>
  <c r="AN48" i="1"/>
  <c r="W26" i="23"/>
  <c r="W30" i="23"/>
  <c r="W28" i="23"/>
  <c r="AB71" i="1"/>
  <c r="AB87" i="1"/>
  <c r="AL71" i="1"/>
  <c r="AI198" i="1"/>
  <c r="AL87" i="1"/>
  <c r="F5" i="7"/>
  <c r="F9" i="7" s="1"/>
  <c r="U26" i="23" l="1"/>
  <c r="U30" i="23"/>
  <c r="Z30" i="23"/>
  <c r="R28" i="23"/>
  <c r="R26" i="23"/>
  <c r="H28" i="23"/>
  <c r="AJ28" i="23"/>
  <c r="AJ32" i="23" s="1"/>
  <c r="AJ21" i="23" s="1"/>
  <c r="L26" i="23"/>
  <c r="L32" i="23" s="1"/>
  <c r="L21" i="23" s="1"/>
  <c r="N26" i="23"/>
  <c r="N27" i="23" s="1"/>
  <c r="O27" i="23" s="1"/>
  <c r="P27" i="23" s="1"/>
  <c r="F26" i="23"/>
  <c r="F32" i="23" s="1"/>
  <c r="F21" i="23" s="1"/>
  <c r="G30" i="23"/>
  <c r="G28" i="23"/>
  <c r="H26" i="23"/>
  <c r="S26" i="23"/>
  <c r="S28" i="23"/>
  <c r="S29" i="23" s="1"/>
  <c r="AA17" i="23"/>
  <c r="AC59" i="1" s="1"/>
  <c r="F17" i="23"/>
  <c r="H59" i="1" s="1"/>
  <c r="G20" i="19" s="1"/>
  <c r="M17" i="23"/>
  <c r="O59" i="1" s="1"/>
  <c r="N20" i="19" s="1"/>
  <c r="M26" i="23"/>
  <c r="M32" i="23" s="1"/>
  <c r="M21" i="23" s="1"/>
  <c r="AL30" i="23"/>
  <c r="AL32" i="23" s="1"/>
  <c r="AL21" i="23" s="1"/>
  <c r="D14" i="7"/>
  <c r="F24" i="7" s="1"/>
  <c r="F35" i="7" s="1"/>
  <c r="F96" i="7" s="1"/>
  <c r="H34" i="6" s="1"/>
  <c r="AB28" i="23"/>
  <c r="AB30" i="23"/>
  <c r="W17" i="23"/>
  <c r="Y59" i="1" s="1"/>
  <c r="X20" i="19" s="1"/>
  <c r="AF17" i="23"/>
  <c r="AH59" i="1" s="1"/>
  <c r="AG20" i="19" s="1"/>
  <c r="D28" i="23"/>
  <c r="D29" i="23" s="1"/>
  <c r="E29" i="23" s="1"/>
  <c r="F29" i="23" s="1"/>
  <c r="D26" i="23"/>
  <c r="Z17" i="23"/>
  <c r="AB59" i="1" s="1"/>
  <c r="AA20" i="19" s="1"/>
  <c r="Z28" i="23"/>
  <c r="Z32" i="23" s="1"/>
  <c r="Z21" i="23" s="1"/>
  <c r="X17" i="23"/>
  <c r="Z59" i="1" s="1"/>
  <c r="Y20" i="19" s="1"/>
  <c r="S17" i="23"/>
  <c r="U59" i="1" s="1"/>
  <c r="T20" i="19" s="1"/>
  <c r="AL17" i="23"/>
  <c r="AN59" i="1" s="1"/>
  <c r="AM20" i="19" s="1"/>
  <c r="G17" i="23"/>
  <c r="I59" i="1" s="1"/>
  <c r="H20" i="19" s="1"/>
  <c r="AC17" i="23"/>
  <c r="AE59" i="1" s="1"/>
  <c r="AD20" i="19" s="1"/>
  <c r="J17" i="23"/>
  <c r="L59" i="1" s="1"/>
  <c r="K20" i="19" s="1"/>
  <c r="AH17" i="23"/>
  <c r="AJ59" i="1" s="1"/>
  <c r="AG206" i="1" s="1"/>
  <c r="AH26" i="23"/>
  <c r="AH27" i="23" s="1"/>
  <c r="AH28" i="23"/>
  <c r="AH29" i="23" s="1"/>
  <c r="AD17" i="23"/>
  <c r="AF59" i="1" s="1"/>
  <c r="AE20" i="19" s="1"/>
  <c r="H17" i="23"/>
  <c r="J59" i="1" s="1"/>
  <c r="I20" i="19" s="1"/>
  <c r="U17" i="23"/>
  <c r="W59" i="1" s="1"/>
  <c r="V20" i="19" s="1"/>
  <c r="T17" i="23"/>
  <c r="V59" i="1" s="1"/>
  <c r="U20" i="19" s="1"/>
  <c r="Y30" i="23"/>
  <c r="Y32" i="23" s="1"/>
  <c r="Y21" i="23" s="1"/>
  <c r="J26" i="23"/>
  <c r="AF26" i="23"/>
  <c r="J30" i="23"/>
  <c r="J31" i="23" s="1"/>
  <c r="K31" i="23" s="1"/>
  <c r="L31" i="23" s="1"/>
  <c r="M31" i="23" s="1"/>
  <c r="P28" i="23"/>
  <c r="V26" i="23"/>
  <c r="V30" i="23"/>
  <c r="AI30" i="23"/>
  <c r="AI31" i="23" s="1"/>
  <c r="AJ31" i="23" s="1"/>
  <c r="AE17" i="23"/>
  <c r="AG59" i="1" s="1"/>
  <c r="AF20" i="19" s="1"/>
  <c r="P30" i="23"/>
  <c r="AK28" i="23"/>
  <c r="AI26" i="23"/>
  <c r="AE30" i="23"/>
  <c r="AK30" i="23"/>
  <c r="AE28" i="23"/>
  <c r="AI17" i="23"/>
  <c r="AK59" i="1" s="1"/>
  <c r="AH206" i="1" s="1"/>
  <c r="L17" i="23"/>
  <c r="N59" i="1" s="1"/>
  <c r="M20" i="19" s="1"/>
  <c r="AF28" i="23"/>
  <c r="R17" i="23"/>
  <c r="T59" i="1" s="1"/>
  <c r="S20" i="19" s="1"/>
  <c r="E17" i="23"/>
  <c r="G59" i="1" s="1"/>
  <c r="F20" i="19" s="1"/>
  <c r="D17" i="23"/>
  <c r="F59" i="1" s="1"/>
  <c r="AG17" i="23"/>
  <c r="AI59" i="1" s="1"/>
  <c r="AH20" i="19" s="1"/>
  <c r="V17" i="23"/>
  <c r="X59" i="1" s="1"/>
  <c r="W20" i="19" s="1"/>
  <c r="AB17" i="23"/>
  <c r="AD59" i="1" s="1"/>
  <c r="AC20" i="19" s="1"/>
  <c r="K17" i="23"/>
  <c r="M59" i="1" s="1"/>
  <c r="L20" i="19" s="1"/>
  <c r="AG28" i="23"/>
  <c r="AG30" i="23"/>
  <c r="AG26" i="23"/>
  <c r="AM12" i="23"/>
  <c r="N17" i="23"/>
  <c r="P59" i="1" s="1"/>
  <c r="O20" i="19" s="1"/>
  <c r="AC28" i="23"/>
  <c r="AC29" i="23" s="1"/>
  <c r="AD29" i="23" s="1"/>
  <c r="AC30" i="23"/>
  <c r="AC31" i="23" s="1"/>
  <c r="AD31" i="23" s="1"/>
  <c r="Q30" i="23"/>
  <c r="Q28" i="23"/>
  <c r="AM14" i="23"/>
  <c r="Y17" i="23"/>
  <c r="AA59" i="1" s="1"/>
  <c r="Z20" i="19" s="1"/>
  <c r="AJ17" i="23"/>
  <c r="AL59" i="1" s="1"/>
  <c r="AI206" i="1" s="1"/>
  <c r="AK17" i="23"/>
  <c r="AM59" i="1" s="1"/>
  <c r="AL20" i="19" s="1"/>
  <c r="O17" i="23"/>
  <c r="Q59" i="1" s="1"/>
  <c r="P20" i="19" s="1"/>
  <c r="AM13" i="23"/>
  <c r="AM16" i="23"/>
  <c r="P17" i="23"/>
  <c r="R59" i="1" s="1"/>
  <c r="Q20" i="19" s="1"/>
  <c r="AJ14" i="7"/>
  <c r="AJ16" i="7" s="1"/>
  <c r="AJ17" i="7" s="1"/>
  <c r="Q26" i="23"/>
  <c r="I17" i="23"/>
  <c r="K59" i="1" s="1"/>
  <c r="J20" i="19" s="1"/>
  <c r="AM15" i="23"/>
  <c r="N30" i="23"/>
  <c r="N31" i="23" s="1"/>
  <c r="O31" i="23" s="1"/>
  <c r="Q17" i="23"/>
  <c r="S59" i="1" s="1"/>
  <c r="R20" i="19" s="1"/>
  <c r="C58" i="11"/>
  <c r="H14" i="7"/>
  <c r="J24" i="7" s="1"/>
  <c r="J43" i="7" s="1"/>
  <c r="J96" i="7" s="1"/>
  <c r="L34" i="6" s="1"/>
  <c r="X14" i="7"/>
  <c r="Z76" i="7" s="1"/>
  <c r="Z97" i="7" s="1"/>
  <c r="L14" i="7"/>
  <c r="L24" i="7" s="1"/>
  <c r="O29" i="23"/>
  <c r="X32" i="23"/>
  <c r="X33" i="23" s="1"/>
  <c r="AA32" i="23"/>
  <c r="AA21" i="23" s="1"/>
  <c r="J29" i="23"/>
  <c r="K29" i="23" s="1"/>
  <c r="L29" i="23" s="1"/>
  <c r="M29" i="23" s="1"/>
  <c r="O32" i="23"/>
  <c r="O21" i="23" s="1"/>
  <c r="I32" i="23"/>
  <c r="I33" i="23" s="1"/>
  <c r="W32" i="23"/>
  <c r="W21" i="23" s="1"/>
  <c r="U32" i="23"/>
  <c r="U21" i="23" s="1"/>
  <c r="T32" i="23"/>
  <c r="T21" i="23" s="1"/>
  <c r="AB14" i="7"/>
  <c r="AE83" i="7" s="1"/>
  <c r="AE96" i="7" s="1"/>
  <c r="AG34" i="6" s="1"/>
  <c r="AD32" i="23"/>
  <c r="AD21" i="23" s="1"/>
  <c r="K32" i="23"/>
  <c r="K21" i="23" s="1"/>
  <c r="T14" i="7"/>
  <c r="Y29" i="23"/>
  <c r="I27" i="23"/>
  <c r="C9" i="7"/>
  <c r="G5" i="21" a="1"/>
  <c r="F87" i="1"/>
  <c r="AO48" i="1"/>
  <c r="F71" i="1"/>
  <c r="T29" i="23"/>
  <c r="U29" i="23" s="1"/>
  <c r="V29" i="23" s="1"/>
  <c r="W29" i="23" s="1"/>
  <c r="P14" i="7"/>
  <c r="D27" i="23"/>
  <c r="E27" i="23" s="1"/>
  <c r="AC27" i="23"/>
  <c r="AD27" i="23" s="1"/>
  <c r="AE27" i="23" s="1"/>
  <c r="T31" i="23"/>
  <c r="U31" i="23" s="1"/>
  <c r="AN87" i="1"/>
  <c r="AK198" i="1"/>
  <c r="AN71" i="1"/>
  <c r="X27" i="23"/>
  <c r="Y27" i="23" s="1"/>
  <c r="Z27" i="23" s="1"/>
  <c r="AA27" i="23" s="1"/>
  <c r="AB27" i="23" s="1"/>
  <c r="AI29" i="23"/>
  <c r="AJ29" i="23" s="1"/>
  <c r="D31" i="23"/>
  <c r="E31" i="23" s="1"/>
  <c r="F31" i="23" s="1"/>
  <c r="E32" i="23"/>
  <c r="E21" i="23" s="1"/>
  <c r="AB20" i="19"/>
  <c r="AF14" i="7"/>
  <c r="AJ198" i="1"/>
  <c r="AM87" i="1"/>
  <c r="AM71" i="1"/>
  <c r="U67" i="7" l="1"/>
  <c r="U96" i="7" s="1"/>
  <c r="W34" i="6" s="1"/>
  <c r="T24" i="7"/>
  <c r="H33" i="30"/>
  <c r="H9" i="30"/>
  <c r="H10" i="30" s="1"/>
  <c r="H35" i="30"/>
  <c r="H34" i="30"/>
  <c r="R32" i="23"/>
  <c r="R21" i="23" s="1"/>
  <c r="H32" i="23"/>
  <c r="H21" i="23" s="1"/>
  <c r="AB32" i="23"/>
  <c r="AB21" i="23" s="1"/>
  <c r="AK206" i="1"/>
  <c r="S32" i="23"/>
  <c r="S33" i="23" s="1"/>
  <c r="F27" i="23"/>
  <c r="G27" i="23" s="1"/>
  <c r="H27" i="23" s="1"/>
  <c r="G29" i="23"/>
  <c r="H29" i="23" s="1"/>
  <c r="D32" i="23"/>
  <c r="D33" i="23" s="1"/>
  <c r="E33" i="23" s="1"/>
  <c r="F33" i="23" s="1"/>
  <c r="G33" i="23" s="1"/>
  <c r="H33" i="23" s="1"/>
  <c r="G32" i="23"/>
  <c r="G21" i="23" s="1"/>
  <c r="S27" i="23"/>
  <c r="T27" i="23" s="1"/>
  <c r="U27" i="23" s="1"/>
  <c r="V27" i="23" s="1"/>
  <c r="W27" i="23" s="1"/>
  <c r="AH32" i="23"/>
  <c r="AH33" i="23" s="1"/>
  <c r="AI32" i="23"/>
  <c r="AI21" i="23" s="1"/>
  <c r="G31" i="23"/>
  <c r="H31" i="23" s="1"/>
  <c r="AJ20" i="19"/>
  <c r="P29" i="23"/>
  <c r="Q29" i="23" s="1"/>
  <c r="R29" i="23" s="1"/>
  <c r="Z29" i="23"/>
  <c r="AA29" i="23" s="1"/>
  <c r="AB29" i="23" s="1"/>
  <c r="D16" i="7"/>
  <c r="D17" i="7" s="1"/>
  <c r="D24" i="7"/>
  <c r="D36" i="7" s="1"/>
  <c r="D97" i="7" s="1"/>
  <c r="E24" i="7"/>
  <c r="E35" i="7" s="1"/>
  <c r="E96" i="7" s="1"/>
  <c r="G34" i="6" s="1"/>
  <c r="G24" i="7"/>
  <c r="G35" i="7" s="1"/>
  <c r="G96" i="7" s="1"/>
  <c r="I34" i="6" s="1"/>
  <c r="AF32" i="23"/>
  <c r="AF21" i="23" s="1"/>
  <c r="P32" i="23"/>
  <c r="P21" i="23" s="1"/>
  <c r="Y31" i="23"/>
  <c r="Z31" i="23" s="1"/>
  <c r="AA31" i="23" s="1"/>
  <c r="AB31" i="23" s="1"/>
  <c r="AI27" i="23"/>
  <c r="AJ27" i="23" s="1"/>
  <c r="AK27" i="23" s="1"/>
  <c r="AL27" i="23" s="1"/>
  <c r="AI20" i="19"/>
  <c r="AE32" i="23"/>
  <c r="AE21" i="23" s="1"/>
  <c r="AE31" i="23"/>
  <c r="AF31" i="23" s="1"/>
  <c r="AG31" i="23" s="1"/>
  <c r="P31" i="23"/>
  <c r="Q31" i="23" s="1"/>
  <c r="R31" i="23" s="1"/>
  <c r="AC32" i="23"/>
  <c r="AC33" i="23" s="1"/>
  <c r="AD33" i="23" s="1"/>
  <c r="AF27" i="23"/>
  <c r="AG27" i="23" s="1"/>
  <c r="AE29" i="23"/>
  <c r="AF29" i="23" s="1"/>
  <c r="AG29" i="23" s="1"/>
  <c r="AG32" i="23"/>
  <c r="AG21" i="23" s="1"/>
  <c r="J32" i="23"/>
  <c r="J21" i="23" s="1"/>
  <c r="H24" i="7"/>
  <c r="H44" i="7" s="1"/>
  <c r="H97" i="7" s="1"/>
  <c r="J27" i="23"/>
  <c r="K27" i="23" s="1"/>
  <c r="L27" i="23" s="1"/>
  <c r="M27" i="23" s="1"/>
  <c r="AJ206" i="1"/>
  <c r="AM26" i="23"/>
  <c r="V32" i="23"/>
  <c r="V21" i="23" s="1"/>
  <c r="AM30" i="23"/>
  <c r="AK31" i="23"/>
  <c r="AL31" i="23" s="1"/>
  <c r="AK20" i="19"/>
  <c r="AK32" i="23"/>
  <c r="AK21" i="23" s="1"/>
  <c r="AM28" i="23"/>
  <c r="V31" i="23"/>
  <c r="W31" i="23" s="1"/>
  <c r="N32" i="23"/>
  <c r="N33" i="23" s="1"/>
  <c r="O33" i="23" s="1"/>
  <c r="AK29" i="23"/>
  <c r="AL29" i="23" s="1"/>
  <c r="AM17" i="23"/>
  <c r="Q32" i="23"/>
  <c r="Q21" i="23" s="1"/>
  <c r="Q27" i="23"/>
  <c r="R27" i="23" s="1"/>
  <c r="K24" i="7"/>
  <c r="K43" i="7" s="1"/>
  <c r="K96" i="7" s="1"/>
  <c r="M34" i="6" s="1"/>
  <c r="H16" i="7"/>
  <c r="H17" i="7" s="1"/>
  <c r="I24" i="7"/>
  <c r="I43" i="7" s="1"/>
  <c r="I96" i="7" s="1"/>
  <c r="K34" i="6" s="1"/>
  <c r="I21" i="23"/>
  <c r="AA76" i="7"/>
  <c r="AA97" i="7" s="1"/>
  <c r="X75" i="7"/>
  <c r="X77" i="7" s="1"/>
  <c r="X76" i="7"/>
  <c r="X97" i="7" s="1"/>
  <c r="Y75" i="7"/>
  <c r="Y96" i="7" s="1"/>
  <c r="AA34" i="6" s="1"/>
  <c r="AA75" i="7"/>
  <c r="AA96" i="7" s="1"/>
  <c r="AC34" i="6" s="1"/>
  <c r="Z75" i="7"/>
  <c r="Z96" i="7" s="1"/>
  <c r="AB34" i="6" s="1"/>
  <c r="O24" i="7"/>
  <c r="O52" i="7" s="1"/>
  <c r="O97" i="7" s="1"/>
  <c r="Y33" i="23"/>
  <c r="Z33" i="23" s="1"/>
  <c r="AA33" i="23" s="1"/>
  <c r="AB33" i="23" s="1"/>
  <c r="M24" i="7"/>
  <c r="M52" i="7" s="1"/>
  <c r="M97" i="7" s="1"/>
  <c r="L51" i="7"/>
  <c r="L96" i="7" s="1"/>
  <c r="N34" i="6" s="1"/>
  <c r="L52" i="7"/>
  <c r="L97" i="7" s="1"/>
  <c r="N24" i="7"/>
  <c r="N51" i="7" s="1"/>
  <c r="N96" i="7" s="1"/>
  <c r="P34" i="6" s="1"/>
  <c r="L16" i="7"/>
  <c r="L17" i="7" s="1"/>
  <c r="Y76" i="7"/>
  <c r="Y97" i="7" s="1"/>
  <c r="X16" i="7"/>
  <c r="X17" i="7" s="1"/>
  <c r="AC84" i="7"/>
  <c r="AC97" i="7" s="1"/>
  <c r="S21" i="23"/>
  <c r="X21" i="23"/>
  <c r="T67" i="7"/>
  <c r="T69" i="7" s="1"/>
  <c r="U68" i="7"/>
  <c r="U97" i="7" s="1"/>
  <c r="W68" i="7"/>
  <c r="W97" i="7" s="1"/>
  <c r="T68" i="7"/>
  <c r="T97" i="7" s="1"/>
  <c r="V67" i="7"/>
  <c r="V96" i="7" s="1"/>
  <c r="X34" i="6" s="1"/>
  <c r="F36" i="7"/>
  <c r="F97" i="7" s="1"/>
  <c r="V68" i="7"/>
  <c r="V97" i="7" s="1"/>
  <c r="T16" i="7"/>
  <c r="T17" i="7" s="1"/>
  <c r="W67" i="7"/>
  <c r="W96" i="7" s="1"/>
  <c r="Y34" i="6" s="1"/>
  <c r="AC83" i="7"/>
  <c r="AC96" i="7" s="1"/>
  <c r="AE34" i="6" s="1"/>
  <c r="AB16" i="7"/>
  <c r="AB17" i="7" s="1"/>
  <c r="AE84" i="7"/>
  <c r="AE97" i="7" s="1"/>
  <c r="AD84" i="7"/>
  <c r="AD97" i="7" s="1"/>
  <c r="AB83" i="7"/>
  <c r="AB96" i="7" s="1"/>
  <c r="AD34" i="6" s="1"/>
  <c r="AB84" i="7"/>
  <c r="AB97" i="7" s="1"/>
  <c r="AD83" i="7"/>
  <c r="AD96" i="7" s="1"/>
  <c r="AF34" i="6" s="1"/>
  <c r="T33" i="23"/>
  <c r="U33" i="23" s="1"/>
  <c r="J44" i="7"/>
  <c r="J97" i="7" s="1"/>
  <c r="D10" i="7"/>
  <c r="AI10" i="7"/>
  <c r="Z10" i="7"/>
  <c r="AE10" i="7"/>
  <c r="J10" i="7"/>
  <c r="X10" i="7"/>
  <c r="T10" i="7"/>
  <c r="G10" i="7"/>
  <c r="W10" i="7"/>
  <c r="O10" i="7"/>
  <c r="AF10" i="7"/>
  <c r="M10" i="7"/>
  <c r="N10" i="7"/>
  <c r="AB10" i="7"/>
  <c r="AA10" i="7"/>
  <c r="K10" i="7"/>
  <c r="S10" i="7"/>
  <c r="H10" i="7"/>
  <c r="E10" i="7"/>
  <c r="AJ10" i="7"/>
  <c r="Q10" i="7"/>
  <c r="Y10" i="7"/>
  <c r="I10" i="7"/>
  <c r="F10" i="7"/>
  <c r="AH10" i="7"/>
  <c r="R10" i="7"/>
  <c r="L10" i="7"/>
  <c r="AD10" i="7"/>
  <c r="AK10" i="7"/>
  <c r="AG10" i="7"/>
  <c r="V10" i="7"/>
  <c r="AL10" i="7"/>
  <c r="AC10" i="7"/>
  <c r="P10" i="7"/>
  <c r="U10" i="7"/>
  <c r="AO71" i="1"/>
  <c r="P16" i="7"/>
  <c r="P17" i="7" s="1"/>
  <c r="Q24" i="7"/>
  <c r="Q59" i="7" s="1"/>
  <c r="Q96" i="7" s="1"/>
  <c r="S34" i="6" s="1"/>
  <c r="R24" i="7"/>
  <c r="R59" i="7" s="1"/>
  <c r="R96" i="7" s="1"/>
  <c r="T34" i="6" s="1"/>
  <c r="P24" i="7"/>
  <c r="P60" i="7" s="1"/>
  <c r="S24" i="7"/>
  <c r="S60" i="7" s="1"/>
  <c r="S97" i="7" s="1"/>
  <c r="D12" i="8"/>
  <c r="D12" i="1"/>
  <c r="H16" i="8"/>
  <c r="AO87" i="1"/>
  <c r="E20" i="19"/>
  <c r="AO59" i="1"/>
  <c r="AF16" i="7"/>
  <c r="AF17" i="7" s="1"/>
  <c r="G10" i="21"/>
  <c r="G38" i="21"/>
  <c r="G33" i="21"/>
  <c r="G32" i="21"/>
  <c r="G21" i="21"/>
  <c r="G24" i="21"/>
  <c r="G7" i="21"/>
  <c r="G31" i="21"/>
  <c r="G8" i="21"/>
  <c r="G37" i="21"/>
  <c r="G36" i="21"/>
  <c r="G22" i="21"/>
  <c r="G20" i="21"/>
  <c r="G17" i="21"/>
  <c r="G13" i="21"/>
  <c r="G18" i="21"/>
  <c r="G19" i="21"/>
  <c r="G9" i="21"/>
  <c r="G23" i="21"/>
  <c r="G16" i="21"/>
  <c r="G30" i="21"/>
  <c r="G28" i="21"/>
  <c r="G6" i="21"/>
  <c r="G34" i="21"/>
  <c r="G5" i="21"/>
  <c r="G25" i="21"/>
  <c r="G27" i="21"/>
  <c r="G14" i="21"/>
  <c r="G11" i="21"/>
  <c r="G29" i="21"/>
  <c r="G26" i="21"/>
  <c r="G39" i="21"/>
  <c r="G15" i="21"/>
  <c r="G12" i="21"/>
  <c r="G35" i="21"/>
  <c r="H20" i="30" l="1"/>
  <c r="H21" i="30" s="1"/>
  <c r="H22" i="30" s="1"/>
  <c r="H23" i="30" s="1"/>
  <c r="H24" i="30" s="1"/>
  <c r="H25" i="30" s="1"/>
  <c r="H26" i="30" s="1"/>
  <c r="H27" i="30" s="1"/>
  <c r="H28" i="30" s="1"/>
  <c r="H29" i="30" s="1"/>
  <c r="H14" i="30"/>
  <c r="J33" i="23"/>
  <c r="K33" i="23" s="1"/>
  <c r="L33" i="23" s="1"/>
  <c r="M33" i="23" s="1"/>
  <c r="AH21" i="23"/>
  <c r="P33" i="23"/>
  <c r="D35" i="7"/>
  <c r="AM35" i="7" s="1"/>
  <c r="D21" i="23"/>
  <c r="AI33" i="23"/>
  <c r="AJ33" i="23" s="1"/>
  <c r="AK33" i="23" s="1"/>
  <c r="AL33" i="23" s="1"/>
  <c r="E36" i="7"/>
  <c r="E97" i="7" s="1"/>
  <c r="G36" i="7"/>
  <c r="G97" i="7" s="1"/>
  <c r="H43" i="7"/>
  <c r="H96" i="7" s="1"/>
  <c r="J34" i="6" s="1"/>
  <c r="AM27" i="23"/>
  <c r="AE33" i="23"/>
  <c r="AF33" i="23" s="1"/>
  <c r="AG33" i="23" s="1"/>
  <c r="AM29" i="23"/>
  <c r="V33" i="23"/>
  <c r="W33" i="23" s="1"/>
  <c r="K44" i="7"/>
  <c r="K97" i="7" s="1"/>
  <c r="AM31" i="23"/>
  <c r="Q33" i="23"/>
  <c r="R33" i="23" s="1"/>
  <c r="AM32" i="23"/>
  <c r="AC21" i="23"/>
  <c r="X96" i="7"/>
  <c r="Z34" i="6" s="1"/>
  <c r="I44" i="7"/>
  <c r="I97" i="7" s="1"/>
  <c r="N21" i="23"/>
  <c r="O51" i="7"/>
  <c r="O96" i="7" s="1"/>
  <c r="Q34" i="6" s="1"/>
  <c r="AM75" i="7"/>
  <c r="AM76" i="7"/>
  <c r="M51" i="7"/>
  <c r="M96" i="7" s="1"/>
  <c r="O34" i="6" s="1"/>
  <c r="L53" i="7"/>
  <c r="L54" i="7" s="1"/>
  <c r="N52" i="7"/>
  <c r="N97" i="7" s="1"/>
  <c r="AM68" i="7"/>
  <c r="T96" i="7"/>
  <c r="V34" i="6" s="1"/>
  <c r="AM83" i="7"/>
  <c r="AB85" i="7"/>
  <c r="AB86" i="7" s="1"/>
  <c r="AM84" i="7"/>
  <c r="AM67" i="7"/>
  <c r="R60" i="7"/>
  <c r="R97" i="7" s="1"/>
  <c r="P97" i="7"/>
  <c r="N9" i="21"/>
  <c r="N48" i="21" s="1"/>
  <c r="AP9" i="21"/>
  <c r="AP48" i="21" s="1"/>
  <c r="AJ9" i="21"/>
  <c r="AJ48" i="21" s="1"/>
  <c r="W9" i="21"/>
  <c r="W48" i="21" s="1"/>
  <c r="R9" i="21"/>
  <c r="R48" i="21" s="1"/>
  <c r="AB9" i="21"/>
  <c r="AB48" i="21" s="1"/>
  <c r="Q9" i="21"/>
  <c r="Q48" i="21" s="1"/>
  <c r="AC9" i="21"/>
  <c r="AC48" i="21" s="1"/>
  <c r="AH9" i="21"/>
  <c r="AH48" i="21" s="1"/>
  <c r="AA9" i="21"/>
  <c r="AA48" i="21" s="1"/>
  <c r="G48" i="21"/>
  <c r="T9" i="21"/>
  <c r="T48" i="21" s="1"/>
  <c r="X9" i="21"/>
  <c r="X48" i="21" s="1"/>
  <c r="P9" i="21"/>
  <c r="P48" i="21" s="1"/>
  <c r="S9" i="21"/>
  <c r="S48" i="21" s="1"/>
  <c r="O9" i="21"/>
  <c r="O48" i="21" s="1"/>
  <c r="V9" i="21"/>
  <c r="V48" i="21" s="1"/>
  <c r="AM9" i="21"/>
  <c r="AM48" i="21" s="1"/>
  <c r="AL9" i="21"/>
  <c r="AL48" i="21" s="1"/>
  <c r="M9" i="21"/>
  <c r="M48" i="21" s="1"/>
  <c r="AF9" i="21"/>
  <c r="AF48" i="21" s="1"/>
  <c r="Y9" i="21"/>
  <c r="Y48" i="21" s="1"/>
  <c r="AO9" i="21"/>
  <c r="AO48" i="21" s="1"/>
  <c r="AG9" i="21"/>
  <c r="AG48" i="21" s="1"/>
  <c r="U9" i="21"/>
  <c r="U48" i="21" s="1"/>
  <c r="AN9" i="21"/>
  <c r="AN48" i="21" s="1"/>
  <c r="AK9" i="21"/>
  <c r="AK48" i="21" s="1"/>
  <c r="Z9" i="21"/>
  <c r="Z48" i="21" s="1"/>
  <c r="AD9" i="21"/>
  <c r="AD48" i="21" s="1"/>
  <c r="AE9" i="21"/>
  <c r="AE48" i="21" s="1"/>
  <c r="L9" i="21"/>
  <c r="L48" i="21" s="1"/>
  <c r="AI9" i="21"/>
  <c r="AI48" i="21" s="1"/>
  <c r="G63" i="21"/>
  <c r="AH24" i="21"/>
  <c r="AH63" i="21" s="1"/>
  <c r="AO24" i="21"/>
  <c r="AO63" i="21" s="1"/>
  <c r="AL24" i="21"/>
  <c r="AL63" i="21" s="1"/>
  <c r="AN24" i="21"/>
  <c r="AN63" i="21" s="1"/>
  <c r="AD24" i="21"/>
  <c r="AD63" i="21" s="1"/>
  <c r="AJ24" i="21"/>
  <c r="AJ63" i="21" s="1"/>
  <c r="AM24" i="21"/>
  <c r="AM63" i="21" s="1"/>
  <c r="AE24" i="21"/>
  <c r="AE63" i="21" s="1"/>
  <c r="AF24" i="21"/>
  <c r="AF63" i="21" s="1"/>
  <c r="AB24" i="21"/>
  <c r="AB63" i="21" s="1"/>
  <c r="AA24" i="21"/>
  <c r="AA63" i="21" s="1"/>
  <c r="AC24" i="21"/>
  <c r="AC63" i="21" s="1"/>
  <c r="AG24" i="21"/>
  <c r="AG63" i="21" s="1"/>
  <c r="AK24" i="21"/>
  <c r="AK63" i="21" s="1"/>
  <c r="AI24" i="21"/>
  <c r="AI63" i="21" s="1"/>
  <c r="AP24" i="21"/>
  <c r="AP63" i="21" s="1"/>
  <c r="P59" i="7"/>
  <c r="G64" i="21"/>
  <c r="AP25" i="21"/>
  <c r="AP64" i="21" s="1"/>
  <c r="AF25" i="21"/>
  <c r="AF64" i="21" s="1"/>
  <c r="AE25" i="21"/>
  <c r="AE64" i="21" s="1"/>
  <c r="AM25" i="21"/>
  <c r="AM64" i="21" s="1"/>
  <c r="AG25" i="21"/>
  <c r="AG64" i="21" s="1"/>
  <c r="AO25" i="21"/>
  <c r="AO64" i="21" s="1"/>
  <c r="AI25" i="21"/>
  <c r="AI64" i="21" s="1"/>
  <c r="AL25" i="21"/>
  <c r="AL64" i="21" s="1"/>
  <c r="AC25" i="21"/>
  <c r="AC64" i="21" s="1"/>
  <c r="AK25" i="21"/>
  <c r="AK64" i="21" s="1"/>
  <c r="AH25" i="21"/>
  <c r="AH64" i="21" s="1"/>
  <c r="AD25" i="21"/>
  <c r="AD64" i="21" s="1"/>
  <c r="AJ25" i="21"/>
  <c r="AJ64" i="21" s="1"/>
  <c r="AB25" i="21"/>
  <c r="AB64" i="21" s="1"/>
  <c r="AN25" i="21"/>
  <c r="AN64" i="21" s="1"/>
  <c r="G56" i="21"/>
  <c r="AD17" i="21"/>
  <c r="AD56" i="21" s="1"/>
  <c r="AJ17" i="21"/>
  <c r="AJ56" i="21" s="1"/>
  <c r="X17" i="21"/>
  <c r="X56" i="21" s="1"/>
  <c r="AE17" i="21"/>
  <c r="AE56" i="21" s="1"/>
  <c r="AL17" i="21"/>
  <c r="AL56" i="21" s="1"/>
  <c r="T17" i="21"/>
  <c r="T56" i="21" s="1"/>
  <c r="AF17" i="21"/>
  <c r="AF56" i="21" s="1"/>
  <c r="AA17" i="21"/>
  <c r="AA56" i="21" s="1"/>
  <c r="V17" i="21"/>
  <c r="V56" i="21" s="1"/>
  <c r="Z17" i="21"/>
  <c r="Z56" i="21" s="1"/>
  <c r="AB17" i="21"/>
  <c r="AB56" i="21" s="1"/>
  <c r="AP17" i="21"/>
  <c r="AP56" i="21" s="1"/>
  <c r="AO17" i="21"/>
  <c r="AO56" i="21" s="1"/>
  <c r="AN17" i="21"/>
  <c r="AN56" i="21" s="1"/>
  <c r="AG17" i="21"/>
  <c r="AG56" i="21" s="1"/>
  <c r="AK17" i="21"/>
  <c r="AK56" i="21" s="1"/>
  <c r="AH17" i="21"/>
  <c r="AH56" i="21" s="1"/>
  <c r="AM17" i="21"/>
  <c r="AM56" i="21" s="1"/>
  <c r="AI17" i="21"/>
  <c r="AI56" i="21" s="1"/>
  <c r="Y17" i="21"/>
  <c r="Y56" i="21" s="1"/>
  <c r="AC17" i="21"/>
  <c r="AC56" i="21" s="1"/>
  <c r="W17" i="21"/>
  <c r="W56" i="21" s="1"/>
  <c r="U17" i="21"/>
  <c r="U56" i="21" s="1"/>
  <c r="G77" i="21"/>
  <c r="AP38" i="21"/>
  <c r="AP77" i="21" s="1"/>
  <c r="AO38" i="21"/>
  <c r="AO77" i="21" s="1"/>
  <c r="S59" i="7"/>
  <c r="S96" i="7" s="1"/>
  <c r="U34" i="6" s="1"/>
  <c r="AP39" i="21"/>
  <c r="AP78" i="21" s="1"/>
  <c r="G78" i="21"/>
  <c r="Y5" i="21"/>
  <c r="AJ5" i="21"/>
  <c r="G40" i="21"/>
  <c r="AL5" i="21"/>
  <c r="Q5" i="21"/>
  <c r="P5" i="21"/>
  <c r="AG5" i="21"/>
  <c r="AA5" i="21"/>
  <c r="AP5" i="21"/>
  <c r="AN5" i="21"/>
  <c r="I5" i="21"/>
  <c r="AE5" i="21"/>
  <c r="AF5" i="21"/>
  <c r="AI5" i="21"/>
  <c r="AB5" i="21"/>
  <c r="K5" i="21"/>
  <c r="AO5" i="21"/>
  <c r="AC5" i="21"/>
  <c r="G44" i="21"/>
  <c r="J5" i="21"/>
  <c r="W5" i="21"/>
  <c r="H5" i="21"/>
  <c r="V5" i="21"/>
  <c r="AM5" i="21"/>
  <c r="T5" i="21"/>
  <c r="M5" i="21"/>
  <c r="AD5" i="21"/>
  <c r="X5" i="21"/>
  <c r="AH5" i="21"/>
  <c r="R5" i="21"/>
  <c r="S5" i="21"/>
  <c r="AK5" i="21"/>
  <c r="O5" i="21"/>
  <c r="U5" i="21"/>
  <c r="Z5" i="21"/>
  <c r="N5" i="21"/>
  <c r="L5" i="21"/>
  <c r="G59" i="21"/>
  <c r="AJ20" i="21"/>
  <c r="AJ59" i="21" s="1"/>
  <c r="AM20" i="21"/>
  <c r="AM59" i="21" s="1"/>
  <c r="AA20" i="21"/>
  <c r="AA59" i="21" s="1"/>
  <c r="AO20" i="21"/>
  <c r="AO59" i="21" s="1"/>
  <c r="AH20" i="21"/>
  <c r="AH59" i="21" s="1"/>
  <c r="Z20" i="21"/>
  <c r="Z59" i="21" s="1"/>
  <c r="AN20" i="21"/>
  <c r="AN59" i="21" s="1"/>
  <c r="AC20" i="21"/>
  <c r="AC59" i="21" s="1"/>
  <c r="AK20" i="21"/>
  <c r="AK59" i="21" s="1"/>
  <c r="AE20" i="21"/>
  <c r="AE59" i="21" s="1"/>
  <c r="AB20" i="21"/>
  <c r="AB59" i="21" s="1"/>
  <c r="AI20" i="21"/>
  <c r="AI59" i="21" s="1"/>
  <c r="X20" i="21"/>
  <c r="X59" i="21" s="1"/>
  <c r="AG20" i="21"/>
  <c r="AG59" i="21" s="1"/>
  <c r="W20" i="21"/>
  <c r="W59" i="21" s="1"/>
  <c r="Y20" i="21"/>
  <c r="Y59" i="21" s="1"/>
  <c r="AP20" i="21"/>
  <c r="AP59" i="21" s="1"/>
  <c r="AL20" i="21"/>
  <c r="AL59" i="21" s="1"/>
  <c r="AD20" i="21"/>
  <c r="AD59" i="21" s="1"/>
  <c r="AF20" i="21"/>
  <c r="AF59" i="21" s="1"/>
  <c r="G49" i="21"/>
  <c r="AP10" i="21"/>
  <c r="AP49" i="21" s="1"/>
  <c r="AN10" i="21"/>
  <c r="AN49" i="21" s="1"/>
  <c r="W10" i="21"/>
  <c r="W49" i="21" s="1"/>
  <c r="AM10" i="21"/>
  <c r="AM49" i="21" s="1"/>
  <c r="AF10" i="21"/>
  <c r="AF49" i="21" s="1"/>
  <c r="AJ10" i="21"/>
  <c r="AJ49" i="21" s="1"/>
  <c r="AK10" i="21"/>
  <c r="AK49" i="21" s="1"/>
  <c r="P10" i="21"/>
  <c r="P49" i="21" s="1"/>
  <c r="Q10" i="21"/>
  <c r="Q49" i="21" s="1"/>
  <c r="M10" i="21"/>
  <c r="M49" i="21" s="1"/>
  <c r="N10" i="21"/>
  <c r="N49" i="21" s="1"/>
  <c r="AE10" i="21"/>
  <c r="AE49" i="21" s="1"/>
  <c r="R10" i="21"/>
  <c r="R49" i="21" s="1"/>
  <c r="Z10" i="21"/>
  <c r="Z49" i="21" s="1"/>
  <c r="S10" i="21"/>
  <c r="S49" i="21" s="1"/>
  <c r="AB10" i="21"/>
  <c r="AB49" i="21" s="1"/>
  <c r="AI10" i="21"/>
  <c r="AI49" i="21" s="1"/>
  <c r="AO10" i="21"/>
  <c r="AO49" i="21" s="1"/>
  <c r="AC10" i="21"/>
  <c r="AC49" i="21" s="1"/>
  <c r="AL10" i="21"/>
  <c r="AL49" i="21" s="1"/>
  <c r="O10" i="21"/>
  <c r="O49" i="21" s="1"/>
  <c r="AA10" i="21"/>
  <c r="AA49" i="21" s="1"/>
  <c r="Y10" i="21"/>
  <c r="Y49" i="21" s="1"/>
  <c r="AG10" i="21"/>
  <c r="AG49" i="21" s="1"/>
  <c r="AH10" i="21"/>
  <c r="AH49" i="21" s="1"/>
  <c r="AD10" i="21"/>
  <c r="AD49" i="21" s="1"/>
  <c r="U10" i="21"/>
  <c r="U49" i="21" s="1"/>
  <c r="X10" i="21"/>
  <c r="X49" i="21" s="1"/>
  <c r="V10" i="21"/>
  <c r="V49" i="21" s="1"/>
  <c r="T10" i="21"/>
  <c r="T49" i="21" s="1"/>
  <c r="G73" i="21"/>
  <c r="AK34" i="21"/>
  <c r="AK73" i="21" s="1"/>
  <c r="AM34" i="21"/>
  <c r="AM73" i="21" s="1"/>
  <c r="AN34" i="21"/>
  <c r="AN73" i="21" s="1"/>
  <c r="AP34" i="21"/>
  <c r="AP73" i="21" s="1"/>
  <c r="AL34" i="21"/>
  <c r="AL73" i="21" s="1"/>
  <c r="AO34" i="21"/>
  <c r="AO73" i="21" s="1"/>
  <c r="G61" i="21"/>
  <c r="AE22" i="21"/>
  <c r="AE61" i="21" s="1"/>
  <c r="AB22" i="21"/>
  <c r="AB61" i="21" s="1"/>
  <c r="AJ22" i="21"/>
  <c r="AJ61" i="21" s="1"/>
  <c r="AK22" i="21"/>
  <c r="AK61" i="21" s="1"/>
  <c r="AC22" i="21"/>
  <c r="AC61" i="21" s="1"/>
  <c r="AL22" i="21"/>
  <c r="AL61" i="21" s="1"/>
  <c r="AM22" i="21"/>
  <c r="AM61" i="21" s="1"/>
  <c r="AI22" i="21"/>
  <c r="AI61" i="21" s="1"/>
  <c r="AF22" i="21"/>
  <c r="AF61" i="21" s="1"/>
  <c r="AA22" i="21"/>
  <c r="AA61" i="21" s="1"/>
  <c r="AH22" i="21"/>
  <c r="AH61" i="21" s="1"/>
  <c r="Z22" i="21"/>
  <c r="Z61" i="21" s="1"/>
  <c r="AN22" i="21"/>
  <c r="AN61" i="21" s="1"/>
  <c r="Y22" i="21"/>
  <c r="Y61" i="21" s="1"/>
  <c r="AD22" i="21"/>
  <c r="AD61" i="21" s="1"/>
  <c r="AP22" i="21"/>
  <c r="AP61" i="21" s="1"/>
  <c r="AG22" i="21"/>
  <c r="AG61" i="21" s="1"/>
  <c r="AO22" i="21"/>
  <c r="AO61" i="21" s="1"/>
  <c r="AN20" i="19"/>
  <c r="Q60" i="7"/>
  <c r="Q97" i="7" s="1"/>
  <c r="G74" i="21"/>
  <c r="AP35" i="21"/>
  <c r="AP74" i="21" s="1"/>
  <c r="AM35" i="21"/>
  <c r="AM74" i="21" s="1"/>
  <c r="AN35" i="21"/>
  <c r="AN74" i="21" s="1"/>
  <c r="AL35" i="21"/>
  <c r="AL74" i="21" s="1"/>
  <c r="AO35" i="21"/>
  <c r="AO74" i="21" s="1"/>
  <c r="G45" i="21"/>
  <c r="Y6" i="21"/>
  <c r="Y45" i="21" s="1"/>
  <c r="AF6" i="21"/>
  <c r="AF45" i="21" s="1"/>
  <c r="T6" i="21"/>
  <c r="T45" i="21" s="1"/>
  <c r="AH6" i="21"/>
  <c r="AH45" i="21" s="1"/>
  <c r="O6" i="21"/>
  <c r="O45" i="21" s="1"/>
  <c r="AO6" i="21"/>
  <c r="AO45" i="21" s="1"/>
  <c r="AN6" i="21"/>
  <c r="AN45" i="21" s="1"/>
  <c r="AM6" i="21"/>
  <c r="AM45" i="21" s="1"/>
  <c r="W6" i="21"/>
  <c r="W45" i="21" s="1"/>
  <c r="S6" i="21"/>
  <c r="S45" i="21" s="1"/>
  <c r="N6" i="21"/>
  <c r="N45" i="21" s="1"/>
  <c r="AL6" i="21"/>
  <c r="AL45" i="21" s="1"/>
  <c r="I6" i="21"/>
  <c r="I45" i="21" s="1"/>
  <c r="Q6" i="21"/>
  <c r="Q45" i="21" s="1"/>
  <c r="AC6" i="21"/>
  <c r="AC45" i="21" s="1"/>
  <c r="AD6" i="21"/>
  <c r="AD45" i="21" s="1"/>
  <c r="L6" i="21"/>
  <c r="L45" i="21" s="1"/>
  <c r="AB6" i="21"/>
  <c r="AB45" i="21" s="1"/>
  <c r="J6" i="21"/>
  <c r="J45" i="21" s="1"/>
  <c r="AK6" i="21"/>
  <c r="AK45" i="21" s="1"/>
  <c r="K6" i="21"/>
  <c r="K45" i="21" s="1"/>
  <c r="AJ6" i="21"/>
  <c r="AJ45" i="21" s="1"/>
  <c r="P6" i="21"/>
  <c r="P45" i="21" s="1"/>
  <c r="M6" i="21"/>
  <c r="M45" i="21" s="1"/>
  <c r="R6" i="21"/>
  <c r="R45" i="21" s="1"/>
  <c r="AA6" i="21"/>
  <c r="AA45" i="21" s="1"/>
  <c r="Z6" i="21"/>
  <c r="Z45" i="21" s="1"/>
  <c r="AI6" i="21"/>
  <c r="AI45" i="21" s="1"/>
  <c r="AG6" i="21"/>
  <c r="AG45" i="21" s="1"/>
  <c r="U6" i="21"/>
  <c r="U45" i="21" s="1"/>
  <c r="AE6" i="21"/>
  <c r="AE45" i="21" s="1"/>
  <c r="V6" i="21"/>
  <c r="V45" i="21" s="1"/>
  <c r="AP6" i="21"/>
  <c r="AP45" i="21" s="1"/>
  <c r="X6" i="21"/>
  <c r="X45" i="21" s="1"/>
  <c r="G75" i="21"/>
  <c r="AN36" i="21"/>
  <c r="AN75" i="21" s="1"/>
  <c r="AO36" i="21"/>
  <c r="AO75" i="21" s="1"/>
  <c r="AM36" i="21"/>
  <c r="AM75" i="21" s="1"/>
  <c r="AP36" i="21"/>
  <c r="AP75" i="21" s="1"/>
  <c r="X80" i="7"/>
  <c r="X78" i="7"/>
  <c r="X79" i="7"/>
  <c r="Y77" i="7"/>
  <c r="G51" i="21"/>
  <c r="AO12" i="21"/>
  <c r="AO51" i="21" s="1"/>
  <c r="AC12" i="21"/>
  <c r="AC51" i="21" s="1"/>
  <c r="AF12" i="21"/>
  <c r="AF51" i="21" s="1"/>
  <c r="AG12" i="21"/>
  <c r="AG51" i="21" s="1"/>
  <c r="O12" i="21"/>
  <c r="O51" i="21" s="1"/>
  <c r="R12" i="21"/>
  <c r="R51" i="21" s="1"/>
  <c r="Y12" i="21"/>
  <c r="Y51" i="21" s="1"/>
  <c r="AI12" i="21"/>
  <c r="AI51" i="21" s="1"/>
  <c r="X12" i="21"/>
  <c r="X51" i="21" s="1"/>
  <c r="AK12" i="21"/>
  <c r="AK51" i="21" s="1"/>
  <c r="P12" i="21"/>
  <c r="P51" i="21" s="1"/>
  <c r="AH12" i="21"/>
  <c r="AH51" i="21" s="1"/>
  <c r="AE12" i="21"/>
  <c r="AE51" i="21" s="1"/>
  <c r="AJ12" i="21"/>
  <c r="AJ51" i="21" s="1"/>
  <c r="Z12" i="21"/>
  <c r="Z51" i="21" s="1"/>
  <c r="T12" i="21"/>
  <c r="T51" i="21" s="1"/>
  <c r="W12" i="21"/>
  <c r="W51" i="21" s="1"/>
  <c r="AB12" i="21"/>
  <c r="AB51" i="21" s="1"/>
  <c r="AA12" i="21"/>
  <c r="AA51" i="21" s="1"/>
  <c r="AM12" i="21"/>
  <c r="AM51" i="21" s="1"/>
  <c r="S12" i="21"/>
  <c r="S51" i="21" s="1"/>
  <c r="AL12" i="21"/>
  <c r="AL51" i="21" s="1"/>
  <c r="AD12" i="21"/>
  <c r="AD51" i="21" s="1"/>
  <c r="V12" i="21"/>
  <c r="V51" i="21" s="1"/>
  <c r="AP12" i="21"/>
  <c r="AP51" i="21" s="1"/>
  <c r="AN12" i="21"/>
  <c r="AN51" i="21" s="1"/>
  <c r="Q12" i="21"/>
  <c r="Q51" i="21" s="1"/>
  <c r="U12" i="21"/>
  <c r="U51" i="21" s="1"/>
  <c r="AJ28" i="21"/>
  <c r="AJ67" i="21" s="1"/>
  <c r="AF28" i="21"/>
  <c r="AF67" i="21" s="1"/>
  <c r="G67" i="21"/>
  <c r="AN28" i="21"/>
  <c r="AN67" i="21" s="1"/>
  <c r="AE28" i="21"/>
  <c r="AE67" i="21" s="1"/>
  <c r="AG28" i="21"/>
  <c r="AG67" i="21" s="1"/>
  <c r="AH28" i="21"/>
  <c r="AH67" i="21" s="1"/>
  <c r="AL28" i="21"/>
  <c r="AL67" i="21" s="1"/>
  <c r="AK28" i="21"/>
  <c r="AK67" i="21" s="1"/>
  <c r="AP28" i="21"/>
  <c r="AP67" i="21" s="1"/>
  <c r="AM28" i="21"/>
  <c r="AM67" i="21" s="1"/>
  <c r="AI28" i="21"/>
  <c r="AI67" i="21" s="1"/>
  <c r="AO28" i="21"/>
  <c r="AO67" i="21" s="1"/>
  <c r="G76" i="21"/>
  <c r="AN37" i="21"/>
  <c r="AN76" i="21" s="1"/>
  <c r="AP37" i="21"/>
  <c r="AP76" i="21" s="1"/>
  <c r="AO37" i="21"/>
  <c r="AO76" i="21" s="1"/>
  <c r="AO15" i="21"/>
  <c r="AO54" i="21" s="1"/>
  <c r="AJ15" i="21"/>
  <c r="AJ54" i="21" s="1"/>
  <c r="AL15" i="21"/>
  <c r="AL54" i="21" s="1"/>
  <c r="AI15" i="21"/>
  <c r="AI54" i="21" s="1"/>
  <c r="AM15" i="21"/>
  <c r="AM54" i="21" s="1"/>
  <c r="G54" i="21"/>
  <c r="R15" i="21"/>
  <c r="R54" i="21" s="1"/>
  <c r="V15" i="21"/>
  <c r="V54" i="21" s="1"/>
  <c r="AD15" i="21"/>
  <c r="AD54" i="21" s="1"/>
  <c r="AC15" i="21"/>
  <c r="AC54" i="21" s="1"/>
  <c r="AF15" i="21"/>
  <c r="AF54" i="21" s="1"/>
  <c r="AA15" i="21"/>
  <c r="AA54" i="21" s="1"/>
  <c r="Z15" i="21"/>
  <c r="Z54" i="21" s="1"/>
  <c r="Y15" i="21"/>
  <c r="Y54" i="21" s="1"/>
  <c r="AB15" i="21"/>
  <c r="AB54" i="21" s="1"/>
  <c r="AP15" i="21"/>
  <c r="AP54" i="21" s="1"/>
  <c r="S15" i="21"/>
  <c r="S54" i="21" s="1"/>
  <c r="AH15" i="21"/>
  <c r="AH54" i="21" s="1"/>
  <c r="AN15" i="21"/>
  <c r="AN54" i="21" s="1"/>
  <c r="AK15" i="21"/>
  <c r="AK54" i="21" s="1"/>
  <c r="U15" i="21"/>
  <c r="U54" i="21" s="1"/>
  <c r="AG15" i="21"/>
  <c r="AG54" i="21" s="1"/>
  <c r="T15" i="21"/>
  <c r="T54" i="21" s="1"/>
  <c r="X15" i="21"/>
  <c r="X54" i="21" s="1"/>
  <c r="AE15" i="21"/>
  <c r="AE54" i="21" s="1"/>
  <c r="W15" i="21"/>
  <c r="W54" i="21" s="1"/>
  <c r="AJ30" i="21"/>
  <c r="AJ69" i="21" s="1"/>
  <c r="AL30" i="21"/>
  <c r="AL69" i="21" s="1"/>
  <c r="AH30" i="21"/>
  <c r="AH69" i="21" s="1"/>
  <c r="G69" i="21"/>
  <c r="AN30" i="21"/>
  <c r="AN69" i="21" s="1"/>
  <c r="AM30" i="21"/>
  <c r="AM69" i="21" s="1"/>
  <c r="AP30" i="21"/>
  <c r="AP69" i="21" s="1"/>
  <c r="AI30" i="21"/>
  <c r="AI69" i="21" s="1"/>
  <c r="AG30" i="21"/>
  <c r="AG69" i="21" s="1"/>
  <c r="AO30" i="21"/>
  <c r="AO69" i="21" s="1"/>
  <c r="AK30" i="21"/>
  <c r="AK69" i="21" s="1"/>
  <c r="G47" i="21"/>
  <c r="AF8" i="21"/>
  <c r="AF47" i="21" s="1"/>
  <c r="AL8" i="21"/>
  <c r="AL47" i="21" s="1"/>
  <c r="P8" i="21"/>
  <c r="P47" i="21" s="1"/>
  <c r="L8" i="21"/>
  <c r="L47" i="21" s="1"/>
  <c r="AO8" i="21"/>
  <c r="AO47" i="21" s="1"/>
  <c r="Y8" i="21"/>
  <c r="Y47" i="21" s="1"/>
  <c r="M8" i="21"/>
  <c r="M47" i="21" s="1"/>
  <c r="AM8" i="21"/>
  <c r="AM47" i="21" s="1"/>
  <c r="AA8" i="21"/>
  <c r="AA47" i="21" s="1"/>
  <c r="Q8" i="21"/>
  <c r="Q47" i="21" s="1"/>
  <c r="U8" i="21"/>
  <c r="U47" i="21" s="1"/>
  <c r="AI8" i="21"/>
  <c r="AI47" i="21" s="1"/>
  <c r="AE8" i="21"/>
  <c r="AE47" i="21" s="1"/>
  <c r="N8" i="21"/>
  <c r="N47" i="21" s="1"/>
  <c r="R8" i="21"/>
  <c r="R47" i="21" s="1"/>
  <c r="AK8" i="21"/>
  <c r="AK47" i="21" s="1"/>
  <c r="AH8" i="21"/>
  <c r="AH47" i="21" s="1"/>
  <c r="AN8" i="21"/>
  <c r="AN47" i="21" s="1"/>
  <c r="W8" i="21"/>
  <c r="W47" i="21" s="1"/>
  <c r="AG8" i="21"/>
  <c r="AG47" i="21" s="1"/>
  <c r="AC8" i="21"/>
  <c r="AC47" i="21" s="1"/>
  <c r="K8" i="21"/>
  <c r="K47" i="21" s="1"/>
  <c r="X8" i="21"/>
  <c r="X47" i="21" s="1"/>
  <c r="AD8" i="21"/>
  <c r="AD47" i="21" s="1"/>
  <c r="O8" i="21"/>
  <c r="O47" i="21" s="1"/>
  <c r="T8" i="21"/>
  <c r="T47" i="21" s="1"/>
  <c r="AP8" i="21"/>
  <c r="AP47" i="21" s="1"/>
  <c r="V8" i="21"/>
  <c r="V47" i="21" s="1"/>
  <c r="AB8" i="21"/>
  <c r="AB47" i="21" s="1"/>
  <c r="S8" i="21"/>
  <c r="S47" i="21" s="1"/>
  <c r="AJ8" i="21"/>
  <c r="AJ47" i="21" s="1"/>
  <c r="Z8" i="21"/>
  <c r="Z47" i="21" s="1"/>
  <c r="C10" i="7"/>
  <c r="T70" i="7"/>
  <c r="T72" i="7"/>
  <c r="T71" i="7"/>
  <c r="U69" i="7"/>
  <c r="G65" i="21"/>
  <c r="AH26" i="21"/>
  <c r="AH65" i="21" s="1"/>
  <c r="AL26" i="21"/>
  <c r="AL65" i="21" s="1"/>
  <c r="AM26" i="21"/>
  <c r="AM65" i="21" s="1"/>
  <c r="AG26" i="21"/>
  <c r="AG65" i="21" s="1"/>
  <c r="AN26" i="21"/>
  <c r="AN65" i="21" s="1"/>
  <c r="AD26" i="21"/>
  <c r="AD65" i="21" s="1"/>
  <c r="AJ26" i="21"/>
  <c r="AJ65" i="21" s="1"/>
  <c r="AE26" i="21"/>
  <c r="AE65" i="21" s="1"/>
  <c r="AI26" i="21"/>
  <c r="AI65" i="21" s="1"/>
  <c r="AF26" i="21"/>
  <c r="AF65" i="21" s="1"/>
  <c r="AO26" i="21"/>
  <c r="AO65" i="21" s="1"/>
  <c r="AC26" i="21"/>
  <c r="AC65" i="21" s="1"/>
  <c r="AK26" i="21"/>
  <c r="AK65" i="21" s="1"/>
  <c r="AP26" i="21"/>
  <c r="AP65" i="21" s="1"/>
  <c r="G62" i="21"/>
  <c r="Z23" i="21"/>
  <c r="Z62" i="21" s="1"/>
  <c r="AO23" i="21"/>
  <c r="AO62" i="21" s="1"/>
  <c r="AC23" i="21"/>
  <c r="AC62" i="21" s="1"/>
  <c r="AM23" i="21"/>
  <c r="AM62" i="21" s="1"/>
  <c r="AD23" i="21"/>
  <c r="AD62" i="21" s="1"/>
  <c r="AP23" i="21"/>
  <c r="AP62" i="21" s="1"/>
  <c r="AK23" i="21"/>
  <c r="AK62" i="21" s="1"/>
  <c r="AE23" i="21"/>
  <c r="AE62" i="21" s="1"/>
  <c r="AF23" i="21"/>
  <c r="AF62" i="21" s="1"/>
  <c r="AA23" i="21"/>
  <c r="AA62" i="21" s="1"/>
  <c r="AJ23" i="21"/>
  <c r="AJ62" i="21" s="1"/>
  <c r="AL23" i="21"/>
  <c r="AL62" i="21" s="1"/>
  <c r="AG23" i="21"/>
  <c r="AG62" i="21" s="1"/>
  <c r="AN23" i="21"/>
  <c r="AN62" i="21" s="1"/>
  <c r="AH23" i="21"/>
  <c r="AH62" i="21" s="1"/>
  <c r="AI23" i="21"/>
  <c r="AI62" i="21" s="1"/>
  <c r="AB23" i="21"/>
  <c r="AB62" i="21" s="1"/>
  <c r="O7" i="21"/>
  <c r="O46" i="21" s="1"/>
  <c r="J7" i="21"/>
  <c r="J46" i="21" s="1"/>
  <c r="L7" i="21"/>
  <c r="L46" i="21" s="1"/>
  <c r="T7" i="21"/>
  <c r="T46" i="21" s="1"/>
  <c r="AJ7" i="21"/>
  <c r="AJ46" i="21" s="1"/>
  <c r="K7" i="21"/>
  <c r="K46" i="21" s="1"/>
  <c r="Q7" i="21"/>
  <c r="Q46" i="21" s="1"/>
  <c r="AB7" i="21"/>
  <c r="AB46" i="21" s="1"/>
  <c r="W7" i="21"/>
  <c r="W46" i="21" s="1"/>
  <c r="AG7" i="21"/>
  <c r="AG46" i="21" s="1"/>
  <c r="AC7" i="21"/>
  <c r="AC46" i="21" s="1"/>
  <c r="Z7" i="21"/>
  <c r="Z46" i="21" s="1"/>
  <c r="AK7" i="21"/>
  <c r="AK46" i="21" s="1"/>
  <c r="AI7" i="21"/>
  <c r="AI46" i="21" s="1"/>
  <c r="AA7" i="21"/>
  <c r="AA46" i="21" s="1"/>
  <c r="P7" i="21"/>
  <c r="P46" i="21" s="1"/>
  <c r="U7" i="21"/>
  <c r="U46" i="21" s="1"/>
  <c r="AH7" i="21"/>
  <c r="AH46" i="21" s="1"/>
  <c r="AN7" i="21"/>
  <c r="AN46" i="21" s="1"/>
  <c r="M7" i="21"/>
  <c r="M46" i="21" s="1"/>
  <c r="R7" i="21"/>
  <c r="R46" i="21" s="1"/>
  <c r="X7" i="21"/>
  <c r="X46" i="21" s="1"/>
  <c r="AF7" i="21"/>
  <c r="AF46" i="21" s="1"/>
  <c r="AP7" i="21"/>
  <c r="AP46" i="21" s="1"/>
  <c r="AM7" i="21"/>
  <c r="AM46" i="21" s="1"/>
  <c r="AE7" i="21"/>
  <c r="AE46" i="21" s="1"/>
  <c r="N7" i="21"/>
  <c r="N46" i="21" s="1"/>
  <c r="Y7" i="21"/>
  <c r="Y46" i="21" s="1"/>
  <c r="AO7" i="21"/>
  <c r="AO46" i="21" s="1"/>
  <c r="G46" i="21"/>
  <c r="AD7" i="21"/>
  <c r="AD46" i="21" s="1"/>
  <c r="V7" i="21"/>
  <c r="V46" i="21" s="1"/>
  <c r="S7" i="21"/>
  <c r="S46" i="21" s="1"/>
  <c r="AL7" i="21"/>
  <c r="AL46" i="21" s="1"/>
  <c r="AL31" i="21"/>
  <c r="AL70" i="21" s="1"/>
  <c r="G70" i="21"/>
  <c r="AK31" i="21"/>
  <c r="AK70" i="21" s="1"/>
  <c r="AP31" i="21"/>
  <c r="AP70" i="21" s="1"/>
  <c r="AI31" i="21"/>
  <c r="AI70" i="21" s="1"/>
  <c r="AN31" i="21"/>
  <c r="AN70" i="21" s="1"/>
  <c r="AO31" i="21"/>
  <c r="AO70" i="21" s="1"/>
  <c r="AJ31" i="21"/>
  <c r="AJ70" i="21" s="1"/>
  <c r="AM31" i="21"/>
  <c r="AM70" i="21" s="1"/>
  <c r="AH31" i="21"/>
  <c r="AH70" i="21" s="1"/>
  <c r="G50" i="21"/>
  <c r="AG11" i="21"/>
  <c r="AG50" i="21" s="1"/>
  <c r="AN11" i="21"/>
  <c r="AN50" i="21" s="1"/>
  <c r="Q11" i="21"/>
  <c r="Q50" i="21" s="1"/>
  <c r="Y11" i="21"/>
  <c r="Y50" i="21" s="1"/>
  <c r="AM11" i="21"/>
  <c r="AM50" i="21" s="1"/>
  <c r="W11" i="21"/>
  <c r="W50" i="21" s="1"/>
  <c r="T11" i="21"/>
  <c r="T50" i="21" s="1"/>
  <c r="AE11" i="21"/>
  <c r="AE50" i="21" s="1"/>
  <c r="AC11" i="21"/>
  <c r="AC50" i="21" s="1"/>
  <c r="N11" i="21"/>
  <c r="N50" i="21" s="1"/>
  <c r="AD11" i="21"/>
  <c r="AD50" i="21" s="1"/>
  <c r="Z11" i="21"/>
  <c r="Z50" i="21" s="1"/>
  <c r="S11" i="21"/>
  <c r="S50" i="21" s="1"/>
  <c r="AH11" i="21"/>
  <c r="AH50" i="21" s="1"/>
  <c r="AJ11" i="21"/>
  <c r="AJ50" i="21" s="1"/>
  <c r="AP11" i="21"/>
  <c r="AP50" i="21" s="1"/>
  <c r="P11" i="21"/>
  <c r="P50" i="21" s="1"/>
  <c r="AK11" i="21"/>
  <c r="AK50" i="21" s="1"/>
  <c r="V11" i="21"/>
  <c r="V50" i="21" s="1"/>
  <c r="R11" i="21"/>
  <c r="R50" i="21" s="1"/>
  <c r="O11" i="21"/>
  <c r="O50" i="21" s="1"/>
  <c r="AA11" i="21"/>
  <c r="AA50" i="21" s="1"/>
  <c r="U11" i="21"/>
  <c r="U50" i="21" s="1"/>
  <c r="AF11" i="21"/>
  <c r="AF50" i="21" s="1"/>
  <c r="X11" i="21"/>
  <c r="X50" i="21" s="1"/>
  <c r="AI11" i="21"/>
  <c r="AI50" i="21" s="1"/>
  <c r="AO11" i="21"/>
  <c r="AO50" i="21" s="1"/>
  <c r="AB11" i="21"/>
  <c r="AB50" i="21" s="1"/>
  <c r="AL11" i="21"/>
  <c r="AL50" i="21" s="1"/>
  <c r="G58" i="21"/>
  <c r="AL19" i="21"/>
  <c r="AL58" i="21" s="1"/>
  <c r="Y19" i="21"/>
  <c r="Y58" i="21" s="1"/>
  <c r="W19" i="21"/>
  <c r="W58" i="21" s="1"/>
  <c r="Z19" i="21"/>
  <c r="Z58" i="21" s="1"/>
  <c r="V19" i="21"/>
  <c r="V58" i="21" s="1"/>
  <c r="AJ19" i="21"/>
  <c r="AJ58" i="21" s="1"/>
  <c r="AI19" i="21"/>
  <c r="AI58" i="21" s="1"/>
  <c r="X19" i="21"/>
  <c r="X58" i="21" s="1"/>
  <c r="AC19" i="21"/>
  <c r="AC58" i="21" s="1"/>
  <c r="AA19" i="21"/>
  <c r="AA58" i="21" s="1"/>
  <c r="AF19" i="21"/>
  <c r="AF58" i="21" s="1"/>
  <c r="AM19" i="21"/>
  <c r="AM58" i="21" s="1"/>
  <c r="AO19" i="21"/>
  <c r="AO58" i="21" s="1"/>
  <c r="AG19" i="21"/>
  <c r="AG58" i="21" s="1"/>
  <c r="AH19" i="21"/>
  <c r="AH58" i="21" s="1"/>
  <c r="AB19" i="21"/>
  <c r="AB58" i="21" s="1"/>
  <c r="AN19" i="21"/>
  <c r="AN58" i="21" s="1"/>
  <c r="AP19" i="21"/>
  <c r="AP58" i="21" s="1"/>
  <c r="AD19" i="21"/>
  <c r="AD58" i="21" s="1"/>
  <c r="AK19" i="21"/>
  <c r="AK58" i="21" s="1"/>
  <c r="AE19" i="21"/>
  <c r="AE58" i="21" s="1"/>
  <c r="G60" i="21"/>
  <c r="AJ21" i="21"/>
  <c r="AJ60" i="21" s="1"/>
  <c r="AD21" i="21"/>
  <c r="AD60" i="21" s="1"/>
  <c r="AM21" i="21"/>
  <c r="AM60" i="21" s="1"/>
  <c r="AN21" i="21"/>
  <c r="AN60" i="21" s="1"/>
  <c r="AF21" i="21"/>
  <c r="AF60" i="21" s="1"/>
  <c r="AP21" i="21"/>
  <c r="AP60" i="21" s="1"/>
  <c r="Y21" i="21"/>
  <c r="Y60" i="21" s="1"/>
  <c r="AI21" i="21"/>
  <c r="AI60" i="21" s="1"/>
  <c r="X21" i="21"/>
  <c r="X60" i="21" s="1"/>
  <c r="AC21" i="21"/>
  <c r="AC60" i="21" s="1"/>
  <c r="AK21" i="21"/>
  <c r="AK60" i="21" s="1"/>
  <c r="AB21" i="21"/>
  <c r="AB60" i="21" s="1"/>
  <c r="AH21" i="21"/>
  <c r="AH60" i="21" s="1"/>
  <c r="AE21" i="21"/>
  <c r="AE60" i="21" s="1"/>
  <c r="AA21" i="21"/>
  <c r="AA60" i="21" s="1"/>
  <c r="AG21" i="21"/>
  <c r="AG60" i="21" s="1"/>
  <c r="AL21" i="21"/>
  <c r="AL60" i="21" s="1"/>
  <c r="AO21" i="21"/>
  <c r="AO60" i="21" s="1"/>
  <c r="Z21" i="21"/>
  <c r="Z60" i="21" s="1"/>
  <c r="G55" i="21"/>
  <c r="AM16" i="21"/>
  <c r="AM55" i="21" s="1"/>
  <c r="AE16" i="21"/>
  <c r="AE55" i="21" s="1"/>
  <c r="T16" i="21"/>
  <c r="T55" i="21" s="1"/>
  <c r="AD16" i="21"/>
  <c r="AD55" i="21" s="1"/>
  <c r="Z16" i="21"/>
  <c r="Z55" i="21" s="1"/>
  <c r="AI16" i="21"/>
  <c r="AI55" i="21" s="1"/>
  <c r="AK16" i="21"/>
  <c r="AK55" i="21" s="1"/>
  <c r="W16" i="21"/>
  <c r="W55" i="21" s="1"/>
  <c r="AA16" i="21"/>
  <c r="AA55" i="21" s="1"/>
  <c r="AO16" i="21"/>
  <c r="AO55" i="21" s="1"/>
  <c r="AG16" i="21"/>
  <c r="AG55" i="21" s="1"/>
  <c r="S16" i="21"/>
  <c r="S55" i="21" s="1"/>
  <c r="AL16" i="21"/>
  <c r="AL55" i="21" s="1"/>
  <c r="U16" i="21"/>
  <c r="U55" i="21" s="1"/>
  <c r="X16" i="21"/>
  <c r="X55" i="21" s="1"/>
  <c r="AN16" i="21"/>
  <c r="AN55" i="21" s="1"/>
  <c r="AP16" i="21"/>
  <c r="AP55" i="21" s="1"/>
  <c r="AC16" i="21"/>
  <c r="AC55" i="21" s="1"/>
  <c r="AF16" i="21"/>
  <c r="AF55" i="21" s="1"/>
  <c r="AB16" i="21"/>
  <c r="AB55" i="21" s="1"/>
  <c r="AH16" i="21"/>
  <c r="AH55" i="21" s="1"/>
  <c r="V16" i="21"/>
  <c r="V55" i="21" s="1"/>
  <c r="AJ16" i="21"/>
  <c r="AJ55" i="21" s="1"/>
  <c r="Y16" i="21"/>
  <c r="Y55" i="21" s="1"/>
  <c r="G68" i="21"/>
  <c r="AH29" i="21"/>
  <c r="AH68" i="21" s="1"/>
  <c r="AF29" i="21"/>
  <c r="AF68" i="21" s="1"/>
  <c r="AM29" i="21"/>
  <c r="AM68" i="21" s="1"/>
  <c r="AI29" i="21"/>
  <c r="AI68" i="21" s="1"/>
  <c r="AK29" i="21"/>
  <c r="AK68" i="21" s="1"/>
  <c r="AJ29" i="21"/>
  <c r="AJ68" i="21" s="1"/>
  <c r="AN29" i="21"/>
  <c r="AN68" i="21" s="1"/>
  <c r="AL29" i="21"/>
  <c r="AL68" i="21" s="1"/>
  <c r="AO29" i="21"/>
  <c r="AO68" i="21" s="1"/>
  <c r="AG29" i="21"/>
  <c r="AG68" i="21" s="1"/>
  <c r="AP29" i="21"/>
  <c r="AP68" i="21" s="1"/>
  <c r="G53" i="21"/>
  <c r="AB14" i="21"/>
  <c r="AB53" i="21" s="1"/>
  <c r="AE14" i="21"/>
  <c r="AE53" i="21" s="1"/>
  <c r="AH14" i="21"/>
  <c r="AH53" i="21" s="1"/>
  <c r="W14" i="21"/>
  <c r="W53" i="21" s="1"/>
  <c r="Z14" i="21"/>
  <c r="Z53" i="21" s="1"/>
  <c r="AO14" i="21"/>
  <c r="AO53" i="21" s="1"/>
  <c r="AP14" i="21"/>
  <c r="AP53" i="21" s="1"/>
  <c r="AN14" i="21"/>
  <c r="AN53" i="21" s="1"/>
  <c r="AD14" i="21"/>
  <c r="AD53" i="21" s="1"/>
  <c r="X14" i="21"/>
  <c r="X53" i="21" s="1"/>
  <c r="Y14" i="21"/>
  <c r="Y53" i="21" s="1"/>
  <c r="R14" i="21"/>
  <c r="R53" i="21" s="1"/>
  <c r="T14" i="21"/>
  <c r="T53" i="21" s="1"/>
  <c r="AA14" i="21"/>
  <c r="AA53" i="21" s="1"/>
  <c r="AK14" i="21"/>
  <c r="AK53" i="21" s="1"/>
  <c r="AG14" i="21"/>
  <c r="AG53" i="21" s="1"/>
  <c r="AJ14" i="21"/>
  <c r="AJ53" i="21" s="1"/>
  <c r="AF14" i="21"/>
  <c r="AF53" i="21" s="1"/>
  <c r="AM14" i="21"/>
  <c r="AM53" i="21" s="1"/>
  <c r="AL14" i="21"/>
  <c r="AL53" i="21" s="1"/>
  <c r="U14" i="21"/>
  <c r="U53" i="21" s="1"/>
  <c r="S14" i="21"/>
  <c r="S53" i="21" s="1"/>
  <c r="V14" i="21"/>
  <c r="V53" i="21" s="1"/>
  <c r="Q14" i="21"/>
  <c r="Q53" i="21" s="1"/>
  <c r="AI14" i="21"/>
  <c r="AI53" i="21" s="1"/>
  <c r="AC14" i="21"/>
  <c r="AC53" i="21" s="1"/>
  <c r="G57" i="21"/>
  <c r="AM18" i="21"/>
  <c r="AM57" i="21" s="1"/>
  <c r="AG18" i="21"/>
  <c r="AG57" i="21" s="1"/>
  <c r="AN18" i="21"/>
  <c r="AN57" i="21" s="1"/>
  <c r="AK18" i="21"/>
  <c r="AK57" i="21" s="1"/>
  <c r="Z18" i="21"/>
  <c r="Z57" i="21" s="1"/>
  <c r="Y18" i="21"/>
  <c r="Y57" i="21" s="1"/>
  <c r="W18" i="21"/>
  <c r="W57" i="21" s="1"/>
  <c r="U18" i="21"/>
  <c r="U57" i="21" s="1"/>
  <c r="AO18" i="21"/>
  <c r="AO57" i="21" s="1"/>
  <c r="AH18" i="21"/>
  <c r="AH57" i="21" s="1"/>
  <c r="AD18" i="21"/>
  <c r="AD57" i="21" s="1"/>
  <c r="AL18" i="21"/>
  <c r="AL57" i="21" s="1"/>
  <c r="AE18" i="21"/>
  <c r="AE57" i="21" s="1"/>
  <c r="AF18" i="21"/>
  <c r="AF57" i="21" s="1"/>
  <c r="AA18" i="21"/>
  <c r="AA57" i="21" s="1"/>
  <c r="AB18" i="21"/>
  <c r="AB57" i="21" s="1"/>
  <c r="AP18" i="21"/>
  <c r="AP57" i="21" s="1"/>
  <c r="AI18" i="21"/>
  <c r="AI57" i="21" s="1"/>
  <c r="AC18" i="21"/>
  <c r="AC57" i="21" s="1"/>
  <c r="AJ18" i="21"/>
  <c r="AJ57" i="21" s="1"/>
  <c r="V18" i="21"/>
  <c r="V57" i="21" s="1"/>
  <c r="X18" i="21"/>
  <c r="X57" i="21" s="1"/>
  <c r="G71" i="21"/>
  <c r="AJ32" i="21"/>
  <c r="AJ71" i="21" s="1"/>
  <c r="AN32" i="21"/>
  <c r="AN71" i="21" s="1"/>
  <c r="AK32" i="21"/>
  <c r="AK71" i="21" s="1"/>
  <c r="AM32" i="21"/>
  <c r="AM71" i="21" s="1"/>
  <c r="AL32" i="21"/>
  <c r="AL71" i="21" s="1"/>
  <c r="AI32" i="21"/>
  <c r="AI71" i="21" s="1"/>
  <c r="AO32" i="21"/>
  <c r="AO71" i="21" s="1"/>
  <c r="AP32" i="21"/>
  <c r="AP71" i="21" s="1"/>
  <c r="G66" i="21"/>
  <c r="AF27" i="21"/>
  <c r="AF66" i="21" s="1"/>
  <c r="AO27" i="21"/>
  <c r="AO66" i="21" s="1"/>
  <c r="AH27" i="21"/>
  <c r="AH66" i="21" s="1"/>
  <c r="AM27" i="21"/>
  <c r="AM66" i="21" s="1"/>
  <c r="AP27" i="21"/>
  <c r="AP66" i="21" s="1"/>
  <c r="AL27" i="21"/>
  <c r="AL66" i="21" s="1"/>
  <c r="AK27" i="21"/>
  <c r="AK66" i="21" s="1"/>
  <c r="AG27" i="21"/>
  <c r="AG66" i="21" s="1"/>
  <c r="AI27" i="21"/>
  <c r="AI66" i="21" s="1"/>
  <c r="AD27" i="21"/>
  <c r="AD66" i="21" s="1"/>
  <c r="AN27" i="21"/>
  <c r="AN66" i="21" s="1"/>
  <c r="AJ27" i="21"/>
  <c r="AJ66" i="21" s="1"/>
  <c r="AE27" i="21"/>
  <c r="AE66" i="21" s="1"/>
  <c r="U13" i="21"/>
  <c r="U52" i="21" s="1"/>
  <c r="Z13" i="21"/>
  <c r="Z52" i="21" s="1"/>
  <c r="AM13" i="21"/>
  <c r="AM52" i="21" s="1"/>
  <c r="R13" i="21"/>
  <c r="R52" i="21" s="1"/>
  <c r="AN13" i="21"/>
  <c r="AN52" i="21" s="1"/>
  <c r="AE13" i="21"/>
  <c r="AE52" i="21" s="1"/>
  <c r="S13" i="21"/>
  <c r="S52" i="21" s="1"/>
  <c r="W13" i="21"/>
  <c r="W52" i="21" s="1"/>
  <c r="AA13" i="21"/>
  <c r="AA52" i="21" s="1"/>
  <c r="P13" i="21"/>
  <c r="P52" i="21" s="1"/>
  <c r="X13" i="21"/>
  <c r="X52" i="21" s="1"/>
  <c r="AJ13" i="21"/>
  <c r="AJ52" i="21" s="1"/>
  <c r="Q13" i="21"/>
  <c r="Q52" i="21" s="1"/>
  <c r="AF13" i="21"/>
  <c r="AF52" i="21" s="1"/>
  <c r="AL13" i="21"/>
  <c r="AL52" i="21" s="1"/>
  <c r="G52" i="21"/>
  <c r="T13" i="21"/>
  <c r="T52" i="21" s="1"/>
  <c r="AI13" i="21"/>
  <c r="AI52" i="21" s="1"/>
  <c r="AO13" i="21"/>
  <c r="AO52" i="21" s="1"/>
  <c r="AG13" i="21"/>
  <c r="AG52" i="21" s="1"/>
  <c r="Y13" i="21"/>
  <c r="Y52" i="21" s="1"/>
  <c r="V13" i="21"/>
  <c r="V52" i="21" s="1"/>
  <c r="AP13" i="21"/>
  <c r="AP52" i="21" s="1"/>
  <c r="AD13" i="21"/>
  <c r="AD52" i="21" s="1"/>
  <c r="AC13" i="21"/>
  <c r="AC52" i="21" s="1"/>
  <c r="AH13" i="21"/>
  <c r="AH52" i="21" s="1"/>
  <c r="AB13" i="21"/>
  <c r="AB52" i="21" s="1"/>
  <c r="AK13" i="21"/>
  <c r="AK52" i="21" s="1"/>
  <c r="G72" i="21"/>
  <c r="AK33" i="21"/>
  <c r="AK72" i="21" s="1"/>
  <c r="AM33" i="21"/>
  <c r="AM72" i="21" s="1"/>
  <c r="AJ33" i="21"/>
  <c r="AJ72" i="21" s="1"/>
  <c r="AO33" i="21"/>
  <c r="AO72" i="21" s="1"/>
  <c r="AN33" i="21"/>
  <c r="AN72" i="21" s="1"/>
  <c r="AP33" i="21"/>
  <c r="AP72" i="21" s="1"/>
  <c r="AL33" i="21"/>
  <c r="AL72" i="21" s="1"/>
  <c r="D37" i="7" l="1"/>
  <c r="D40" i="7" s="1"/>
  <c r="D96" i="7"/>
  <c r="F34" i="6" s="1"/>
  <c r="AM36" i="7"/>
  <c r="H45" i="7"/>
  <c r="I45" i="7" s="1"/>
  <c r="AM43" i="7"/>
  <c r="AM33" i="23"/>
  <c r="AM44" i="7"/>
  <c r="AM21" i="23"/>
  <c r="L56" i="7"/>
  <c r="AM51" i="7"/>
  <c r="L55" i="7"/>
  <c r="M53" i="7"/>
  <c r="M55" i="7" s="1"/>
  <c r="AB87" i="7"/>
  <c r="AB88" i="7"/>
  <c r="AM52" i="7"/>
  <c r="AC85" i="7"/>
  <c r="AD85" i="7" s="1"/>
  <c r="D14" i="8"/>
  <c r="AQ11" i="21"/>
  <c r="AQ39" i="21"/>
  <c r="AQ72" i="21"/>
  <c r="AQ35" i="21"/>
  <c r="AQ73" i="21"/>
  <c r="AQ13" i="21"/>
  <c r="AQ71" i="21"/>
  <c r="AQ57" i="21"/>
  <c r="AQ26" i="21"/>
  <c r="AQ65" i="21"/>
  <c r="AQ6" i="21"/>
  <c r="Z44" i="21"/>
  <c r="Z79" i="21" s="1"/>
  <c r="X88" i="1" s="1"/>
  <c r="Z40" i="21"/>
  <c r="Z2" i="21" s="1"/>
  <c r="V40" i="21"/>
  <c r="V2" i="21" s="1"/>
  <c r="V44" i="21"/>
  <c r="V79" i="21" s="1"/>
  <c r="T88" i="1" s="1"/>
  <c r="I44" i="21"/>
  <c r="I79" i="21" s="1"/>
  <c r="G88" i="1" s="1"/>
  <c r="I40" i="21"/>
  <c r="I2" i="21" s="1"/>
  <c r="AQ78" i="21"/>
  <c r="AQ64" i="21"/>
  <c r="AQ50" i="21"/>
  <c r="AQ70" i="21"/>
  <c r="AQ7" i="21"/>
  <c r="AQ75" i="21"/>
  <c r="AQ45" i="21"/>
  <c r="O44" i="21"/>
  <c r="O79" i="21" s="1"/>
  <c r="M88" i="1" s="1"/>
  <c r="O40" i="21"/>
  <c r="O2" i="21" s="1"/>
  <c r="W40" i="21"/>
  <c r="W2" i="21" s="1"/>
  <c r="W44" i="21"/>
  <c r="W79" i="21" s="1"/>
  <c r="U88" i="1" s="1"/>
  <c r="AP44" i="21"/>
  <c r="AP79" i="21" s="1"/>
  <c r="AN88" i="1" s="1"/>
  <c r="AP40" i="21"/>
  <c r="AP2" i="21" s="1"/>
  <c r="H44" i="21"/>
  <c r="H79" i="21" s="1"/>
  <c r="F88" i="1" s="1"/>
  <c r="H40" i="21"/>
  <c r="H2" i="21" s="1"/>
  <c r="AQ69" i="21"/>
  <c r="AQ12" i="21"/>
  <c r="AK44" i="21"/>
  <c r="AK79" i="21" s="1"/>
  <c r="AI88" i="1" s="1"/>
  <c r="AK40" i="21"/>
  <c r="AK2" i="21" s="1"/>
  <c r="J44" i="21"/>
  <c r="J79" i="21" s="1"/>
  <c r="H88" i="1" s="1"/>
  <c r="J40" i="21"/>
  <c r="J2" i="21" s="1"/>
  <c r="AA44" i="21"/>
  <c r="AA79" i="21" s="1"/>
  <c r="Y88" i="1" s="1"/>
  <c r="AA40" i="21"/>
  <c r="AA2" i="21" s="1"/>
  <c r="AQ38" i="21"/>
  <c r="P96" i="7"/>
  <c r="R34" i="6" s="1"/>
  <c r="AM59" i="7"/>
  <c r="P61" i="7"/>
  <c r="U40" i="21"/>
  <c r="U2" i="21" s="1"/>
  <c r="U44" i="21"/>
  <c r="U79" i="21" s="1"/>
  <c r="S88" i="1" s="1"/>
  <c r="AN44" i="21"/>
  <c r="AN79" i="21" s="1"/>
  <c r="AL88" i="1" s="1"/>
  <c r="AN40" i="21"/>
  <c r="AN2" i="21" s="1"/>
  <c r="AQ33" i="21"/>
  <c r="AQ53" i="21"/>
  <c r="AQ31" i="21"/>
  <c r="AQ28" i="21"/>
  <c r="AQ51" i="21"/>
  <c r="S44" i="21"/>
  <c r="S79" i="21" s="1"/>
  <c r="Q88" i="1" s="1"/>
  <c r="S40" i="21"/>
  <c r="S2" i="21" s="1"/>
  <c r="G79" i="21"/>
  <c r="AG44" i="21"/>
  <c r="AG79" i="21" s="1"/>
  <c r="AE88" i="1" s="1"/>
  <c r="AG40" i="21"/>
  <c r="AG2" i="21" s="1"/>
  <c r="AQ9" i="21"/>
  <c r="AQ16" i="21"/>
  <c r="AQ54" i="21"/>
  <c r="AQ61" i="21"/>
  <c r="AQ10" i="21"/>
  <c r="R44" i="21"/>
  <c r="R79" i="21" s="1"/>
  <c r="P88" i="1" s="1"/>
  <c r="R40" i="21"/>
  <c r="R2" i="21" s="1"/>
  <c r="AC40" i="21"/>
  <c r="AC2" i="21" s="1"/>
  <c r="AC44" i="21"/>
  <c r="AC79" i="21" s="1"/>
  <c r="AA88" i="1" s="1"/>
  <c r="P40" i="21"/>
  <c r="P2" i="21" s="1"/>
  <c r="P44" i="21"/>
  <c r="P79" i="21" s="1"/>
  <c r="N88" i="1" s="1"/>
  <c r="AQ14" i="21"/>
  <c r="AQ66" i="21"/>
  <c r="AQ29" i="21"/>
  <c r="AQ21" i="21"/>
  <c r="U71" i="7"/>
  <c r="U72" i="7"/>
  <c r="V69" i="7"/>
  <c r="U70" i="7"/>
  <c r="AQ8" i="21"/>
  <c r="AQ37" i="21"/>
  <c r="AH40" i="21"/>
  <c r="AH2" i="21" s="1"/>
  <c r="AH44" i="21"/>
  <c r="AH79" i="21" s="1"/>
  <c r="AF88" i="1" s="1"/>
  <c r="AO44" i="21"/>
  <c r="AO79" i="21" s="1"/>
  <c r="AM88" i="1" s="1"/>
  <c r="AO40" i="21"/>
  <c r="AO2" i="21" s="1"/>
  <c r="Q40" i="21"/>
  <c r="Q2" i="21" s="1"/>
  <c r="Q44" i="21"/>
  <c r="Q79" i="21" s="1"/>
  <c r="O88" i="1" s="1"/>
  <c r="AQ77" i="21"/>
  <c r="AQ17" i="21"/>
  <c r="AQ24" i="21"/>
  <c r="AM60" i="7"/>
  <c r="AQ32" i="21"/>
  <c r="AQ58" i="21"/>
  <c r="AQ46" i="21"/>
  <c r="AQ23" i="21"/>
  <c r="AQ47" i="21"/>
  <c r="AQ30" i="21"/>
  <c r="X40" i="21"/>
  <c r="X2" i="21" s="1"/>
  <c r="X44" i="21"/>
  <c r="X79" i="21" s="1"/>
  <c r="V88" i="1" s="1"/>
  <c r="K44" i="21"/>
  <c r="K79" i="21" s="1"/>
  <c r="I88" i="1" s="1"/>
  <c r="K40" i="21"/>
  <c r="K2" i="21" s="1"/>
  <c r="AL44" i="21"/>
  <c r="AL79" i="21" s="1"/>
  <c r="AJ88" i="1" s="1"/>
  <c r="AL40" i="21"/>
  <c r="AL2" i="21" s="1"/>
  <c r="AQ56" i="21"/>
  <c r="AQ19" i="21"/>
  <c r="AQ27" i="21"/>
  <c r="AQ68" i="21"/>
  <c r="AQ18" i="21"/>
  <c r="AQ55" i="21"/>
  <c r="AQ60" i="21"/>
  <c r="AQ62" i="21"/>
  <c r="AQ76" i="21"/>
  <c r="AQ67" i="21"/>
  <c r="Y80" i="7"/>
  <c r="Y79" i="7"/>
  <c r="Z77" i="7"/>
  <c r="Y78" i="7"/>
  <c r="AQ34" i="21"/>
  <c r="AQ20" i="21"/>
  <c r="AD40" i="21"/>
  <c r="AD2" i="21" s="1"/>
  <c r="AD44" i="21"/>
  <c r="AD79" i="21" s="1"/>
  <c r="AB88" i="1" s="1"/>
  <c r="AB44" i="21"/>
  <c r="AB79" i="21" s="1"/>
  <c r="Z88" i="1" s="1"/>
  <c r="AB40" i="21"/>
  <c r="AB2" i="21" s="1"/>
  <c r="AQ48" i="21"/>
  <c r="AQ36" i="21"/>
  <c r="AQ74" i="21"/>
  <c r="AQ22" i="21"/>
  <c r="AQ59" i="21"/>
  <c r="M44" i="21"/>
  <c r="M79" i="21" s="1"/>
  <c r="K88" i="1" s="1"/>
  <c r="M40" i="21"/>
  <c r="M2" i="21" s="1"/>
  <c r="AI44" i="21"/>
  <c r="AI79" i="21" s="1"/>
  <c r="AG88" i="1" s="1"/>
  <c r="AI40" i="21"/>
  <c r="AI2" i="21" s="1"/>
  <c r="AJ44" i="21"/>
  <c r="AJ79" i="21" s="1"/>
  <c r="AH88" i="1" s="1"/>
  <c r="AJ40" i="21"/>
  <c r="AJ2" i="21" s="1"/>
  <c r="AQ25" i="21"/>
  <c r="AQ63" i="21"/>
  <c r="L40" i="21"/>
  <c r="L2" i="21" s="1"/>
  <c r="L44" i="21"/>
  <c r="L79" i="21" s="1"/>
  <c r="J88" i="1" s="1"/>
  <c r="T44" i="21"/>
  <c r="T79" i="21" s="1"/>
  <c r="R88" i="1" s="1"/>
  <c r="T40" i="21"/>
  <c r="T2" i="21" s="1"/>
  <c r="AF40" i="21"/>
  <c r="AF2" i="21" s="1"/>
  <c r="AF44" i="21"/>
  <c r="AF79" i="21" s="1"/>
  <c r="AD88" i="1" s="1"/>
  <c r="AQ5" i="21"/>
  <c r="AQ15" i="21"/>
  <c r="AQ52" i="21"/>
  <c r="AQ49" i="21"/>
  <c r="N40" i="21"/>
  <c r="N2" i="21" s="1"/>
  <c r="N44" i="21"/>
  <c r="N79" i="21" s="1"/>
  <c r="L88" i="1" s="1"/>
  <c r="AM40" i="21"/>
  <c r="AM2" i="21" s="1"/>
  <c r="AM44" i="21"/>
  <c r="AM79" i="21" s="1"/>
  <c r="AK88" i="1" s="1"/>
  <c r="AE44" i="21"/>
  <c r="AE79" i="21" s="1"/>
  <c r="AC88" i="1" s="1"/>
  <c r="AE40" i="21"/>
  <c r="AE2" i="21" s="1"/>
  <c r="Y44" i="21"/>
  <c r="Y79" i="21" s="1"/>
  <c r="W88" i="1" s="1"/>
  <c r="Y40" i="21"/>
  <c r="Y2" i="21" s="1"/>
  <c r="D98" i="7" l="1"/>
  <c r="D39" i="7"/>
  <c r="D100" i="7" s="1"/>
  <c r="D38" i="7"/>
  <c r="D99" i="7" s="1"/>
  <c r="E37" i="7"/>
  <c r="E40" i="7" s="1"/>
  <c r="E101" i="7" s="1"/>
  <c r="H47" i="7"/>
  <c r="H46" i="7"/>
  <c r="H48" i="7"/>
  <c r="N53" i="7"/>
  <c r="M56" i="7"/>
  <c r="M54" i="7"/>
  <c r="AC87" i="7"/>
  <c r="AC86" i="7"/>
  <c r="AC88" i="7"/>
  <c r="D13" i="8"/>
  <c r="AQ40" i="21"/>
  <c r="AQ2" i="21" s="1"/>
  <c r="AK97" i="1"/>
  <c r="AJ36" i="19"/>
  <c r="AK98" i="1"/>
  <c r="AH220" i="1" s="1"/>
  <c r="N97" i="1"/>
  <c r="N98" i="1"/>
  <c r="M36" i="19"/>
  <c r="X36" i="19"/>
  <c r="Y97" i="1"/>
  <c r="Y98" i="1"/>
  <c r="AD86" i="7"/>
  <c r="AE85" i="7"/>
  <c r="AD87" i="7"/>
  <c r="AD88" i="7"/>
  <c r="K36" i="19"/>
  <c r="L97" i="1"/>
  <c r="L98" i="1"/>
  <c r="AJ97" i="1"/>
  <c r="AI36" i="19"/>
  <c r="AJ98" i="1"/>
  <c r="AG220" i="1" s="1"/>
  <c r="AM98" i="1"/>
  <c r="AJ220" i="1" s="1"/>
  <c r="AL36" i="19"/>
  <c r="AM97" i="1"/>
  <c r="AA97" i="1"/>
  <c r="AA98" i="1"/>
  <c r="Z36" i="19"/>
  <c r="S97" i="1"/>
  <c r="R36" i="19"/>
  <c r="S98" i="1"/>
  <c r="H97" i="1"/>
  <c r="G36" i="19"/>
  <c r="H98" i="1"/>
  <c r="U97" i="1"/>
  <c r="T36" i="19"/>
  <c r="U98" i="1"/>
  <c r="F36" i="19"/>
  <c r="G97" i="1"/>
  <c r="G98" i="1"/>
  <c r="AF97" i="1"/>
  <c r="AF98" i="1"/>
  <c r="AE36" i="19"/>
  <c r="T97" i="1"/>
  <c r="S36" i="19"/>
  <c r="T98" i="1"/>
  <c r="Y36" i="19"/>
  <c r="Z97" i="1"/>
  <c r="Z98" i="1"/>
  <c r="AI97" i="1"/>
  <c r="AH36" i="19"/>
  <c r="AI98" i="1"/>
  <c r="AD97" i="1"/>
  <c r="AC36" i="19"/>
  <c r="AD98" i="1"/>
  <c r="AH98" i="1"/>
  <c r="AG36" i="19"/>
  <c r="AH97" i="1"/>
  <c r="AB97" i="1"/>
  <c r="AA36" i="19"/>
  <c r="AB98" i="1"/>
  <c r="V97" i="1"/>
  <c r="V98" i="1"/>
  <c r="U36" i="19"/>
  <c r="P97" i="1"/>
  <c r="O36" i="19"/>
  <c r="P98" i="1"/>
  <c r="P64" i="7"/>
  <c r="P62" i="7"/>
  <c r="P63" i="7"/>
  <c r="Q61" i="7"/>
  <c r="E36" i="19"/>
  <c r="AO88" i="1"/>
  <c r="M97" i="1"/>
  <c r="L36" i="19"/>
  <c r="M98" i="1"/>
  <c r="AN98" i="1"/>
  <c r="AK220" i="1" s="1"/>
  <c r="AN97" i="1"/>
  <c r="AM36" i="19"/>
  <c r="I97" i="1"/>
  <c r="H36" i="19"/>
  <c r="I98" i="1"/>
  <c r="AA77" i="7"/>
  <c r="Z80" i="7"/>
  <c r="Z79" i="7"/>
  <c r="Z78" i="7"/>
  <c r="X97" i="1"/>
  <c r="X98" i="1"/>
  <c r="W36" i="19"/>
  <c r="AF36" i="19"/>
  <c r="AG98" i="1"/>
  <c r="AG97" i="1"/>
  <c r="AE97" i="1"/>
  <c r="AE98" i="1"/>
  <c r="AD36" i="19"/>
  <c r="R97" i="1"/>
  <c r="Q36" i="19"/>
  <c r="R98" i="1"/>
  <c r="AQ44" i="21"/>
  <c r="W97" i="1"/>
  <c r="V36" i="19"/>
  <c r="W98" i="1"/>
  <c r="J97" i="1"/>
  <c r="J98" i="1"/>
  <c r="I36" i="19"/>
  <c r="K97" i="1"/>
  <c r="K98" i="1"/>
  <c r="J36" i="19"/>
  <c r="AQ79" i="21"/>
  <c r="V71" i="7"/>
  <c r="V72" i="7"/>
  <c r="V70" i="7"/>
  <c r="W69" i="7"/>
  <c r="D101" i="7"/>
  <c r="AL97" i="1"/>
  <c r="AK36" i="19"/>
  <c r="AL98" i="1"/>
  <c r="AI220" i="1" s="1"/>
  <c r="AB36" i="19"/>
  <c r="AC97" i="1"/>
  <c r="AC98" i="1"/>
  <c r="I48" i="7"/>
  <c r="J45" i="7"/>
  <c r="I46" i="7"/>
  <c r="I47" i="7"/>
  <c r="C54" i="6"/>
  <c r="AO34" i="6"/>
  <c r="E11" i="6"/>
  <c r="O97" i="1"/>
  <c r="O98" i="1"/>
  <c r="N36" i="19"/>
  <c r="Q98" i="1"/>
  <c r="Q97" i="1"/>
  <c r="P36" i="19"/>
  <c r="F37" i="7" l="1"/>
  <c r="F40" i="7" s="1"/>
  <c r="E39" i="7"/>
  <c r="E100" i="7" s="1"/>
  <c r="E98" i="7"/>
  <c r="E38" i="7"/>
  <c r="E99" i="7" s="1"/>
  <c r="N56" i="7"/>
  <c r="O53" i="7"/>
  <c r="N55" i="7"/>
  <c r="N54" i="7"/>
  <c r="P10" i="19"/>
  <c r="X74" i="7"/>
  <c r="W70" i="7"/>
  <c r="X71" i="7"/>
  <c r="W72" i="7"/>
  <c r="W71" i="7"/>
  <c r="X72" i="7"/>
  <c r="X70" i="7"/>
  <c r="M10" i="19"/>
  <c r="AL10" i="19"/>
  <c r="AJ219" i="1"/>
  <c r="AH219" i="1"/>
  <c r="AJ10" i="19"/>
  <c r="N10" i="19"/>
  <c r="AA80" i="7"/>
  <c r="AA79" i="7"/>
  <c r="AB79" i="7"/>
  <c r="AB78" i="7"/>
  <c r="AB82" i="7"/>
  <c r="AB80" i="7"/>
  <c r="AA78" i="7"/>
  <c r="L10" i="19"/>
  <c r="AE10" i="19"/>
  <c r="F10" i="19"/>
  <c r="R10" i="19"/>
  <c r="AF90" i="7"/>
  <c r="AE86" i="7"/>
  <c r="AF88" i="7"/>
  <c r="AF86" i="7"/>
  <c r="AE87" i="7"/>
  <c r="AE88" i="7"/>
  <c r="AF87" i="7"/>
  <c r="K45" i="7"/>
  <c r="J47" i="7"/>
  <c r="J48" i="7"/>
  <c r="J46" i="7"/>
  <c r="J10" i="19"/>
  <c r="AG10" i="19"/>
  <c r="AC10" i="19"/>
  <c r="S10" i="19"/>
  <c r="Q10" i="19"/>
  <c r="V10" i="19"/>
  <c r="AB10" i="19"/>
  <c r="H10" i="19"/>
  <c r="O10" i="19"/>
  <c r="Z10" i="19"/>
  <c r="W10" i="19"/>
  <c r="AA10" i="19"/>
  <c r="F35" i="6"/>
  <c r="D103" i="7"/>
  <c r="AN36" i="19"/>
  <c r="AH10" i="19"/>
  <c r="AI10" i="19"/>
  <c r="AG219" i="1"/>
  <c r="X10" i="19"/>
  <c r="I10" i="19"/>
  <c r="T10" i="19"/>
  <c r="C34" i="6"/>
  <c r="D11" i="6"/>
  <c r="AD10" i="19"/>
  <c r="AM10" i="19"/>
  <c r="AK219" i="1"/>
  <c r="K10" i="19"/>
  <c r="R61" i="7"/>
  <c r="Q63" i="7"/>
  <c r="Q64" i="7"/>
  <c r="Q62" i="7"/>
  <c r="Y10" i="19"/>
  <c r="AK10" i="19"/>
  <c r="AI219" i="1"/>
  <c r="U10" i="19"/>
  <c r="AF10" i="19"/>
  <c r="G10" i="19"/>
  <c r="G35" i="6" l="1"/>
  <c r="G39" i="6" s="1"/>
  <c r="G38" i="6" s="1"/>
  <c r="F98" i="7"/>
  <c r="F39" i="7"/>
  <c r="F100" i="7" s="1"/>
  <c r="G37" i="7"/>
  <c r="G38" i="7" s="1"/>
  <c r="G99" i="7" s="1"/>
  <c r="F38" i="7"/>
  <c r="F99" i="7" s="1"/>
  <c r="E103" i="7"/>
  <c r="O56" i="7"/>
  <c r="O54" i="7"/>
  <c r="P54" i="7"/>
  <c r="P55" i="7"/>
  <c r="P58" i="7"/>
  <c r="P56" i="7"/>
  <c r="O55" i="7"/>
  <c r="X73" i="7"/>
  <c r="F101" i="7"/>
  <c r="AF89" i="7"/>
  <c r="F39" i="6"/>
  <c r="F33" i="6"/>
  <c r="AB81" i="7"/>
  <c r="S61" i="7"/>
  <c r="R62" i="7"/>
  <c r="R64" i="7"/>
  <c r="R63" i="7"/>
  <c r="L50" i="7"/>
  <c r="L47" i="7"/>
  <c r="L46" i="7"/>
  <c r="K48" i="7"/>
  <c r="K47" i="7"/>
  <c r="K46" i="7"/>
  <c r="L48" i="7"/>
  <c r="G33" i="6" l="1"/>
  <c r="H40" i="7"/>
  <c r="H101" i="7" s="1"/>
  <c r="H38" i="7"/>
  <c r="H99" i="7" s="1"/>
  <c r="H42" i="7"/>
  <c r="G40" i="7"/>
  <c r="G101" i="7" s="1"/>
  <c r="G39" i="7"/>
  <c r="G100" i="7" s="1"/>
  <c r="H39" i="7"/>
  <c r="H100" i="7" s="1"/>
  <c r="G98" i="7"/>
  <c r="P57" i="7"/>
  <c r="P53" i="7" s="1"/>
  <c r="Q58" i="7" s="1"/>
  <c r="S63" i="7"/>
  <c r="S62" i="7"/>
  <c r="T66" i="7"/>
  <c r="T62" i="7"/>
  <c r="T63" i="7"/>
  <c r="T64" i="7"/>
  <c r="S64" i="7"/>
  <c r="AB77" i="7"/>
  <c r="L49" i="7"/>
  <c r="AF85" i="7"/>
  <c r="F38" i="6"/>
  <c r="H35" i="6"/>
  <c r="F103" i="7"/>
  <c r="X69" i="7"/>
  <c r="J35" i="6" l="1"/>
  <c r="J39" i="6" s="1"/>
  <c r="J38" i="6" s="1"/>
  <c r="H41" i="7"/>
  <c r="H37" i="7" s="1"/>
  <c r="I35" i="6"/>
  <c r="I33" i="6" s="1"/>
  <c r="Q55" i="7"/>
  <c r="Q56" i="7"/>
  <c r="Q54" i="7"/>
  <c r="G103" i="7"/>
  <c r="AC79" i="7"/>
  <c r="AC78" i="7"/>
  <c r="AC80" i="7"/>
  <c r="AC82" i="7"/>
  <c r="T65" i="7"/>
  <c r="L45" i="7"/>
  <c r="Y74" i="7"/>
  <c r="Y70" i="7"/>
  <c r="Y72" i="7"/>
  <c r="Y71" i="7"/>
  <c r="H39" i="6"/>
  <c r="H33" i="6"/>
  <c r="AG90" i="7"/>
  <c r="AG87" i="7"/>
  <c r="AG88" i="7"/>
  <c r="AG86" i="7"/>
  <c r="H102" i="7" l="1"/>
  <c r="J36" i="6" s="1"/>
  <c r="I39" i="6"/>
  <c r="I38" i="6" s="1"/>
  <c r="Q57" i="7"/>
  <c r="Q53" i="7" s="1"/>
  <c r="T61" i="7"/>
  <c r="AG89" i="7"/>
  <c r="M50" i="7"/>
  <c r="M47" i="7"/>
  <c r="M48" i="7"/>
  <c r="M46" i="7"/>
  <c r="H38" i="6"/>
  <c r="AC81" i="7"/>
  <c r="Y73" i="7"/>
  <c r="I42" i="7"/>
  <c r="I40" i="7"/>
  <c r="I39" i="7"/>
  <c r="I38" i="7"/>
  <c r="H98" i="7"/>
  <c r="H103" i="7" l="1"/>
  <c r="I100" i="7"/>
  <c r="Y69" i="7"/>
  <c r="R58" i="7"/>
  <c r="R55" i="7"/>
  <c r="R56" i="7"/>
  <c r="R54" i="7"/>
  <c r="I41" i="7"/>
  <c r="U63" i="7"/>
  <c r="U66" i="7"/>
  <c r="U62" i="7"/>
  <c r="U64" i="7"/>
  <c r="AC77" i="7"/>
  <c r="AG85" i="7"/>
  <c r="I101" i="7"/>
  <c r="J33" i="6"/>
  <c r="I99" i="7"/>
  <c r="M49" i="7"/>
  <c r="Z74" i="7" l="1"/>
  <c r="Z71" i="7"/>
  <c r="Z72" i="7"/>
  <c r="Z70" i="7"/>
  <c r="U65" i="7"/>
  <c r="AH87" i="7"/>
  <c r="AH90" i="7"/>
  <c r="AH88" i="7"/>
  <c r="AH86" i="7"/>
  <c r="AD78" i="7"/>
  <c r="AD79" i="7"/>
  <c r="AD82" i="7"/>
  <c r="AD80" i="7"/>
  <c r="R57" i="7"/>
  <c r="K35" i="6"/>
  <c r="M45" i="7"/>
  <c r="I102" i="7"/>
  <c r="K36" i="6" s="1"/>
  <c r="I37" i="7"/>
  <c r="I103" i="7" l="1"/>
  <c r="J40" i="7"/>
  <c r="J39" i="7"/>
  <c r="J42" i="7"/>
  <c r="J38" i="7"/>
  <c r="I98" i="7"/>
  <c r="K39" i="6"/>
  <c r="K33" i="6"/>
  <c r="N46" i="7"/>
  <c r="N50" i="7"/>
  <c r="N48" i="7"/>
  <c r="N47" i="7"/>
  <c r="R53" i="7"/>
  <c r="AH89" i="7"/>
  <c r="U61" i="7"/>
  <c r="Z73" i="7"/>
  <c r="AD81" i="7"/>
  <c r="AD77" i="7" l="1"/>
  <c r="N49" i="7"/>
  <c r="J101" i="7"/>
  <c r="S58" i="7"/>
  <c r="S55" i="7"/>
  <c r="S56" i="7"/>
  <c r="S54" i="7"/>
  <c r="J99" i="7"/>
  <c r="AH85" i="7"/>
  <c r="Z69" i="7"/>
  <c r="J41" i="7"/>
  <c r="V66" i="7"/>
  <c r="V64" i="7"/>
  <c r="V62" i="7"/>
  <c r="V63" i="7"/>
  <c r="K38" i="6"/>
  <c r="J100" i="7"/>
  <c r="AA74" i="7" l="1"/>
  <c r="AA71" i="7"/>
  <c r="AA70" i="7"/>
  <c r="AA72" i="7"/>
  <c r="L35" i="6"/>
  <c r="V65" i="7"/>
  <c r="J102" i="7"/>
  <c r="L36" i="6" s="1"/>
  <c r="J37" i="7"/>
  <c r="N45" i="7"/>
  <c r="AE79" i="7"/>
  <c r="AE78" i="7"/>
  <c r="AE80" i="7"/>
  <c r="AE82" i="7"/>
  <c r="AI88" i="7"/>
  <c r="AI87" i="7"/>
  <c r="AI86" i="7"/>
  <c r="AI90" i="7"/>
  <c r="S57" i="7"/>
  <c r="J103" i="7" l="1"/>
  <c r="L39" i="6"/>
  <c r="L33" i="6"/>
  <c r="K42" i="7"/>
  <c r="K38" i="7"/>
  <c r="K99" i="7" s="1"/>
  <c r="K39" i="7"/>
  <c r="K100" i="7" s="1"/>
  <c r="K40" i="7"/>
  <c r="K101" i="7" s="1"/>
  <c r="J98" i="7"/>
  <c r="AE81" i="7"/>
  <c r="AA73" i="7"/>
  <c r="V61" i="7"/>
  <c r="AI89" i="7"/>
  <c r="O47" i="7"/>
  <c r="O50" i="7"/>
  <c r="O46" i="7"/>
  <c r="O48" i="7"/>
  <c r="S53" i="7"/>
  <c r="K41" i="7" l="1"/>
  <c r="AI85" i="7"/>
  <c r="M35" i="6"/>
  <c r="W64" i="7"/>
  <c r="W66" i="7"/>
  <c r="W62" i="7"/>
  <c r="W63" i="7"/>
  <c r="AA69" i="7"/>
  <c r="AE77" i="7"/>
  <c r="O49" i="7"/>
  <c r="L38" i="6"/>
  <c r="T55" i="7"/>
  <c r="T54" i="7"/>
  <c r="T56" i="7"/>
  <c r="T58" i="7"/>
  <c r="AJ90" i="7" l="1"/>
  <c r="AJ88" i="7"/>
  <c r="AJ87" i="7"/>
  <c r="AJ86" i="7"/>
  <c r="M39" i="6"/>
  <c r="T57" i="7"/>
  <c r="W65" i="7"/>
  <c r="O45" i="7"/>
  <c r="AF78" i="7"/>
  <c r="AF79" i="7"/>
  <c r="AF82" i="7"/>
  <c r="AF80" i="7"/>
  <c r="AB74" i="7"/>
  <c r="AB70" i="7"/>
  <c r="AB71" i="7"/>
  <c r="AB72" i="7"/>
  <c r="K102" i="7"/>
  <c r="K37" i="7"/>
  <c r="T53" i="7" l="1"/>
  <c r="AF81" i="7"/>
  <c r="M38" i="6"/>
  <c r="L42" i="7"/>
  <c r="L40" i="7"/>
  <c r="L101" i="7" s="1"/>
  <c r="K98" i="7"/>
  <c r="L38" i="7"/>
  <c r="L99" i="7" s="1"/>
  <c r="L39" i="7"/>
  <c r="L100" i="7" s="1"/>
  <c r="W61" i="7"/>
  <c r="P50" i="7"/>
  <c r="P46" i="7"/>
  <c r="P48" i="7"/>
  <c r="P47" i="7"/>
  <c r="M36" i="6"/>
  <c r="K103" i="7"/>
  <c r="AB73" i="7"/>
  <c r="AJ89" i="7"/>
  <c r="P49" i="7" l="1"/>
  <c r="N35" i="6"/>
  <c r="AF77" i="7"/>
  <c r="AB69" i="7"/>
  <c r="AJ85" i="7"/>
  <c r="M33" i="6"/>
  <c r="U58" i="7"/>
  <c r="U56" i="7"/>
  <c r="U54" i="7"/>
  <c r="U55" i="7"/>
  <c r="X64" i="7"/>
  <c r="X62" i="7"/>
  <c r="X63" i="7"/>
  <c r="X66" i="7"/>
  <c r="L41" i="7"/>
  <c r="AG82" i="7" l="1"/>
  <c r="AG78" i="7"/>
  <c r="AG80" i="7"/>
  <c r="AG79" i="7"/>
  <c r="L102" i="7"/>
  <c r="L37" i="7"/>
  <c r="N39" i="6"/>
  <c r="N38" i="6" s="1"/>
  <c r="X65" i="7"/>
  <c r="P45" i="7"/>
  <c r="AC70" i="7"/>
  <c r="AC72" i="7"/>
  <c r="AC74" i="7"/>
  <c r="AC71" i="7"/>
  <c r="U57" i="7"/>
  <c r="U53" i="7" s="1"/>
  <c r="AK88" i="7"/>
  <c r="AK86" i="7"/>
  <c r="AK90" i="7"/>
  <c r="AK87" i="7"/>
  <c r="AC73" i="7" l="1"/>
  <c r="AC69" i="7" s="1"/>
  <c r="AD72" i="7" s="1"/>
  <c r="Q48" i="7"/>
  <c r="Q50" i="7"/>
  <c r="Q47" i="7"/>
  <c r="Q46" i="7"/>
  <c r="M39" i="7"/>
  <c r="M100" i="7" s="1"/>
  <c r="L98" i="7"/>
  <c r="M38" i="7"/>
  <c r="M99" i="7" s="1"/>
  <c r="M42" i="7"/>
  <c r="M40" i="7"/>
  <c r="M101" i="7" s="1"/>
  <c r="AK89" i="7"/>
  <c r="AK85" i="7" s="1"/>
  <c r="N36" i="6"/>
  <c r="L103" i="7"/>
  <c r="X61" i="7"/>
  <c r="V58" i="7"/>
  <c r="V54" i="7"/>
  <c r="V55" i="7"/>
  <c r="V56" i="7"/>
  <c r="AG81" i="7"/>
  <c r="AG77" i="7" s="1"/>
  <c r="AD71" i="7" l="1"/>
  <c r="AD70" i="7"/>
  <c r="AD74" i="7"/>
  <c r="Q49" i="7"/>
  <c r="Q45" i="7" s="1"/>
  <c r="R48" i="7" s="1"/>
  <c r="Y66" i="7"/>
  <c r="Y64" i="7"/>
  <c r="Y62" i="7"/>
  <c r="Y63" i="7"/>
  <c r="M41" i="7"/>
  <c r="N33" i="6"/>
  <c r="AL86" i="7"/>
  <c r="AM86" i="7" s="1"/>
  <c r="AL90" i="7"/>
  <c r="AL88" i="7"/>
  <c r="AM88" i="7" s="1"/>
  <c r="AL87" i="7"/>
  <c r="AM87" i="7" s="1"/>
  <c r="AH80" i="7"/>
  <c r="AH82" i="7"/>
  <c r="AH78" i="7"/>
  <c r="AH79" i="7"/>
  <c r="V57" i="7"/>
  <c r="V53" i="7" s="1"/>
  <c r="O35" i="6"/>
  <c r="AD73" i="7" l="1"/>
  <c r="AD69" i="7" s="1"/>
  <c r="AE71" i="7" s="1"/>
  <c r="R47" i="7"/>
  <c r="R46" i="7"/>
  <c r="R50" i="7"/>
  <c r="Y65" i="7"/>
  <c r="Y61" i="7" s="1"/>
  <c r="Z64" i="7" s="1"/>
  <c r="M102" i="7"/>
  <c r="M37" i="7"/>
  <c r="AH81" i="7"/>
  <c r="AH77" i="7" s="1"/>
  <c r="AL89" i="7"/>
  <c r="AM90" i="7"/>
  <c r="O39" i="6"/>
  <c r="O38" i="6" s="1"/>
  <c r="W55" i="7"/>
  <c r="W54" i="7"/>
  <c r="W58" i="7"/>
  <c r="W56" i="7"/>
  <c r="AE72" i="7" l="1"/>
  <c r="AE70" i="7"/>
  <c r="AE74" i="7"/>
  <c r="R49" i="7"/>
  <c r="R45" i="7" s="1"/>
  <c r="S48" i="7" s="1"/>
  <c r="Z62" i="7"/>
  <c r="Z63" i="7"/>
  <c r="Z66" i="7"/>
  <c r="N38" i="7"/>
  <c r="N99" i="7" s="1"/>
  <c r="N40" i="7"/>
  <c r="N101" i="7" s="1"/>
  <c r="N42" i="7"/>
  <c r="N39" i="7"/>
  <c r="N100" i="7" s="1"/>
  <c r="M98" i="7"/>
  <c r="O36" i="6"/>
  <c r="O33" i="6" s="1"/>
  <c r="M103" i="7"/>
  <c r="W57" i="7"/>
  <c r="W53" i="7" s="1"/>
  <c r="AM89" i="7"/>
  <c r="AL85" i="7"/>
  <c r="AM85" i="7" s="1"/>
  <c r="AI79" i="7"/>
  <c r="AI78" i="7"/>
  <c r="AI82" i="7"/>
  <c r="AI80" i="7"/>
  <c r="S50" i="7" l="1"/>
  <c r="S47" i="7"/>
  <c r="S46" i="7"/>
  <c r="AE73" i="7"/>
  <c r="AE69" i="7" s="1"/>
  <c r="AF74" i="7" s="1"/>
  <c r="Z65" i="7"/>
  <c r="Z61" i="7" s="1"/>
  <c r="AA63" i="7" s="1"/>
  <c r="AI81" i="7"/>
  <c r="AI77" i="7" s="1"/>
  <c r="AJ80" i="7" s="1"/>
  <c r="P35" i="6"/>
  <c r="N41" i="7"/>
  <c r="X55" i="7"/>
  <c r="X56" i="7"/>
  <c r="X58" i="7"/>
  <c r="X54" i="7"/>
  <c r="AF71" i="7" l="1"/>
  <c r="S49" i="7"/>
  <c r="S45" i="7" s="1"/>
  <c r="T46" i="7" s="1"/>
  <c r="AF70" i="7"/>
  <c r="AF72" i="7"/>
  <c r="AA66" i="7"/>
  <c r="AA64" i="7"/>
  <c r="AA62" i="7"/>
  <c r="AJ82" i="7"/>
  <c r="AJ78" i="7"/>
  <c r="AJ79" i="7"/>
  <c r="N102" i="7"/>
  <c r="N37" i="7"/>
  <c r="P39" i="6"/>
  <c r="P38" i="6" s="1"/>
  <c r="X57" i="7"/>
  <c r="X53" i="7" s="1"/>
  <c r="AF73" i="7" l="1"/>
  <c r="AF69" i="7" s="1"/>
  <c r="AG74" i="7" s="1"/>
  <c r="T50" i="7"/>
  <c r="T47" i="7"/>
  <c r="T48" i="7"/>
  <c r="AA65" i="7"/>
  <c r="AA61" i="7" s="1"/>
  <c r="AB64" i="7" s="1"/>
  <c r="AJ81" i="7"/>
  <c r="AJ77" i="7" s="1"/>
  <c r="AK80" i="7" s="1"/>
  <c r="P36" i="6"/>
  <c r="P33" i="6" s="1"/>
  <c r="N103" i="7"/>
  <c r="O42" i="7"/>
  <c r="O38" i="7"/>
  <c r="O99" i="7" s="1"/>
  <c r="O40" i="7"/>
  <c r="O101" i="7" s="1"/>
  <c r="N98" i="7"/>
  <c r="O39" i="7"/>
  <c r="O100" i="7" s="1"/>
  <c r="Y55" i="7"/>
  <c r="Y56" i="7"/>
  <c r="Y54" i="7"/>
  <c r="Y58" i="7"/>
  <c r="AG72" i="7" l="1"/>
  <c r="AG70" i="7"/>
  <c r="AG71" i="7"/>
  <c r="T49" i="7"/>
  <c r="T45" i="7" s="1"/>
  <c r="U46" i="7" s="1"/>
  <c r="AB66" i="7"/>
  <c r="AB62" i="7"/>
  <c r="AB63" i="7"/>
  <c r="AK82" i="7"/>
  <c r="AK79" i="7"/>
  <c r="AK78" i="7"/>
  <c r="Y57" i="7"/>
  <c r="Y53" i="7" s="1"/>
  <c r="Z56" i="7" s="1"/>
  <c r="Q35" i="6"/>
  <c r="O41" i="7"/>
  <c r="U48" i="7" l="1"/>
  <c r="AG73" i="7"/>
  <c r="AG69" i="7" s="1"/>
  <c r="AH70" i="7" s="1"/>
  <c r="U50" i="7"/>
  <c r="U47" i="7"/>
  <c r="AB65" i="7"/>
  <c r="AB61" i="7" s="1"/>
  <c r="AK81" i="7"/>
  <c r="AK77" i="7" s="1"/>
  <c r="AL79" i="7" s="1"/>
  <c r="AM79" i="7" s="1"/>
  <c r="Z54" i="7"/>
  <c r="Z55" i="7"/>
  <c r="Z58" i="7"/>
  <c r="Q39" i="6"/>
  <c r="Q38" i="6" s="1"/>
  <c r="O102" i="7"/>
  <c r="O37" i="7"/>
  <c r="AH74" i="7" l="1"/>
  <c r="AH72" i="7"/>
  <c r="AH71" i="7"/>
  <c r="U49" i="7"/>
  <c r="U45" i="7" s="1"/>
  <c r="V48" i="7" s="1"/>
  <c r="AL78" i="7"/>
  <c r="AM78" i="7" s="1"/>
  <c r="AL80" i="7"/>
  <c r="AM80" i="7" s="1"/>
  <c r="AC63" i="7"/>
  <c r="AC64" i="7"/>
  <c r="AC62" i="7"/>
  <c r="AC66" i="7"/>
  <c r="AL82" i="7"/>
  <c r="AM82" i="7" s="1"/>
  <c r="Z57" i="7"/>
  <c r="Z53" i="7" s="1"/>
  <c r="AA54" i="7" s="1"/>
  <c r="P42" i="7"/>
  <c r="P40" i="7"/>
  <c r="P101" i="7" s="1"/>
  <c r="P38" i="7"/>
  <c r="P99" i="7" s="1"/>
  <c r="O98" i="7"/>
  <c r="P39" i="7"/>
  <c r="P100" i="7" s="1"/>
  <c r="Q36" i="6"/>
  <c r="Q33" i="6" s="1"/>
  <c r="O103" i="7"/>
  <c r="AH73" i="7" l="1"/>
  <c r="AH69" i="7" s="1"/>
  <c r="AI74" i="7" s="1"/>
  <c r="V50" i="7"/>
  <c r="V47" i="7"/>
  <c r="V46" i="7"/>
  <c r="AC65" i="7"/>
  <c r="AC61" i="7" s="1"/>
  <c r="AD66" i="7" s="1"/>
  <c r="AL81" i="7"/>
  <c r="AL77" i="7" s="1"/>
  <c r="AM77" i="7" s="1"/>
  <c r="AA58" i="7"/>
  <c r="AA55" i="7"/>
  <c r="AA56" i="7"/>
  <c r="R35" i="6"/>
  <c r="P41" i="7"/>
  <c r="AI70" i="7" l="1"/>
  <c r="AI72" i="7"/>
  <c r="AI71" i="7"/>
  <c r="AD64" i="7"/>
  <c r="AD62" i="7"/>
  <c r="AD63" i="7"/>
  <c r="V49" i="7"/>
  <c r="V45" i="7" s="1"/>
  <c r="W47" i="7" s="1"/>
  <c r="AM81" i="7"/>
  <c r="AA57" i="7"/>
  <c r="AA53" i="7" s="1"/>
  <c r="AB55" i="7" s="1"/>
  <c r="P102" i="7"/>
  <c r="P37" i="7"/>
  <c r="R39" i="6"/>
  <c r="R38" i="6" s="1"/>
  <c r="AI73" i="7" l="1"/>
  <c r="AI69" i="7" s="1"/>
  <c r="AJ74" i="7" s="1"/>
  <c r="AD65" i="7"/>
  <c r="AD61" i="7" s="1"/>
  <c r="AE66" i="7" s="1"/>
  <c r="W48" i="7"/>
  <c r="W46" i="7"/>
  <c r="W50" i="7"/>
  <c r="AB56" i="7"/>
  <c r="AB54" i="7"/>
  <c r="AB58" i="7"/>
  <c r="R36" i="6"/>
  <c r="R33" i="6" s="1"/>
  <c r="P103" i="7"/>
  <c r="Q39" i="7"/>
  <c r="Q100" i="7" s="1"/>
  <c r="Q42" i="7"/>
  <c r="Q38" i="7"/>
  <c r="Q99" i="7" s="1"/>
  <c r="Q40" i="7"/>
  <c r="Q101" i="7" s="1"/>
  <c r="P98" i="7"/>
  <c r="AJ70" i="7" l="1"/>
  <c r="AJ71" i="7"/>
  <c r="AJ72" i="7"/>
  <c r="AE63" i="7"/>
  <c r="AE62" i="7"/>
  <c r="AE64" i="7"/>
  <c r="W49" i="7"/>
  <c r="W45" i="7" s="1"/>
  <c r="X50" i="7" s="1"/>
  <c r="AB57" i="7"/>
  <c r="AB53" i="7" s="1"/>
  <c r="AC58" i="7" s="1"/>
  <c r="Q41" i="7"/>
  <c r="S35" i="6"/>
  <c r="AE65" i="7" l="1"/>
  <c r="AE61" i="7" s="1"/>
  <c r="AF63" i="7" s="1"/>
  <c r="AJ73" i="7"/>
  <c r="AJ69" i="7" s="1"/>
  <c r="AK70" i="7" s="1"/>
  <c r="X48" i="7"/>
  <c r="X47" i="7"/>
  <c r="X46" i="7"/>
  <c r="AC54" i="7"/>
  <c r="AC56" i="7"/>
  <c r="AC55" i="7"/>
  <c r="Q102" i="7"/>
  <c r="Q37" i="7"/>
  <c r="S39" i="6"/>
  <c r="S38" i="6" s="1"/>
  <c r="AF62" i="7" l="1"/>
  <c r="AF66" i="7"/>
  <c r="AF64" i="7"/>
  <c r="AK74" i="7"/>
  <c r="AK72" i="7"/>
  <c r="AK71" i="7"/>
  <c r="X49" i="7"/>
  <c r="X45" i="7" s="1"/>
  <c r="Y50" i="7" s="1"/>
  <c r="AC57" i="7"/>
  <c r="AC53" i="7" s="1"/>
  <c r="AD56" i="7" s="1"/>
  <c r="R40" i="7"/>
  <c r="R101" i="7" s="1"/>
  <c r="R42" i="7"/>
  <c r="R39" i="7"/>
  <c r="R100" i="7" s="1"/>
  <c r="R38" i="7"/>
  <c r="R99" i="7" s="1"/>
  <c r="Q98" i="7"/>
  <c r="S36" i="6"/>
  <c r="S33" i="6" s="1"/>
  <c r="Q103" i="7"/>
  <c r="AF65" i="7" l="1"/>
  <c r="AF61" i="7" s="1"/>
  <c r="AG64" i="7" s="1"/>
  <c r="AK73" i="7"/>
  <c r="AK69" i="7" s="1"/>
  <c r="AL72" i="7" s="1"/>
  <c r="AM72" i="7" s="1"/>
  <c r="AD55" i="7"/>
  <c r="AD54" i="7"/>
  <c r="AD58" i="7"/>
  <c r="Y47" i="7"/>
  <c r="Y48" i="7"/>
  <c r="Y46" i="7"/>
  <c r="R41" i="7"/>
  <c r="R102" i="7" s="1"/>
  <c r="T36" i="6" s="1"/>
  <c r="T35" i="6"/>
  <c r="AG63" i="7" l="1"/>
  <c r="AG66" i="7"/>
  <c r="AG62" i="7"/>
  <c r="AL71" i="7"/>
  <c r="AM71" i="7" s="1"/>
  <c r="AL74" i="7"/>
  <c r="AM74" i="7" s="1"/>
  <c r="AL70" i="7"/>
  <c r="AM70" i="7" s="1"/>
  <c r="AD57" i="7"/>
  <c r="AD53" i="7" s="1"/>
  <c r="AE58" i="7" s="1"/>
  <c r="Y49" i="7"/>
  <c r="Y45" i="7" s="1"/>
  <c r="Z50" i="7" s="1"/>
  <c r="R37" i="7"/>
  <c r="S39" i="7" s="1"/>
  <c r="S100" i="7" s="1"/>
  <c r="R103" i="7"/>
  <c r="T39" i="6"/>
  <c r="T38" i="6" s="1"/>
  <c r="T33" i="6"/>
  <c r="AG65" i="7" l="1"/>
  <c r="AG61" i="7" s="1"/>
  <c r="AH63" i="7" s="1"/>
  <c r="AL73" i="7"/>
  <c r="AM73" i="7" s="1"/>
  <c r="AE54" i="7"/>
  <c r="AE56" i="7"/>
  <c r="AE55" i="7"/>
  <c r="Z46" i="7"/>
  <c r="Z48" i="7"/>
  <c r="Z47" i="7"/>
  <c r="S40" i="7"/>
  <c r="S101" i="7" s="1"/>
  <c r="S42" i="7"/>
  <c r="S38" i="7"/>
  <c r="S99" i="7" s="1"/>
  <c r="R98" i="7"/>
  <c r="AH64" i="7" l="1"/>
  <c r="AH66" i="7"/>
  <c r="AH62" i="7"/>
  <c r="AL69" i="7"/>
  <c r="AM69" i="7" s="1"/>
  <c r="AE57" i="7"/>
  <c r="AE53" i="7" s="1"/>
  <c r="AF55" i="7" s="1"/>
  <c r="Z49" i="7"/>
  <c r="Z45" i="7" s="1"/>
  <c r="AA50" i="7" s="1"/>
  <c r="U35" i="6"/>
  <c r="U39" i="6" s="1"/>
  <c r="U38" i="6" s="1"/>
  <c r="S41" i="7"/>
  <c r="S102" i="7" s="1"/>
  <c r="U36" i="6" s="1"/>
  <c r="AH65" i="7" l="1"/>
  <c r="AH61" i="7" s="1"/>
  <c r="AI64" i="7" s="1"/>
  <c r="AF54" i="7"/>
  <c r="AF56" i="7"/>
  <c r="AF58" i="7"/>
  <c r="AA46" i="7"/>
  <c r="AA47" i="7"/>
  <c r="AA48" i="7"/>
  <c r="U33" i="6"/>
  <c r="S103" i="7"/>
  <c r="S37" i="7"/>
  <c r="AI63" i="7" l="1"/>
  <c r="AI62" i="7"/>
  <c r="AI66" i="7"/>
  <c r="AF57" i="7"/>
  <c r="AF53" i="7" s="1"/>
  <c r="AG55" i="7" s="1"/>
  <c r="AA49" i="7"/>
  <c r="AA45" i="7" s="1"/>
  <c r="AB50" i="7" s="1"/>
  <c r="S98" i="7"/>
  <c r="T42" i="7"/>
  <c r="T39" i="7"/>
  <c r="T100" i="7" s="1"/>
  <c r="T38" i="7"/>
  <c r="T99" i="7" s="1"/>
  <c r="T40" i="7"/>
  <c r="T101" i="7" s="1"/>
  <c r="AI65" i="7" l="1"/>
  <c r="AI61" i="7" s="1"/>
  <c r="AJ63" i="7" s="1"/>
  <c r="AG54" i="7"/>
  <c r="AG58" i="7"/>
  <c r="AG56" i="7"/>
  <c r="AB48" i="7"/>
  <c r="AB47" i="7"/>
  <c r="AB46" i="7"/>
  <c r="V35" i="6"/>
  <c r="V39" i="6" s="1"/>
  <c r="V38" i="6" s="1"/>
  <c r="T41" i="7"/>
  <c r="AJ62" i="7" l="1"/>
  <c r="AJ64" i="7"/>
  <c r="AJ66" i="7"/>
  <c r="AG57" i="7"/>
  <c r="AG53" i="7" s="1"/>
  <c r="AH56" i="7" s="1"/>
  <c r="AB49" i="7"/>
  <c r="AB45" i="7" s="1"/>
  <c r="AC48" i="7" s="1"/>
  <c r="T37" i="7"/>
  <c r="T102" i="7"/>
  <c r="AJ65" i="7" l="1"/>
  <c r="AJ61" i="7" s="1"/>
  <c r="AK64" i="7" s="1"/>
  <c r="AH55" i="7"/>
  <c r="AH58" i="7"/>
  <c r="AH54" i="7"/>
  <c r="AC50" i="7"/>
  <c r="AC46" i="7"/>
  <c r="AC47" i="7"/>
  <c r="V36" i="6"/>
  <c r="V33" i="6" s="1"/>
  <c r="T103" i="7"/>
  <c r="U38" i="7"/>
  <c r="U99" i="7" s="1"/>
  <c r="U40" i="7"/>
  <c r="U101" i="7" s="1"/>
  <c r="U42" i="7"/>
  <c r="T98" i="7"/>
  <c r="U39" i="7"/>
  <c r="U100" i="7" s="1"/>
  <c r="AK62" i="7" l="1"/>
  <c r="AK63" i="7"/>
  <c r="AK66" i="7"/>
  <c r="AH57" i="7"/>
  <c r="AH53" i="7" s="1"/>
  <c r="AI58" i="7" s="1"/>
  <c r="AC49" i="7"/>
  <c r="AC45" i="7" s="1"/>
  <c r="AD48" i="7" s="1"/>
  <c r="U41" i="7"/>
  <c r="U102" i="7" s="1"/>
  <c r="W36" i="6" s="1"/>
  <c r="W35" i="6"/>
  <c r="AK65" i="7" l="1"/>
  <c r="AK61" i="7" s="1"/>
  <c r="AL63" i="7" s="1"/>
  <c r="AM63" i="7" s="1"/>
  <c r="AI54" i="7"/>
  <c r="AI55" i="7"/>
  <c r="AI56" i="7"/>
  <c r="AD46" i="7"/>
  <c r="AD50" i="7"/>
  <c r="AD47" i="7"/>
  <c r="U37" i="7"/>
  <c r="V38" i="7" s="1"/>
  <c r="V99" i="7" s="1"/>
  <c r="U103" i="7"/>
  <c r="W33" i="6"/>
  <c r="W39" i="6"/>
  <c r="W38" i="6" s="1"/>
  <c r="AL66" i="7" l="1"/>
  <c r="AM66" i="7" s="1"/>
  <c r="AL64" i="7"/>
  <c r="AM64" i="7" s="1"/>
  <c r="AL62" i="7"/>
  <c r="AM62" i="7" s="1"/>
  <c r="AI57" i="7"/>
  <c r="AI53" i="7" s="1"/>
  <c r="AJ54" i="7" s="1"/>
  <c r="AD49" i="7"/>
  <c r="AD45" i="7" s="1"/>
  <c r="AE46" i="7" s="1"/>
  <c r="V40" i="7"/>
  <c r="V101" i="7" s="1"/>
  <c r="V42" i="7"/>
  <c r="U98" i="7"/>
  <c r="V39" i="7"/>
  <c r="V100" i="7" s="1"/>
  <c r="AL65" i="7" l="1"/>
  <c r="AL61" i="7" s="1"/>
  <c r="AM61" i="7" s="1"/>
  <c r="AJ58" i="7"/>
  <c r="AJ55" i="7"/>
  <c r="AJ56" i="7"/>
  <c r="AE50" i="7"/>
  <c r="AE48" i="7"/>
  <c r="AE47" i="7"/>
  <c r="X35" i="6"/>
  <c r="X39" i="6" s="1"/>
  <c r="X38" i="6" s="1"/>
  <c r="V41" i="7"/>
  <c r="AM65" i="7" l="1"/>
  <c r="AJ57" i="7"/>
  <c r="AJ53" i="7" s="1"/>
  <c r="AK58" i="7" s="1"/>
  <c r="AE49" i="7"/>
  <c r="AE45" i="7" s="1"/>
  <c r="AF47" i="7" s="1"/>
  <c r="V102" i="7"/>
  <c r="V37" i="7"/>
  <c r="AK56" i="7" l="1"/>
  <c r="AK55" i="7"/>
  <c r="AK54" i="7"/>
  <c r="AF50" i="7"/>
  <c r="AF46" i="7"/>
  <c r="AF48" i="7"/>
  <c r="W39" i="7"/>
  <c r="W100" i="7" s="1"/>
  <c r="W40" i="7"/>
  <c r="W101" i="7" s="1"/>
  <c r="V98" i="7"/>
  <c r="W42" i="7"/>
  <c r="W38" i="7"/>
  <c r="W99" i="7" s="1"/>
  <c r="X36" i="6"/>
  <c r="X33" i="6" s="1"/>
  <c r="V103" i="7"/>
  <c r="AK57" i="7" l="1"/>
  <c r="AK53" i="7" s="1"/>
  <c r="AL54" i="7" s="1"/>
  <c r="AM54" i="7" s="1"/>
  <c r="AF49" i="7"/>
  <c r="AF45" i="7" s="1"/>
  <c r="AG46" i="7" s="1"/>
  <c r="W41" i="7"/>
  <c r="W102" i="7" s="1"/>
  <c r="Y35" i="6"/>
  <c r="Y39" i="6" s="1"/>
  <c r="Y38" i="6" s="1"/>
  <c r="AL58" i="7" l="1"/>
  <c r="AM58" i="7" s="1"/>
  <c r="AL55" i="7"/>
  <c r="AM55" i="7" s="1"/>
  <c r="AL56" i="7"/>
  <c r="AM56" i="7" s="1"/>
  <c r="AG48" i="7"/>
  <c r="AG50" i="7"/>
  <c r="AG47" i="7"/>
  <c r="W37" i="7"/>
  <c r="X40" i="7" s="1"/>
  <c r="X101" i="7" s="1"/>
  <c r="Y36" i="6"/>
  <c r="Y33" i="6" s="1"/>
  <c r="W103" i="7"/>
  <c r="AL57" i="7" l="1"/>
  <c r="AM57" i="7" s="1"/>
  <c r="AG49" i="7"/>
  <c r="AG45" i="7" s="1"/>
  <c r="AH48" i="7" s="1"/>
  <c r="X39" i="7"/>
  <c r="X100" i="7" s="1"/>
  <c r="X42" i="7"/>
  <c r="W98" i="7"/>
  <c r="X38" i="7"/>
  <c r="X99" i="7" s="1"/>
  <c r="AL53" i="7" l="1"/>
  <c r="AM53" i="7" s="1"/>
  <c r="AH47" i="7"/>
  <c r="AH50" i="7"/>
  <c r="AH46" i="7"/>
  <c r="Z35" i="6"/>
  <c r="Z39" i="6" s="1"/>
  <c r="Z38" i="6" s="1"/>
  <c r="X41" i="7"/>
  <c r="X37" i="7" s="1"/>
  <c r="AH49" i="7" l="1"/>
  <c r="AH45" i="7" s="1"/>
  <c r="AI48" i="7" s="1"/>
  <c r="X102" i="7"/>
  <c r="X103" i="7" s="1"/>
  <c r="Y42" i="7"/>
  <c r="Y38" i="7"/>
  <c r="Y99" i="7" s="1"/>
  <c r="X98" i="7"/>
  <c r="Y40" i="7"/>
  <c r="Y101" i="7" s="1"/>
  <c r="Y39" i="7"/>
  <c r="Y100" i="7" s="1"/>
  <c r="AI50" i="7" l="1"/>
  <c r="AI47" i="7"/>
  <c r="AI46" i="7"/>
  <c r="Z36" i="6"/>
  <c r="Z33" i="6" s="1"/>
  <c r="Y41" i="7"/>
  <c r="AA35" i="6"/>
  <c r="AI49" i="7" l="1"/>
  <c r="AI45" i="7" s="1"/>
  <c r="AJ50" i="7" s="1"/>
  <c r="AA39" i="6"/>
  <c r="AA38" i="6" s="1"/>
  <c r="Y102" i="7"/>
  <c r="Y37" i="7"/>
  <c r="AJ48" i="7" l="1"/>
  <c r="AJ47" i="7"/>
  <c r="AJ46" i="7"/>
  <c r="AA36" i="6"/>
  <c r="AA33" i="6" s="1"/>
  <c r="Y103" i="7"/>
  <c r="Z42" i="7"/>
  <c r="Z40" i="7"/>
  <c r="Z101" i="7" s="1"/>
  <c r="Z39" i="7"/>
  <c r="Z100" i="7" s="1"/>
  <c r="Z38" i="7"/>
  <c r="Z99" i="7" s="1"/>
  <c r="Y98" i="7"/>
  <c r="AJ49" i="7" l="1"/>
  <c r="AJ45" i="7" s="1"/>
  <c r="AK48" i="7" s="1"/>
  <c r="AB35" i="6"/>
  <c r="Z41" i="7"/>
  <c r="AK46" i="7" l="1"/>
  <c r="AK47" i="7"/>
  <c r="AK50" i="7"/>
  <c r="Z102" i="7"/>
  <c r="Z37" i="7"/>
  <c r="AB39" i="6"/>
  <c r="AB38" i="6" s="1"/>
  <c r="AK49" i="7" l="1"/>
  <c r="AK45" i="7" s="1"/>
  <c r="AL50" i="7" s="1"/>
  <c r="AM50" i="7" s="1"/>
  <c r="AA38" i="7"/>
  <c r="AA99" i="7" s="1"/>
  <c r="Z98" i="7"/>
  <c r="AA42" i="7"/>
  <c r="AA39" i="7"/>
  <c r="AA100" i="7" s="1"/>
  <c r="AA40" i="7"/>
  <c r="AA101" i="7" s="1"/>
  <c r="AB36" i="6"/>
  <c r="AB33" i="6" s="1"/>
  <c r="Z103" i="7"/>
  <c r="AL48" i="7" l="1"/>
  <c r="AM48" i="7" s="1"/>
  <c r="AL47" i="7"/>
  <c r="AM47" i="7" s="1"/>
  <c r="AL46" i="7"/>
  <c r="AM46" i="7" s="1"/>
  <c r="AA41" i="7"/>
  <c r="AC35" i="6"/>
  <c r="AC39" i="6" s="1"/>
  <c r="AC38" i="6" s="1"/>
  <c r="AL49" i="7" l="1"/>
  <c r="AM49" i="7" s="1"/>
  <c r="AA102" i="7"/>
  <c r="AA37" i="7"/>
  <c r="AL45" i="7" l="1"/>
  <c r="AM45" i="7" s="1"/>
  <c r="AB39" i="7"/>
  <c r="AB100" i="7" s="1"/>
  <c r="AB38" i="7"/>
  <c r="AB99" i="7" s="1"/>
  <c r="AB40" i="7"/>
  <c r="AB101" i="7" s="1"/>
  <c r="AA98" i="7"/>
  <c r="AB42" i="7"/>
  <c r="AC36" i="6"/>
  <c r="AC33" i="6" s="1"/>
  <c r="AA103" i="7"/>
  <c r="AD35" i="6" l="1"/>
  <c r="AB41" i="7"/>
  <c r="AB102" i="7" l="1"/>
  <c r="AB37" i="7"/>
  <c r="AD39" i="6"/>
  <c r="AD38" i="6" s="1"/>
  <c r="AC42" i="7" l="1"/>
  <c r="AC39" i="7"/>
  <c r="AC100" i="7" s="1"/>
  <c r="AC40" i="7"/>
  <c r="AC101" i="7" s="1"/>
  <c r="AC38" i="7"/>
  <c r="AC99" i="7" s="1"/>
  <c r="AB98" i="7"/>
  <c r="AD36" i="6"/>
  <c r="AD33" i="6" s="1"/>
  <c r="AB103" i="7"/>
  <c r="AE35" i="6" l="1"/>
  <c r="AC41" i="7"/>
  <c r="AC102" i="7" l="1"/>
  <c r="AC37" i="7"/>
  <c r="AE39" i="6"/>
  <c r="AE38" i="6" s="1"/>
  <c r="AD39" i="7" l="1"/>
  <c r="AD100" i="7" s="1"/>
  <c r="AC98" i="7"/>
  <c r="AD42" i="7"/>
  <c r="AD40" i="7"/>
  <c r="AD101" i="7" s="1"/>
  <c r="AD38" i="7"/>
  <c r="AD99" i="7" s="1"/>
  <c r="AE36" i="6"/>
  <c r="AE33" i="6" s="1"/>
  <c r="AC103" i="7"/>
  <c r="AD41" i="7" l="1"/>
  <c r="AD102" i="7" s="1"/>
  <c r="AF36" i="6" s="1"/>
  <c r="AF35" i="6"/>
  <c r="AF39" i="6" s="1"/>
  <c r="AF38" i="6" s="1"/>
  <c r="AD103" i="7" l="1"/>
  <c r="AD37" i="7"/>
  <c r="AD98" i="7" s="1"/>
  <c r="AF33" i="6"/>
  <c r="AE42" i="7" l="1"/>
  <c r="AE40" i="7"/>
  <c r="AE101" i="7" s="1"/>
  <c r="AE38" i="7"/>
  <c r="AE99" i="7" s="1"/>
  <c r="AE39" i="7"/>
  <c r="AE100" i="7" s="1"/>
  <c r="AG35" i="6" l="1"/>
  <c r="AG39" i="6" s="1"/>
  <c r="AG38" i="6" s="1"/>
  <c r="AE41" i="7"/>
  <c r="AE102" i="7" l="1"/>
  <c r="AE37" i="7"/>
  <c r="AF40" i="7" l="1"/>
  <c r="AF101" i="7" s="1"/>
  <c r="AF39" i="7"/>
  <c r="AF100" i="7" s="1"/>
  <c r="AF38" i="7"/>
  <c r="AF99" i="7" s="1"/>
  <c r="AE98" i="7"/>
  <c r="AF42" i="7"/>
  <c r="AG36" i="6"/>
  <c r="AG33" i="6" s="1"/>
  <c r="AE103" i="7"/>
  <c r="AH35" i="6" l="1"/>
  <c r="AH39" i="6" s="1"/>
  <c r="AH38" i="6" s="1"/>
  <c r="AF41" i="7"/>
  <c r="AF102" i="7" l="1"/>
  <c r="AF37" i="7"/>
  <c r="AG39" i="7" l="1"/>
  <c r="AG100" i="7" s="1"/>
  <c r="AG40" i="7"/>
  <c r="AG101" i="7" s="1"/>
  <c r="AG42" i="7"/>
  <c r="AF98" i="7"/>
  <c r="AG38" i="7"/>
  <c r="AG99" i="7" s="1"/>
  <c r="AH36" i="6"/>
  <c r="AH33" i="6" s="1"/>
  <c r="AF103" i="7"/>
  <c r="AI35" i="6" l="1"/>
  <c r="AI39" i="6" s="1"/>
  <c r="AI38" i="6" s="1"/>
  <c r="AG41" i="7"/>
  <c r="AG102" i="7" l="1"/>
  <c r="AG37" i="7"/>
  <c r="AH38" i="7" l="1"/>
  <c r="AH99" i="7" s="1"/>
  <c r="AH42" i="7"/>
  <c r="AH39" i="7"/>
  <c r="AH100" i="7" s="1"/>
  <c r="AH40" i="7"/>
  <c r="AH101" i="7" s="1"/>
  <c r="AG98" i="7"/>
  <c r="AI36" i="6"/>
  <c r="AI33" i="6" s="1"/>
  <c r="C50" i="6" s="1"/>
  <c r="AG103" i="7"/>
  <c r="AH41" i="7" l="1"/>
  <c r="AJ35" i="6"/>
  <c r="AJ39" i="6" s="1"/>
  <c r="AJ38" i="6" s="1"/>
  <c r="AH102" i="7" l="1"/>
  <c r="AH37" i="7"/>
  <c r="AI38" i="7" l="1"/>
  <c r="AI99" i="7" s="1"/>
  <c r="AI42" i="7"/>
  <c r="AH98" i="7"/>
  <c r="AI39" i="7"/>
  <c r="AI100" i="7" s="1"/>
  <c r="AI40" i="7"/>
  <c r="AI101" i="7" s="1"/>
  <c r="AJ36" i="6"/>
  <c r="AJ33" i="6" s="1"/>
  <c r="AH103" i="7"/>
  <c r="AI41" i="7" l="1"/>
  <c r="AK35" i="6"/>
  <c r="AK39" i="6" s="1"/>
  <c r="AK38" i="6" s="1"/>
  <c r="AI102" i="7" l="1"/>
  <c r="AI37" i="7"/>
  <c r="AJ40" i="7" l="1"/>
  <c r="AJ101" i="7" s="1"/>
  <c r="AJ39" i="7"/>
  <c r="AJ100" i="7" s="1"/>
  <c r="AJ38" i="7"/>
  <c r="AJ99" i="7" s="1"/>
  <c r="AI98" i="7"/>
  <c r="AJ42" i="7"/>
  <c r="AK36" i="6"/>
  <c r="AK33" i="6" s="1"/>
  <c r="AI103" i="7"/>
  <c r="AJ41" i="7" l="1"/>
  <c r="AJ102" i="7" s="1"/>
  <c r="AL36" i="6" s="1"/>
  <c r="AL35" i="6"/>
  <c r="AJ103" i="7" l="1"/>
  <c r="AJ37" i="7"/>
  <c r="AK42" i="7" s="1"/>
  <c r="AL39" i="6"/>
  <c r="AL38" i="6" s="1"/>
  <c r="AL33" i="6"/>
  <c r="AK40" i="7" l="1"/>
  <c r="AK101" i="7" s="1"/>
  <c r="AJ98" i="7"/>
  <c r="AK39" i="7"/>
  <c r="AK100" i="7" s="1"/>
  <c r="AK38" i="7"/>
  <c r="AK99" i="7" s="1"/>
  <c r="E22" i="13"/>
  <c r="F61" i="1" s="1"/>
  <c r="E22" i="19" l="1"/>
  <c r="AN22" i="19" s="1"/>
  <c r="AO61" i="1"/>
  <c r="E39" i="13"/>
  <c r="E40" i="13" s="1"/>
  <c r="E42" i="13" s="1"/>
  <c r="C32" i="13" s="1"/>
  <c r="R33" i="13" s="1"/>
  <c r="AM35" i="6"/>
  <c r="AM39" i="6" s="1"/>
  <c r="AM38" i="6" s="1"/>
  <c r="AK41" i="7"/>
  <c r="AK102" i="7" s="1"/>
  <c r="AM34" i="13"/>
  <c r="F98" i="1"/>
  <c r="AO98" i="1" s="1"/>
  <c r="F97" i="1"/>
  <c r="W33" i="13" l="1"/>
  <c r="J33" i="13"/>
  <c r="AC33" i="13"/>
  <c r="E33" i="13"/>
  <c r="J34" i="13"/>
  <c r="J35" i="13" s="1"/>
  <c r="K58" i="1" s="1"/>
  <c r="AH34" i="13"/>
  <c r="O34" i="13"/>
  <c r="F34" i="13"/>
  <c r="F33" i="13"/>
  <c r="F35" i="13" s="1"/>
  <c r="G58" i="1" s="1"/>
  <c r="N34" i="13"/>
  <c r="L33" i="13"/>
  <c r="Q33" i="13"/>
  <c r="AH33" i="13"/>
  <c r="AH35" i="13" s="1"/>
  <c r="AI58" i="1" s="1"/>
  <c r="AI65" i="1" s="1"/>
  <c r="AI67" i="1" s="1" a="1"/>
  <c r="AI67" i="1" s="1"/>
  <c r="X33" i="13"/>
  <c r="AI34" i="13"/>
  <c r="M34" i="13"/>
  <c r="I34" i="13"/>
  <c r="AD33" i="13"/>
  <c r="E34" i="13"/>
  <c r="AK34" i="13"/>
  <c r="U33" i="13"/>
  <c r="AL33" i="13"/>
  <c r="H34" i="13"/>
  <c r="V34" i="13"/>
  <c r="P33" i="13"/>
  <c r="K34" i="13"/>
  <c r="Y33" i="13"/>
  <c r="T34" i="13"/>
  <c r="AA34" i="13"/>
  <c r="S33" i="13"/>
  <c r="AE34" i="13"/>
  <c r="V33" i="13"/>
  <c r="AK33" i="13"/>
  <c r="Z33" i="13"/>
  <c r="AF33" i="13"/>
  <c r="AF34" i="13"/>
  <c r="W34" i="13"/>
  <c r="AD34" i="13"/>
  <c r="AL34" i="13"/>
  <c r="O33" i="13"/>
  <c r="AA33" i="13"/>
  <c r="AA35" i="13" s="1"/>
  <c r="AB58" i="1" s="1"/>
  <c r="G34" i="13"/>
  <c r="R34" i="13"/>
  <c r="R35" i="13" s="1"/>
  <c r="S58" i="1" s="1"/>
  <c r="AJ34" i="13"/>
  <c r="X34" i="13"/>
  <c r="X35" i="13" s="1"/>
  <c r="Y58" i="1" s="1"/>
  <c r="Y34" i="13"/>
  <c r="M33" i="13"/>
  <c r="M35" i="13" s="1"/>
  <c r="N58" i="1" s="1"/>
  <c r="N96" i="1" s="1"/>
  <c r="K33" i="13"/>
  <c r="K35" i="13" s="1"/>
  <c r="L58" i="1" s="1"/>
  <c r="AM33" i="13"/>
  <c r="AM35" i="13" s="1"/>
  <c r="AN58" i="1" s="1"/>
  <c r="N33" i="13"/>
  <c r="P34" i="13"/>
  <c r="AG33" i="13"/>
  <c r="G33" i="13"/>
  <c r="G35" i="13" s="1"/>
  <c r="H58" i="1" s="1"/>
  <c r="H65" i="1" s="1"/>
  <c r="H67" i="1" s="1" a="1"/>
  <c r="H67" i="1" s="1"/>
  <c r="E35" i="13"/>
  <c r="F58" i="1" s="1"/>
  <c r="AB34" i="13"/>
  <c r="AJ33" i="13"/>
  <c r="AB33" i="13"/>
  <c r="U34" i="13"/>
  <c r="U35" i="13" s="1"/>
  <c r="V58" i="1" s="1"/>
  <c r="AE33" i="13"/>
  <c r="S34" i="13"/>
  <c r="I33" i="13"/>
  <c r="L34" i="13"/>
  <c r="AG34" i="13"/>
  <c r="H33" i="13"/>
  <c r="T33" i="13"/>
  <c r="Z34" i="13"/>
  <c r="AC34" i="13"/>
  <c r="AC35" i="13" s="1"/>
  <c r="AD58" i="1" s="1"/>
  <c r="AI33" i="13"/>
  <c r="AI35" i="13" s="1"/>
  <c r="AJ58" i="1" s="1"/>
  <c r="AI19" i="19" s="1"/>
  <c r="Q34" i="13"/>
  <c r="Q35" i="13" s="1"/>
  <c r="R58" i="1" s="1"/>
  <c r="AK37" i="7"/>
  <c r="AL39" i="7" s="1"/>
  <c r="AM36" i="6"/>
  <c r="AM33" i="6" s="1"/>
  <c r="AK103" i="7"/>
  <c r="AF35" i="13"/>
  <c r="AG58" i="1" s="1"/>
  <c r="AG35" i="13"/>
  <c r="AH58" i="1" s="1"/>
  <c r="AO97" i="1"/>
  <c r="E10" i="19"/>
  <c r="O35" i="13"/>
  <c r="P58" i="1" s="1"/>
  <c r="F19" i="19" l="1"/>
  <c r="G96" i="1"/>
  <c r="AB35" i="13"/>
  <c r="AC58" i="1" s="1"/>
  <c r="Z35" i="13"/>
  <c r="AA58" i="1" s="1"/>
  <c r="AA65" i="1" s="1"/>
  <c r="AA67" i="1" s="1" a="1"/>
  <c r="AA67" i="1" s="1"/>
  <c r="AK35" i="13"/>
  <c r="AL58" i="1" s="1"/>
  <c r="W35" i="13"/>
  <c r="X58" i="1" s="1"/>
  <c r="H35" i="13"/>
  <c r="I58" i="1" s="1"/>
  <c r="I65" i="1" s="1"/>
  <c r="I67" i="1" s="1" a="1"/>
  <c r="I67" i="1" s="1"/>
  <c r="I74" i="1" s="1"/>
  <c r="H29" i="19" s="1"/>
  <c r="L35" i="13"/>
  <c r="M58" i="1" s="1"/>
  <c r="N35" i="13"/>
  <c r="O58" i="1" s="1"/>
  <c r="G65" i="1"/>
  <c r="G67" i="1" s="1" a="1"/>
  <c r="G67" i="1" s="1"/>
  <c r="F28" i="19" s="1"/>
  <c r="AL35" i="13"/>
  <c r="AM58" i="1" s="1"/>
  <c r="AL19" i="19" s="1"/>
  <c r="Y35" i="13"/>
  <c r="Z58" i="1" s="1"/>
  <c r="Z65" i="1" s="1"/>
  <c r="Z67" i="1" s="1" a="1"/>
  <c r="Z67" i="1" s="1"/>
  <c r="AD35" i="13"/>
  <c r="AE58" i="1" s="1"/>
  <c r="AD19" i="19" s="1"/>
  <c r="V96" i="1"/>
  <c r="U19" i="19"/>
  <c r="Y19" i="19"/>
  <c r="I96" i="1"/>
  <c r="I95" i="1" s="1"/>
  <c r="V35" i="13"/>
  <c r="W58" i="1" s="1"/>
  <c r="W96" i="1" s="1"/>
  <c r="P35" i="13"/>
  <c r="Q58" i="1" s="1"/>
  <c r="P19" i="19" s="1"/>
  <c r="I35" i="13"/>
  <c r="J58" i="1" s="1"/>
  <c r="J96" i="1" s="1"/>
  <c r="V65" i="1"/>
  <c r="V67" i="1" s="1" a="1"/>
  <c r="V67" i="1" s="1"/>
  <c r="V74" i="1" s="1"/>
  <c r="V69" i="1" s="1"/>
  <c r="S35" i="13"/>
  <c r="T58" i="1" s="1"/>
  <c r="AJ96" i="1"/>
  <c r="AJ95" i="1" s="1"/>
  <c r="AE96" i="1"/>
  <c r="AE95" i="1" s="1"/>
  <c r="R19" i="19"/>
  <c r="S65" i="1"/>
  <c r="S67" i="1" s="1" a="1"/>
  <c r="S67" i="1" s="1"/>
  <c r="S74" i="1" s="1"/>
  <c r="S69" i="1" s="1"/>
  <c r="S53" i="1" s="1"/>
  <c r="S96" i="1"/>
  <c r="S95" i="1" s="1"/>
  <c r="W19" i="19"/>
  <c r="X96" i="1"/>
  <c r="X95" i="1" s="1"/>
  <c r="X65" i="1"/>
  <c r="X67" i="1" s="1" a="1"/>
  <c r="X67" i="1" s="1"/>
  <c r="W28" i="19" s="1"/>
  <c r="AD65" i="1"/>
  <c r="AC24" i="19" s="1"/>
  <c r="AD96" i="1"/>
  <c r="AD95" i="1" s="1"/>
  <c r="AC19" i="19"/>
  <c r="AE35" i="13"/>
  <c r="AF58" i="1" s="1"/>
  <c r="AH19" i="19"/>
  <c r="AG205" i="1"/>
  <c r="N65" i="1"/>
  <c r="N67" i="1" s="1" a="1"/>
  <c r="N67" i="1" s="1"/>
  <c r="M28" i="19" s="1"/>
  <c r="AJ35" i="13"/>
  <c r="AK58" i="1" s="1"/>
  <c r="AJ65" i="1"/>
  <c r="AI24" i="19" s="1"/>
  <c r="T35" i="13"/>
  <c r="U58" i="1" s="1"/>
  <c r="U96" i="1" s="1"/>
  <c r="U95" i="1" s="1"/>
  <c r="R96" i="1"/>
  <c r="R85" i="1" s="1"/>
  <c r="Q19" i="19"/>
  <c r="R65" i="1"/>
  <c r="R67" i="1" s="1" a="1"/>
  <c r="R67" i="1" s="1"/>
  <c r="AA96" i="1"/>
  <c r="AA85" i="1" s="1"/>
  <c r="Z19" i="19"/>
  <c r="G19" i="19"/>
  <c r="H96" i="1"/>
  <c r="G11" i="19" s="1"/>
  <c r="G9" i="19" s="1"/>
  <c r="G13" i="19" s="1"/>
  <c r="AI96" i="1"/>
  <c r="AI95" i="1" s="1"/>
  <c r="M19" i="19"/>
  <c r="AL42" i="7"/>
  <c r="AM42" i="7" s="1"/>
  <c r="AL40" i="7"/>
  <c r="AL101" i="7" s="1"/>
  <c r="AL38" i="7"/>
  <c r="AL99" i="7" s="1"/>
  <c r="AK98" i="7"/>
  <c r="AL100" i="7"/>
  <c r="AM39" i="7"/>
  <c r="AH28" i="19"/>
  <c r="I69" i="1"/>
  <c r="I53" i="1" s="1"/>
  <c r="Z28" i="19"/>
  <c r="G28" i="19"/>
  <c r="O96" i="1"/>
  <c r="N19" i="19"/>
  <c r="O65" i="1"/>
  <c r="T96" i="1"/>
  <c r="T65" i="1"/>
  <c r="T67" i="1" s="1" a="1"/>
  <c r="T67" i="1" s="1"/>
  <c r="T74" i="1" s="1"/>
  <c r="S19" i="19"/>
  <c r="P96" i="1"/>
  <c r="O19" i="19"/>
  <c r="P65" i="1"/>
  <c r="P67" i="1" s="1" a="1"/>
  <c r="P67" i="1" s="1"/>
  <c r="AF19" i="19"/>
  <c r="AG65" i="1"/>
  <c r="AG67" i="1" s="1" a="1"/>
  <c r="AG67" i="1" s="1"/>
  <c r="AG74" i="1" s="1"/>
  <c r="AG96" i="1"/>
  <c r="V19" i="19"/>
  <c r="W65" i="1"/>
  <c r="W67" i="1" s="1" a="1"/>
  <c r="W67" i="1" s="1"/>
  <c r="W74" i="1" s="1"/>
  <c r="M96" i="1"/>
  <c r="M65" i="1"/>
  <c r="L19" i="19"/>
  <c r="S85" i="1"/>
  <c r="I19" i="19"/>
  <c r="AN10" i="19"/>
  <c r="V95" i="1"/>
  <c r="V85" i="1"/>
  <c r="U11" i="19"/>
  <c r="U9" i="19" s="1"/>
  <c r="U13" i="19" s="1"/>
  <c r="Z24" i="19"/>
  <c r="F65" i="1"/>
  <c r="F67" i="1" s="1" a="1"/>
  <c r="F67" i="1" s="1"/>
  <c r="F74" i="1" s="1"/>
  <c r="E19" i="19"/>
  <c r="F96" i="1"/>
  <c r="AH24" i="19"/>
  <c r="L96" i="1"/>
  <c r="K19" i="19"/>
  <c r="L65" i="1"/>
  <c r="L67" i="1" s="1" a="1"/>
  <c r="L67" i="1" s="1"/>
  <c r="G24" i="19"/>
  <c r="AI74" i="1"/>
  <c r="X19" i="19"/>
  <c r="Y96" i="1"/>
  <c r="Y65" i="1"/>
  <c r="Y67" i="1" s="1" a="1"/>
  <c r="Y67" i="1" s="1"/>
  <c r="AG218" i="1"/>
  <c r="AJ85" i="1"/>
  <c r="K96" i="1"/>
  <c r="K65" i="1"/>
  <c r="J19" i="19"/>
  <c r="N95" i="1"/>
  <c r="M11" i="19"/>
  <c r="M9" i="19" s="1"/>
  <c r="M13" i="19" s="1"/>
  <c r="N85" i="1"/>
  <c r="AA19" i="19"/>
  <c r="AB96" i="1"/>
  <c r="AB65" i="1"/>
  <c r="AB67" i="1" s="1" a="1"/>
  <c r="AB67" i="1" s="1"/>
  <c r="AA74" i="1"/>
  <c r="AC96" i="1"/>
  <c r="AC65" i="1"/>
  <c r="AC67" i="1" s="1" a="1"/>
  <c r="AC67" i="1" s="1"/>
  <c r="AC74" i="1" s="1"/>
  <c r="AB19" i="19"/>
  <c r="AM19" i="19"/>
  <c r="AN65" i="1"/>
  <c r="AN96" i="1"/>
  <c r="AK205" i="1"/>
  <c r="AG19" i="19"/>
  <c r="AH96" i="1"/>
  <c r="AH65" i="1"/>
  <c r="AA95" i="1"/>
  <c r="Z11" i="19"/>
  <c r="Z9" i="19" s="1"/>
  <c r="Z13" i="19" s="1"/>
  <c r="H74" i="1"/>
  <c r="H24" i="19"/>
  <c r="G95" i="1"/>
  <c r="G85" i="1"/>
  <c r="F11" i="19"/>
  <c r="F9" i="19" s="1"/>
  <c r="F13" i="19" s="1"/>
  <c r="Y24" i="19" l="1"/>
  <c r="G74" i="1"/>
  <c r="F24" i="19"/>
  <c r="H28" i="19"/>
  <c r="AO35" i="13"/>
  <c r="J65" i="1"/>
  <c r="I24" i="19" s="1"/>
  <c r="AJ205" i="1"/>
  <c r="Z96" i="1"/>
  <c r="AK19" i="19"/>
  <c r="AI205" i="1"/>
  <c r="AL65" i="1"/>
  <c r="AL96" i="1"/>
  <c r="AD85" i="1"/>
  <c r="AM96" i="1"/>
  <c r="AM65" i="1"/>
  <c r="AJ212" i="1" s="1"/>
  <c r="AC11" i="19"/>
  <c r="AC9" i="19" s="1"/>
  <c r="AC13" i="19" s="1"/>
  <c r="H19" i="19"/>
  <c r="R11" i="19"/>
  <c r="R9" i="19" s="1"/>
  <c r="R13" i="19" s="1"/>
  <c r="T11" i="19"/>
  <c r="T9" i="19" s="1"/>
  <c r="T13" i="19" s="1"/>
  <c r="AI85" i="1"/>
  <c r="AH11" i="19"/>
  <c r="AH9" i="19" s="1"/>
  <c r="AH13" i="19" s="1"/>
  <c r="I85" i="1"/>
  <c r="H11" i="19"/>
  <c r="H9" i="19" s="1"/>
  <c r="H13" i="19" s="1"/>
  <c r="AG212" i="1"/>
  <c r="AJ67" i="1" a="1"/>
  <c r="AJ67" i="1" s="1"/>
  <c r="AJ74" i="1" s="1"/>
  <c r="AJ69" i="1" s="1"/>
  <c r="AJ53" i="1" s="1"/>
  <c r="R24" i="19"/>
  <c r="U85" i="1"/>
  <c r="AE65" i="1"/>
  <c r="Q11" i="19"/>
  <c r="Q9" i="19" s="1"/>
  <c r="Q13" i="19" s="1"/>
  <c r="H95" i="1"/>
  <c r="Q65" i="1"/>
  <c r="Q67" i="1" s="1" a="1"/>
  <c r="Q67" i="1" s="1"/>
  <c r="P28" i="19" s="1"/>
  <c r="R28" i="19"/>
  <c r="Q96" i="1"/>
  <c r="Q95" i="1" s="1"/>
  <c r="AE85" i="1"/>
  <c r="AD11" i="19"/>
  <c r="AD9" i="19" s="1"/>
  <c r="AD13" i="19" s="1"/>
  <c r="H85" i="1"/>
  <c r="N74" i="1"/>
  <c r="N69" i="1" s="1"/>
  <c r="M24" i="19"/>
  <c r="U24" i="19"/>
  <c r="U28" i="19"/>
  <c r="Q24" i="19"/>
  <c r="AD67" i="1" a="1"/>
  <c r="AD67" i="1" s="1"/>
  <c r="AD74" i="1" s="1"/>
  <c r="AD69" i="1" s="1"/>
  <c r="AD53" i="1" s="1"/>
  <c r="AA15" i="24" s="1"/>
  <c r="W24" i="19"/>
  <c r="X74" i="1"/>
  <c r="X69" i="1" s="1"/>
  <c r="X53" i="1" s="1"/>
  <c r="AI11" i="19"/>
  <c r="AI9" i="19" s="1"/>
  <c r="AI13" i="19" s="1"/>
  <c r="T19" i="19"/>
  <c r="U65" i="1"/>
  <c r="U67" i="1" s="1" a="1"/>
  <c r="U67" i="1" s="1"/>
  <c r="T28" i="19" s="1"/>
  <c r="AO58" i="1"/>
  <c r="U29" i="19"/>
  <c r="R95" i="1"/>
  <c r="X85" i="1"/>
  <c r="W11" i="19"/>
  <c r="W9" i="19" s="1"/>
  <c r="W13" i="19" s="1"/>
  <c r="AK96" i="1"/>
  <c r="AK65" i="1"/>
  <c r="AH205" i="1"/>
  <c r="AJ19" i="19"/>
  <c r="AF96" i="1"/>
  <c r="AF65" i="1"/>
  <c r="AE19" i="19"/>
  <c r="AM38" i="7"/>
  <c r="AM40" i="7"/>
  <c r="AL41" i="7"/>
  <c r="AL37" i="7" s="1"/>
  <c r="F15" i="24"/>
  <c r="F13" i="24"/>
  <c r="H15" i="19"/>
  <c r="H33" i="19" s="1"/>
  <c r="P13" i="24"/>
  <c r="P15" i="24"/>
  <c r="R29" i="19"/>
  <c r="AN35" i="6"/>
  <c r="Y74" i="1"/>
  <c r="X29" i="19" s="1"/>
  <c r="O67" i="1" a="1"/>
  <c r="O67" i="1" s="1"/>
  <c r="O74" i="1" s="1"/>
  <c r="AM67" i="1" a="1"/>
  <c r="AM67" i="1" s="1"/>
  <c r="AM74" i="1" s="1"/>
  <c r="AB74" i="1"/>
  <c r="AA29" i="19" s="1"/>
  <c r="T69" i="1"/>
  <c r="T53" i="1" s="1"/>
  <c r="Q15" i="24" s="1"/>
  <c r="S29" i="19"/>
  <c r="AF29" i="19"/>
  <c r="AG69" i="1"/>
  <c r="W69" i="1"/>
  <c r="V29" i="19"/>
  <c r="AC69" i="1"/>
  <c r="AB29" i="19"/>
  <c r="AM24" i="19"/>
  <c r="AK212" i="1"/>
  <c r="X28" i="19"/>
  <c r="E28" i="19"/>
  <c r="J24" i="19"/>
  <c r="AL24" i="19"/>
  <c r="E11" i="19"/>
  <c r="F85" i="1"/>
  <c r="F95" i="1"/>
  <c r="J85" i="1"/>
  <c r="J95" i="1"/>
  <c r="I11" i="19"/>
  <c r="I9" i="19" s="1"/>
  <c r="I13" i="19" s="1"/>
  <c r="P74" i="1"/>
  <c r="O95" i="1"/>
  <c r="O85" i="1"/>
  <c r="N11" i="19"/>
  <c r="N9" i="19" s="1"/>
  <c r="N13" i="19" s="1"/>
  <c r="K28" i="19"/>
  <c r="M95" i="1"/>
  <c r="L11" i="19"/>
  <c r="L9" i="19" s="1"/>
  <c r="L13" i="19" s="1"/>
  <c r="M85" i="1"/>
  <c r="S28" i="19"/>
  <c r="I101" i="1"/>
  <c r="F12" i="24"/>
  <c r="F11" i="24"/>
  <c r="F3" i="24"/>
  <c r="I77" i="1"/>
  <c r="I86" i="1"/>
  <c r="I90" i="1" s="1"/>
  <c r="I91" i="1" s="1"/>
  <c r="F9" i="24"/>
  <c r="F7" i="24"/>
  <c r="F17" i="24"/>
  <c r="F10" i="24"/>
  <c r="F5" i="24"/>
  <c r="F4" i="24"/>
  <c r="F8" i="24"/>
  <c r="F14" i="24"/>
  <c r="F6" i="24"/>
  <c r="L24" i="19"/>
  <c r="Z29" i="19"/>
  <c r="Z15" i="19" s="1"/>
  <c r="AA69" i="1"/>
  <c r="Q28" i="19"/>
  <c r="R74" i="1"/>
  <c r="AN67" i="1" a="1"/>
  <c r="AN67" i="1" s="1"/>
  <c r="AA24" i="19"/>
  <c r="J11" i="19"/>
  <c r="J9" i="19" s="1"/>
  <c r="J13" i="19" s="1"/>
  <c r="K95" i="1"/>
  <c r="K85" i="1"/>
  <c r="L74" i="1"/>
  <c r="M29" i="19"/>
  <c r="M67" i="1" a="1"/>
  <c r="M67" i="1" s="1"/>
  <c r="M74" i="1" s="1"/>
  <c r="O28" i="19"/>
  <c r="K24" i="19"/>
  <c r="E24" i="19"/>
  <c r="O24" i="19"/>
  <c r="S24" i="19"/>
  <c r="F16" i="24"/>
  <c r="F69" i="1"/>
  <c r="E29" i="19"/>
  <c r="AG95" i="1"/>
  <c r="AF11" i="19"/>
  <c r="AF9" i="19" s="1"/>
  <c r="AF13" i="19" s="1"/>
  <c r="AG85" i="1"/>
  <c r="P95" i="1"/>
  <c r="O11" i="19"/>
  <c r="O9" i="19" s="1"/>
  <c r="O13" i="19" s="1"/>
  <c r="P85" i="1"/>
  <c r="V53" i="1"/>
  <c r="T95" i="1"/>
  <c r="T85" i="1"/>
  <c r="S11" i="19"/>
  <c r="S9" i="19" s="1"/>
  <c r="S13" i="19" s="1"/>
  <c r="Y95" i="1"/>
  <c r="Y85" i="1"/>
  <c r="X11" i="19"/>
  <c r="X9" i="19" s="1"/>
  <c r="X13" i="19" s="1"/>
  <c r="AA28" i="19"/>
  <c r="AG24" i="19"/>
  <c r="W95" i="1"/>
  <c r="V11" i="19"/>
  <c r="V9" i="19" s="1"/>
  <c r="V13" i="19" s="1"/>
  <c r="W85" i="1"/>
  <c r="AF28" i="19"/>
  <c r="P16" i="24"/>
  <c r="F29" i="19"/>
  <c r="F15" i="19" s="1"/>
  <c r="F34" i="19" s="1"/>
  <c r="G69" i="1"/>
  <c r="G29" i="19"/>
  <c r="G15" i="19" s="1"/>
  <c r="H69" i="1"/>
  <c r="AB28" i="19"/>
  <c r="S101" i="1"/>
  <c r="P3" i="24"/>
  <c r="P7" i="24"/>
  <c r="S86" i="1"/>
  <c r="S90" i="1" s="1"/>
  <c r="S91" i="1" s="1"/>
  <c r="P11" i="24"/>
  <c r="P5" i="24"/>
  <c r="P17" i="24"/>
  <c r="P10" i="24"/>
  <c r="P12" i="24"/>
  <c r="P9" i="24"/>
  <c r="P14" i="24"/>
  <c r="P4" i="24"/>
  <c r="P8" i="24"/>
  <c r="S77" i="1"/>
  <c r="P6" i="24"/>
  <c r="AG11" i="19"/>
  <c r="AG9" i="19" s="1"/>
  <c r="AG13" i="19" s="1"/>
  <c r="AH95" i="1"/>
  <c r="AH85" i="1"/>
  <c r="AB24" i="19"/>
  <c r="AA11" i="19"/>
  <c r="AA9" i="19" s="1"/>
  <c r="AA13" i="19" s="1"/>
  <c r="AB85" i="1"/>
  <c r="AB95" i="1"/>
  <c r="V24" i="19"/>
  <c r="AF24" i="19"/>
  <c r="Z74" i="1"/>
  <c r="L95" i="1"/>
  <c r="L85" i="1"/>
  <c r="K11" i="19"/>
  <c r="K9" i="19" s="1"/>
  <c r="K13" i="19" s="1"/>
  <c r="AH67" i="1" a="1"/>
  <c r="AH67" i="1" s="1"/>
  <c r="AH74" i="1" s="1"/>
  <c r="X24" i="19"/>
  <c r="AL11" i="19"/>
  <c r="AL9" i="19" s="1"/>
  <c r="AL13" i="19" s="1"/>
  <c r="AM95" i="1"/>
  <c r="AM85" i="1"/>
  <c r="AJ218" i="1"/>
  <c r="N24" i="19"/>
  <c r="AC95" i="1"/>
  <c r="AB11" i="19"/>
  <c r="AB9" i="19" s="1"/>
  <c r="AB13" i="19" s="1"/>
  <c r="AC85" i="1"/>
  <c r="Y28" i="19"/>
  <c r="AI69" i="1"/>
  <c r="AH29" i="19"/>
  <c r="AH15" i="19" s="1"/>
  <c r="AM11" i="19"/>
  <c r="AM9" i="19" s="1"/>
  <c r="AM13" i="19" s="1"/>
  <c r="AN95" i="1"/>
  <c r="AN85" i="1"/>
  <c r="AK218" i="1"/>
  <c r="K67" i="1" a="1"/>
  <c r="K67" i="1" s="1"/>
  <c r="V28" i="19"/>
  <c r="J67" i="1" l="1" a="1"/>
  <c r="J67" i="1" s="1"/>
  <c r="J74" i="1" s="1"/>
  <c r="AI29" i="19"/>
  <c r="AG214" i="1"/>
  <c r="AI28" i="19"/>
  <c r="AL85" i="1"/>
  <c r="AL95" i="1"/>
  <c r="AK11" i="19"/>
  <c r="AK9" i="19" s="1"/>
  <c r="AK13" i="19" s="1"/>
  <c r="AI218" i="1"/>
  <c r="AL67" i="1" a="1"/>
  <c r="AL67" i="1" s="1"/>
  <c r="AL74" i="1" s="1"/>
  <c r="AI212" i="1"/>
  <c r="AK24" i="19"/>
  <c r="Z95" i="1"/>
  <c r="Z85" i="1"/>
  <c r="Y11" i="19"/>
  <c r="Y9" i="19" s="1"/>
  <c r="Y13" i="19" s="1"/>
  <c r="P11" i="19"/>
  <c r="P9" i="19" s="1"/>
  <c r="P13" i="19" s="1"/>
  <c r="Q85" i="1"/>
  <c r="Q74" i="1"/>
  <c r="P24" i="19"/>
  <c r="M15" i="19"/>
  <c r="M34" i="19" s="1"/>
  <c r="M35" i="19" s="1"/>
  <c r="R15" i="19"/>
  <c r="R33" i="19" s="1"/>
  <c r="AO96" i="1"/>
  <c r="AE67" i="1" a="1"/>
  <c r="AE67" i="1" s="1"/>
  <c r="AD28" i="19" s="1"/>
  <c r="AD24" i="19"/>
  <c r="AN19" i="19"/>
  <c r="U15" i="19"/>
  <c r="U34" i="19" s="1"/>
  <c r="U35" i="19" s="1"/>
  <c r="AC29" i="19"/>
  <c r="AC28" i="19"/>
  <c r="W29" i="19"/>
  <c r="W15" i="19" s="1"/>
  <c r="W34" i="19" s="1"/>
  <c r="W35" i="19" s="1"/>
  <c r="T24" i="19"/>
  <c r="U74" i="1"/>
  <c r="T29" i="19" s="1"/>
  <c r="AO65" i="1"/>
  <c r="Y69" i="1"/>
  <c r="Y53" i="1" s="1"/>
  <c r="V16" i="24" s="1"/>
  <c r="AF67" i="1" a="1"/>
  <c r="AF67" i="1" s="1"/>
  <c r="AE28" i="19" s="1"/>
  <c r="AE24" i="19"/>
  <c r="AF95" i="1"/>
  <c r="AF85" i="1"/>
  <c r="AE11" i="19"/>
  <c r="AE9" i="19" s="1"/>
  <c r="AE13" i="19" s="1"/>
  <c r="AK67" i="1" a="1"/>
  <c r="AK67" i="1" s="1"/>
  <c r="AK74" i="1" s="1"/>
  <c r="AJ24" i="19"/>
  <c r="AH212" i="1"/>
  <c r="AJ11" i="19"/>
  <c r="AJ9" i="19" s="1"/>
  <c r="AJ13" i="19" s="1"/>
  <c r="AK95" i="1"/>
  <c r="AH218" i="1"/>
  <c r="AK85" i="1"/>
  <c r="AL102" i="7"/>
  <c r="AN36" i="6" s="1"/>
  <c r="AO36" i="6" s="1"/>
  <c r="AM41" i="7"/>
  <c r="H34" i="19"/>
  <c r="H38" i="19" s="1"/>
  <c r="I28" i="19"/>
  <c r="AB69" i="1"/>
  <c r="AB53" i="1" s="1"/>
  <c r="Y13" i="24" s="1"/>
  <c r="S15" i="19"/>
  <c r="S33" i="19" s="1"/>
  <c r="AB15" i="19"/>
  <c r="AB34" i="19" s="1"/>
  <c r="X15" i="19"/>
  <c r="X34" i="19" s="1"/>
  <c r="AF15" i="19"/>
  <c r="AF34" i="19" s="1"/>
  <c r="AF35" i="19" s="1"/>
  <c r="AA15" i="19"/>
  <c r="AM37" i="7"/>
  <c r="AL98" i="7"/>
  <c r="AO35" i="6"/>
  <c r="AN39" i="6"/>
  <c r="E12" i="6"/>
  <c r="N28" i="19"/>
  <c r="AM69" i="1"/>
  <c r="AM53" i="1" s="1"/>
  <c r="AJ15" i="24" s="1"/>
  <c r="AL29" i="19"/>
  <c r="N29" i="19"/>
  <c r="O69" i="1"/>
  <c r="O53" i="1" s="1"/>
  <c r="L16" i="24" s="1"/>
  <c r="J69" i="1"/>
  <c r="J53" i="1" s="1"/>
  <c r="J101" i="1" s="1"/>
  <c r="I29" i="19"/>
  <c r="V15" i="19"/>
  <c r="V34" i="19" s="1"/>
  <c r="AI15" i="19"/>
  <c r="AI34" i="19" s="1"/>
  <c r="U16" i="24"/>
  <c r="AL28" i="19"/>
  <c r="AJ214" i="1"/>
  <c r="F38" i="19"/>
  <c r="F35" i="19"/>
  <c r="G34" i="19"/>
  <c r="H53" i="1"/>
  <c r="G33" i="19" s="1"/>
  <c r="AH69" i="1"/>
  <c r="AG29" i="19"/>
  <c r="AA53" i="1"/>
  <c r="Z33" i="19" s="1"/>
  <c r="L29" i="19"/>
  <c r="M69" i="1"/>
  <c r="P69" i="1"/>
  <c r="O29" i="19"/>
  <c r="O15" i="19" s="1"/>
  <c r="AG53" i="1"/>
  <c r="AD16" i="24" s="1"/>
  <c r="AA16" i="24"/>
  <c r="AG28" i="19"/>
  <c r="L28" i="19"/>
  <c r="F53" i="1"/>
  <c r="AJ101" i="1"/>
  <c r="AG201" i="1"/>
  <c r="AG3" i="24"/>
  <c r="AG11" i="24"/>
  <c r="AG17" i="24"/>
  <c r="AG12" i="24"/>
  <c r="AJ86" i="1"/>
  <c r="AJ90" i="1" s="1"/>
  <c r="AJ91" i="1" s="1"/>
  <c r="AG7" i="24"/>
  <c r="AG4" i="24"/>
  <c r="AG8" i="24"/>
  <c r="AG5" i="24"/>
  <c r="AJ77" i="1"/>
  <c r="AG10" i="24"/>
  <c r="AG14" i="24"/>
  <c r="AG9" i="24"/>
  <c r="AG6" i="24"/>
  <c r="AG13" i="24"/>
  <c r="AI53" i="1"/>
  <c r="AF16" i="24" s="1"/>
  <c r="P18" i="24"/>
  <c r="N53" i="1"/>
  <c r="R69" i="1"/>
  <c r="Q29" i="19"/>
  <c r="Q15" i="19" s="1"/>
  <c r="G53" i="1"/>
  <c r="F33" i="19" s="1"/>
  <c r="F18" i="24"/>
  <c r="Z34" i="19"/>
  <c r="AC53" i="1"/>
  <c r="V86" i="1"/>
  <c r="V90" i="1" s="1"/>
  <c r="V91" i="1" s="1"/>
  <c r="V101" i="1"/>
  <c r="S14" i="24"/>
  <c r="S5" i="24"/>
  <c r="S10" i="24"/>
  <c r="S11" i="24"/>
  <c r="S3" i="24"/>
  <c r="S9" i="24"/>
  <c r="S7" i="24"/>
  <c r="V77" i="1"/>
  <c r="S12" i="24"/>
  <c r="S8" i="24"/>
  <c r="S4" i="24"/>
  <c r="S17" i="24"/>
  <c r="S6" i="24"/>
  <c r="S13" i="24"/>
  <c r="S15" i="24"/>
  <c r="E15" i="19"/>
  <c r="AG15" i="24"/>
  <c r="AK214" i="1"/>
  <c r="AM28" i="19"/>
  <c r="AN74" i="1"/>
  <c r="S102" i="1"/>
  <c r="S103" i="1"/>
  <c r="Z69" i="1"/>
  <c r="Y29" i="19"/>
  <c r="Y15" i="19" s="1"/>
  <c r="J28" i="19"/>
  <c r="K74" i="1"/>
  <c r="S16" i="24"/>
  <c r="T101" i="1"/>
  <c r="Q12" i="24"/>
  <c r="Q17" i="24"/>
  <c r="Q8" i="24"/>
  <c r="Q5" i="24"/>
  <c r="Q9" i="24"/>
  <c r="T77" i="1"/>
  <c r="Q3" i="24"/>
  <c r="Q11" i="24"/>
  <c r="T86" i="1"/>
  <c r="T90" i="1" s="1"/>
  <c r="T91" i="1" s="1"/>
  <c r="Q10" i="24"/>
  <c r="Q4" i="24"/>
  <c r="Q7" i="24"/>
  <c r="Q14" i="24"/>
  <c r="Q6" i="24"/>
  <c r="AH34" i="19"/>
  <c r="W53" i="1"/>
  <c r="T16" i="24" s="1"/>
  <c r="L69" i="1"/>
  <c r="K29" i="19"/>
  <c r="K15" i="19" s="1"/>
  <c r="E9" i="19"/>
  <c r="Q16" i="24"/>
  <c r="AA3" i="24"/>
  <c r="AD101" i="1"/>
  <c r="AD77" i="1"/>
  <c r="AA5" i="24"/>
  <c r="AA14" i="24"/>
  <c r="AA12" i="24"/>
  <c r="AD86" i="1"/>
  <c r="AD90" i="1" s="1"/>
  <c r="AD91" i="1" s="1"/>
  <c r="AA17" i="24"/>
  <c r="AA7" i="24"/>
  <c r="AA10" i="24"/>
  <c r="AA8" i="24"/>
  <c r="AA4" i="24"/>
  <c r="AA9" i="24"/>
  <c r="AA11" i="24"/>
  <c r="AA6" i="24"/>
  <c r="AA13" i="24"/>
  <c r="Q69" i="1"/>
  <c r="P29" i="19"/>
  <c r="P15" i="19" s="1"/>
  <c r="X101" i="1"/>
  <c r="U7" i="24"/>
  <c r="X86" i="1"/>
  <c r="X90" i="1" s="1"/>
  <c r="X91" i="1" s="1"/>
  <c r="U14" i="24"/>
  <c r="U3" i="24"/>
  <c r="U5" i="24"/>
  <c r="U17" i="24"/>
  <c r="U12" i="24"/>
  <c r="U10" i="24"/>
  <c r="U11" i="24"/>
  <c r="U9" i="24"/>
  <c r="X77" i="1"/>
  <c r="U8" i="24"/>
  <c r="U4" i="24"/>
  <c r="U6" i="24"/>
  <c r="U13" i="24"/>
  <c r="U15" i="24"/>
  <c r="Q13" i="24"/>
  <c r="I102" i="1"/>
  <c r="I103" i="1"/>
  <c r="AG16" i="24"/>
  <c r="AG215" i="1"/>
  <c r="M38" i="19" l="1"/>
  <c r="AL69" i="1"/>
  <c r="AK29" i="19"/>
  <c r="AI214" i="1"/>
  <c r="AK28" i="19"/>
  <c r="AN11" i="19"/>
  <c r="M33" i="19"/>
  <c r="U38" i="19"/>
  <c r="U39" i="19" s="1"/>
  <c r="R34" i="19"/>
  <c r="R38" i="19" s="1"/>
  <c r="R42" i="19" s="1"/>
  <c r="U33" i="19"/>
  <c r="T15" i="19"/>
  <c r="T34" i="19" s="1"/>
  <c r="T38" i="19" s="1"/>
  <c r="T42" i="19" s="1"/>
  <c r="AE74" i="1"/>
  <c r="AE69" i="1" s="1"/>
  <c r="AC15" i="19"/>
  <c r="AC33" i="19" s="1"/>
  <c r="AN24" i="19"/>
  <c r="W33" i="19"/>
  <c r="U69" i="1"/>
  <c r="U53" i="1" s="1"/>
  <c r="R16" i="24" s="1"/>
  <c r="AO85" i="1"/>
  <c r="W38" i="19"/>
  <c r="W39" i="19" s="1"/>
  <c r="AO95" i="1"/>
  <c r="E13" i="6"/>
  <c r="AO67" i="1"/>
  <c r="H35" i="19"/>
  <c r="AL103" i="7"/>
  <c r="AJ29" i="19"/>
  <c r="AK69" i="1"/>
  <c r="AH214" i="1"/>
  <c r="AJ28" i="19"/>
  <c r="AN33" i="6"/>
  <c r="AO33" i="6" s="1"/>
  <c r="C33" i="6" s="1"/>
  <c r="AF74" i="1"/>
  <c r="I15" i="19"/>
  <c r="I33" i="19" s="1"/>
  <c r="Y12" i="24"/>
  <c r="AB77" i="1"/>
  <c r="Y16" i="24"/>
  <c r="Y8" i="24"/>
  <c r="Y9" i="24"/>
  <c r="Y14" i="24"/>
  <c r="Y4" i="24"/>
  <c r="Y7" i="24"/>
  <c r="Y5" i="24"/>
  <c r="Y15" i="24"/>
  <c r="S34" i="19"/>
  <c r="S35" i="19" s="1"/>
  <c r="Y10" i="24"/>
  <c r="Y17" i="24"/>
  <c r="AB86" i="1"/>
  <c r="AB90" i="1" s="1"/>
  <c r="AB91" i="1" s="1"/>
  <c r="AB101" i="1"/>
  <c r="AB102" i="1" s="1"/>
  <c r="Y6" i="24"/>
  <c r="Y3" i="24"/>
  <c r="Y11" i="24"/>
  <c r="AA33" i="19"/>
  <c r="G14" i="24"/>
  <c r="AJ4" i="24"/>
  <c r="AJ3" i="24"/>
  <c r="AJ12" i="24"/>
  <c r="AJ14" i="24"/>
  <c r="AM77" i="1"/>
  <c r="AM101" i="1"/>
  <c r="AM102" i="1" s="1"/>
  <c r="AJ201" i="1"/>
  <c r="N15" i="19"/>
  <c r="N34" i="19" s="1"/>
  <c r="N35" i="19" s="1"/>
  <c r="AA34" i="19"/>
  <c r="AA38" i="19" s="1"/>
  <c r="AJ6" i="24"/>
  <c r="AJ10" i="24"/>
  <c r="AJ17" i="24"/>
  <c r="AM86" i="1"/>
  <c r="AM90" i="1" s="1"/>
  <c r="AM91" i="1" s="1"/>
  <c r="AJ9" i="24"/>
  <c r="AJ215" i="1"/>
  <c r="AJ5" i="24"/>
  <c r="AJ11" i="24"/>
  <c r="AJ8" i="24"/>
  <c r="G16" i="24"/>
  <c r="AJ7" i="24"/>
  <c r="G4" i="24"/>
  <c r="AJ16" i="24"/>
  <c r="G15" i="24"/>
  <c r="G3" i="24"/>
  <c r="G7" i="24"/>
  <c r="AF38" i="19"/>
  <c r="AF42" i="19" s="1"/>
  <c r="J86" i="1"/>
  <c r="J90" i="1" s="1"/>
  <c r="J91" i="1" s="1"/>
  <c r="G13" i="24"/>
  <c r="L15" i="19"/>
  <c r="L34" i="19" s="1"/>
  <c r="G6" i="24"/>
  <c r="AJ13" i="24"/>
  <c r="G8" i="24"/>
  <c r="AF33" i="19"/>
  <c r="G12" i="24"/>
  <c r="AN38" i="6"/>
  <c r="AO39" i="6"/>
  <c r="C39" i="6" s="1"/>
  <c r="D12" i="6"/>
  <c r="C35" i="6"/>
  <c r="C36" i="6"/>
  <c r="D13" i="6"/>
  <c r="AI33" i="19"/>
  <c r="J77" i="1"/>
  <c r="X16" i="24"/>
  <c r="G9" i="24"/>
  <c r="I100" i="1"/>
  <c r="I93" i="1" s="1"/>
  <c r="I107" i="1" s="1"/>
  <c r="I22" i="6" s="1"/>
  <c r="G10" i="24"/>
  <c r="G5" i="24"/>
  <c r="D16" i="24"/>
  <c r="G11" i="24"/>
  <c r="AG15" i="19"/>
  <c r="AG34" i="19" s="1"/>
  <c r="G17" i="24"/>
  <c r="AL15" i="19"/>
  <c r="Y34" i="19"/>
  <c r="Q34" i="19"/>
  <c r="O34" i="19"/>
  <c r="AJ102" i="1"/>
  <c r="AJ103" i="1"/>
  <c r="AG222" i="1" s="1"/>
  <c r="G38" i="19"/>
  <c r="G35" i="19"/>
  <c r="R53" i="1"/>
  <c r="O16" i="24" s="1"/>
  <c r="AG86" i="1"/>
  <c r="AG90" i="1" s="1"/>
  <c r="AG91" i="1" s="1"/>
  <c r="AG101" i="1"/>
  <c r="AG77" i="1"/>
  <c r="AD12" i="24"/>
  <c r="AD3" i="24"/>
  <c r="AD9" i="24"/>
  <c r="AD11" i="24"/>
  <c r="AD8" i="24"/>
  <c r="AD14" i="24"/>
  <c r="AD5" i="24"/>
  <c r="AD17" i="24"/>
  <c r="AD4" i="24"/>
  <c r="AD10" i="24"/>
  <c r="AD7" i="24"/>
  <c r="AD6" i="24"/>
  <c r="AD15" i="24"/>
  <c r="AD13" i="24"/>
  <c r="N101" i="1"/>
  <c r="K3" i="24"/>
  <c r="K10" i="24"/>
  <c r="K9" i="24"/>
  <c r="N77" i="1"/>
  <c r="K8" i="24"/>
  <c r="N86" i="1"/>
  <c r="N90" i="1" s="1"/>
  <c r="N91" i="1" s="1"/>
  <c r="K7" i="24"/>
  <c r="K12" i="24"/>
  <c r="K11" i="24"/>
  <c r="K14" i="24"/>
  <c r="K5" i="24"/>
  <c r="K17" i="24"/>
  <c r="K4" i="24"/>
  <c r="K6" i="24"/>
  <c r="K15" i="24"/>
  <c r="K13" i="24"/>
  <c r="X103" i="1"/>
  <c r="X102" i="1"/>
  <c r="AA18" i="24"/>
  <c r="T102" i="1"/>
  <c r="T103" i="1"/>
  <c r="AB38" i="19"/>
  <c r="AB35" i="19"/>
  <c r="K16" i="24"/>
  <c r="M42" i="19"/>
  <c r="M39" i="19"/>
  <c r="P53" i="1"/>
  <c r="O33" i="19" s="1"/>
  <c r="F39" i="19"/>
  <c r="F42" i="19"/>
  <c r="X33" i="19"/>
  <c r="U18" i="24"/>
  <c r="AM29" i="19"/>
  <c r="AM15" i="19" s="1"/>
  <c r="AN69" i="1"/>
  <c r="AH38" i="19"/>
  <c r="AH35" i="19"/>
  <c r="S18" i="24"/>
  <c r="S100" i="1"/>
  <c r="S93" i="1" s="1"/>
  <c r="S107" i="1" s="1"/>
  <c r="V103" i="1"/>
  <c r="V102" i="1"/>
  <c r="AC101" i="1"/>
  <c r="AC86" i="1"/>
  <c r="AC90" i="1" s="1"/>
  <c r="AC91" i="1" s="1"/>
  <c r="Z10" i="24"/>
  <c r="Z3" i="24"/>
  <c r="Z12" i="24"/>
  <c r="Z17" i="24"/>
  <c r="Z8" i="24"/>
  <c r="Z9" i="24"/>
  <c r="Z7" i="24"/>
  <c r="Z14" i="24"/>
  <c r="Z5" i="24"/>
  <c r="Z11" i="24"/>
  <c r="Z4" i="24"/>
  <c r="AC77" i="1"/>
  <c r="Z6" i="24"/>
  <c r="Z15" i="24"/>
  <c r="Z13" i="24"/>
  <c r="AI38" i="19"/>
  <c r="AI35" i="19"/>
  <c r="X35" i="19"/>
  <c r="X38" i="19"/>
  <c r="Z16" i="24"/>
  <c r="C17" i="24"/>
  <c r="C7" i="24"/>
  <c r="C10" i="24"/>
  <c r="C3" i="24"/>
  <c r="C11" i="24"/>
  <c r="C8" i="24"/>
  <c r="F86" i="1"/>
  <c r="C5" i="24"/>
  <c r="F101" i="1"/>
  <c r="C14" i="24"/>
  <c r="C12" i="24"/>
  <c r="C4" i="24"/>
  <c r="F77" i="1"/>
  <c r="C9" i="24"/>
  <c r="C6" i="24"/>
  <c r="C15" i="24"/>
  <c r="C13" i="24"/>
  <c r="E33" i="19"/>
  <c r="AI101" i="1"/>
  <c r="AI86" i="1"/>
  <c r="AI90" i="1" s="1"/>
  <c r="AI91" i="1" s="1"/>
  <c r="AF8" i="24"/>
  <c r="AF4" i="24"/>
  <c r="AF3" i="24"/>
  <c r="AF5" i="24"/>
  <c r="AF17" i="24"/>
  <c r="AF11" i="24"/>
  <c r="AF14" i="24"/>
  <c r="AF9" i="24"/>
  <c r="AF12" i="24"/>
  <c r="AI77" i="1"/>
  <c r="AF10" i="24"/>
  <c r="AF7" i="24"/>
  <c r="AF6" i="24"/>
  <c r="AF15" i="24"/>
  <c r="AF13" i="24"/>
  <c r="AD102" i="1"/>
  <c r="AD103" i="1"/>
  <c r="P34" i="19"/>
  <c r="Q18" i="24"/>
  <c r="Z38" i="19"/>
  <c r="Z35" i="19"/>
  <c r="AH33" i="19"/>
  <c r="M53" i="1"/>
  <c r="Y86" i="1"/>
  <c r="Y90" i="1" s="1"/>
  <c r="Y91" i="1" s="1"/>
  <c r="Y101" i="1"/>
  <c r="V17" i="24"/>
  <c r="V8" i="24"/>
  <c r="V7" i="24"/>
  <c r="V9" i="24"/>
  <c r="V5" i="24"/>
  <c r="V3" i="24"/>
  <c r="V10" i="24"/>
  <c r="V12" i="24"/>
  <c r="V14" i="24"/>
  <c r="Y77" i="1"/>
  <c r="V11" i="24"/>
  <c r="V4" i="24"/>
  <c r="V6" i="24"/>
  <c r="V13" i="24"/>
  <c r="V15" i="24"/>
  <c r="Z53" i="1"/>
  <c r="W16" i="24" s="1"/>
  <c r="L53" i="1"/>
  <c r="I16" i="24" s="1"/>
  <c r="L3" i="24"/>
  <c r="O101" i="1"/>
  <c r="O86" i="1"/>
  <c r="O90" i="1" s="1"/>
  <c r="O91" i="1" s="1"/>
  <c r="O77" i="1"/>
  <c r="L8" i="24"/>
  <c r="L9" i="24"/>
  <c r="L10" i="24"/>
  <c r="L11" i="24"/>
  <c r="L7" i="24"/>
  <c r="L12" i="24"/>
  <c r="L14" i="24"/>
  <c r="L5" i="24"/>
  <c r="L4" i="24"/>
  <c r="L17" i="24"/>
  <c r="L6" i="24"/>
  <c r="L15" i="24"/>
  <c r="L13" i="24"/>
  <c r="W101" i="1"/>
  <c r="W86" i="1"/>
  <c r="W90" i="1" s="1"/>
  <c r="W91" i="1" s="1"/>
  <c r="T5" i="24"/>
  <c r="T12" i="24"/>
  <c r="T8" i="24"/>
  <c r="T9" i="24"/>
  <c r="T14" i="24"/>
  <c r="T17" i="24"/>
  <c r="T10" i="24"/>
  <c r="T4" i="24"/>
  <c r="T7" i="24"/>
  <c r="T3" i="24"/>
  <c r="W77" i="1"/>
  <c r="T11" i="24"/>
  <c r="T6" i="24"/>
  <c r="T13" i="24"/>
  <c r="T15" i="24"/>
  <c r="Q53" i="1"/>
  <c r="P33" i="19" s="1"/>
  <c r="E13" i="19"/>
  <c r="AN9" i="19"/>
  <c r="H42" i="19"/>
  <c r="H39" i="19"/>
  <c r="G101" i="1"/>
  <c r="G86" i="1"/>
  <c r="G90" i="1" s="1"/>
  <c r="G91" i="1" s="1"/>
  <c r="D10" i="24"/>
  <c r="D9" i="24"/>
  <c r="D17" i="24"/>
  <c r="D5" i="24"/>
  <c r="D8" i="24"/>
  <c r="G77" i="1"/>
  <c r="D3" i="24"/>
  <c r="D4" i="24"/>
  <c r="D11" i="24"/>
  <c r="D14" i="24"/>
  <c r="D12" i="24"/>
  <c r="D7" i="24"/>
  <c r="D6" i="24"/>
  <c r="D15" i="24"/>
  <c r="D13" i="24"/>
  <c r="C16" i="24"/>
  <c r="H101" i="1"/>
  <c r="E9" i="24"/>
  <c r="E11" i="24"/>
  <c r="E17" i="24"/>
  <c r="H86" i="1"/>
  <c r="H90" i="1" s="1"/>
  <c r="H91" i="1" s="1"/>
  <c r="E7" i="24"/>
  <c r="E3" i="24"/>
  <c r="E10" i="24"/>
  <c r="E12" i="24"/>
  <c r="H77" i="1"/>
  <c r="E14" i="24"/>
  <c r="E8" i="24"/>
  <c r="E4" i="24"/>
  <c r="E5" i="24"/>
  <c r="E6" i="24"/>
  <c r="E15" i="24"/>
  <c r="E13" i="24"/>
  <c r="V33" i="19"/>
  <c r="J102" i="1"/>
  <c r="J103" i="1"/>
  <c r="K69" i="1"/>
  <c r="J29" i="19"/>
  <c r="AG18" i="24"/>
  <c r="E16" i="24"/>
  <c r="AH53" i="1"/>
  <c r="AB33" i="19"/>
  <c r="K34" i="19"/>
  <c r="V35" i="19"/>
  <c r="V38" i="19"/>
  <c r="AA101" i="1"/>
  <c r="X12" i="24"/>
  <c r="X8" i="24"/>
  <c r="AA86" i="1"/>
  <c r="AA90" i="1" s="1"/>
  <c r="AA91" i="1" s="1"/>
  <c r="X10" i="24"/>
  <c r="X5" i="24"/>
  <c r="X7" i="24"/>
  <c r="X9" i="24"/>
  <c r="X17" i="24"/>
  <c r="X3" i="24"/>
  <c r="AA77" i="1"/>
  <c r="X11" i="24"/>
  <c r="X4" i="24"/>
  <c r="X14" i="24"/>
  <c r="X6" i="24"/>
  <c r="X13" i="24"/>
  <c r="X15" i="24"/>
  <c r="AN28" i="19" l="1"/>
  <c r="R39" i="19"/>
  <c r="R35" i="19"/>
  <c r="T39" i="19"/>
  <c r="AK15" i="19"/>
  <c r="AK34" i="19" s="1"/>
  <c r="AK35" i="19" s="1"/>
  <c r="AL53" i="1"/>
  <c r="AI215" i="1"/>
  <c r="U42" i="19"/>
  <c r="U43" i="19" s="1"/>
  <c r="U45" i="19" s="1"/>
  <c r="U46" i="19" s="1"/>
  <c r="T35" i="19"/>
  <c r="AO74" i="1"/>
  <c r="AC34" i="19"/>
  <c r="AC38" i="19" s="1"/>
  <c r="AE53" i="1"/>
  <c r="AB16" i="24" s="1"/>
  <c r="AD29" i="19"/>
  <c r="AD15" i="19" s="1"/>
  <c r="W42" i="19"/>
  <c r="W43" i="19" s="1"/>
  <c r="W45" i="19" s="1"/>
  <c r="W46" i="19" s="1"/>
  <c r="I34" i="19"/>
  <c r="I38" i="19" s="1"/>
  <c r="I39" i="19" s="1"/>
  <c r="AF69" i="1"/>
  <c r="AO69" i="1" s="1"/>
  <c r="AE29" i="19"/>
  <c r="AE15" i="19" s="1"/>
  <c r="AE34" i="19" s="1"/>
  <c r="R15" i="24"/>
  <c r="R9" i="24"/>
  <c r="R10" i="24"/>
  <c r="R12" i="24"/>
  <c r="R8" i="24"/>
  <c r="R3" i="24"/>
  <c r="U77" i="1"/>
  <c r="R6" i="24"/>
  <c r="R11" i="24"/>
  <c r="R17" i="24"/>
  <c r="R13" i="24"/>
  <c r="U101" i="1"/>
  <c r="R4" i="24"/>
  <c r="R7" i="24"/>
  <c r="R5" i="24"/>
  <c r="U86" i="1"/>
  <c r="U90" i="1" s="1"/>
  <c r="U91" i="1" s="1"/>
  <c r="R14" i="24"/>
  <c r="T33" i="19"/>
  <c r="AH215" i="1"/>
  <c r="AK53" i="1"/>
  <c r="AJ15" i="19"/>
  <c r="AJ34" i="19" s="1"/>
  <c r="S38" i="19"/>
  <c r="S39" i="19" s="1"/>
  <c r="Y18" i="24"/>
  <c r="N38" i="19"/>
  <c r="N42" i="19" s="1"/>
  <c r="AB103" i="1"/>
  <c r="AB100" i="1" s="1"/>
  <c r="AB93" i="1" s="1"/>
  <c r="AB107" i="1" s="1"/>
  <c r="I105" i="1"/>
  <c r="L33" i="19"/>
  <c r="N33" i="19"/>
  <c r="AF39" i="19"/>
  <c r="AA35" i="19"/>
  <c r="AM103" i="1"/>
  <c r="AJ222" i="1" s="1"/>
  <c r="M16" i="24"/>
  <c r="AJ18" i="24"/>
  <c r="G18" i="24"/>
  <c r="AO38" i="6"/>
  <c r="E14" i="6"/>
  <c r="J100" i="1"/>
  <c r="J93" i="1" s="1"/>
  <c r="J107" i="1" s="1"/>
  <c r="J105" i="1" s="1"/>
  <c r="X100" i="1"/>
  <c r="X93" i="1" s="1"/>
  <c r="X107" i="1" s="1"/>
  <c r="X22" i="6" s="1"/>
  <c r="AL33" i="19"/>
  <c r="AL34" i="19"/>
  <c r="D18" i="24"/>
  <c r="J16" i="24"/>
  <c r="V100" i="1"/>
  <c r="V93" i="1" s="1"/>
  <c r="V107" i="1" s="1"/>
  <c r="V105" i="1" s="1"/>
  <c r="T100" i="1"/>
  <c r="T93" i="1" s="1"/>
  <c r="T107" i="1" s="1"/>
  <c r="T22" i="6" s="1"/>
  <c r="AH101" i="1"/>
  <c r="AH86" i="1"/>
  <c r="AH90" i="1" s="1"/>
  <c r="AH91" i="1" s="1"/>
  <c r="AE9" i="24"/>
  <c r="AE7" i="24"/>
  <c r="AE17" i="24"/>
  <c r="AE4" i="24"/>
  <c r="AE12" i="24"/>
  <c r="AE3" i="24"/>
  <c r="AE8" i="24"/>
  <c r="AE5" i="24"/>
  <c r="AE10" i="24"/>
  <c r="AH77" i="1"/>
  <c r="AE11" i="24"/>
  <c r="AE14" i="24"/>
  <c r="AE6" i="24"/>
  <c r="AE13" i="24"/>
  <c r="AE15" i="24"/>
  <c r="AN13" i="19"/>
  <c r="E34" i="19"/>
  <c r="Z42" i="19"/>
  <c r="Z39" i="19"/>
  <c r="C18" i="24"/>
  <c r="AI42" i="19"/>
  <c r="AI39" i="19"/>
  <c r="AD18" i="24"/>
  <c r="Y103" i="1"/>
  <c r="Y102" i="1"/>
  <c r="Z18" i="24"/>
  <c r="AH39" i="19"/>
  <c r="AH42" i="19"/>
  <c r="M43" i="19"/>
  <c r="M45" i="19" s="1"/>
  <c r="M46" i="19" s="1"/>
  <c r="X18" i="24"/>
  <c r="Q101" i="1"/>
  <c r="N7" i="24"/>
  <c r="N17" i="24"/>
  <c r="N10" i="24"/>
  <c r="N3" i="24"/>
  <c r="N12" i="24"/>
  <c r="N8" i="24"/>
  <c r="N11" i="24"/>
  <c r="N14" i="24"/>
  <c r="N4" i="24"/>
  <c r="N9" i="24"/>
  <c r="Q77" i="1"/>
  <c r="Q86" i="1"/>
  <c r="Q90" i="1" s="1"/>
  <c r="Q91" i="1" s="1"/>
  <c r="N5" i="24"/>
  <c r="N6" i="24"/>
  <c r="N13" i="24"/>
  <c r="N15" i="24"/>
  <c r="AM34" i="19"/>
  <c r="N16" i="24"/>
  <c r="AD100" i="1"/>
  <c r="AD93" i="1" s="1"/>
  <c r="AD107" i="1" s="1"/>
  <c r="AF18" i="24"/>
  <c r="AK215" i="1"/>
  <c r="AN53" i="1"/>
  <c r="J15" i="19"/>
  <c r="AJ100" i="1"/>
  <c r="AJ93" i="1" s="1"/>
  <c r="AG221" i="1"/>
  <c r="AG102" i="1"/>
  <c r="AG103" i="1"/>
  <c r="O38" i="19"/>
  <c r="O35" i="19"/>
  <c r="V42" i="19"/>
  <c r="V39" i="19"/>
  <c r="O102" i="1"/>
  <c r="O103" i="1"/>
  <c r="G102" i="1"/>
  <c r="G103" i="1"/>
  <c r="I23" i="6"/>
  <c r="I24" i="6"/>
  <c r="L18" i="24"/>
  <c r="R43" i="19"/>
  <c r="R45" i="19" s="1"/>
  <c r="R46" i="19" s="1"/>
  <c r="E18" i="24"/>
  <c r="AA102" i="1"/>
  <c r="AA103" i="1"/>
  <c r="L101" i="1"/>
  <c r="I9" i="24"/>
  <c r="I11" i="24"/>
  <c r="I5" i="24"/>
  <c r="I3" i="24"/>
  <c r="I8" i="24"/>
  <c r="L77" i="1"/>
  <c r="I7" i="24"/>
  <c r="I4" i="24"/>
  <c r="I10" i="24"/>
  <c r="I17" i="24"/>
  <c r="I14" i="24"/>
  <c r="L86" i="1"/>
  <c r="L90" i="1" s="1"/>
  <c r="L91" i="1" s="1"/>
  <c r="I12" i="24"/>
  <c r="I6" i="24"/>
  <c r="I13" i="24"/>
  <c r="I15" i="24"/>
  <c r="M101" i="1"/>
  <c r="J3" i="24"/>
  <c r="M86" i="1"/>
  <c r="M90" i="1" s="1"/>
  <c r="M91" i="1" s="1"/>
  <c r="J14" i="24"/>
  <c r="J4" i="24"/>
  <c r="J11" i="24"/>
  <c r="J9" i="24"/>
  <c r="J8" i="24"/>
  <c r="M77" i="1"/>
  <c r="J5" i="24"/>
  <c r="J17" i="24"/>
  <c r="J12" i="24"/>
  <c r="J7" i="24"/>
  <c r="J10" i="24"/>
  <c r="J6" i="24"/>
  <c r="J13" i="24"/>
  <c r="J15" i="24"/>
  <c r="AI102" i="1"/>
  <c r="AI103" i="1"/>
  <c r="AC102" i="1"/>
  <c r="AC103" i="1"/>
  <c r="R86" i="1"/>
  <c r="R90" i="1" s="1"/>
  <c r="R91" i="1" s="1"/>
  <c r="R101" i="1"/>
  <c r="O3" i="24"/>
  <c r="O14" i="24"/>
  <c r="O17" i="24"/>
  <c r="O9" i="24"/>
  <c r="O10" i="24"/>
  <c r="R77" i="1"/>
  <c r="O11" i="24"/>
  <c r="O4" i="24"/>
  <c r="O12" i="24"/>
  <c r="O5" i="24"/>
  <c r="O7" i="24"/>
  <c r="O8" i="24"/>
  <c r="O6" i="24"/>
  <c r="O13" i="24"/>
  <c r="O15" i="24"/>
  <c r="AG38" i="19"/>
  <c r="AG35" i="19"/>
  <c r="V18" i="24"/>
  <c r="AE16" i="24"/>
  <c r="F103" i="1"/>
  <c r="F102" i="1"/>
  <c r="X42" i="19"/>
  <c r="X39" i="19"/>
  <c r="F43" i="19"/>
  <c r="F45" i="19" s="1"/>
  <c r="F46" i="19" s="1"/>
  <c r="K18" i="24"/>
  <c r="AG33" i="19"/>
  <c r="AA39" i="19"/>
  <c r="AA42" i="19"/>
  <c r="Z86" i="1"/>
  <c r="Z90" i="1" s="1"/>
  <c r="Z91" i="1" s="1"/>
  <c r="Z101" i="1"/>
  <c r="W3" i="24"/>
  <c r="W7" i="24"/>
  <c r="W11" i="24"/>
  <c r="W14" i="24"/>
  <c r="W9" i="24"/>
  <c r="W12" i="24"/>
  <c r="W8" i="24"/>
  <c r="W10" i="24"/>
  <c r="Z77" i="1"/>
  <c r="W4" i="24"/>
  <c r="W5" i="24"/>
  <c r="W17" i="24"/>
  <c r="W6" i="24"/>
  <c r="W13" i="24"/>
  <c r="W15" i="24"/>
  <c r="T43" i="19"/>
  <c r="T45" i="19" s="1"/>
  <c r="T46" i="19" s="1"/>
  <c r="AB39" i="19"/>
  <c r="AB42" i="19"/>
  <c r="N102" i="1"/>
  <c r="N103" i="1"/>
  <c r="Q35" i="19"/>
  <c r="Q38" i="19"/>
  <c r="F90" i="1"/>
  <c r="S105" i="1"/>
  <c r="S22" i="6"/>
  <c r="M3" i="24"/>
  <c r="M4" i="24"/>
  <c r="P101" i="1"/>
  <c r="P86" i="1"/>
  <c r="P90" i="1" s="1"/>
  <c r="P91" i="1" s="1"/>
  <c r="M17" i="24"/>
  <c r="M5" i="24"/>
  <c r="M8" i="24"/>
  <c r="M12" i="24"/>
  <c r="M10" i="24"/>
  <c r="P77" i="1"/>
  <c r="M7" i="24"/>
  <c r="M14" i="24"/>
  <c r="M11" i="24"/>
  <c r="M9" i="24"/>
  <c r="M6" i="24"/>
  <c r="M13" i="24"/>
  <c r="M15" i="24"/>
  <c r="Q33" i="19"/>
  <c r="W103" i="1"/>
  <c r="W102" i="1"/>
  <c r="AJ221" i="1"/>
  <c r="AF43" i="19"/>
  <c r="AF45" i="19" s="1"/>
  <c r="AF46" i="19" s="1"/>
  <c r="G42" i="19"/>
  <c r="G39" i="19"/>
  <c r="Y38" i="19"/>
  <c r="Y35" i="19"/>
  <c r="H43" i="19"/>
  <c r="H45" i="19" s="1"/>
  <c r="H46" i="19" s="1"/>
  <c r="K38" i="19"/>
  <c r="K35" i="19"/>
  <c r="H103" i="1"/>
  <c r="H102" i="1"/>
  <c r="L38" i="19"/>
  <c r="L35" i="19"/>
  <c r="K53" i="1"/>
  <c r="T18" i="24"/>
  <c r="P38" i="19"/>
  <c r="P35" i="19"/>
  <c r="K33" i="19"/>
  <c r="Y33" i="19"/>
  <c r="AK38" i="19" l="1"/>
  <c r="AC35" i="19"/>
  <c r="AK33" i="19"/>
  <c r="AI11" i="24"/>
  <c r="AI16" i="24"/>
  <c r="AL101" i="1"/>
  <c r="AI8" i="24"/>
  <c r="AI4" i="24"/>
  <c r="AI10" i="24"/>
  <c r="AI201" i="1"/>
  <c r="AI17" i="24"/>
  <c r="AI5" i="24"/>
  <c r="AI7" i="24"/>
  <c r="AL86" i="1"/>
  <c r="AL90" i="1" s="1"/>
  <c r="AL91" i="1" s="1"/>
  <c r="AL77" i="1"/>
  <c r="AI6" i="24"/>
  <c r="AI14" i="24"/>
  <c r="AI3" i="24"/>
  <c r="AI15" i="24"/>
  <c r="AI12" i="24"/>
  <c r="AI13" i="24"/>
  <c r="AI9" i="24"/>
  <c r="I42" i="19"/>
  <c r="I43" i="19" s="1"/>
  <c r="I45" i="19" s="1"/>
  <c r="I46" i="19" s="1"/>
  <c r="AD34" i="19"/>
  <c r="AD33" i="19"/>
  <c r="I35" i="19"/>
  <c r="AB4" i="24"/>
  <c r="AE101" i="1"/>
  <c r="AB9" i="24"/>
  <c r="AB8" i="24"/>
  <c r="AB11" i="24"/>
  <c r="AB12" i="24"/>
  <c r="AE77" i="1"/>
  <c r="AE86" i="1"/>
  <c r="AE90" i="1" s="1"/>
  <c r="AE91" i="1" s="1"/>
  <c r="AB6" i="24"/>
  <c r="AB17" i="24"/>
  <c r="AB10" i="24"/>
  <c r="AB13" i="24"/>
  <c r="AB5" i="24"/>
  <c r="AB15" i="24"/>
  <c r="AB3" i="24"/>
  <c r="AB7" i="24"/>
  <c r="AB14" i="24"/>
  <c r="AN29" i="19"/>
  <c r="N39" i="19"/>
  <c r="S42" i="19"/>
  <c r="S43" i="19" s="1"/>
  <c r="S45" i="19" s="1"/>
  <c r="S46" i="19" s="1"/>
  <c r="AJ33" i="19"/>
  <c r="AK101" i="1"/>
  <c r="AH6" i="24"/>
  <c r="AH12" i="24"/>
  <c r="AH13" i="24"/>
  <c r="AH7" i="24"/>
  <c r="AH15" i="24"/>
  <c r="AH4" i="24"/>
  <c r="AH201" i="1"/>
  <c r="AH5" i="24"/>
  <c r="AH9" i="24"/>
  <c r="AH10" i="24"/>
  <c r="AH11" i="24"/>
  <c r="AK77" i="1"/>
  <c r="AH16" i="24"/>
  <c r="AH3" i="24"/>
  <c r="AH8" i="24"/>
  <c r="AH14" i="24"/>
  <c r="AH17" i="24"/>
  <c r="AK86" i="1"/>
  <c r="AK90" i="1" s="1"/>
  <c r="AK91" i="1" s="1"/>
  <c r="AJ38" i="19"/>
  <c r="AJ35" i="19"/>
  <c r="R18" i="24"/>
  <c r="U103" i="1"/>
  <c r="U102" i="1"/>
  <c r="AE38" i="19"/>
  <c r="AE35" i="19"/>
  <c r="AF53" i="1"/>
  <c r="AC16" i="24" s="1"/>
  <c r="AM100" i="1"/>
  <c r="AM93" i="1" s="1"/>
  <c r="AJ217" i="1" s="1"/>
  <c r="V22" i="6"/>
  <c r="V23" i="6" s="1"/>
  <c r="J22" i="6"/>
  <c r="J23" i="6" s="1"/>
  <c r="N100" i="1"/>
  <c r="N93" i="1" s="1"/>
  <c r="N107" i="1" s="1"/>
  <c r="N105" i="1" s="1"/>
  <c r="X105" i="1"/>
  <c r="T105" i="1"/>
  <c r="D14" i="6"/>
  <c r="C38" i="6"/>
  <c r="AC100" i="1"/>
  <c r="AC93" i="1" s="1"/>
  <c r="AC107" i="1" s="1"/>
  <c r="AC22" i="6" s="1"/>
  <c r="AL38" i="19"/>
  <c r="AL35" i="19"/>
  <c r="M102" i="1"/>
  <c r="M103" i="1"/>
  <c r="AB43" i="19"/>
  <c r="AB45" i="19" s="1"/>
  <c r="AB46" i="19" s="1"/>
  <c r="AN101" i="1"/>
  <c r="AN86" i="1"/>
  <c r="AN90" i="1" s="1"/>
  <c r="AN91" i="1" s="1"/>
  <c r="AK3" i="24"/>
  <c r="AK201" i="1"/>
  <c r="AK17" i="24"/>
  <c r="AK4" i="24"/>
  <c r="AK14" i="24"/>
  <c r="AK12" i="24"/>
  <c r="AK11" i="24"/>
  <c r="AK5" i="24"/>
  <c r="AK7" i="24"/>
  <c r="AK8" i="24"/>
  <c r="AK9" i="24"/>
  <c r="AK10" i="24"/>
  <c r="AN77" i="1"/>
  <c r="AK6" i="24"/>
  <c r="AK13" i="24"/>
  <c r="AK15" i="24"/>
  <c r="AA43" i="19"/>
  <c r="AA45" i="19" s="1"/>
  <c r="AA46" i="19" s="1"/>
  <c r="X23" i="6"/>
  <c r="X24" i="6"/>
  <c r="S23" i="6"/>
  <c r="S24" i="6"/>
  <c r="V43" i="19"/>
  <c r="V45" i="19" s="1"/>
  <c r="V46" i="19" s="1"/>
  <c r="AK16" i="24"/>
  <c r="AM35" i="19"/>
  <c r="AM38" i="19"/>
  <c r="Z43" i="19"/>
  <c r="Z45" i="19" s="1"/>
  <c r="Z46" i="19" s="1"/>
  <c r="Y39" i="19"/>
  <c r="Y42" i="19"/>
  <c r="AM33" i="19"/>
  <c r="E38" i="19"/>
  <c r="E35" i="19"/>
  <c r="AE18" i="24"/>
  <c r="R102" i="1"/>
  <c r="R103" i="1"/>
  <c r="W100" i="1"/>
  <c r="W93" i="1" s="1"/>
  <c r="W107" i="1" s="1"/>
  <c r="AC42" i="19"/>
  <c r="AC39" i="19"/>
  <c r="G100" i="1"/>
  <c r="G93" i="1" s="1"/>
  <c r="G107" i="1" s="1"/>
  <c r="O39" i="19"/>
  <c r="O42" i="19"/>
  <c r="N18" i="24"/>
  <c r="L103" i="1"/>
  <c r="L102" i="1"/>
  <c r="AH43" i="19"/>
  <c r="AH45" i="19" s="1"/>
  <c r="AH46" i="19" s="1"/>
  <c r="T23" i="6"/>
  <c r="T24" i="6"/>
  <c r="P42" i="19"/>
  <c r="P39" i="19"/>
  <c r="I18" i="24"/>
  <c r="K101" i="1"/>
  <c r="K86" i="1"/>
  <c r="H5" i="24"/>
  <c r="H9" i="24"/>
  <c r="H7" i="24"/>
  <c r="H8" i="24"/>
  <c r="H10" i="24"/>
  <c r="H12" i="24"/>
  <c r="H4" i="24"/>
  <c r="H3" i="24"/>
  <c r="K77" i="1"/>
  <c r="H11" i="24"/>
  <c r="H14" i="24"/>
  <c r="H17" i="24"/>
  <c r="H6" i="24"/>
  <c r="H13" i="24"/>
  <c r="H15" i="24"/>
  <c r="F91" i="1"/>
  <c r="AI100" i="1"/>
  <c r="AI93" i="1" s="1"/>
  <c r="AI107" i="1" s="1"/>
  <c r="AG100" i="1"/>
  <c r="AG93" i="1" s="1"/>
  <c r="AG107" i="1" s="1"/>
  <c r="AG42" i="19"/>
  <c r="AG39" i="19"/>
  <c r="M18" i="24"/>
  <c r="F100" i="1"/>
  <c r="I42" i="6"/>
  <c r="I45" i="6" s="1"/>
  <c r="I47" i="6" s="1"/>
  <c r="I30" i="6"/>
  <c r="H16" i="24"/>
  <c r="G43" i="19"/>
  <c r="G45" i="19" s="1"/>
  <c r="G46" i="19" s="1"/>
  <c r="AB105" i="1"/>
  <c r="AB22" i="6"/>
  <c r="L42" i="19"/>
  <c r="L39" i="19"/>
  <c r="H100" i="1"/>
  <c r="H93" i="1" s="1"/>
  <c r="H107" i="1" s="1"/>
  <c r="Q42" i="19"/>
  <c r="Q39" i="19"/>
  <c r="W18" i="24"/>
  <c r="N43" i="19"/>
  <c r="N45" i="19" s="1"/>
  <c r="N46" i="19" s="1"/>
  <c r="K42" i="19"/>
  <c r="K39" i="19"/>
  <c r="X43" i="19"/>
  <c r="X45" i="19" s="1"/>
  <c r="X46" i="19" s="1"/>
  <c r="P102" i="1"/>
  <c r="P103" i="1"/>
  <c r="Z102" i="1"/>
  <c r="Z103" i="1"/>
  <c r="O100" i="1"/>
  <c r="O93" i="1" s="1"/>
  <c r="O107" i="1" s="1"/>
  <c r="AD105" i="1"/>
  <c r="AD22" i="6"/>
  <c r="Q102" i="1"/>
  <c r="Q103" i="1"/>
  <c r="AI43" i="19"/>
  <c r="AI45" i="19" s="1"/>
  <c r="AI46" i="19" s="1"/>
  <c r="J33" i="19"/>
  <c r="J34" i="19"/>
  <c r="AN15" i="19"/>
  <c r="O18" i="24"/>
  <c r="J18" i="24"/>
  <c r="AA100" i="1"/>
  <c r="AA93" i="1" s="1"/>
  <c r="AA107" i="1" s="1"/>
  <c r="AG217" i="1"/>
  <c r="AJ107" i="1"/>
  <c r="AH102" i="1"/>
  <c r="AH103" i="1"/>
  <c r="Y100" i="1"/>
  <c r="Y93" i="1" s="1"/>
  <c r="Y107" i="1" s="1"/>
  <c r="AK42" i="19" l="1"/>
  <c r="AK43" i="19" s="1"/>
  <c r="AK45" i="19" s="1"/>
  <c r="AK46" i="19" s="1"/>
  <c r="AK39" i="19"/>
  <c r="AI18" i="24"/>
  <c r="AL103" i="1"/>
  <c r="AI222" i="1" s="1"/>
  <c r="AL102" i="1"/>
  <c r="AB18" i="24"/>
  <c r="AE102" i="1"/>
  <c r="AE103" i="1"/>
  <c r="AD38" i="19"/>
  <c r="AD35" i="19"/>
  <c r="AO53" i="1"/>
  <c r="J24" i="6"/>
  <c r="N22" i="6"/>
  <c r="N24" i="6" s="1"/>
  <c r="V24" i="6"/>
  <c r="AJ42" i="19"/>
  <c r="AJ43" i="19" s="1"/>
  <c r="AJ45" i="19" s="1"/>
  <c r="AJ46" i="19" s="1"/>
  <c r="AJ39" i="19"/>
  <c r="AE33" i="19"/>
  <c r="AF77" i="1"/>
  <c r="AO77" i="1" s="1"/>
  <c r="AF86" i="1"/>
  <c r="AF90" i="1" s="1"/>
  <c r="AF91" i="1" s="1"/>
  <c r="AC5" i="24"/>
  <c r="AL5" i="24" s="1"/>
  <c r="AC8" i="24"/>
  <c r="AL8" i="24" s="1"/>
  <c r="AC9" i="24"/>
  <c r="AL9" i="24" s="1"/>
  <c r="AC7" i="24"/>
  <c r="AL7" i="24" s="1"/>
  <c r="AC14" i="24"/>
  <c r="AL14" i="24" s="1"/>
  <c r="AF101" i="1"/>
  <c r="AO101" i="1" s="1"/>
  <c r="AC4" i="24"/>
  <c r="AL4" i="24" s="1"/>
  <c r="AC15" i="24"/>
  <c r="AL15" i="24" s="1"/>
  <c r="AC12" i="24"/>
  <c r="AL12" i="24" s="1"/>
  <c r="AC3" i="24"/>
  <c r="AL3" i="24" s="1"/>
  <c r="AC6" i="24"/>
  <c r="AL6" i="24" s="1"/>
  <c r="AC11" i="24"/>
  <c r="AL11" i="24" s="1"/>
  <c r="AC13" i="24"/>
  <c r="AL13" i="24" s="1"/>
  <c r="AC10" i="24"/>
  <c r="AL10" i="24" s="1"/>
  <c r="AC17" i="24"/>
  <c r="AL17" i="24" s="1"/>
  <c r="AH18" i="24"/>
  <c r="AM107" i="1"/>
  <c r="AJ224" i="1" s="1"/>
  <c r="AE39" i="19"/>
  <c r="AE42" i="19"/>
  <c r="AE43" i="19" s="1"/>
  <c r="AE45" i="19" s="1"/>
  <c r="AE46" i="19" s="1"/>
  <c r="AK103" i="1"/>
  <c r="AH222" i="1" s="1"/>
  <c r="AK102" i="1"/>
  <c r="U100" i="1"/>
  <c r="U93" i="1" s="1"/>
  <c r="U107" i="1" s="1"/>
  <c r="AC105" i="1"/>
  <c r="AL16" i="24"/>
  <c r="Z100" i="1"/>
  <c r="Z93" i="1" s="1"/>
  <c r="Z107" i="1" s="1"/>
  <c r="Z105" i="1" s="1"/>
  <c r="P100" i="1"/>
  <c r="P93" i="1" s="1"/>
  <c r="P107" i="1" s="1"/>
  <c r="P22" i="6" s="1"/>
  <c r="AH100" i="1"/>
  <c r="AH93" i="1" s="1"/>
  <c r="AH107" i="1" s="1"/>
  <c r="AH105" i="1" s="1"/>
  <c r="AL42" i="19"/>
  <c r="AL39" i="19"/>
  <c r="J30" i="6"/>
  <c r="J42" i="6"/>
  <c r="J45" i="6" s="1"/>
  <c r="J47" i="6" s="1"/>
  <c r="J38" i="19"/>
  <c r="J35" i="19"/>
  <c r="Q43" i="19"/>
  <c r="Q45" i="19" s="1"/>
  <c r="Q46" i="19" s="1"/>
  <c r="AC24" i="6"/>
  <c r="AC23" i="6"/>
  <c r="K103" i="1"/>
  <c r="K102" i="1"/>
  <c r="O43" i="19"/>
  <c r="O45" i="19" s="1"/>
  <c r="O46" i="19" s="1"/>
  <c r="AJ105" i="1"/>
  <c r="AG223" i="1" s="1"/>
  <c r="AG224" i="1"/>
  <c r="AJ22" i="6"/>
  <c r="AI22" i="6"/>
  <c r="AI105" i="1"/>
  <c r="E39" i="19"/>
  <c r="E42" i="19"/>
  <c r="H18" i="24"/>
  <c r="G22" i="6"/>
  <c r="G105" i="1"/>
  <c r="P43" i="19"/>
  <c r="P45" i="19" s="1"/>
  <c r="P46" i="19" s="1"/>
  <c r="Y43" i="19"/>
  <c r="Y45" i="19" s="1"/>
  <c r="Y46" i="19" s="1"/>
  <c r="H22" i="6"/>
  <c r="H105" i="1"/>
  <c r="AC43" i="19"/>
  <c r="AC45" i="19" s="1"/>
  <c r="AC46" i="19" s="1"/>
  <c r="AK18" i="24"/>
  <c r="AG43" i="19"/>
  <c r="AG45" i="19" s="1"/>
  <c r="AG46" i="19" s="1"/>
  <c r="T30" i="6"/>
  <c r="T42" i="6"/>
  <c r="T45" i="6" s="1"/>
  <c r="T47" i="6" s="1"/>
  <c r="W22" i="6"/>
  <c r="W105" i="1"/>
  <c r="S30" i="6"/>
  <c r="S42" i="6"/>
  <c r="S45" i="6" s="1"/>
  <c r="S47" i="6" s="1"/>
  <c r="AN102" i="1"/>
  <c r="AN103" i="1"/>
  <c r="AK222" i="1" s="1"/>
  <c r="L43" i="19"/>
  <c r="L45" i="19" s="1"/>
  <c r="L46" i="19" s="1"/>
  <c r="AB23" i="6"/>
  <c r="AB24" i="6"/>
  <c r="Q100" i="1"/>
  <c r="Q93" i="1" s="1"/>
  <c r="Q107" i="1" s="1"/>
  <c r="AA22" i="6"/>
  <c r="AA105" i="1"/>
  <c r="AD23" i="6"/>
  <c r="AD24" i="6"/>
  <c r="V42" i="6"/>
  <c r="V45" i="6" s="1"/>
  <c r="V47" i="6" s="1"/>
  <c r="V30" i="6"/>
  <c r="X42" i="6"/>
  <c r="X45" i="6" s="1"/>
  <c r="X47" i="6" s="1"/>
  <c r="X30" i="6"/>
  <c r="AG22" i="6"/>
  <c r="AG105" i="1"/>
  <c r="L100" i="1"/>
  <c r="L93" i="1" s="1"/>
  <c r="L107" i="1" s="1"/>
  <c r="R100" i="1"/>
  <c r="R93" i="1" s="1"/>
  <c r="R107" i="1" s="1"/>
  <c r="AM42" i="19"/>
  <c r="AM39" i="19"/>
  <c r="F93" i="1"/>
  <c r="K43" i="19"/>
  <c r="K45" i="19" s="1"/>
  <c r="K46" i="19" s="1"/>
  <c r="Y22" i="6"/>
  <c r="Y105" i="1"/>
  <c r="O22" i="6"/>
  <c r="O105" i="1"/>
  <c r="K90" i="1"/>
  <c r="AN34" i="19"/>
  <c r="AN35" i="19" s="1"/>
  <c r="M100" i="1"/>
  <c r="M93" i="1" s="1"/>
  <c r="M107" i="1" s="1"/>
  <c r="AL100" i="1" l="1"/>
  <c r="AL93" i="1" s="1"/>
  <c r="AI221" i="1"/>
  <c r="AN38" i="19"/>
  <c r="AN39" i="19" s="1"/>
  <c r="AE100" i="1"/>
  <c r="AE93" i="1" s="1"/>
  <c r="AE107" i="1" s="1"/>
  <c r="N23" i="6"/>
  <c r="N30" i="6" s="1"/>
  <c r="AD42" i="19"/>
  <c r="AD43" i="19" s="1"/>
  <c r="AD45" i="19" s="1"/>
  <c r="AD46" i="19" s="1"/>
  <c r="AD39" i="19"/>
  <c r="D13" i="1"/>
  <c r="D16" i="1" s="1"/>
  <c r="O17" i="1"/>
  <c r="O16" i="1"/>
  <c r="O15" i="1"/>
  <c r="O14" i="1"/>
  <c r="AO86" i="1"/>
  <c r="AM22" i="6"/>
  <c r="AM24" i="6" s="1"/>
  <c r="AM105" i="1"/>
  <c r="AJ223" i="1" s="1"/>
  <c r="AF103" i="1"/>
  <c r="AF102" i="1"/>
  <c r="AO102" i="1" s="1"/>
  <c r="U22" i="6"/>
  <c r="U105" i="1"/>
  <c r="AC18" i="24"/>
  <c r="AH221" i="1"/>
  <c r="AK100" i="1"/>
  <c r="AK93" i="1" s="1"/>
  <c r="P105" i="1"/>
  <c r="Z22" i="6"/>
  <c r="Z23" i="6" s="1"/>
  <c r="AH22" i="6"/>
  <c r="AH24" i="6" s="1"/>
  <c r="AL43" i="19"/>
  <c r="AL45" i="19" s="1"/>
  <c r="AL46" i="19" s="1"/>
  <c r="AD30" i="6"/>
  <c r="AD42" i="6"/>
  <c r="AD45" i="6" s="1"/>
  <c r="AD47" i="6" s="1"/>
  <c r="R22" i="6"/>
  <c r="R105" i="1"/>
  <c r="W23" i="6"/>
  <c r="W24" i="6"/>
  <c r="H24" i="6"/>
  <c r="H23" i="6"/>
  <c r="AC42" i="6"/>
  <c r="AC45" i="6" s="1"/>
  <c r="AC47" i="6" s="1"/>
  <c r="AC30" i="6"/>
  <c r="AG23" i="6"/>
  <c r="AG24" i="6"/>
  <c r="AA23" i="6"/>
  <c r="AA24" i="6"/>
  <c r="AI24" i="6"/>
  <c r="AI23" i="6"/>
  <c r="Q105" i="1"/>
  <c r="Q22" i="6"/>
  <c r="J39" i="19"/>
  <c r="J42" i="19"/>
  <c r="K91" i="1"/>
  <c r="AO91" i="1" s="1"/>
  <c r="AO90" i="1"/>
  <c r="G24" i="6"/>
  <c r="G23" i="6"/>
  <c r="Y23" i="6"/>
  <c r="Y24" i="6"/>
  <c r="L22" i="6"/>
  <c r="L105" i="1"/>
  <c r="AK221" i="1"/>
  <c r="AN100" i="1"/>
  <c r="AN93" i="1" s="1"/>
  <c r="AJ24" i="6"/>
  <c r="AJ23" i="6"/>
  <c r="M22" i="6"/>
  <c r="M105" i="1"/>
  <c r="F107" i="1"/>
  <c r="O24" i="6"/>
  <c r="O23" i="6"/>
  <c r="K100" i="1"/>
  <c r="P23" i="6"/>
  <c r="P24" i="6"/>
  <c r="AB30" i="6"/>
  <c r="AB42" i="6"/>
  <c r="AB45" i="6" s="1"/>
  <c r="AB47" i="6" s="1"/>
  <c r="AL18" i="24"/>
  <c r="AO103" i="1"/>
  <c r="AM43" i="19"/>
  <c r="AM45" i="19" s="1"/>
  <c r="AM46" i="19" s="1"/>
  <c r="E43" i="19"/>
  <c r="E45" i="19" s="1"/>
  <c r="N42" i="6" l="1"/>
  <c r="N45" i="6" s="1"/>
  <c r="N47" i="6" s="1"/>
  <c r="AI217" i="1"/>
  <c r="AL107" i="1"/>
  <c r="AN42" i="19"/>
  <c r="AE22" i="6"/>
  <c r="AE105" i="1"/>
  <c r="AM23" i="6"/>
  <c r="AM42" i="6" s="1"/>
  <c r="AM45" i="6" s="1"/>
  <c r="AM47" i="6" s="1"/>
  <c r="D18" i="1"/>
  <c r="D19" i="1" s="1"/>
  <c r="D17" i="1"/>
  <c r="AF100" i="1"/>
  <c r="AF93" i="1" s="1"/>
  <c r="AF107" i="1" s="1"/>
  <c r="AF105" i="1" s="1"/>
  <c r="AH23" i="6"/>
  <c r="AH30" i="6" s="1"/>
  <c r="AH217" i="1"/>
  <c r="AK107" i="1"/>
  <c r="U24" i="6"/>
  <c r="U23" i="6"/>
  <c r="Z24" i="6"/>
  <c r="E46" i="19"/>
  <c r="P42" i="6"/>
  <c r="P45" i="6" s="1"/>
  <c r="P47" i="6" s="1"/>
  <c r="P30" i="6"/>
  <c r="L24" i="6"/>
  <c r="L23" i="6"/>
  <c r="Z30" i="6"/>
  <c r="Z42" i="6"/>
  <c r="Z45" i="6" s="1"/>
  <c r="Z47" i="6" s="1"/>
  <c r="AA42" i="6"/>
  <c r="AA45" i="6" s="1"/>
  <c r="AA47" i="6" s="1"/>
  <c r="AA30" i="6"/>
  <c r="J43" i="19"/>
  <c r="J45" i="19" s="1"/>
  <c r="Y30" i="6"/>
  <c r="Y42" i="6"/>
  <c r="Y45" i="6" s="1"/>
  <c r="Y47" i="6" s="1"/>
  <c r="K93" i="1"/>
  <c r="M24" i="6"/>
  <c r="M23" i="6"/>
  <c r="W42" i="6"/>
  <c r="W45" i="6" s="1"/>
  <c r="W30" i="6"/>
  <c r="H30" i="6"/>
  <c r="H42" i="6"/>
  <c r="H45" i="6" s="1"/>
  <c r="H47" i="6" s="1"/>
  <c r="AJ30" i="6"/>
  <c r="AJ42" i="6"/>
  <c r="AJ45" i="6" s="1"/>
  <c r="AJ47" i="6" s="1"/>
  <c r="AG42" i="6"/>
  <c r="AG45" i="6" s="1"/>
  <c r="AG47" i="6" s="1"/>
  <c r="AG30" i="6"/>
  <c r="G30" i="6"/>
  <c r="G42" i="6"/>
  <c r="G45" i="6" s="1"/>
  <c r="G47" i="6" s="1"/>
  <c r="Q23" i="6"/>
  <c r="Q24" i="6"/>
  <c r="AK217" i="1"/>
  <c r="AN107" i="1"/>
  <c r="R24" i="6"/>
  <c r="R23" i="6"/>
  <c r="F105" i="1"/>
  <c r="F108" i="1"/>
  <c r="G108" i="1" s="1"/>
  <c r="H108" i="1" s="1"/>
  <c r="I108" i="1" s="1"/>
  <c r="J108" i="1" s="1"/>
  <c r="F22" i="6"/>
  <c r="O30" i="6"/>
  <c r="O42" i="6"/>
  <c r="O45" i="6" s="1"/>
  <c r="O47" i="6" s="1"/>
  <c r="AI30" i="6"/>
  <c r="AI42" i="6"/>
  <c r="AI45" i="6" s="1"/>
  <c r="AI47" i="6" s="1"/>
  <c r="AM30" i="6" l="1"/>
  <c r="AI224" i="1"/>
  <c r="AL105" i="1"/>
  <c r="AI223" i="1" s="1"/>
  <c r="AL22" i="6"/>
  <c r="AH42" i="6"/>
  <c r="AH45" i="6" s="1"/>
  <c r="AH47" i="6" s="1"/>
  <c r="AE24" i="6"/>
  <c r="AE23" i="6"/>
  <c r="AO100" i="1"/>
  <c r="AF22" i="6"/>
  <c r="AF23" i="6" s="1"/>
  <c r="U42" i="6"/>
  <c r="U45" i="6" s="1"/>
  <c r="U47" i="6" s="1"/>
  <c r="U30" i="6"/>
  <c r="AK105" i="1"/>
  <c r="AH223" i="1" s="1"/>
  <c r="AK22" i="6"/>
  <c r="AH224" i="1"/>
  <c r="AN43" i="19"/>
  <c r="J46" i="19"/>
  <c r="AN45" i="19"/>
  <c r="AN46" i="19" s="1"/>
  <c r="Q42" i="6"/>
  <c r="Q45" i="6" s="1"/>
  <c r="Q47" i="6" s="1"/>
  <c r="Q30" i="6"/>
  <c r="L30" i="6"/>
  <c r="L42" i="6"/>
  <c r="L45" i="6" s="1"/>
  <c r="L47" i="6" s="1"/>
  <c r="F23" i="6"/>
  <c r="F24" i="6"/>
  <c r="W47" i="6"/>
  <c r="R30" i="6"/>
  <c r="R42" i="6"/>
  <c r="R45" i="6" s="1"/>
  <c r="R47" i="6" s="1"/>
  <c r="K107" i="1"/>
  <c r="AO93" i="1"/>
  <c r="D14" i="1" s="1"/>
  <c r="AK224" i="1"/>
  <c r="AN22" i="6"/>
  <c r="AN105" i="1"/>
  <c r="AK223" i="1" s="1"/>
  <c r="M42" i="6"/>
  <c r="M45" i="6" s="1"/>
  <c r="M47" i="6" s="1"/>
  <c r="M30" i="6"/>
  <c r="AL24" i="6" l="1"/>
  <c r="AL23" i="6"/>
  <c r="AE42" i="6"/>
  <c r="AE45" i="6" s="1"/>
  <c r="AE47" i="6" s="1"/>
  <c r="AE30" i="6"/>
  <c r="AF24" i="6"/>
  <c r="AK23" i="6"/>
  <c r="AK24" i="6"/>
  <c r="AF42" i="6"/>
  <c r="AF45" i="6" s="1"/>
  <c r="AF30" i="6"/>
  <c r="F42" i="6"/>
  <c r="F30" i="6"/>
  <c r="AN24" i="6"/>
  <c r="AN23" i="6"/>
  <c r="K22" i="6"/>
  <c r="K105" i="1"/>
  <c r="AO105" i="1" s="1"/>
  <c r="D107" i="1"/>
  <c r="AO107" i="1"/>
  <c r="D5" i="1"/>
  <c r="H12" i="8"/>
  <c r="K108" i="1"/>
  <c r="L108" i="1" s="1"/>
  <c r="M108" i="1" s="1"/>
  <c r="N108" i="1" s="1"/>
  <c r="O108" i="1" s="1"/>
  <c r="P108" i="1" s="1"/>
  <c r="Q108" i="1" s="1"/>
  <c r="R108" i="1" s="1"/>
  <c r="S108" i="1" s="1"/>
  <c r="T108" i="1" s="1"/>
  <c r="U108" i="1" s="1"/>
  <c r="V108" i="1" s="1"/>
  <c r="W108" i="1" s="1"/>
  <c r="AL42" i="6" l="1"/>
  <c r="AL45" i="6" s="1"/>
  <c r="AL47" i="6" s="1"/>
  <c r="AL30" i="6"/>
  <c r="AF47" i="6"/>
  <c r="AK42" i="6"/>
  <c r="AK45" i="6" s="1"/>
  <c r="AK47" i="6" s="1"/>
  <c r="AK30" i="6"/>
  <c r="K23" i="6"/>
  <c r="K24" i="6"/>
  <c r="AO22" i="6"/>
  <c r="C22" i="6" s="1"/>
  <c r="F31" i="6"/>
  <c r="G31" i="6" s="1"/>
  <c r="H31" i="6" s="1"/>
  <c r="I31" i="6" s="1"/>
  <c r="J31" i="6" s="1"/>
  <c r="X108" i="1"/>
  <c r="Y108" i="1" s="1"/>
  <c r="Z108" i="1" s="1"/>
  <c r="AA108" i="1" s="1"/>
  <c r="AB108" i="1" s="1"/>
  <c r="AC108" i="1" s="1"/>
  <c r="AD108" i="1" s="1"/>
  <c r="AE108" i="1" s="1"/>
  <c r="AF108" i="1" s="1"/>
  <c r="AG108" i="1" s="1"/>
  <c r="AH108" i="1" s="1"/>
  <c r="AI108" i="1" s="1"/>
  <c r="AJ108" i="1" s="1"/>
  <c r="AK108" i="1" s="1"/>
  <c r="AL108" i="1" s="1"/>
  <c r="AM108" i="1" s="1"/>
  <c r="AN108" i="1" s="1"/>
  <c r="D15" i="1"/>
  <c r="D15" i="8"/>
  <c r="AN30" i="6"/>
  <c r="AN42" i="6"/>
  <c r="AN45" i="6" s="1"/>
  <c r="AN47" i="6" s="1"/>
  <c r="D7" i="8"/>
  <c r="C52" i="6" a="1"/>
  <c r="C52" i="6" s="1"/>
  <c r="F45" i="6"/>
  <c r="D45" i="6" l="1"/>
  <c r="D108" i="1"/>
  <c r="D7" i="1"/>
  <c r="D10" i="8" s="1"/>
  <c r="F47" i="6"/>
  <c r="D47" i="6" s="1"/>
  <c r="F46" i="6"/>
  <c r="G46" i="6" s="1"/>
  <c r="H46" i="6" s="1"/>
  <c r="I46" i="6" s="1"/>
  <c r="J46" i="6" s="1"/>
  <c r="E9" i="6"/>
  <c r="AO24" i="6"/>
  <c r="C53" i="6"/>
  <c r="K42" i="6"/>
  <c r="K30" i="6"/>
  <c r="AO30" i="6" s="1"/>
  <c r="C30" i="6" s="1"/>
  <c r="AO23" i="6"/>
  <c r="E8" i="6"/>
  <c r="E15" i="6" l="1"/>
  <c r="E16" i="6" s="1"/>
  <c r="E17" i="6" s="1"/>
  <c r="K45" i="6"/>
  <c r="K46" i="6" s="1"/>
  <c r="L46" i="6" s="1"/>
  <c r="M46" i="6" s="1"/>
  <c r="N46" i="6" s="1"/>
  <c r="O46" i="6" s="1"/>
  <c r="P46" i="6" s="1"/>
  <c r="Q46" i="6" s="1"/>
  <c r="R46" i="6" s="1"/>
  <c r="S46" i="6" s="1"/>
  <c r="T46" i="6" s="1"/>
  <c r="U46" i="6" s="1"/>
  <c r="V46" i="6" s="1"/>
  <c r="W46" i="6" s="1"/>
  <c r="AO42" i="6"/>
  <c r="C57" i="6"/>
  <c r="D54" i="6"/>
  <c r="D53" i="6" s="1"/>
  <c r="J10" i="1"/>
  <c r="C24" i="6"/>
  <c r="D9" i="6"/>
  <c r="F48" i="6"/>
  <c r="G48" i="6" s="1"/>
  <c r="H48" i="6" s="1"/>
  <c r="I48" i="6" s="1"/>
  <c r="J48" i="6" s="1"/>
  <c r="C23" i="6"/>
  <c r="D8" i="6"/>
  <c r="K31" i="6"/>
  <c r="L31" i="6" s="1"/>
  <c r="M31" i="6" s="1"/>
  <c r="N31" i="6" s="1"/>
  <c r="O31" i="6" s="1"/>
  <c r="P31" i="6" s="1"/>
  <c r="Q31" i="6" s="1"/>
  <c r="R31" i="6" s="1"/>
  <c r="S31" i="6" s="1"/>
  <c r="T31" i="6" s="1"/>
  <c r="U31" i="6" s="1"/>
  <c r="V31" i="6" s="1"/>
  <c r="W31" i="6" s="1"/>
  <c r="X31" i="6" s="1"/>
  <c r="Y31" i="6" s="1"/>
  <c r="Z31" i="6" s="1"/>
  <c r="AA31" i="6" s="1"/>
  <c r="AB31" i="6" s="1"/>
  <c r="AC31" i="6" s="1"/>
  <c r="AD31" i="6" s="1"/>
  <c r="AE31" i="6" s="1"/>
  <c r="AF31" i="6" s="1"/>
  <c r="AG31" i="6" s="1"/>
  <c r="AH31" i="6" s="1"/>
  <c r="AI31" i="6" s="1"/>
  <c r="AJ31" i="6" s="1"/>
  <c r="AK31" i="6" s="1"/>
  <c r="AL31" i="6" s="1"/>
  <c r="AM31" i="6" s="1"/>
  <c r="AN31" i="6" s="1"/>
  <c r="J8" i="6" l="1"/>
  <c r="D8" i="8"/>
  <c r="H6" i="1"/>
  <c r="D15" i="6"/>
  <c r="D16" i="6" s="1"/>
  <c r="D17" i="6" s="1"/>
  <c r="C42" i="6"/>
  <c r="K47" i="6"/>
  <c r="AO47" i="6" s="1"/>
  <c r="AO45" i="6"/>
  <c r="D4" i="6"/>
  <c r="C51" i="6"/>
  <c r="D3" i="6"/>
  <c r="H7" i="8" s="1"/>
  <c r="X46" i="6"/>
  <c r="Y46" i="6" s="1"/>
  <c r="Z46" i="6" s="1"/>
  <c r="AA46" i="6" s="1"/>
  <c r="AB46" i="6" s="1"/>
  <c r="AC46" i="6" s="1"/>
  <c r="AD46" i="6" s="1"/>
  <c r="AE46" i="6" s="1"/>
  <c r="AF46" i="6" s="1"/>
  <c r="AG46" i="6" s="1"/>
  <c r="AH46" i="6" s="1"/>
  <c r="AI46" i="6" s="1"/>
  <c r="AJ46" i="6" s="1"/>
  <c r="AK46" i="6" s="1"/>
  <c r="AL46" i="6" s="1"/>
  <c r="AM46" i="6" s="1"/>
  <c r="AN46" i="6" s="1"/>
  <c r="D5" i="6" l="1"/>
  <c r="H10" i="8" s="1"/>
  <c r="D46" i="6"/>
  <c r="AP45" i="6"/>
  <c r="H4" i="6"/>
  <c r="D4" i="1"/>
  <c r="H9" i="8"/>
  <c r="J20" i="1"/>
  <c r="K48" i="6"/>
  <c r="L48" i="6" s="1"/>
  <c r="M48" i="6" s="1"/>
  <c r="N48" i="6" s="1"/>
  <c r="O48" i="6" s="1"/>
  <c r="P48" i="6" s="1"/>
  <c r="Q48" i="6" s="1"/>
  <c r="R48" i="6" s="1"/>
  <c r="S48" i="6" s="1"/>
  <c r="T48" i="6" s="1"/>
  <c r="U48" i="6" s="1"/>
  <c r="V48" i="6" s="1"/>
  <c r="W48" i="6" s="1"/>
  <c r="X48" i="6" s="1"/>
  <c r="Y48" i="6" s="1"/>
  <c r="Z48" i="6" s="1"/>
  <c r="AA48" i="6" s="1"/>
  <c r="AB48" i="6" s="1"/>
  <c r="AC48" i="6" s="1"/>
  <c r="AD48" i="6" s="1"/>
  <c r="AE48" i="6" s="1"/>
  <c r="AF48" i="6" s="1"/>
  <c r="AG48" i="6" s="1"/>
  <c r="AH48" i="6" s="1"/>
  <c r="AI48" i="6" s="1"/>
  <c r="AJ48" i="6" s="1"/>
  <c r="AK48" i="6" s="1"/>
  <c r="AL48" i="6" s="1"/>
  <c r="AM48" i="6" s="1"/>
  <c r="AN48" i="6" s="1"/>
  <c r="AN50" i="6" l="1"/>
  <c r="D6" i="6"/>
  <c r="H11" i="8" s="1"/>
  <c r="D48" i="6"/>
  <c r="D6" i="1"/>
  <c r="E10" i="1"/>
  <c r="E14" i="1"/>
  <c r="E15" i="1"/>
  <c r="E11" i="1"/>
  <c r="E12" i="1"/>
  <c r="E13" i="1"/>
  <c r="I109" i="1"/>
  <c r="U109" i="1"/>
  <c r="V109" i="1"/>
  <c r="T109" i="1"/>
  <c r="S109" i="1"/>
  <c r="X109" i="1"/>
  <c r="J109" i="1"/>
  <c r="AD109" i="1"/>
  <c r="N109" i="1"/>
  <c r="AB109" i="1"/>
  <c r="AC109" i="1"/>
  <c r="Z109" i="1"/>
  <c r="H109" i="1"/>
  <c r="AH109" i="1"/>
  <c r="AM109" i="1"/>
  <c r="AA109" i="1"/>
  <c r="AJ109" i="1"/>
  <c r="G109" i="1"/>
  <c r="P109" i="1"/>
  <c r="O109" i="1"/>
  <c r="AI109" i="1"/>
  <c r="AE109" i="1"/>
  <c r="AG109" i="1"/>
  <c r="Y109" i="1"/>
  <c r="W109" i="1"/>
  <c r="AF109" i="1"/>
  <c r="Q109" i="1"/>
  <c r="AK109" i="1"/>
  <c r="AL109" i="1"/>
  <c r="R109" i="1"/>
  <c r="M109" i="1"/>
  <c r="L109" i="1"/>
  <c r="F109" i="1"/>
  <c r="AN109" i="1"/>
  <c r="K109" i="1"/>
  <c r="E16" i="1" l="1"/>
  <c r="D9" i="8"/>
  <c r="H20" i="1"/>
  <c r="D109" i="1"/>
  <c r="AO109" i="1"/>
  <c r="F110" i="1"/>
  <c r="G110" i="1" s="1"/>
  <c r="H110" i="1" s="1"/>
  <c r="I110" i="1" s="1"/>
  <c r="J110" i="1" s="1"/>
  <c r="K110" i="1" s="1"/>
  <c r="L110" i="1" s="1"/>
  <c r="M110" i="1" s="1"/>
  <c r="N110" i="1" s="1"/>
  <c r="O110" i="1" s="1"/>
  <c r="P110" i="1" s="1"/>
  <c r="Q110" i="1" s="1"/>
  <c r="R110" i="1" s="1"/>
  <c r="S110" i="1" s="1"/>
  <c r="T110" i="1" s="1"/>
  <c r="U110" i="1" s="1"/>
  <c r="V110" i="1" s="1"/>
  <c r="W110" i="1" s="1"/>
  <c r="X110" i="1" l="1"/>
  <c r="Y110" i="1" s="1"/>
  <c r="Z110" i="1" s="1"/>
  <c r="AA110" i="1" s="1"/>
  <c r="AB110" i="1" s="1"/>
  <c r="AC110" i="1" s="1"/>
  <c r="AD110" i="1" s="1"/>
  <c r="AE110" i="1" s="1"/>
  <c r="AF110" i="1" s="1"/>
  <c r="AG110" i="1" s="1"/>
  <c r="AH110" i="1" s="1"/>
  <c r="AI110" i="1" s="1"/>
  <c r="AJ110" i="1" s="1"/>
  <c r="AK110" i="1" s="1"/>
  <c r="AL110" i="1" s="1"/>
  <c r="AM110" i="1" s="1"/>
  <c r="AN110" i="1" s="1"/>
  <c r="E18" i="1"/>
  <c r="E19" i="1" s="1"/>
  <c r="E17" i="1"/>
  <c r="D8" i="1" l="1"/>
  <c r="D11" i="8" s="1"/>
  <c r="O18" i="1"/>
  <c r="S19" i="1" s="1"/>
  <c r="H13" i="30" s="1"/>
  <c r="M15" i="1" l="1"/>
  <c r="L11" i="1"/>
  <c r="O19" i="1"/>
  <c r="AV35" i="31"/>
  <c r="L35" i="31" s="1"/>
  <c r="R30" i="31"/>
  <c r="AV30" i="31" s="1"/>
  <c r="L30" i="31" s="1"/>
  <c r="AV36" i="31"/>
  <c r="L36" i="31" s="1"/>
  <c r="S21" i="31"/>
  <c r="S6" i="31" s="1"/>
  <c r="S2" i="31" s="1"/>
  <c r="AV28" i="31"/>
  <c r="L28" i="31" s="1"/>
  <c r="AV27" i="31"/>
  <c r="L27" i="31" s="1"/>
  <c r="R21" i="31"/>
  <c r="R6" i="31" s="1"/>
  <c r="R2" i="31" s="1"/>
  <c r="AV21" i="31" l="1"/>
  <c r="L21" i="31" s="1"/>
  <c r="L45" i="31"/>
  <c r="P38" i="31"/>
  <c r="P6" i="31" s="1"/>
  <c r="P2" i="31" s="1"/>
  <c r="AN38" i="31"/>
  <c r="AN6" i="31" s="1"/>
  <c r="AN2" i="31" s="1"/>
  <c r="AF38" i="31"/>
  <c r="AF6" i="31" s="1"/>
  <c r="AF2" i="31" s="1"/>
  <c r="AV44" i="31"/>
  <c r="L44" i="31" s="1"/>
  <c r="X38" i="31"/>
  <c r="X6" i="31" s="1"/>
  <c r="X2" i="31" s="1"/>
  <c r="T38" i="31"/>
  <c r="AR38" i="31"/>
  <c r="AR6" i="31" s="1"/>
  <c r="AR2" i="31" s="1"/>
  <c r="AB38" i="31"/>
  <c r="AB6" i="31" s="1"/>
  <c r="AB2" i="31" s="1"/>
  <c r="AV46" i="31"/>
  <c r="L46" i="31" s="1"/>
  <c r="AJ38" i="31"/>
  <c r="AJ6" i="31" s="1"/>
  <c r="AJ2" i="31" s="1"/>
  <c r="AV38" i="31" l="1"/>
  <c r="L38" i="31" s="1"/>
  <c r="T6" i="31"/>
  <c r="T2" i="31" l="1"/>
  <c r="AV6" i="31"/>
  <c r="AV2" i="31" l="1"/>
  <c r="AW6" i="31"/>
  <c r="L6" i="31"/>
  <c r="L2" i="3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<sst xmlns="http://schemas.openxmlformats.org/spreadsheetml/2006/main" count="3682" uniqueCount="1333">
  <si>
    <t>Esgoto - Coleta e afastamento</t>
  </si>
  <si>
    <t>Esgoto – Tratamento e disposição final</t>
  </si>
  <si>
    <t>1. INVESTIMENTO NECESSÁRIO PARA IMPLANTAÇÂO DOS SERVIÇOS DE ÁGUA E ESGOTO</t>
  </si>
  <si>
    <t>Água</t>
  </si>
  <si>
    <t>Esgoto</t>
  </si>
  <si>
    <t>Total</t>
  </si>
  <si>
    <t>CAPEX (itens 1+2)</t>
  </si>
  <si>
    <t>Equity</t>
  </si>
  <si>
    <t>População Urbana Permanente</t>
  </si>
  <si>
    <t>Atendimento Água</t>
  </si>
  <si>
    <t>Atendimento Esgoto</t>
  </si>
  <si>
    <t>População</t>
  </si>
  <si>
    <t>Índice de atendimento</t>
  </si>
  <si>
    <t>População  Atendida</t>
  </si>
  <si>
    <t>hab.</t>
  </si>
  <si>
    <t>%</t>
  </si>
  <si>
    <t xml:space="preserve">Base </t>
  </si>
  <si>
    <t>ANO</t>
  </si>
  <si>
    <t>Unidade</t>
  </si>
  <si>
    <t>TMA</t>
  </si>
  <si>
    <t>R$/hab.</t>
  </si>
  <si>
    <t>Esgoto – Tratam. e disposição final</t>
  </si>
  <si>
    <t>VPL</t>
  </si>
  <si>
    <t>ACUMULADO</t>
  </si>
  <si>
    <t>Saldo de CX</t>
  </si>
  <si>
    <t>Saldo de CX Acumulado</t>
  </si>
  <si>
    <t>Matriz Tarifária Proposta</t>
  </si>
  <si>
    <t>Histograma de Consumo</t>
  </si>
  <si>
    <t>Categoria</t>
  </si>
  <si>
    <t xml:space="preserve">Faixa de consumo </t>
  </si>
  <si>
    <t xml:space="preserve">Tarifa Água </t>
  </si>
  <si>
    <t>Tarifa Esgoto</t>
  </si>
  <si>
    <t>Faixa de consumo</t>
  </si>
  <si>
    <t>Vol faturado</t>
  </si>
  <si>
    <t>Distribuição Água</t>
  </si>
  <si>
    <t>Distribuição Esgoto</t>
  </si>
  <si>
    <t>Fat Água</t>
  </si>
  <si>
    <t>Fat Esgoto</t>
  </si>
  <si>
    <t>% FAT</t>
  </si>
  <si>
    <t>% FAT CAT</t>
  </si>
  <si>
    <t>Inferior</t>
  </si>
  <si>
    <t>Superior</t>
  </si>
  <si>
    <t>(R$/m³)</t>
  </si>
  <si>
    <t xml:space="preserve"> (R$/m³)</t>
  </si>
  <si>
    <t>Economias</t>
  </si>
  <si>
    <t>Ligações</t>
  </si>
  <si>
    <t>Vol Fat</t>
  </si>
  <si>
    <t>&gt; 100</t>
  </si>
  <si>
    <t>Totais</t>
  </si>
  <si>
    <t>Faturamento mensal bruto</t>
  </si>
  <si>
    <t>Faturamento anual</t>
  </si>
  <si>
    <t>Economias Ativas de Agua</t>
  </si>
  <si>
    <t>Relação entre a Tarifa E/A</t>
  </si>
  <si>
    <t xml:space="preserve">1 - RECEITAS </t>
  </si>
  <si>
    <t>1.1 - Água</t>
  </si>
  <si>
    <t>1.1.1  - Receita faturada Água</t>
  </si>
  <si>
    <t>1.2 - Esgoto</t>
  </si>
  <si>
    <t>1.2.1 - Receita faturada Esgoto</t>
  </si>
  <si>
    <t>2 - DESPESAS</t>
  </si>
  <si>
    <t>2.1.2 - Água</t>
  </si>
  <si>
    <t>2.1.2 - Esgoto</t>
  </si>
  <si>
    <t>Despesas Totais (ToTEX)</t>
  </si>
  <si>
    <t>3 - RESUMO</t>
  </si>
  <si>
    <t>Ano</t>
  </si>
  <si>
    <t>Volume Faturado por faixa de consumo</t>
  </si>
  <si>
    <t>Água - Distribuição</t>
  </si>
  <si>
    <t>Água - Reservação</t>
  </si>
  <si>
    <t>Água - Projeto</t>
  </si>
  <si>
    <t>Água  - Gerenciamento de obra</t>
  </si>
  <si>
    <t>Água - Consultoria e licenciamento ambiental</t>
  </si>
  <si>
    <t>Água - Captação e tratamento</t>
  </si>
  <si>
    <t>Esgoto - Projeto</t>
  </si>
  <si>
    <t>Esgoto - Consultoria e licenciamento ambiental</t>
  </si>
  <si>
    <t>Esgoto  - Gerenciamento de obra</t>
  </si>
  <si>
    <t>2.1 -Despesas de Capital (CAPEX)</t>
  </si>
  <si>
    <t>2.2 - Despesas operacionais (OPEX)</t>
  </si>
  <si>
    <t>Inflação  Ano Base</t>
  </si>
  <si>
    <t>PAYBACK Simples</t>
  </si>
  <si>
    <t>2.2.3   - Custeio de serviços e materiais p/ manut. de veículos</t>
  </si>
  <si>
    <t>2.2.2   - Custeio de serviços e materiais p/ manut. de redes</t>
  </si>
  <si>
    <t>1.1.3 - Receita recebida Água</t>
  </si>
  <si>
    <t>1.2.3 - Receita recebida</t>
  </si>
  <si>
    <t>1.2.4 - Recuperação de receita de esgoto</t>
  </si>
  <si>
    <t>2. CUSTO ANUAL  DOS INVESTIMENTOS EM FUNÇÃO DO CRESCIMENTO VEGETATIVO EM ÁREAS JÁ URBANIZADAS</t>
  </si>
  <si>
    <t>Rf</t>
  </si>
  <si>
    <t>Beta</t>
  </si>
  <si>
    <t>Rm</t>
  </si>
  <si>
    <t>Rc</t>
  </si>
  <si>
    <t>2.2.1  - Custeio de mão de obra e encargos sociais</t>
  </si>
  <si>
    <t>Item</t>
  </si>
  <si>
    <t>Total Água + Esgoto</t>
  </si>
  <si>
    <t>Total Esgoto</t>
  </si>
  <si>
    <t>Total Água</t>
  </si>
  <si>
    <t>Impostos</t>
  </si>
  <si>
    <t>1.1.2 - Receitas faturada com serviços acessórios de Água</t>
  </si>
  <si>
    <t>1.2.2 - Receitas faturada com serviços acessórios de Esgoto</t>
  </si>
  <si>
    <t>Valor Nominal</t>
  </si>
  <si>
    <t xml:space="preserve">Taxa de desconto </t>
  </si>
  <si>
    <t>Faturamento</t>
  </si>
  <si>
    <t>1.5 - Perda de Receita</t>
  </si>
  <si>
    <t>Arrecadação</t>
  </si>
  <si>
    <t>Amortizações</t>
  </si>
  <si>
    <t>Taxa de desconto</t>
  </si>
  <si>
    <t>FLUXO DE CAIXA DO PROJETO</t>
  </si>
  <si>
    <t>Taxa Juros Básica</t>
  </si>
  <si>
    <t>Cálculo das Taxas de Juros</t>
  </si>
  <si>
    <t>Financiamentos</t>
  </si>
  <si>
    <t>Despesas de Capital (CAPEX)</t>
  </si>
  <si>
    <t>Despesas operacionais (OPEX)</t>
  </si>
  <si>
    <t>Faturamento por faixa de Consumo</t>
  </si>
  <si>
    <t>Economias Ativas</t>
  </si>
  <si>
    <t>Saldo de CX Descontado</t>
  </si>
  <si>
    <t>Saldo de CX Descontado Acumulado</t>
  </si>
  <si>
    <t>TC = CSLL+IRPJ</t>
  </si>
  <si>
    <t>EBITDA</t>
  </si>
  <si>
    <t>Econ.</t>
  </si>
  <si>
    <t>Ligações Ativas</t>
  </si>
  <si>
    <t>Lig.</t>
  </si>
  <si>
    <t>Densidade de Econ por Lig. Agua</t>
  </si>
  <si>
    <t>Economias Ativas de Esgoto</t>
  </si>
  <si>
    <t>Perdas Aparentes</t>
  </si>
  <si>
    <t>Crescimento vegetativo da População</t>
  </si>
  <si>
    <t>Recuperação da Demanda Reprimida</t>
  </si>
  <si>
    <t>Perda Total</t>
  </si>
  <si>
    <t>Extensão da rede de água</t>
  </si>
  <si>
    <t>Extensão da rede de esgoto</t>
  </si>
  <si>
    <t>m</t>
  </si>
  <si>
    <t>Volume produzido</t>
  </si>
  <si>
    <t>Volume distribuido</t>
  </si>
  <si>
    <t>Volume consumido</t>
  </si>
  <si>
    <t>Volume medido</t>
  </si>
  <si>
    <t>Volume faturado</t>
  </si>
  <si>
    <t>Volume gerado</t>
  </si>
  <si>
    <t>Volume de Infiltração</t>
  </si>
  <si>
    <t>Volume tratado</t>
  </si>
  <si>
    <t xml:space="preserve"> m³/ano</t>
  </si>
  <si>
    <t>1.1.4 - Recuperação de receita de Água no ano</t>
  </si>
  <si>
    <t>1.1.5 - Perda de arrecadação efetiva</t>
  </si>
  <si>
    <t>1.2.5 -  Perda de arrecadação efetiva</t>
  </si>
  <si>
    <t>1.3 - Faturamento Bruto anual</t>
  </si>
  <si>
    <t>1.4 - Arrecadação Bruta anual</t>
  </si>
  <si>
    <t>3.1 - Faturamento Bruto</t>
  </si>
  <si>
    <t>3.2 - Arrecadação Bruta</t>
  </si>
  <si>
    <t>3.3 - Perda  de Arrecadação</t>
  </si>
  <si>
    <t>TIR Calculada do projeto</t>
  </si>
  <si>
    <t>VPL Calculado do projeto</t>
  </si>
  <si>
    <t>Tarifa média calculada</t>
  </si>
  <si>
    <t>Relação Tarifa de Esgoto / Tarifa de Água</t>
  </si>
  <si>
    <t>Tarifa média de Água calculada</t>
  </si>
  <si>
    <t>Tarifa média de Esgoto calculada</t>
  </si>
  <si>
    <t>% do CAPEX Financiado por terceiros</t>
  </si>
  <si>
    <t xml:space="preserve">   Perda de  Fisica</t>
  </si>
  <si>
    <t xml:space="preserve">   Perda Aparente</t>
  </si>
  <si>
    <t>Proporção Tarifária</t>
  </si>
  <si>
    <t>SELIC no Ano Base</t>
  </si>
  <si>
    <t xml:space="preserve"> ke</t>
  </si>
  <si>
    <t xml:space="preserve"> kd</t>
  </si>
  <si>
    <t>Incremento anual rede de água</t>
  </si>
  <si>
    <t>Incremento anual rede de esgoto</t>
  </si>
  <si>
    <t>Perda Produção</t>
  </si>
  <si>
    <t>Volume Faturado sobre Medido</t>
  </si>
  <si>
    <t>Água  - Ligaçãos Predial</t>
  </si>
  <si>
    <t>Esgoto  - Ligaçãos Predial</t>
  </si>
  <si>
    <t>FLUXO DE CAIXA DO ACIONISTA</t>
  </si>
  <si>
    <t>Saldo de Caixa Acumulado</t>
  </si>
  <si>
    <t>Saldo de caixa (1+2)</t>
  </si>
  <si>
    <t xml:space="preserve">  1.1 - Dividendos Anuais</t>
  </si>
  <si>
    <t>2 - Despesas operacionais</t>
  </si>
  <si>
    <t>TIR Calculada do Acionista</t>
  </si>
  <si>
    <t>Dividendos</t>
  </si>
  <si>
    <t>3 - Financiamento</t>
  </si>
  <si>
    <t xml:space="preserve">  3.2 - Amortizações</t>
  </si>
  <si>
    <t>Prestação Anual</t>
  </si>
  <si>
    <t>Principal Anual (R$)</t>
  </si>
  <si>
    <t>Juros Anual (R$)</t>
  </si>
  <si>
    <t>Administração Anual (R$)</t>
  </si>
  <si>
    <t>Risco de Crédito Anual (R$)</t>
  </si>
  <si>
    <t>Saldo Devedor Acumulado (R$)</t>
  </si>
  <si>
    <t>Contrapartida Anual (R$)</t>
  </si>
  <si>
    <t>Empréstimo Anual (R$)</t>
  </si>
  <si>
    <t>TOTAL - Financiamento Saneamento</t>
  </si>
  <si>
    <t>Principal Anual</t>
  </si>
  <si>
    <t>Juros Anual</t>
  </si>
  <si>
    <t>Administração Anual</t>
  </si>
  <si>
    <t>Risco de Crédito Anual</t>
  </si>
  <si>
    <t>Saldo Devedor Acumulado</t>
  </si>
  <si>
    <t>Contrapartida Anual</t>
  </si>
  <si>
    <t>Empréstimo Anual</t>
  </si>
  <si>
    <t>não</t>
  </si>
  <si>
    <t>ok</t>
  </si>
  <si>
    <t>4º Ano</t>
  </si>
  <si>
    <t>3º Ano</t>
  </si>
  <si>
    <t>2º Ano</t>
  </si>
  <si>
    <t>1º Ano</t>
  </si>
  <si>
    <t>Ditribuição Obra - Financiamento 8</t>
  </si>
  <si>
    <t>Ditribuição Obra - Financiamento 7</t>
  </si>
  <si>
    <t>Ditribuição Obra - Financiamento 6</t>
  </si>
  <si>
    <t>Ditribuição Obra - Financiamento 5</t>
  </si>
  <si>
    <t>Ditribuição Obra - Financiamento 4</t>
  </si>
  <si>
    <t>Ditribuição Obra - Financiamento 3</t>
  </si>
  <si>
    <t>Ditribuição Obra - Financiamento 2</t>
  </si>
  <si>
    <t>Ditribuição Obra - Financiamento 1</t>
  </si>
  <si>
    <t>Número de Prestações Mensais</t>
  </si>
  <si>
    <t>Valor do Empréstimo</t>
  </si>
  <si>
    <t>Valor da Contrapartida</t>
  </si>
  <si>
    <t>Contrapartida</t>
  </si>
  <si>
    <t>Valor Total</t>
  </si>
  <si>
    <t>Financiamento Saneamento</t>
  </si>
  <si>
    <t>Distribuição Anual</t>
  </si>
  <si>
    <t>Valor Total do Investimento Financiável</t>
  </si>
  <si>
    <t>Financiável?</t>
  </si>
  <si>
    <t>SIM</t>
  </si>
  <si>
    <t>3.4 - Receita Líquida</t>
  </si>
  <si>
    <t>Juros sobre o financiamento</t>
  </si>
  <si>
    <t>Resultados projetados</t>
  </si>
  <si>
    <t>PRINCIPAIS RESULTADOS DO PROJETO</t>
  </si>
  <si>
    <t>Unid.</t>
  </si>
  <si>
    <t>Valor</t>
  </si>
  <si>
    <t>TIR do Projeto</t>
  </si>
  <si>
    <t>% a.a</t>
  </si>
  <si>
    <t>VPL (taxa de desconto real = WACC)</t>
  </si>
  <si>
    <t>Investimentos (CAPEX)</t>
  </si>
  <si>
    <t>R$</t>
  </si>
  <si>
    <t>Contraprestação Total (Valor do Contrato)</t>
  </si>
  <si>
    <t>PRINCIPAIS RESULTADOS PARA ACIONISTA</t>
  </si>
  <si>
    <t>TIR do Acionista</t>
  </si>
  <si>
    <t>VPL (taxa de desconto real = Ke)</t>
  </si>
  <si>
    <t>Exposição Máxima</t>
  </si>
  <si>
    <t>Despesas de Licitação</t>
  </si>
  <si>
    <t>Necessidade de Capital (Equity)</t>
  </si>
  <si>
    <t>R$/m³</t>
  </si>
  <si>
    <t>Tarifa média de água calculada</t>
  </si>
  <si>
    <t>Tarifa média de esgoto calculada</t>
  </si>
  <si>
    <t>anos</t>
  </si>
  <si>
    <t>VPL Calculado do Acionista</t>
  </si>
  <si>
    <t>PAYBACK Descontado</t>
  </si>
  <si>
    <t>Administração Central (% da Arrecadação do Projeto)</t>
  </si>
  <si>
    <t>Tipo</t>
  </si>
  <si>
    <t>Prêmio</t>
  </si>
  <si>
    <t>Cobertura</t>
  </si>
  <si>
    <t>Base de Cálculo</t>
  </si>
  <si>
    <t>Período</t>
  </si>
  <si>
    <t xml:space="preserve">Equivalente </t>
  </si>
  <si>
    <t>Seguros</t>
  </si>
  <si>
    <t>Risco de Engenharia</t>
  </si>
  <si>
    <t>Durante Investimento</t>
  </si>
  <si>
    <t>Responsabilidade Civil - Obras</t>
  </si>
  <si>
    <t>Responsabilidade Civil - Operação</t>
  </si>
  <si>
    <t>Riscos Gerais - "All Risks"</t>
  </si>
  <si>
    <t>Durante Contrato</t>
  </si>
  <si>
    <t>Garantias</t>
  </si>
  <si>
    <t xml:space="preserve">Execução do Contato </t>
  </si>
  <si>
    <t>Até 10° ano</t>
  </si>
  <si>
    <t>% Garantia - Execução do Contrato</t>
  </si>
  <si>
    <t>Garantia - Execução do Contrato</t>
  </si>
  <si>
    <t>% do Valor do Contrato</t>
  </si>
  <si>
    <t>11° ao 25° ano</t>
  </si>
  <si>
    <t>Valor Residual do Contrato</t>
  </si>
  <si>
    <t>Fluxo de Caixa do Acionista</t>
  </si>
  <si>
    <t>TIR Acionista</t>
  </si>
  <si>
    <t>Capital Próprio</t>
  </si>
  <si>
    <t>Capital de Terceiros</t>
  </si>
  <si>
    <t>Ke</t>
  </si>
  <si>
    <t>Kd</t>
  </si>
  <si>
    <t>WACC</t>
  </si>
  <si>
    <t>Valor do Contrato</t>
  </si>
  <si>
    <t>Opex</t>
  </si>
  <si>
    <t>Capex</t>
  </si>
  <si>
    <t xml:space="preserve">4 - Benefício Fiscal </t>
  </si>
  <si>
    <t>Fluxo de Caixa do Acionista Acumulado</t>
  </si>
  <si>
    <t>Fluxo de Caixa do Acionista Descontado</t>
  </si>
  <si>
    <t>Fluxo de Caixa do Acionista Descontado Acumulado</t>
  </si>
  <si>
    <t>5 - Reserva Legal</t>
  </si>
  <si>
    <t xml:space="preserve">  1.2 - Equity</t>
  </si>
  <si>
    <t>Taxa de Regulação</t>
  </si>
  <si>
    <t>3.5 - Custeio</t>
  </si>
  <si>
    <t>3.6 - Investimento</t>
  </si>
  <si>
    <t>3.7 - Depreciação</t>
  </si>
  <si>
    <t>3.8 - Saldo  Operacional antes dos impostos sobre faturamento</t>
  </si>
  <si>
    <t>3.9 - Saldo  Operacional depois dos impostos sobre faturamento</t>
  </si>
  <si>
    <t xml:space="preserve">3.10 - Impostos </t>
  </si>
  <si>
    <t>3.10.1 - Impostos sobre o faturamento</t>
  </si>
  <si>
    <t xml:space="preserve">    3.10.1.1 - ISS</t>
  </si>
  <si>
    <t xml:space="preserve">    3.10.1.2 - PIS</t>
  </si>
  <si>
    <t xml:space="preserve">    3.10.1.3 - COFINS</t>
  </si>
  <si>
    <t>3.10.2 - Impostos sobre a renda</t>
  </si>
  <si>
    <t xml:space="preserve">    3.10.2.1 - Base de cálculo CSLL e IRPJ</t>
  </si>
  <si>
    <t xml:space="preserve">    3.10.2.2 - CSLL</t>
  </si>
  <si>
    <t xml:space="preserve">    3.10.2.3 - IRPJ</t>
  </si>
  <si>
    <t>3.11- Equity</t>
  </si>
  <si>
    <t>Reserva Legal</t>
  </si>
  <si>
    <t>Capital social a ser integralizado no contrato inicial</t>
  </si>
  <si>
    <t>CAPEX</t>
  </si>
  <si>
    <t>Inadimplência</t>
  </si>
  <si>
    <t>unid.</t>
  </si>
  <si>
    <t>Nº de Func. da Manutenção A+E</t>
  </si>
  <si>
    <t>Nº de Func. da Operação A+E</t>
  </si>
  <si>
    <t>Nº de Func. do Planejamento</t>
  </si>
  <si>
    <t>Nº de Func. do Comercial</t>
  </si>
  <si>
    <t>Nº de Func. da Administração</t>
  </si>
  <si>
    <t>Nº de Func Cargos Tático</t>
  </si>
  <si>
    <t>Nº de Func Cargos Executivo</t>
  </si>
  <si>
    <t>Nº Total de Funcionários</t>
  </si>
  <si>
    <t>Nº Ligações A+E por funcionário</t>
  </si>
  <si>
    <t>Lig/func</t>
  </si>
  <si>
    <t>Folha de pagamento sem encargos anual</t>
  </si>
  <si>
    <t>Encargos sobre a folha de pagamento anual</t>
  </si>
  <si>
    <t>Custo anual de mão de obra e encargos sociais</t>
  </si>
  <si>
    <t>m³/ano</t>
  </si>
  <si>
    <t>kWh/ano</t>
  </si>
  <si>
    <t>kWh/m³</t>
  </si>
  <si>
    <t>Grupo A4</t>
  </si>
  <si>
    <t>Custo anual</t>
  </si>
  <si>
    <t>Ponta</t>
  </si>
  <si>
    <t xml:space="preserve">Intermediária </t>
  </si>
  <si>
    <t>Fora de Ponta</t>
  </si>
  <si>
    <t>Média</t>
  </si>
  <si>
    <t>Grupo B3</t>
  </si>
  <si>
    <t>Total EE</t>
  </si>
  <si>
    <t>Tarifa média Grupo A4 (média tensão 13,8 kV)</t>
  </si>
  <si>
    <t>Tarifa média Grupo B3 (baixa tensão 220, 380 ou 440 V)</t>
  </si>
  <si>
    <t>Produto químico</t>
  </si>
  <si>
    <t>mg/L</t>
  </si>
  <si>
    <t>Cloro</t>
  </si>
  <si>
    <t>Hidroxido de Cálcio</t>
  </si>
  <si>
    <t>ETA</t>
  </si>
  <si>
    <t>Polimero para desidratação de lodo</t>
  </si>
  <si>
    <t>Concentração</t>
  </si>
  <si>
    <t>t/ano</t>
  </si>
  <si>
    <t>Volume Tratado</t>
  </si>
  <si>
    <t>Ácido fluorsilícico 20%</t>
  </si>
  <si>
    <t>Policloreto de Alumínio (PAC)</t>
  </si>
  <si>
    <t>Ortopolifostato de Sódio</t>
  </si>
  <si>
    <t>Volume Produzido</t>
  </si>
  <si>
    <t>Consumo EE</t>
  </si>
  <si>
    <t>Coeficiente Energético</t>
  </si>
  <si>
    <t>Coeficiente Energético médio</t>
  </si>
  <si>
    <t>Custo Total de Energia Elétrica</t>
  </si>
  <si>
    <t>Custo de Captação</t>
  </si>
  <si>
    <t>Lançamento de Efluente Tratado</t>
  </si>
  <si>
    <t>Despesas</t>
  </si>
  <si>
    <t>2.2.5   - Reposição de ativos e equipamentos.</t>
  </si>
  <si>
    <t>2.2.6   - Custeio de combustíveis e lubrificantes</t>
  </si>
  <si>
    <t>2.2.7   - Custeio de energia elétrica</t>
  </si>
  <si>
    <t>2.2.8   - Custeio de produto químico</t>
  </si>
  <si>
    <t>2.2.9   - Custeio administrativo e comercial</t>
  </si>
  <si>
    <t>2.2.10   - Custeio legal e regulação</t>
  </si>
  <si>
    <t>2.2.11 - Despesas diversas</t>
  </si>
  <si>
    <t>2.2.12 - Pagamento pelo uso de recursos hídricos</t>
  </si>
  <si>
    <t>2.2.13 - Reserva técnica de contingência e emergências</t>
  </si>
  <si>
    <t>2.2.14 - Seguros e Garantias</t>
  </si>
  <si>
    <t>EBIT</t>
  </si>
  <si>
    <t>1 - Fluxo de Caixa do Projeto</t>
  </si>
  <si>
    <t>Margem Líquida</t>
  </si>
  <si>
    <t>Margem EBITDA</t>
  </si>
  <si>
    <t>Margem EBIT</t>
  </si>
  <si>
    <t>Premissas Macroeconômicas</t>
  </si>
  <si>
    <t>TLP (anual)</t>
  </si>
  <si>
    <t>Spread sobre TLP (anual)</t>
  </si>
  <si>
    <t>Spread Financ. BNDES (anual)</t>
  </si>
  <si>
    <t>IPCA (anual)</t>
  </si>
  <si>
    <t>IPCA (acum)</t>
  </si>
  <si>
    <t>SELIC (anual)</t>
  </si>
  <si>
    <t>SELIC (sem IPCA)</t>
  </si>
  <si>
    <t>PIB - Brasil</t>
  </si>
  <si>
    <t>Projeção Inflação - EUA (anual)</t>
  </si>
  <si>
    <t>Tx Retorno Livre Risco - EUA (anual)</t>
  </si>
  <si>
    <t>Equity Risk Premium - Merc Acionário-EUA (anual)</t>
  </si>
  <si>
    <t>Risco País - Brasil (anual)</t>
  </si>
  <si>
    <t>TARIFAS</t>
  </si>
  <si>
    <t>CUSTOS</t>
  </si>
  <si>
    <t>Custeio Legal (% da Arrecadação)</t>
  </si>
  <si>
    <t>Taxa de Regulação (% da Arrecadação)</t>
  </si>
  <si>
    <t>Verificador Independente (% do total do Faturamento o)</t>
  </si>
  <si>
    <t>Coeficiente Energético A+E</t>
  </si>
  <si>
    <t>Lucro Líquido</t>
  </si>
  <si>
    <t>Receitas acessórias</t>
  </si>
  <si>
    <t>PIS/COFINS</t>
  </si>
  <si>
    <t>ISS</t>
  </si>
  <si>
    <t>Despesas Financeiras</t>
  </si>
  <si>
    <t xml:space="preserve">Água </t>
  </si>
  <si>
    <t>Tempo Restante</t>
  </si>
  <si>
    <t>Inflação</t>
  </si>
  <si>
    <t>Inflação Acumulada</t>
  </si>
  <si>
    <t>Depreciação - no Ano de Investimento</t>
  </si>
  <si>
    <t>Próprio Ano - Total</t>
  </si>
  <si>
    <r>
      <t xml:space="preserve">Abastecimento e Esgotamento </t>
    </r>
    <r>
      <rPr>
        <b/>
        <i/>
        <u/>
        <sz val="20"/>
        <rFont val="Calibri"/>
        <family val="2"/>
        <scheme val="minor"/>
      </rPr>
      <t>REAL</t>
    </r>
  </si>
  <si>
    <t>% OPEX</t>
  </si>
  <si>
    <t>RESULTADO DO FLUXO DE CAIXA ACIONISTA - FCA</t>
  </si>
  <si>
    <t>Manutenção de redes</t>
  </si>
  <si>
    <t>Extenção de rede de água</t>
  </si>
  <si>
    <t>Nº de ligações ativas de água</t>
  </si>
  <si>
    <t>Extenção de rede de esfoto</t>
  </si>
  <si>
    <t>Nº de ligações ativas de esgoto</t>
  </si>
  <si>
    <t>Nº de reparos rede de água</t>
  </si>
  <si>
    <t>Troca de ramal de água</t>
  </si>
  <si>
    <t>Troca de Cavalete de água</t>
  </si>
  <si>
    <t>Repavimentação</t>
  </si>
  <si>
    <t>m²</t>
  </si>
  <si>
    <t>Troca de ramal de esgoto</t>
  </si>
  <si>
    <t>Nº de reparos rede de esgoto</t>
  </si>
  <si>
    <t>Reparos em PV</t>
  </si>
  <si>
    <t>Reparos rede de água</t>
  </si>
  <si>
    <t>Reparos rede de esgoto</t>
  </si>
  <si>
    <t>Total de serviços de terceiros e materiais</t>
  </si>
  <si>
    <t>Troca de rede de água</t>
  </si>
  <si>
    <t>Troca de rede de esgoto</t>
  </si>
  <si>
    <t>mês</t>
  </si>
  <si>
    <t xml:space="preserve">Total OS mês </t>
  </si>
  <si>
    <t>Total de OS dia</t>
  </si>
  <si>
    <t>Repavimentação esgoto</t>
  </si>
  <si>
    <t>Repavimentação agua</t>
  </si>
  <si>
    <t>Contrapartida dos empréstimos do CAPEX</t>
  </si>
  <si>
    <t>Ativos com depreciação de 5 Anos</t>
  </si>
  <si>
    <t>Ativos com depreciação de 10 Anos</t>
  </si>
  <si>
    <t>Ativos com depreciação de 15 Anos</t>
  </si>
  <si>
    <t>Ativos com depreciação de 25 Anos</t>
  </si>
  <si>
    <t>Ativos com depreciação de 30 Anos</t>
  </si>
  <si>
    <t>Custo Médio por ligação</t>
  </si>
  <si>
    <t>Fator de distribuição anual</t>
  </si>
  <si>
    <t>Reposição de Ativoso de Ativos</t>
  </si>
  <si>
    <t>Troca de hidrometro</t>
  </si>
  <si>
    <t>un/ano</t>
  </si>
  <si>
    <t>Acum.</t>
  </si>
  <si>
    <t>Equipamentos de Laboratório</t>
  </si>
  <si>
    <t>Software e licencas</t>
  </si>
  <si>
    <t>Equipamentos de macromedição e controle</t>
  </si>
  <si>
    <t>Equipamentos de escritório</t>
  </si>
  <si>
    <t>Acumulado</t>
  </si>
  <si>
    <t>DISTR.</t>
  </si>
  <si>
    <t>Unid</t>
  </si>
  <si>
    <t>Total de OS Ano</t>
  </si>
  <si>
    <t>Equipe reparo de rede -  Água</t>
  </si>
  <si>
    <t>Equipe reparo de rede -  Esgoto</t>
  </si>
  <si>
    <t>Equipe de reaterro de vala</t>
  </si>
  <si>
    <t>Equipe de repavimentação</t>
  </si>
  <si>
    <t>Total de equipes de manutenção de redes e repavimentação</t>
  </si>
  <si>
    <t>Veículo Passeio pequeno</t>
  </si>
  <si>
    <t>Retro escavadeira 75Hp</t>
  </si>
  <si>
    <t>Caminhão basculante 12T</t>
  </si>
  <si>
    <t>Caminhão Toco carroceria 6T</t>
  </si>
  <si>
    <t>Caminhão 4T</t>
  </si>
  <si>
    <t>Pickup 1/2 T</t>
  </si>
  <si>
    <t>Receita Operacional Bruta</t>
  </si>
  <si>
    <t>Impostos Indiretos</t>
  </si>
  <si>
    <t>Receita Operacional Líquida</t>
  </si>
  <si>
    <t>Custos e Despesas</t>
  </si>
  <si>
    <t>LAJIDA</t>
  </si>
  <si>
    <t>Amortização (deflacionada)</t>
  </si>
  <si>
    <t>LAJIR</t>
  </si>
  <si>
    <t>LAIR</t>
  </si>
  <si>
    <t>Impostos Diretos</t>
  </si>
  <si>
    <t>DRE - Demonstração de Resultado do Exercício (R$)</t>
  </si>
  <si>
    <t>Serviços e materiais p/ manut. de redes</t>
  </si>
  <si>
    <t>Serviços e materiais p/ manut. de veículos</t>
  </si>
  <si>
    <t>Serviços e manut. de equip eletromecânicos</t>
  </si>
  <si>
    <t>Reposição de ativos e equipamentos.</t>
  </si>
  <si>
    <t>Combustíveis e lubrificantes</t>
  </si>
  <si>
    <t>Energia elétrica</t>
  </si>
  <si>
    <t>Produtos Químicos</t>
  </si>
  <si>
    <t>Despesas diversas</t>
  </si>
  <si>
    <t>Custeio administrativo e comercial</t>
  </si>
  <si>
    <t>Custeio legal e regulação</t>
  </si>
  <si>
    <t>Pagamento pelo uso de recursos hídricos</t>
  </si>
  <si>
    <t>Reserva técnica de contingência e emergências</t>
  </si>
  <si>
    <t>Pessoal e encargos sociais</t>
  </si>
  <si>
    <t>Margem Líquida % (Lucro Líquido/Receita Líquida)</t>
  </si>
  <si>
    <t>Adm. Central</t>
  </si>
  <si>
    <t>Margem %</t>
  </si>
  <si>
    <t>Consumo dia</t>
  </si>
  <si>
    <t>Pot usada CV</t>
  </si>
  <si>
    <t>Pot instal CV</t>
  </si>
  <si>
    <t xml:space="preserve">Benefício Fiscal </t>
  </si>
  <si>
    <t>Reserva legal</t>
  </si>
  <si>
    <t>Ke (Custo de Capital Próprio = TIR))</t>
  </si>
  <si>
    <t>2.2.4   - Custeio de serviços e manut. de equipos eletromecânicos</t>
  </si>
  <si>
    <t>2.2.14.1 - Seguros sobre investimentos</t>
  </si>
  <si>
    <t>2.2.14.2 - Garantias de Execução Contrato</t>
  </si>
  <si>
    <t xml:space="preserve">2.2.14.3 - Seguro sobre Riscos Gerais </t>
  </si>
  <si>
    <t>2.2.14.4 - Seguro sobre Operação</t>
  </si>
  <si>
    <t>2.2.15 - Taxa de Administração Central</t>
  </si>
  <si>
    <t>RESULTADO DO FLUXO DE CAIXA PROJETO- FCDP</t>
  </si>
  <si>
    <t xml:space="preserve">  3.1 - Empréstimos</t>
  </si>
  <si>
    <t xml:space="preserve">  3.2 - Juros sobre os financiamentos</t>
  </si>
  <si>
    <t xml:space="preserve">  4.1 - Benefício Fiscal Financiamentos</t>
  </si>
  <si>
    <t>PIS</t>
  </si>
  <si>
    <t>COFINS</t>
  </si>
  <si>
    <t>Ditribuição Obra - Financiamento 9</t>
  </si>
  <si>
    <t>TBO</t>
  </si>
  <si>
    <t>Ressarcimento da Modelagem</t>
  </si>
  <si>
    <t>ICMS</t>
  </si>
  <si>
    <t>R$/kWh</t>
  </si>
  <si>
    <t>Convencional</t>
  </si>
  <si>
    <t>R$/ton</t>
  </si>
  <si>
    <t>Comercial</t>
  </si>
  <si>
    <t>Especial</t>
  </si>
  <si>
    <r>
      <t>Residencial Social  Área constr. 0 a 50 m</t>
    </r>
    <r>
      <rPr>
        <b/>
        <vertAlign val="superscript"/>
        <sz val="12"/>
        <color rgb="FF000000"/>
        <rFont val="Calibri"/>
        <family val="2"/>
      </rPr>
      <t>²</t>
    </r>
  </si>
  <si>
    <r>
      <t>Residencial Padrão A - Área constr. 0 a 50 m</t>
    </r>
    <r>
      <rPr>
        <b/>
        <vertAlign val="superscript"/>
        <sz val="12"/>
        <color rgb="FF000000"/>
        <rFont val="Calibri"/>
        <family val="2"/>
      </rPr>
      <t>²</t>
    </r>
  </si>
  <si>
    <r>
      <t>Residencial Padrão B - Área constr  50,01 a 100 m</t>
    </r>
    <r>
      <rPr>
        <b/>
        <vertAlign val="superscript"/>
        <sz val="12"/>
        <color rgb="FF000000"/>
        <rFont val="Calibri"/>
        <family val="2"/>
      </rPr>
      <t>²</t>
    </r>
  </si>
  <si>
    <r>
      <t>Residencial Padrão D - Área constr  150,01 a 200 m</t>
    </r>
    <r>
      <rPr>
        <b/>
        <vertAlign val="superscript"/>
        <sz val="12"/>
        <color rgb="FF000000"/>
        <rFont val="Calibri"/>
        <family val="2"/>
      </rPr>
      <t>²</t>
    </r>
  </si>
  <si>
    <r>
      <t>Residencial Padrão E - Área constr. acima de 200,01 m</t>
    </r>
    <r>
      <rPr>
        <b/>
        <vertAlign val="superscript"/>
        <sz val="12"/>
        <color rgb="FF000000"/>
        <rFont val="Calibri"/>
        <family val="2"/>
      </rPr>
      <t>²</t>
    </r>
  </si>
  <si>
    <t xml:space="preserve"> Industrial</t>
  </si>
  <si>
    <t xml:space="preserve"> Pública</t>
  </si>
  <si>
    <t xml:space="preserve"> Residencial Padrão </t>
  </si>
  <si>
    <t>Total de Investimento 35 anos de Depreciação</t>
  </si>
  <si>
    <t>Pagamento de Outorga Mínima</t>
  </si>
  <si>
    <t>Financiamento 1º Tranche</t>
  </si>
  <si>
    <t>Financiamento 2º Tranche</t>
  </si>
  <si>
    <t>Financiamento 3º Tranche</t>
  </si>
  <si>
    <t>Financiamento 4º Tranche</t>
  </si>
  <si>
    <t>Financiamento 5º Tranche</t>
  </si>
  <si>
    <t>Financiamento 6º Tranche</t>
  </si>
  <si>
    <t>Financiamento 7º Tranche</t>
  </si>
  <si>
    <t>Financiamento 8º Tranche</t>
  </si>
  <si>
    <t>Financiamento 9º Tranche</t>
  </si>
  <si>
    <t>Custo Total de manut. Eletromecanica</t>
  </si>
  <si>
    <t>Desc. Mercado Livre</t>
  </si>
  <si>
    <t>Densidade de Econ por Lig Esgoto</t>
  </si>
  <si>
    <t>Tarifa</t>
  </si>
  <si>
    <t>Média A+E</t>
  </si>
  <si>
    <t>Despesas Operacionais</t>
  </si>
  <si>
    <t>Água Sbterrânea</t>
  </si>
  <si>
    <t>Preenchimento</t>
  </si>
  <si>
    <t>Fórmulas</t>
  </si>
  <si>
    <t>NÂO ALTERAR</t>
  </si>
  <si>
    <t xml:space="preserve">Taxa de Risco de Crédito </t>
  </si>
  <si>
    <t>Taxa de Administração</t>
  </si>
  <si>
    <t xml:space="preserve">Taxa de Juros </t>
  </si>
  <si>
    <t xml:space="preserve">Fórmulas </t>
  </si>
  <si>
    <t>Custo médio mensal por funcionário</t>
  </si>
  <si>
    <t>26° ao 35° ano</t>
  </si>
  <si>
    <t>TIR Projeto</t>
  </si>
  <si>
    <t>TIR Financiamento</t>
  </si>
  <si>
    <t>WACC calculado</t>
  </si>
  <si>
    <t>Custo</t>
  </si>
  <si>
    <t>2. INVESTIMENTOS EM FUNÇÃO DO CRESCIMENTO VEGETATIVO</t>
  </si>
  <si>
    <t>Hab.</t>
  </si>
  <si>
    <t>Manutenção de veículos</t>
  </si>
  <si>
    <t>Veículo Passeio pequeno - Planejamento</t>
  </si>
  <si>
    <t>Veículo Passeio pequeno - Diretoria</t>
  </si>
  <si>
    <t>Veículo Passeio pequeno -Operação</t>
  </si>
  <si>
    <t>Veículo Passeio pequeno - Comercial</t>
  </si>
  <si>
    <t>Óleo Diesel</t>
  </si>
  <si>
    <t>Lubrificante</t>
  </si>
  <si>
    <t>Graxa</t>
  </si>
  <si>
    <t>Filtro</t>
  </si>
  <si>
    <t>Alcool</t>
  </si>
  <si>
    <t>L</t>
  </si>
  <si>
    <t>kg</t>
  </si>
  <si>
    <t>jg</t>
  </si>
  <si>
    <t>Pneus</t>
  </si>
  <si>
    <t>consumo</t>
  </si>
  <si>
    <t>valor unit</t>
  </si>
  <si>
    <t>valor horário</t>
  </si>
  <si>
    <t>Valor mensal</t>
  </si>
  <si>
    <t>Horas mês</t>
  </si>
  <si>
    <t>gb</t>
  </si>
  <si>
    <t>Motocicleta 125 CC</t>
  </si>
  <si>
    <t>Manutenção</t>
  </si>
  <si>
    <t>Combustiveis</t>
  </si>
  <si>
    <t>Motocicletta 125 CC</t>
  </si>
  <si>
    <t>Total de serviços de manutenção mecânica</t>
  </si>
  <si>
    <t>Total  de combustiveis e lubrificantes</t>
  </si>
  <si>
    <t>Fator utilização</t>
  </si>
  <si>
    <t>Dias totais do mês</t>
  </si>
  <si>
    <t>Dias trabalho mês</t>
  </si>
  <si>
    <t>Horas trabalhadas</t>
  </si>
  <si>
    <t>Gasolina</t>
  </si>
  <si>
    <t>Distribuição</t>
  </si>
  <si>
    <t>unidade:</t>
  </si>
  <si>
    <t>un</t>
  </si>
  <si>
    <t>Mão de Obra</t>
  </si>
  <si>
    <t>Coef.</t>
  </si>
  <si>
    <t>Custo Unit.(R$)</t>
  </si>
  <si>
    <t>Total (R$)</t>
  </si>
  <si>
    <t>m2</t>
  </si>
  <si>
    <t>Base de solo - brita - cimento e=15cm (consumo mínimo cimento = 5% em peso)</t>
  </si>
  <si>
    <t>Reaterro compactado com G.C. ≥ 95% do P.I.</t>
  </si>
  <si>
    <t>m3</t>
  </si>
  <si>
    <t>BDI</t>
  </si>
  <si>
    <t>Total de Mão de Obra</t>
  </si>
  <si>
    <t>Equipamentos, Empreiteiros e Serviços</t>
  </si>
  <si>
    <t>Bomba de drenagem submersa - Diesel, 5 HP, capacidade 16,6 l/s</t>
  </si>
  <si>
    <t>h prod</t>
  </si>
  <si>
    <t>Caminhão pipa - Diesel,  160 HP, capacidade 6.000 l</t>
  </si>
  <si>
    <t xml:space="preserve">Corte do pavimento com serra clipper  </t>
  </si>
  <si>
    <t>Total de Equipamentos, Empreiteiros e Serviços</t>
  </si>
  <si>
    <t>Materiais</t>
  </si>
  <si>
    <t>Luva de correr PVC-PBA DN 50/DE 60mm</t>
  </si>
  <si>
    <t>Luva de correr PVC-PBA DN 75/DE 85mm</t>
  </si>
  <si>
    <t>Tubo PVC-PBA 15 JE - DN 50/DE 60 mm</t>
  </si>
  <si>
    <t>Tubo PVC-PBA 15 JE - DN 75/DE 85 mm</t>
  </si>
  <si>
    <t>Total de Materiais</t>
  </si>
  <si>
    <t>Leis Sociais Horista - Jornada Extra</t>
  </si>
  <si>
    <t>Reparo em rede de água</t>
  </si>
  <si>
    <t>Adaptador PP preto para PEAD - DN 20mm x 3/4" rosca macho - NTS 179</t>
  </si>
  <si>
    <t>Cotovelo 90º de ferro galvanizado - D = 3/4"</t>
  </si>
  <si>
    <t>Niple duplo de ferro galvanizado - D = 3/4"</t>
  </si>
  <si>
    <t>Registro ferrule em liga de cobre para ramal predial de água - D = 3/4"</t>
  </si>
  <si>
    <t>Troca de ramal predial água</t>
  </si>
  <si>
    <t xml:space="preserve">Tê de serviço integrado articulado para PVC-PEAD - DN 100 x 20mm </t>
  </si>
  <si>
    <t>Tê de serviço integrado articulado para PVC-PEAD - DN 75 x 20mm</t>
  </si>
  <si>
    <t>Tê de serviço integrado articulado para PVC-PEAD - DN 50 x 20mm</t>
  </si>
  <si>
    <t xml:space="preserve">Colar de tomada FoFo com parafusos, porcas e arruelas inox - DN 150mm x 20mm </t>
  </si>
  <si>
    <t>Colar de tomada FoFo com parafusos, porcas e arruelas inox - DN 100mm x 20mm</t>
  </si>
  <si>
    <t>Colar de tomada FoFo com parafusos, porcas e arruelas inox - DN 50mm x 20mm</t>
  </si>
  <si>
    <t>Bota-fora de entulhos e outros materiais inservíveis com DTM = 24 Km</t>
  </si>
  <si>
    <t>Fornecimento de solo de 1a. Qualidade - DTM = 24 Km</t>
  </si>
  <si>
    <t>Tubo PEAD, PN-10, DN = 20 mm x 2,3 mm de parede para ligação predial de água</t>
  </si>
  <si>
    <t>h</t>
  </si>
  <si>
    <t>Reposição do passeio em concreto desempenado e=5cm, Fck = 15 MPa, incluindo preparo de caixa</t>
  </si>
  <si>
    <t>Fornecimento de solo de 1a. Qualidade - DTM = 48 Km</t>
  </si>
  <si>
    <t>Dispositivo anti-arame em polipropileno ou poliacetal para hidrômetros Ø 3/4"</t>
  </si>
  <si>
    <t>Junta de vedação em PVC flexível atóxico - DN 20mm</t>
  </si>
  <si>
    <t>Lacre anti-fraude para hidrômetro - Polipropileno azul</t>
  </si>
  <si>
    <t>Registro pressão bruto latão - D = 3/4" - Referência 1400</t>
  </si>
  <si>
    <t>Tubete curto em latão (liga de cobre) para hidrômetro - DN 20mm - NBR 8194</t>
  </si>
  <si>
    <t>Tubo aço galvanizado - NBR 5580 - Classe média DN 3/4" - E = 2,65mm - 1,58kg/m</t>
  </si>
  <si>
    <t>Troca de cavalete FoGo Ø 3/4", com reposição do piso</t>
  </si>
  <si>
    <t>Reposição do pavimento de rua com massa asfáltica usinada a quente (CBUQ)</t>
  </si>
  <si>
    <t>Reposição do pavimento da rua massa asfáltica(CBUQ)</t>
  </si>
  <si>
    <t>Luva de correr PVC-PBA DN 100/DE 110mm</t>
  </si>
  <si>
    <t>Tubo PVC-PBA 15 JE - DN 100/DE 110 mm</t>
  </si>
  <si>
    <t>Dias folga do mês</t>
  </si>
  <si>
    <t>Tubo PVC ocre para esgoto com junta elástica - DN 100mm - NBR 7362</t>
  </si>
  <si>
    <t>Bota-fora de entulhos e outros materiais inservíveis com DTM = 24Km</t>
  </si>
  <si>
    <t>Luva de correr PVC ocre para esgoto com junta elástica - DN 150mm</t>
  </si>
  <si>
    <t>Tubo PVC ocre para esgoto com junta elástica - DN 150mm - NBR 7362</t>
  </si>
  <si>
    <t>Recuperação de poço de visita de esgoto, sem reposição do pavimento de rua</t>
  </si>
  <si>
    <t>Ajudante de pedreiro</t>
  </si>
  <si>
    <t>Pedreiro</t>
  </si>
  <si>
    <t>Aço CA-50 - Média das bitolas</t>
  </si>
  <si>
    <t>Areia média</t>
  </si>
  <si>
    <t>Cimento Portland CP II-E-32</t>
  </si>
  <si>
    <t>Tijolo comum de barro 5 x 10 x 20 cm</t>
  </si>
  <si>
    <t>Troca rede coletora esgoto - PVC/PEAD ocre esgoto</t>
  </si>
  <si>
    <t>Luva de correr PVC ocre para esgoto com junta elástica - DN200mm</t>
  </si>
  <si>
    <t>Tubo PVC ocre para esgoto com junta elástica - DN 200mm - NBR 7362</t>
  </si>
  <si>
    <t>Reparo em rede coletora esgoto - PVC/PEAD ocre esgoto</t>
  </si>
  <si>
    <t>Troca ramal esgoto - PVC/PEAD ocre esgoto</t>
  </si>
  <si>
    <t xml:space="preserve">  4.2 - Beneficio Fiscal Ressarcimentos</t>
  </si>
  <si>
    <t xml:space="preserve">  2.1 - Verificador Independente</t>
  </si>
  <si>
    <t>População sem atendimento</t>
  </si>
  <si>
    <t>Demanda Reprimida</t>
  </si>
  <si>
    <t>Consumo per capita Disponibilizado</t>
  </si>
  <si>
    <t>l/hab.dia</t>
  </si>
  <si>
    <t>Consumo per capita Consumido</t>
  </si>
  <si>
    <t>Consumo per capita Medido</t>
  </si>
  <si>
    <t>1. INVESTIMENTOS EM FUNÇÃO DA DEMANDA REPRIMIDA</t>
  </si>
  <si>
    <t>Resumo</t>
  </si>
  <si>
    <t>População Urbana Atendida com Água</t>
  </si>
  <si>
    <t>População Urbana Atendida com Esgoto</t>
  </si>
  <si>
    <t xml:space="preserve">1. INVESTIMENTOS EM DEMANDA REPRIMIDA </t>
  </si>
  <si>
    <t xml:space="preserve">Valor Total </t>
  </si>
  <si>
    <t>Água -  Reservação</t>
  </si>
  <si>
    <t xml:space="preserve">RESUMO DOS INVESTIMENTO </t>
  </si>
  <si>
    <t>Investimento 1º Quadriênio (Ano 1 ao Ano 4)</t>
  </si>
  <si>
    <t>Investimento 2º Quadriênio (Ano 5 ao Ano 8)</t>
  </si>
  <si>
    <t>Investimento 3º Quadriênio (Ano 9 ao Ano 12)</t>
  </si>
  <si>
    <t>Investimento 4º Quadriênio (Ano 13 ao Ano 16)</t>
  </si>
  <si>
    <t>Investimento 5º Quadriênio (Ano 17 ao Ano 20)</t>
  </si>
  <si>
    <t>Investimento 6º Quadriênio (Ano 21 ao Ano 24)</t>
  </si>
  <si>
    <t>Investimento 7º Quadriênio (Ano 25 ao Ano 28)</t>
  </si>
  <si>
    <t>Investimento 8º Quadriênio (Ano 29 ao Ano 32)</t>
  </si>
  <si>
    <t>Investimento 9º Quadriênio (Ano 33 ao Ano 35)</t>
  </si>
  <si>
    <t>Investimentos</t>
  </si>
  <si>
    <t>Base</t>
  </si>
  <si>
    <t>TOTAL DO CAPEX</t>
  </si>
  <si>
    <t>ÁGUA</t>
  </si>
  <si>
    <t>Valor Básico Inicial para a construção da matriz tarifária</t>
  </si>
  <si>
    <t xml:space="preserve">Para Alteração da Matriz Tarifária </t>
  </si>
  <si>
    <t>Inicial Cálculo R/m³</t>
  </si>
  <si>
    <t>Residencial Social  Área constr. 0 a 50 m²</t>
  </si>
  <si>
    <t xml:space="preserve"> Residencial</t>
  </si>
  <si>
    <t>Referência de preços Lubrificantes, óleos e graxas cotação mercado Dez 2023</t>
  </si>
  <si>
    <t>Referëcia de preços de combustíveis ANP Dez 2023</t>
  </si>
  <si>
    <t>Valor do Empréstimo do CAPEX</t>
  </si>
  <si>
    <t>Custo do Hidrômetro</t>
  </si>
  <si>
    <t>RESUMO</t>
  </si>
  <si>
    <t>ESGOTO</t>
  </si>
  <si>
    <t>SISTEMA DE ABASTECIMENTO DE ÁGUA</t>
  </si>
  <si>
    <t>1.1 - Adequação e reforma da capatação de água bruta do Rio Benedito</t>
  </si>
  <si>
    <t>Código</t>
  </si>
  <si>
    <t xml:space="preserve">Item </t>
  </si>
  <si>
    <t>Preço</t>
  </si>
  <si>
    <t xml:space="preserve">Quant. </t>
  </si>
  <si>
    <t>Custo Total</t>
  </si>
  <si>
    <t>Referência</t>
  </si>
  <si>
    <t>CANTEIRO DE OBRAS</t>
  </si>
  <si>
    <t xml:space="preserve">Barração escritório </t>
  </si>
  <si>
    <t>CASAN</t>
  </si>
  <si>
    <t>Barração deposito</t>
  </si>
  <si>
    <t>Sanitário Isolado</t>
  </si>
  <si>
    <t>Chuveiro Isolado</t>
  </si>
  <si>
    <t>Placa de Obra</t>
  </si>
  <si>
    <t>SERVIÇOS PRELIMINARES</t>
  </si>
  <si>
    <t>Roçada Fina</t>
  </si>
  <si>
    <t>Limpeza mecanizada com raspagem superficial</t>
  </si>
  <si>
    <t xml:space="preserve">Remoção de pintura antiga latex </t>
  </si>
  <si>
    <t>Remoção de pintura antiga latex esmalte</t>
  </si>
  <si>
    <t>CAIXA DE PROTEÇÃO</t>
  </si>
  <si>
    <t>Cx de proteção para registro de manobra</t>
  </si>
  <si>
    <t xml:space="preserve">un </t>
  </si>
  <si>
    <t>REGULARIZAÇÃO E REVESTIMENTO</t>
  </si>
  <si>
    <t>Regularização mecanizada de superficie</t>
  </si>
  <si>
    <t>Revestimento com brita</t>
  </si>
  <si>
    <t>DISPOSITIVO DE PROTEÇÃO E ACESSO</t>
  </si>
  <si>
    <t xml:space="preserve">Grade de proteção e ertenção </t>
  </si>
  <si>
    <t>Grelha</t>
  </si>
  <si>
    <t>Guarda corpo</t>
  </si>
  <si>
    <t>Escada Tipo Marinheiro</t>
  </si>
  <si>
    <t>PISOS, TETOS E PAREDES</t>
  </si>
  <si>
    <t>Piso cimentado desempenado e=0,02 m</t>
  </si>
  <si>
    <t>IMPERMEABILIZAÇÃO / PROTEÇÃO</t>
  </si>
  <si>
    <t>Impermeabilização com cimento polimerico, base PVA</t>
  </si>
  <si>
    <t>PINTURA</t>
  </si>
  <si>
    <t>Pintura latex PVA sem massa corrida</t>
  </si>
  <si>
    <t>Pintura Esmalte</t>
  </si>
  <si>
    <t>Pintura de logotipo</t>
  </si>
  <si>
    <t>INSTALAÇÕES ELETRICAS</t>
  </si>
  <si>
    <t>Cabo de cobre 2,5 MM2 0,6/1,0 KV</t>
  </si>
  <si>
    <t>Cabo de cobre 95,00 MM2 0,6/1,0 KV</t>
  </si>
  <si>
    <t>MONTAGEM ELETRO-MECÂNICA</t>
  </si>
  <si>
    <t>Montagem Eletro Mecânica de conjunto MOTO-BOMBA DE 100,5 A 200 CV</t>
  </si>
  <si>
    <t>URBANIZAÇÃO</t>
  </si>
  <si>
    <t xml:space="preserve">Portão em estrutura Tubular para pedestre </t>
  </si>
  <si>
    <t xml:space="preserve">Portão em estrutura Tubular para veículo </t>
  </si>
  <si>
    <t>Alambrado de tela galvanizada em mourão de concreto</t>
  </si>
  <si>
    <t>Plantio de grama em placas</t>
  </si>
  <si>
    <t>INSTALAÇÃO, MONTAGEM E MANUTENÇÃO ELETROMECÂNICA</t>
  </si>
  <si>
    <t>Manutenção mecânica em bombas potência de 50,5  A 100 CV</t>
  </si>
  <si>
    <t>Lubrificação de cj moto-bomba</t>
  </si>
  <si>
    <t>Manutenção eletrica em quadro de comando para motor 50 a 100 cv</t>
  </si>
  <si>
    <t>Manutenção eletrica em quadro de comando com soft starter</t>
  </si>
  <si>
    <t>Limpeza e manutenção e, cabine de transformadores</t>
  </si>
  <si>
    <t>1.2 Adequação e reforma dos decantadores e filtros da ETA Timbó (ETA Convencional 120 L/s e ETA Compacta 01 50L/s)</t>
  </si>
  <si>
    <t>REFORMA DOS DECANTADORES</t>
  </si>
  <si>
    <t>Módulo de decantador em perfis tubulares de PVC</t>
  </si>
  <si>
    <t>Chicanas em madeira</t>
  </si>
  <si>
    <t>Sop-Log de madeira</t>
  </si>
  <si>
    <t>Fornecimento e enchimento dos filtros comPEDRA BRITADA Nº 4</t>
  </si>
  <si>
    <t>m³</t>
  </si>
  <si>
    <t>Fornecimento e colocaçao de areia nos filtros</t>
  </si>
  <si>
    <t>Fornecimento e colocaçao de pedregulho nos filtros</t>
  </si>
  <si>
    <t>Fornecimento e colocaçao de antracito nos filtros</t>
  </si>
  <si>
    <t>Fornecimento e assentamento de bloco Leopold</t>
  </si>
  <si>
    <t>Retirada de material filtrante dos filtros</t>
  </si>
  <si>
    <t xml:space="preserve">Carga e descarga de entulho </t>
  </si>
  <si>
    <t>REFORMA DA ETA COMPACTA 50 L/s</t>
  </si>
  <si>
    <t>Reforma da ETA COMPACTA 50 L/s 01</t>
  </si>
  <si>
    <t>M / Samae</t>
  </si>
  <si>
    <t>1.3 Implantação da captação no rio dos Cedros (120 L/s)</t>
  </si>
  <si>
    <t>Escavação mecanizada em solo não rochoso</t>
  </si>
  <si>
    <t>Compactação mecanizada, com contole tecnologico GC&gt;= 95% do proctor normal</t>
  </si>
  <si>
    <t>TOMADA D´ÁGUA</t>
  </si>
  <si>
    <t xml:space="preserve">Gabião tipo caixa </t>
  </si>
  <si>
    <t>Enrocamento com pedra de mão arrumada</t>
  </si>
  <si>
    <t>Transporte até 10 Km e descarga de tubo e conexões de PRFV DN 600 mm</t>
  </si>
  <si>
    <t>Lastro, laje berço, tubos e peças de concreto DN 600 mm</t>
  </si>
  <si>
    <t>Tubo de PRFV DN 600 mm</t>
  </si>
  <si>
    <t>Reaterro de valas compactado mecanicamente</t>
  </si>
  <si>
    <t>Reaterro de valas compactado com areia/pó de pedar GC .= 100% do proctor simples</t>
  </si>
  <si>
    <t>DESAREANADOR/POÇO SUÇÃO</t>
  </si>
  <si>
    <t>Estaca premoldada de concreto 20t</t>
  </si>
  <si>
    <t>Estaca premoldada de concreto 30t</t>
  </si>
  <si>
    <t>Concreto FCK 25 MPa</t>
  </si>
  <si>
    <t>Aço CA 50</t>
  </si>
  <si>
    <t>Aço CA 60</t>
  </si>
  <si>
    <t>Forma plana chapa resinada estrutural</t>
  </si>
  <si>
    <t>Escoramento especial</t>
  </si>
  <si>
    <t>Fornecimento e instalação de CALHA PARSHALL - W  9''</t>
  </si>
  <si>
    <t>EEAB - ESTAÇÃO ELEVATÓRIA DE ÁGUA BRUTA 120L/s</t>
  </si>
  <si>
    <t>EEA - Estação Elevatória de Água com vazão de 101 l/s a 200 l/s</t>
  </si>
  <si>
    <t>ABICON</t>
  </si>
  <si>
    <t>1.4 Implantação da ETA Compacta 02 (50 L/s)</t>
  </si>
  <si>
    <t>ETA - Estação de Tratamento de Água com vazão de até 50 l/s</t>
  </si>
  <si>
    <t>L/s</t>
  </si>
  <si>
    <t>1.5 Implantação da unidade de tratamento de lodo da ETA Timbó</t>
  </si>
  <si>
    <t xml:space="preserve">Skid tratamento de lodo </t>
  </si>
  <si>
    <t>Skid para tratamento de lodo contendo: Decanter para desidratação de lodo; Tanque de preparo e dosagem de polímero (pó ou emulsão); Tanque de dosagem de polímero em pó; Bomba para dosagem de polímero; Bomba para alimentação de lodo; Bomba booster para água de diluição (opcional); Tanque/bomba para retorno do clariﬁcado (opcional); Rosca para transporte de lodo desidratado;
Painel de força e comando.</t>
  </si>
  <si>
    <t>1.6 Adequação das Elevatórias da ETA Timbó</t>
  </si>
  <si>
    <t>EEAT</t>
  </si>
  <si>
    <t>EEA - Estação Elevatória de Água com vazão até 5 l/s</t>
  </si>
  <si>
    <t>l/s</t>
  </si>
  <si>
    <t>EEA - Estação Elevatória de Água com vazão de 6 l/s a 10 l/s</t>
  </si>
  <si>
    <t>EEA - Estação Elevatória de Água com vazão de 11 l/s a 25 l/s</t>
  </si>
  <si>
    <t>EEA - Estação Elevatória de Água com vazão de 26 l/s a 50 l/s</t>
  </si>
  <si>
    <t>EEA - Estação Elevatória de Água com vazão de 51 l/s a 100 l/s</t>
  </si>
  <si>
    <t>1.7 Adutorade água bruta da captação Rio dos Cedros a ETA Timbó</t>
  </si>
  <si>
    <t>ADUTORA ÁGUA BRUTA</t>
  </si>
  <si>
    <t>CPU-A.AD.133</t>
  </si>
  <si>
    <t>Adutora executada sob via de pavimentação asfáltica, em vala de 2,01m a 2,50m de profundidade - Adutora - TUBO DE PEAD - DN 300 mm</t>
  </si>
  <si>
    <t>2 - Distribuição</t>
  </si>
  <si>
    <t>2.1 -  Adutora água tratadada ETA Timbó aos Reservatórios</t>
  </si>
  <si>
    <t>AAT - ADUTORA ÁGUA TRATADA</t>
  </si>
  <si>
    <t>CPU-A.AD.391</t>
  </si>
  <si>
    <t>Adutora executada sob via de pavimentação de blocos intertravados, em vala de 2,51m a 3,00m de profundidade</t>
  </si>
  <si>
    <t>2.2 -  Rede de distribuição de água tratada</t>
  </si>
  <si>
    <t>REDE DE DISTRIBUIÇÃO</t>
  </si>
  <si>
    <t>CPU-A.RD.003</t>
  </si>
  <si>
    <t>Rede de Distribuição executada sob via de pavimentação asfáltica, em vala de até 1,20m de profundidade -  TUBO DE PBA - DN 100 mm</t>
  </si>
  <si>
    <t>CPU-A.RD.024</t>
  </si>
  <si>
    <t>Rede de Distribuição executada sob via de pavimentação de blocos intertravados, em vala de 1,51m a 2,00m de profundidade - TUBO DE PVC DEFOFO - DN 150 mm</t>
  </si>
  <si>
    <t>3- Reservação</t>
  </si>
  <si>
    <t>3.1- Reservatório de Distribuição</t>
  </si>
  <si>
    <t>Reservatório 100 m³</t>
  </si>
  <si>
    <t>RESERVATÓRIO</t>
  </si>
  <si>
    <t>Reservatório com capacidade 100 m³</t>
  </si>
  <si>
    <t>Reservatório 300 m³</t>
  </si>
  <si>
    <t>Reservatório com capacidade 300 m³</t>
  </si>
  <si>
    <t>Reservatório 500 m³</t>
  </si>
  <si>
    <t>Reservatório com capacidade 500 m³</t>
  </si>
  <si>
    <t>Reservatório 550 m³</t>
  </si>
  <si>
    <t>Reservatório com capacidade 550 m³</t>
  </si>
  <si>
    <t>Reservatório 750 m³</t>
  </si>
  <si>
    <t>Reservatório com capacidade 750m³</t>
  </si>
  <si>
    <t>4- Ligação Predial de Água</t>
  </si>
  <si>
    <t>4.1 - Ligação predial de água</t>
  </si>
  <si>
    <t>CPU-A.LP.019</t>
  </si>
  <si>
    <t>Ligação de água executada sob via sem pavimentação - incluso o hidrômetro - TUBO DE PEAD - DN 25 mm (3/4")</t>
  </si>
  <si>
    <t>5- Estudo, Projetos, Consultorias e Licenciamento Ambiental</t>
  </si>
  <si>
    <t>5.1 - Estudos, Projetos, Consultorias e Licenciamentos Ambientais - Água</t>
  </si>
  <si>
    <t>ESTUDOS DE CONCEPÇÃO DE SISTEMAS DE ABASTECIMENTO DE ÁGUA</t>
  </si>
  <si>
    <t>PROJETO EXECUTIVO DE ADUTORAS DE ÁGUA    </t>
  </si>
  <si>
    <t>PROJETO EXECUTIVO DE RESERVATÓRIO DE CONCRETO ARMADO DE 50 a 100 m³</t>
  </si>
  <si>
    <t>PROJETO EXECUTIVO DE RESERVATÓRIO  DE CONCRETO ARMADODE 300 a 7500 M³</t>
  </si>
  <si>
    <t>ESTUDOS DE SETORIZAÇÃO DE REDES DE DISTRIBUIÇÃO DE ÁGUA</t>
  </si>
  <si>
    <t>PROJETO EXECUTIVO DE REDES DE ÁGUA</t>
  </si>
  <si>
    <t>6- Gerenciamento de Obras</t>
  </si>
  <si>
    <t>6.1 - Gerenciamento de Obras - Água</t>
  </si>
  <si>
    <t>Avompanhamento de obras de Captação e Tratamento</t>
  </si>
  <si>
    <t>Acompanhamento de obras de Distribuição de Água</t>
  </si>
  <si>
    <t xml:space="preserve">Acompanhamento de obras de Reservação de água </t>
  </si>
  <si>
    <t>Acompanhamento de obras de ligação predial de água</t>
  </si>
  <si>
    <t>1 - Coleta e Afastamento</t>
  </si>
  <si>
    <t>2.1- Rede coletora</t>
  </si>
  <si>
    <t>CPU-E.CT.016</t>
  </si>
  <si>
    <t>Coletor Tronco executado sobre via de pavimentação asfaltica, em vala de 2,50m TUBO DE CONCRETO - DN 400mm</t>
  </si>
  <si>
    <t>CPU-E.RC.015</t>
  </si>
  <si>
    <t>CPU-E.RC.014</t>
  </si>
  <si>
    <t>CPU-E.RC.007</t>
  </si>
  <si>
    <t>Tubo de recalque  executado sobre via de pavimentação asfaltica, em vala de 2,50m PVC - DN 100mm</t>
  </si>
  <si>
    <t>2.2 - EEE - Estação Elevatória de Esgoto</t>
  </si>
  <si>
    <t>EEE - Estação Elevatória de Esgoto com vazão até 5 l/s</t>
  </si>
  <si>
    <t>2 - Tratamento e disposição final</t>
  </si>
  <si>
    <t>2.2 - ETE - Estação Tratamento de esgoto</t>
  </si>
  <si>
    <t>ETE - Estação de Tratamento de Esgoto (aeração prolongada com lodos ativados) com vazão nominal de 210 l/s</t>
  </si>
  <si>
    <t>3 - Ligação predial de esgoto</t>
  </si>
  <si>
    <t>1.12- Ligação predial de esgoto</t>
  </si>
  <si>
    <t>CPU-E.LP.001</t>
  </si>
  <si>
    <t>Ligação de esgoto executada sob via de pavimentação asfáltica - caixa de concreto TUBO DE PVC - DN 100 mm</t>
  </si>
  <si>
    <t>4 - Estudos, Projetos, Consultorias e Licenciamento Ambiental</t>
  </si>
  <si>
    <t>1.14- Estudos, Projetos, Consultorias e Licenciamentos Ambientais - Esgoto</t>
  </si>
  <si>
    <t>ESTUDOS DE CONCEPÇÃO DE SISTEMAS DE ESGOTAMENTO SANITÁRIO</t>
  </si>
  <si>
    <t>PROJETO EXECUTIVO DE REDE COLETORA DE ESGOTOS até 50KM</t>
  </si>
  <si>
    <t>PROJETO EXECUTIVO DE COLETORES TRONCO até 5 KM</t>
  </si>
  <si>
    <t> ESTAÇÃO ELEVATÓRIA DE ESGOTOS        </t>
  </si>
  <si>
    <t>PROJETO EXECUTIVO DE ESTAÇÃO DE TRATAMENTO DE ESGOTO - PROCESSO AERAÇÃO PROLONGADA</t>
  </si>
  <si>
    <t>5- Gerenciamento de Obras</t>
  </si>
  <si>
    <t>Acompanhamento de obras de Tratamento de Esgoto</t>
  </si>
  <si>
    <t>Acompanhamento de obras de Ligação predial de Esgoto</t>
  </si>
  <si>
    <t>1 - Captação e Tratamento de Água</t>
  </si>
  <si>
    <t>VPL Projeto =</t>
  </si>
  <si>
    <t>VPL Acionista =</t>
  </si>
  <si>
    <t>M/SAMAE</t>
  </si>
  <si>
    <t>M/CASAN</t>
  </si>
  <si>
    <t>APCES</t>
  </si>
  <si>
    <t>SES - SISTEMA DE ESGOTAMENTO SANITÁRIO</t>
  </si>
  <si>
    <t>1º Ciclo</t>
  </si>
  <si>
    <t>2º Ciclo</t>
  </si>
  <si>
    <t>3º Ciclo</t>
  </si>
  <si>
    <t>4º Ciclo</t>
  </si>
  <si>
    <t>5º Ciclo</t>
  </si>
  <si>
    <t>6º Ciclo</t>
  </si>
  <si>
    <t>7º Ciclo</t>
  </si>
  <si>
    <t>8º Ciclo</t>
  </si>
  <si>
    <t>9º Ciclo</t>
  </si>
  <si>
    <t>10º Ciclo</t>
  </si>
  <si>
    <t>Valores orçados com base na estimativa do pessoal do Prestador de Serviço constante do CADERNO  I - TÉCNICO OPERACIONAL</t>
  </si>
  <si>
    <t xml:space="preserve">Os custos dos sálarios dos funcionários foi baseado no salário médio do CAGED de Dezembro de 2023. </t>
  </si>
  <si>
    <t>Observações:</t>
  </si>
  <si>
    <t>Acompanhamento de obras de Coleta e Afastamento de Esgoto</t>
  </si>
  <si>
    <t>Referënciade preços: SINAPI /SC - Dez 2023</t>
  </si>
  <si>
    <t>Referência de preços para aquisição de veículos e caminhões cotação mercado Dez 2023</t>
  </si>
  <si>
    <t>Manutenção mecânica (% sobre o valor do veículo)</t>
  </si>
  <si>
    <t>Preços de energia elétricada tabela vigente da CELSC Dezembro de 2023</t>
  </si>
  <si>
    <t>Preço referencial - Tabela SINAPI/SC - dez/2023 - Hidrometro unijáto DN 3/4" Qn 0,75 m³/h Qmax 1,5 m³/h ABNT- NBR 8194, com desconto para compras em lotes de 5000 unidades e pagamento a vista</t>
  </si>
  <si>
    <t>Potencia média instalada Água</t>
  </si>
  <si>
    <t>Custo médio Anual de Energia Eletrica</t>
  </si>
  <si>
    <t xml:space="preserve">Fator de manutenção </t>
  </si>
  <si>
    <t xml:space="preserve">Potencia média instalada Esgoto </t>
  </si>
  <si>
    <t>Custo médio de EE/Potência Inst.</t>
  </si>
  <si>
    <t>Custo de manutenção/CV instaldo</t>
  </si>
  <si>
    <t>Preços dos produtos químicos adquiridos pelo SAMAE em Dezembro de 2023</t>
  </si>
  <si>
    <r>
      <t xml:space="preserve"> kd (</t>
    </r>
    <r>
      <rPr>
        <b/>
        <sz val="9"/>
        <color theme="1"/>
        <rFont val="Calibri"/>
        <family val="2"/>
        <scheme val="minor"/>
      </rPr>
      <t>Capital Terceiros</t>
    </r>
    <r>
      <rPr>
        <b/>
        <sz val="11"/>
        <color theme="1"/>
        <rFont val="Calibri"/>
        <family val="2"/>
        <scheme val="minor"/>
      </rPr>
      <t>)</t>
    </r>
  </si>
  <si>
    <r>
      <t xml:space="preserve"> ke (</t>
    </r>
    <r>
      <rPr>
        <b/>
        <sz val="9"/>
        <color theme="1"/>
        <rFont val="Calibri"/>
        <family val="2"/>
        <scheme val="minor"/>
      </rPr>
      <t>Capital Próprio</t>
    </r>
    <r>
      <rPr>
        <b/>
        <sz val="11"/>
        <color theme="1"/>
        <rFont val="Calibri"/>
        <family val="2"/>
        <scheme val="minor"/>
      </rPr>
      <t>)</t>
    </r>
  </si>
  <si>
    <t>% Ano</t>
  </si>
  <si>
    <t>Tipo de Taxa</t>
  </si>
  <si>
    <t>Beta Alavancado</t>
  </si>
  <si>
    <t>Rede Coletora executada sobre via de pavimentação asfaltico, em vala de 2,50m - TUBO DE PVC - DN 300mm</t>
  </si>
  <si>
    <t>Rede Coletora executada sobre via de pavimentação asfaltico, em vala de 2,50m TUBO DE PVC - DN 200mm</t>
  </si>
  <si>
    <t xml:space="preserve">CPU-E.RC.001
CPU-E.RC.004	
CPU-E.RC.007
CPU-E.RC.058	</t>
  </si>
  <si>
    <r>
      <rPr>
        <b/>
        <sz val="9"/>
        <color theme="1"/>
        <rFont val="Calibri"/>
        <family val="2"/>
      </rPr>
      <t>Composição:</t>
    </r>
    <r>
      <rPr>
        <sz val="9"/>
        <color theme="1"/>
        <rFont val="Calibri"/>
        <family val="2"/>
      </rPr>
      <t xml:space="preserve"> Rede Coletora executada sobre via de pavimentação asfaltico e sem pavimentação, em vala de 1,00m a 1,40 m - TUBO DE PVC - DN 150 mm*</t>
    </r>
  </si>
  <si>
    <t>*Composição</t>
  </si>
  <si>
    <t>CPU-E.RC.001</t>
  </si>
  <si>
    <t>CPU-E.RC.004</t>
  </si>
  <si>
    <t>CPU-E.RC.058</t>
  </si>
  <si>
    <t>Descrição</t>
  </si>
  <si>
    <t>Rede Coletora executada sobre via de pavimentação asfaltico, em vala de 1,00m	 - TUBO DE PVC - DN 150 mm</t>
  </si>
  <si>
    <t>Rede Coletora executada sobre via de pavimentação asfaltico, em vala de 1,20m	 - TUBO DE PVC - DN 150 mm</t>
  </si>
  <si>
    <t>Rede Coletora executada sobre via de pavimentação asfaltico, em vala de 1,40m	 - TUBO DE PVC - DN 150 mm</t>
  </si>
  <si>
    <t>Rede Coletora executada sobre via de sem pavimentação, em vala de 1,00m	 - TUBO DE PVC - DN 150 mm</t>
  </si>
  <si>
    <t>Quantidade</t>
  </si>
  <si>
    <t>-</t>
  </si>
  <si>
    <t>Preço Médio</t>
  </si>
  <si>
    <t>Composição</t>
  </si>
  <si>
    <t>Peso dos indices de reajuste (FREI)</t>
  </si>
  <si>
    <t>Índices</t>
  </si>
  <si>
    <t>Variação</t>
  </si>
  <si>
    <t>P1 (Mão de obra)</t>
  </si>
  <si>
    <t>IPCA (IBGE)</t>
  </si>
  <si>
    <t>P2 (Energia Eletrica)</t>
  </si>
  <si>
    <t>Tarifa EE Concess</t>
  </si>
  <si>
    <t>P3 (Produto Quimico)</t>
  </si>
  <si>
    <t>IPP 20C (IBGE)</t>
  </si>
  <si>
    <t>P4 (Manut. Redes)</t>
  </si>
  <si>
    <t>INCC (FGV )</t>
  </si>
  <si>
    <t>P5 (Outros)</t>
  </si>
  <si>
    <t>Valor de Reajuste Calculado</t>
  </si>
  <si>
    <r>
      <rPr>
        <b/>
        <sz val="11"/>
        <color theme="0"/>
        <rFont val="Calibri"/>
        <family val="2"/>
        <scheme val="minor"/>
      </rPr>
      <t>In</t>
    </r>
    <r>
      <rPr>
        <b/>
        <sz val="9"/>
        <color theme="0"/>
        <rFont val="Calibri"/>
        <family val="2"/>
        <scheme val="minor"/>
      </rPr>
      <t xml:space="preserve"> = 12/2025</t>
    </r>
  </si>
  <si>
    <t>Preços Io</t>
  </si>
  <si>
    <t>Preços In</t>
  </si>
  <si>
    <t>Indice de Reajuste =</t>
  </si>
  <si>
    <t>Preço In</t>
  </si>
  <si>
    <t>Preço Io</t>
  </si>
  <si>
    <t>Matriz Tarifária Io</t>
  </si>
  <si>
    <t>10 m³</t>
  </si>
  <si>
    <t>15 m³</t>
  </si>
  <si>
    <t>20 m³</t>
  </si>
  <si>
    <t>25 m³</t>
  </si>
  <si>
    <t>30 m³</t>
  </si>
  <si>
    <t>Conta</t>
  </si>
  <si>
    <t>40 m³</t>
  </si>
  <si>
    <t>Aumento</t>
  </si>
  <si>
    <t>50 m³</t>
  </si>
  <si>
    <t>Valor Básico para a Matriz Tarifária</t>
  </si>
  <si>
    <t xml:space="preserve">Valor no Io = </t>
  </si>
  <si>
    <t xml:space="preserve">Valor no In = </t>
  </si>
  <si>
    <r>
      <t>WACC</t>
    </r>
    <r>
      <rPr>
        <b/>
        <vertAlign val="subscript"/>
        <sz val="11"/>
        <color theme="0"/>
        <rFont val="Calibri"/>
        <family val="2"/>
        <scheme val="minor"/>
      </rPr>
      <t>calculado</t>
    </r>
  </si>
  <si>
    <t>Condições para Contrato</t>
  </si>
  <si>
    <t>Valor total de referência do Contrato Dez 2025=</t>
  </si>
  <si>
    <t xml:space="preserve">Obrigações </t>
  </si>
  <si>
    <t>Eventos</t>
  </si>
  <si>
    <t>Comprovação / Pagamento</t>
  </si>
  <si>
    <t>Aliquota</t>
  </si>
  <si>
    <t>Valor Dez 2025</t>
  </si>
  <si>
    <t xml:space="preserve">Garantia de proposta </t>
  </si>
  <si>
    <t xml:space="preserve">Proposta </t>
  </si>
  <si>
    <t>Até o 3° dia útil antes da data de entrega da proposta</t>
  </si>
  <si>
    <t>Valor do Contrato de Referência</t>
  </si>
  <si>
    <t>Patrrimónio Líquido</t>
  </si>
  <si>
    <t xml:space="preserve">Data do encerramento do último exercicio social </t>
  </si>
  <si>
    <t xml:space="preserve">Valor mínimo do atestado de captação de recursos </t>
  </si>
  <si>
    <t>Até 15 anos anterior a data da entrega da proposta</t>
  </si>
  <si>
    <t>Valor do Capex do EVTE</t>
  </si>
  <si>
    <t>Valor mínimo para o somatório de atestados</t>
  </si>
  <si>
    <t>Valor do Atestado</t>
  </si>
  <si>
    <t>Homologação e Adjudicação da Licitação</t>
  </si>
  <si>
    <t>Até o 5° dia após a Homologação e Adjudicação</t>
  </si>
  <si>
    <t>Valor determinado no EVTE</t>
  </si>
  <si>
    <t>Capital Social a ser integralizado no contrato inicial</t>
  </si>
  <si>
    <t>Assinatura do Contarto</t>
  </si>
  <si>
    <t>Verificador/Certificador Independente</t>
  </si>
  <si>
    <t>Apoós assinatura do Contrato</t>
  </si>
  <si>
    <t>Mutações do Capital Social</t>
  </si>
  <si>
    <t>Periodo de vigência</t>
  </si>
  <si>
    <t>Integralização</t>
  </si>
  <si>
    <t>Capital Social Mínimo</t>
  </si>
  <si>
    <t>do 1 ao 8° ano do contrato</t>
  </si>
  <si>
    <t>Até 60 dias após a Homologação e Adjuducação</t>
  </si>
  <si>
    <t>no 8° ano do contrato</t>
  </si>
  <si>
    <t>Até o 5° dia util do mês de janeiro do 8° ano do contrato</t>
  </si>
  <si>
    <t>no 9° ano do contrato</t>
  </si>
  <si>
    <t>Até o 5° dia util do mês de janeiro do 9° ano do contrato</t>
  </si>
  <si>
    <t>no 10° ano do contrato</t>
  </si>
  <si>
    <t>Até o 5° dia util do mês de janeiro do 10° ano do contrato</t>
  </si>
  <si>
    <t>no 11° ano do contrato</t>
  </si>
  <si>
    <t>Até o 5° dia util do mês de janeiro do 11° ano do contrato</t>
  </si>
  <si>
    <t>no 12° ano do contrato</t>
  </si>
  <si>
    <t>Até o 5° dia util do mês de janeiro do 12° ano do contrato</t>
  </si>
  <si>
    <t>no 13° ano do contrato</t>
  </si>
  <si>
    <t>Até o 5° dia util do mês de janeiro do 13° ano do contrato</t>
  </si>
  <si>
    <t>no 14° ano do contrato</t>
  </si>
  <si>
    <t>Até o 5° dia util do mês de janeiro do 14° ano do contrato</t>
  </si>
  <si>
    <t>no 15° ano do contrato</t>
  </si>
  <si>
    <t>Até o 5° dia util do mês de janeiro do 15° ano do contrato</t>
  </si>
  <si>
    <t>do 16° ao 35° ano do contrato</t>
  </si>
  <si>
    <t>Até o 5° dia util do mês de janeiro do 16° ano do contrato</t>
  </si>
  <si>
    <t>Seguros e Garantias Contratuais</t>
  </si>
  <si>
    <t>Pagamento</t>
  </si>
  <si>
    <t>Seguro de Risco de Engenharia</t>
  </si>
  <si>
    <t>Durante o Investimento</t>
  </si>
  <si>
    <t>Até o 5° dia util antes da assinatura do contrato</t>
  </si>
  <si>
    <t>Seguro de Responsabilidade Civil - Obras</t>
  </si>
  <si>
    <t>Seguro de Responsabilidade Civil - Operação (Durante o Contrato)</t>
  </si>
  <si>
    <t>Durante o Contrato</t>
  </si>
  <si>
    <t>Valor do Opex do EVTE</t>
  </si>
  <si>
    <t>Seguro Riscos Gerais - "All Risks" (Durante o Contrato)</t>
  </si>
  <si>
    <t xml:space="preserve">Garantia de Execução do Contato </t>
  </si>
  <si>
    <t>do 1° ao 10° ano</t>
  </si>
  <si>
    <t>do 10° ao 25° ano</t>
  </si>
  <si>
    <t>Até o 5° dia utíl antes do vencimento da apólice anterior</t>
  </si>
  <si>
    <t>do 25° ao 35° ano</t>
  </si>
  <si>
    <t>Data Base do EVTE  Dezembro/2025</t>
  </si>
  <si>
    <t>B3</t>
  </si>
  <si>
    <t>Anual</t>
  </si>
  <si>
    <t>2027 - 2030</t>
  </si>
  <si>
    <t>2031-2033</t>
  </si>
  <si>
    <t>2035-2038</t>
  </si>
  <si>
    <t>2039- 2042</t>
  </si>
  <si>
    <t>20433 - 2046</t>
  </si>
  <si>
    <t>2047 - 2050</t>
  </si>
  <si>
    <t>2051 - 2054</t>
  </si>
  <si>
    <t>2055 - 2058</t>
  </si>
  <si>
    <t>2059 - 2061</t>
  </si>
  <si>
    <t>2027 - 2061</t>
  </si>
  <si>
    <t>Preço médio atualizado</t>
  </si>
  <si>
    <t>Vol mës</t>
  </si>
  <si>
    <t>Valor previsto no Projeto</t>
  </si>
  <si>
    <t>Valor praticado Samae 2025</t>
  </si>
  <si>
    <t>Valor da Conta mensal de água e esgoto Dezembro de 2025</t>
  </si>
  <si>
    <t>Ano Base</t>
  </si>
  <si>
    <t>REFERÊNCIAS</t>
  </si>
  <si>
    <t>Valor Total do Projeto</t>
  </si>
  <si>
    <t>Quant</t>
  </si>
  <si>
    <t>Custo/Ligação</t>
  </si>
  <si>
    <t>1 - Despesas diversas</t>
  </si>
  <si>
    <t>1.1 - Comunicação Social</t>
  </si>
  <si>
    <t>1.1.1  - Comunicados gerais via rádio/TV (inserção)</t>
  </si>
  <si>
    <t>Inserção</t>
  </si>
  <si>
    <t>92 FM /RBS/TV Barriga Verde/SAMAE</t>
  </si>
  <si>
    <t>1.1.2 - Comunicados gerais via jornais ( Página)</t>
  </si>
  <si>
    <t>Página</t>
  </si>
  <si>
    <t>Jornal do Médio Vale/A Cidade/SAMAE</t>
  </si>
  <si>
    <t>1.1.3 - Outdor por semana</t>
  </si>
  <si>
    <t>Agência Ultra - Timbó/SAMAE</t>
  </si>
  <si>
    <t>1.1.4 - Panfletos, cartilhas e informes impressos A4 colorido (fl)</t>
  </si>
  <si>
    <t>folha</t>
  </si>
  <si>
    <t>1.2 - Propaganda e Marketing</t>
  </si>
  <si>
    <t>1.2.1 - Agência de Propaganda - criação e gerenciamento dde mídia (30% do item 1.1)</t>
  </si>
  <si>
    <t>GB</t>
  </si>
  <si>
    <t>1.2.2 - Pesquisa de satisfação do usuário qualitativa (entrevista)</t>
  </si>
  <si>
    <t>entrevista</t>
  </si>
  <si>
    <t>1.2.3 - Pesquisa de satisfação do usuário quantitativa (entrevista)</t>
  </si>
  <si>
    <t>1.2.4 - Produtora para Filmagem/Edição de video (mês)</t>
  </si>
  <si>
    <t>1.2.5 - Produtora de Fotos e Imagens (mês)</t>
  </si>
  <si>
    <t>1.3 - Centro de Controle Operacional - CCO Água</t>
  </si>
  <si>
    <t>1.3.1 - Software para controle de sistema de água - locação mensal</t>
  </si>
  <si>
    <t>Linedata / MKS SAMAE</t>
  </si>
  <si>
    <t>1.3.2 - Equipamentos para controle de pressão de rede - locação mensal</t>
  </si>
  <si>
    <t>1.3.3 - Equipamentos para medição de vazão de redes e manciais - locação mensal</t>
  </si>
  <si>
    <t>1.3.4 - Equipamentos para controle de nivel de reservatórios - locação mensal</t>
  </si>
  <si>
    <t>1.3.5 - Equipamentos para controle de parametros fisico-quimicos da água na rede - locação mensal</t>
  </si>
  <si>
    <t>1.3.6 - Aquisição de hardware da CCO Água 1º Parte</t>
  </si>
  <si>
    <t>1.3.6 - Aquisição de hardware da CCO Água 2º Parte</t>
  </si>
  <si>
    <t>1.4 - Centro de Controle Operacional - CCO Esgoto</t>
  </si>
  <si>
    <t>1.4.1 - Software para controle de sistema de esgoto - locação mensal</t>
  </si>
  <si>
    <t>1.4.2 - Equipamentos para controle de pressão de rede e elevatória de esgoto- locação mensal</t>
  </si>
  <si>
    <t>1.4.3 - Equipamentos para medição de vazão de redes de esgoto- locação mensal</t>
  </si>
  <si>
    <t>1.4.4 - Equipamentos para controle de nivel de reservatórios pulmão das elevatórias - locação mensal</t>
  </si>
  <si>
    <t>1.3.6 - Aquisição de hardware da CCO Esgoto 1º Parte</t>
  </si>
  <si>
    <t>1.3.6 - Aquisição de hardware da CCO Esgoto 2º Parte</t>
  </si>
  <si>
    <t>1.5 -Sistema de Gestâo e Gerenciamento Ambiental</t>
  </si>
  <si>
    <t>1.5.1 - Software para gerenciamento e  controle por imagem de área urbana e rural com certificação ISO 14.001- locação mensal</t>
  </si>
  <si>
    <t>1.5.2 - Levantamento de campo para identificação das matas ciliares (ha)</t>
  </si>
  <si>
    <t>ha</t>
  </si>
  <si>
    <t>Cotação Mercado</t>
  </si>
  <si>
    <t>1.5.3 - Levantamento de campo para identificação  sistemas individuais de esgoto urbano (unid)</t>
  </si>
  <si>
    <t>unid</t>
  </si>
  <si>
    <t>SAMAE Preço de Vistoria</t>
  </si>
  <si>
    <t>1.5.4 - Levantamento de campo para identificação  sistemas individuais de esgoto rural(unid)</t>
  </si>
  <si>
    <t>SAMAE Preço dde Vistoria</t>
  </si>
  <si>
    <t>1.5.5 - Programa de recuperação e preservação de matas ciliares urbanas (ha)</t>
  </si>
  <si>
    <t>1.5.6 - Campanha ambiental  uso racional da água escolas de 1 grau (ano)</t>
  </si>
  <si>
    <t>ano</t>
  </si>
  <si>
    <t>1.5.7 - Campanha ambiental lançamento de esgoto e tratamento de esgoto escolas de 1 grau (ano)</t>
  </si>
  <si>
    <t>1.5.8 - Programa Caça Fraude em ligação de água</t>
  </si>
  <si>
    <t>SAMAE</t>
  </si>
  <si>
    <t>1.5.9 - Programa Lançamento de Esgoto clandestimo</t>
  </si>
  <si>
    <t>1.5.9 - Sistema de monitoramento por video das áreas de mata ciliar urbana</t>
  </si>
  <si>
    <t>1.6 Identificação e Controle de Mananciais</t>
  </si>
  <si>
    <t>1.6.1 - Análise de qualidade de água bruta nos pontos acima da captação do Rio Benedito e Rio dos Cedros</t>
  </si>
  <si>
    <t>Laboratório Freitag</t>
  </si>
  <si>
    <t>1.6.2 - Análise complementar de qualidade de água bruta cianobactérias acima da captação</t>
  </si>
  <si>
    <t>Casan</t>
  </si>
  <si>
    <t>Custo Unitário Io</t>
  </si>
  <si>
    <t>Custo Unitário In</t>
  </si>
  <si>
    <r>
      <rPr>
        <b/>
        <sz val="11"/>
        <color theme="0"/>
        <rFont val="Calibri"/>
        <family val="2"/>
        <scheme val="minor"/>
      </rPr>
      <t xml:space="preserve">Io = </t>
    </r>
    <r>
      <rPr>
        <b/>
        <sz val="9"/>
        <color theme="0"/>
        <rFont val="Calibri"/>
        <family val="2"/>
        <scheme val="minor"/>
      </rPr>
      <t>12/2023</t>
    </r>
  </si>
  <si>
    <t>Diferença</t>
  </si>
  <si>
    <t>2 - Tarifas para fornecimento de água, coleta, afastamento e tratamento e esgoto através de ligações temporárias</t>
  </si>
  <si>
    <t>2.1</t>
  </si>
  <si>
    <t>Fornecimento de água, coleta, afastamento e tratamento e esgoto por ligação em caráter temporário para festas, circos e eventos.</t>
  </si>
  <si>
    <t>TABELA 2 - TARIFAS PARA FORNECIMENTO DE ÁGUA, COLETA, AFASTAMENTO E TRATAMENTO E ESGOTO - AVULSO</t>
  </si>
  <si>
    <t>Tarifas para fornecimento de água, coleta, afastamento e tratamento e esgoto - Avulso</t>
  </si>
  <si>
    <t>Preço Unitário</t>
  </si>
  <si>
    <t>Fornecimento temporário de água e tratamento de esgoto domiciliar avulso para usuários cadastrados.</t>
  </si>
  <si>
    <t>1.1</t>
  </si>
  <si>
    <t>Fornecimento de água em caminhão 6m³ até 15 km - Categoria Residencial</t>
  </si>
  <si>
    <t>1.2</t>
  </si>
  <si>
    <t>Fornecimento de água em caminhão 6m³ até 15 km - Categoria Residencial Social</t>
  </si>
  <si>
    <t>1.3</t>
  </si>
  <si>
    <t>Fornecimento de água em caminhão 6m³ até 15 km - Categoria Mista</t>
  </si>
  <si>
    <t>1.4</t>
  </si>
  <si>
    <t>Fornecimento de água em caminhão 6m³ até 15 km - Categoria Comercial / Industrial</t>
  </si>
  <si>
    <t>1.5</t>
  </si>
  <si>
    <t>Fornecimento de água em caminhão 6m³ até 15 km - Categoria Pública</t>
  </si>
  <si>
    <t>1.6</t>
  </si>
  <si>
    <t>Fornecimento de água tratada em caminhão 6m³ até 15 km - para abastecimento de piscina</t>
  </si>
  <si>
    <t>1.7</t>
  </si>
  <si>
    <t>Fornecimento de água de reuso para irrigação em caminhão 6 m³ até 15 km</t>
  </si>
  <si>
    <t>1.8</t>
  </si>
  <si>
    <t>Fornecimento de água de reuso para irrigação em veículo do interessado</t>
  </si>
  <si>
    <t>1.9</t>
  </si>
  <si>
    <t>Km rodado adicional acima de 15 Km</t>
  </si>
  <si>
    <t>R$/Km</t>
  </si>
  <si>
    <t>1.10</t>
  </si>
  <si>
    <t>Fornecimento de água tratada em veículo do interessado</t>
  </si>
  <si>
    <t>1.11</t>
  </si>
  <si>
    <t>Despejo avulso de efluente domiciliar em estação de tratamento de esgoto</t>
  </si>
  <si>
    <t>Fornecimento temporário de água e tratamento de esgoto domiciliar avulso para usuários não cadastrados.</t>
  </si>
  <si>
    <t>Fornecimento de água tratada em caminhão 6m³ até 15 km</t>
  </si>
  <si>
    <t>2.2</t>
  </si>
  <si>
    <t>2.3</t>
  </si>
  <si>
    <t>2.4</t>
  </si>
  <si>
    <t>2.5</t>
  </si>
  <si>
    <t>2.6</t>
  </si>
  <si>
    <t>TABELA 3 - TARIFAS DE SERVIÇOS DE REDES E AMPLIAÇÃO DOS SISTEMAS DE ABASTECIMENTO DE ÁGUA E/OU COLETA, AFASTAMENTO E TRATAMENTO DE ESGOTO</t>
  </si>
  <si>
    <t>Tabela 3 - Tarifas de serviços de redes e ampliação dos sistemas de abastecimento de água e/ou coleta, afastamento e tratamento de esgoto</t>
  </si>
  <si>
    <t xml:space="preserve"> Serviços de redes</t>
  </si>
  <si>
    <t xml:space="preserve"> </t>
  </si>
  <si>
    <t xml:space="preserve">Extensão de rede de água DN 50 mm </t>
  </si>
  <si>
    <t>R$/m</t>
  </si>
  <si>
    <t xml:space="preserve">Extensão de rede de água DN 75 mm </t>
  </si>
  <si>
    <t xml:space="preserve">Extensão de rede de água DN 100 mm </t>
  </si>
  <si>
    <t xml:space="preserve">Extensão de rede de água DN 150 mm </t>
  </si>
  <si>
    <t xml:space="preserve">Extensão de rede de água DN 200 mm </t>
  </si>
  <si>
    <t xml:space="preserve">Extensão de rede de água DN 250 mm </t>
  </si>
  <si>
    <t xml:space="preserve">Extensão de rede de esgoto DN 150 mm </t>
  </si>
  <si>
    <t xml:space="preserve">Extensão de rede de esgoto DN 200 mm </t>
  </si>
  <si>
    <t>Extensão de rede de esgoto DN 250 mm</t>
  </si>
  <si>
    <t>1.12</t>
  </si>
  <si>
    <t>Extensão de rede de esgoto DN 300 mm</t>
  </si>
  <si>
    <t xml:space="preserve"> Execução de Poços de Visita</t>
  </si>
  <si>
    <t xml:space="preserve"> Em alvenaria com profundidade menor ou igual a 1,5 m </t>
  </si>
  <si>
    <t>unidade</t>
  </si>
  <si>
    <t xml:space="preserve"> Acréscimo de alvenaria com profundidade maior que 1,5 m </t>
  </si>
  <si>
    <t>Instalação de Poço de visita em PEAD</t>
  </si>
  <si>
    <t xml:space="preserve"> Pavimentação</t>
  </si>
  <si>
    <t>3.1</t>
  </si>
  <si>
    <t xml:space="preserve">Reposição do pavimento de rua com massa asfáltica usinada a quente (CBUQ), incluindo base de brita graduada E=20 cm com meio fio e capa asfáltica de 4cm. </t>
  </si>
  <si>
    <t>R$/m²</t>
  </si>
  <si>
    <t>3.2</t>
  </si>
  <si>
    <t xml:space="preserve">Reposição do pavimento com PAVER (20x10x8), incluindo base de pedrisco E=15 Cm e com meio fio </t>
  </si>
  <si>
    <t>3.3</t>
  </si>
  <si>
    <t xml:space="preserve">Reposição do pavimento de rua com Paralelepípedo de concreto </t>
  </si>
  <si>
    <t xml:space="preserve"> Ligação de água</t>
  </si>
  <si>
    <t>4.1</t>
  </si>
  <si>
    <t xml:space="preserve"> Ligação de água Ø¾" - Completa, incluindo fornecimento de materiais e mão de obra para instalação de caixa de proteção de hidrômetro em parede/totem ou piso.</t>
  </si>
  <si>
    <t>4.2</t>
  </si>
  <si>
    <t xml:space="preserve"> Ligação de água Ø1" - Completa, incluindo fornecimento de materiais e mão de obra para instalação de caixa de proteção de hidrômetro em parede/totem ou piso.</t>
  </si>
  <si>
    <t>4.3</t>
  </si>
  <si>
    <t xml:space="preserve"> Ligação de água Ø1½" - Completa, incluindo fornecimento de materiais e mão de obra para instalação de caixa de proteção de hidrômetro em parede/totem ou piso.</t>
  </si>
  <si>
    <t>4.4</t>
  </si>
  <si>
    <t xml:space="preserve"> Ligação de água Ø2" - Completa, incluindo fornecimento de materiais e mão de obra para instalação de caixa de proteção de hidrômetro em parede/totem ou piso.</t>
  </si>
  <si>
    <t>4.5</t>
  </si>
  <si>
    <t xml:space="preserve"> Ligação de água Ø¾" - Simples, não incluindo o fornecimento de materiais e mão de obra para instalação de caixa de proteção de hidrômetro em parede/totem ou piso.</t>
  </si>
  <si>
    <t>4.6</t>
  </si>
  <si>
    <t xml:space="preserve"> Ligação de água Ø1" - Simples, não incluindo o fornecimento de materiais e mão de obra para instalação de caixa de proteção de hidrômetro em parede/totem ou piso.</t>
  </si>
  <si>
    <t>4.7</t>
  </si>
  <si>
    <t xml:space="preserve"> Ligação de água Ø1½" - Simples, não incluindo o fornecimento de materiais e mão de obra para instalação de caixa de proteção de hidrômetro em parede/totem ou piso.</t>
  </si>
  <si>
    <t>4.8</t>
  </si>
  <si>
    <t xml:space="preserve"> Ligação de água Ø2" - Simples, não incluindo o fornecimento de materiais e mão de obra para instalação de caixa de proteção de hidrômetro em parede/totem ou piso.</t>
  </si>
  <si>
    <t xml:space="preserve"> Caixa de proteção de hidrômetro</t>
  </si>
  <si>
    <t>5.1</t>
  </si>
  <si>
    <t xml:space="preserve">Fornecimento de Caixa de proteção de hidrômetro Ø ¾" e 1" Padrão de Parede </t>
  </si>
  <si>
    <t>5.2</t>
  </si>
  <si>
    <t xml:space="preserve">Fornecimento de Caixa de proteção de hidrômetro Ø ¾" e 1" Padrão de Piso </t>
  </si>
  <si>
    <t>5.3</t>
  </si>
  <si>
    <t>Fornecimento e instalação de Caixa de proteção de hidrômetro Ø ¾" e 1" Padrão no piso.</t>
  </si>
  <si>
    <t>5.4</t>
  </si>
  <si>
    <t>Fornecimento e instalação de Caixa de proteção de hidrômetro Ø ¾" e 1" Padrão em parede existente.</t>
  </si>
  <si>
    <t>5.5</t>
  </si>
  <si>
    <t>Fornecimento e instalação de Caixa de proteção de hidrômetro Ø ¾" e 1" Padrão em totem de alvenaria</t>
  </si>
  <si>
    <t>5.6</t>
  </si>
  <si>
    <t xml:space="preserve"> Fornecimento e instalação de Caixa de proteção para dois hidrômetros de Ø¾" e 1" Padrão em totem.</t>
  </si>
  <si>
    <t>5.7</t>
  </si>
  <si>
    <t xml:space="preserve"> Fornecimento e instalação de Caixa de proteção para dois hidrômetros de Ø ¾" e 1" Padrão em parede.</t>
  </si>
  <si>
    <t xml:space="preserve"> Ligação de esgoto</t>
  </si>
  <si>
    <t>6.1</t>
  </si>
  <si>
    <t xml:space="preserve"> Ligação de esgoto 100 mm</t>
  </si>
  <si>
    <t>6.2</t>
  </si>
  <si>
    <t>6.3</t>
  </si>
  <si>
    <t xml:space="preserve"> Construção de Caixa de inspeção de esgoto padrão </t>
  </si>
  <si>
    <t xml:space="preserve"> Instalação de novo ramal predial</t>
  </si>
  <si>
    <t>7.1</t>
  </si>
  <si>
    <t xml:space="preserve"> Instalação de ramal predial de água na calçada </t>
  </si>
  <si>
    <t>7.2</t>
  </si>
  <si>
    <t xml:space="preserve"> Instalação de ramal predial de água na rua</t>
  </si>
  <si>
    <t>7.3</t>
  </si>
  <si>
    <t xml:space="preserve"> Instalação de ramal predial de esgoto Ø 100 mm na calçada</t>
  </si>
  <si>
    <t>7.4</t>
  </si>
  <si>
    <t xml:space="preserve"> Instalação de ramal predial de esgoto Ø 100 mm na rua </t>
  </si>
  <si>
    <t xml:space="preserve"> Fornecimento de hidrômetro e serviços de hidrometria</t>
  </si>
  <si>
    <t>8.1</t>
  </si>
  <si>
    <t xml:space="preserve"> Fornecimento de hidrômetro Ø¾" Qn 0,75 m³/h - Classe B </t>
  </si>
  <si>
    <t>8.2</t>
  </si>
  <si>
    <t xml:space="preserve"> Fornecimento de hidrômetro Ø¾" Qn 1,5 m³/h - Classe C </t>
  </si>
  <si>
    <t>8.3</t>
  </si>
  <si>
    <t xml:space="preserve"> Fornecimento de hidrômetro Ø¾" Qn 2,5 m³/h - Classe C </t>
  </si>
  <si>
    <t>8.4</t>
  </si>
  <si>
    <t xml:space="preserve">Hidrômetro Ø 1" Multijato - Classe "B" - Vazão Nominal = 3,5 m³/h - Completo com conexões (tubetes) </t>
  </si>
  <si>
    <t>8.5</t>
  </si>
  <si>
    <t xml:space="preserve">Hidrômetro Ø 1" Multijato - Classe "B" - Vazão Nominal = 5,0 m³/h - Completo com conexões (tubetes) </t>
  </si>
  <si>
    <t>8.6</t>
  </si>
  <si>
    <t xml:space="preserve">Hidrômetro Ø 1.1/2" Multijato - Classe "B" - Vazão Nominal = 10,0 m³/h - Completo com conexões (tubetes) </t>
  </si>
  <si>
    <t>8.7</t>
  </si>
  <si>
    <t xml:space="preserve">Hidrômetro Ø 2" Woltman - Classe "B" - Vazão Nominal = 15,0 m³/h - Completo com conexões (flanges + parafusos) </t>
  </si>
  <si>
    <t>8.8</t>
  </si>
  <si>
    <t xml:space="preserve">Hidrômetro Ø 3" Woltman - Classe "B" - Vazão Nominal = 40,0 m³/h - Completo com conexões (flanges + parafusos) </t>
  </si>
  <si>
    <t>8.9</t>
  </si>
  <si>
    <t xml:space="preserve"> Instalação de cavalete Ø¾" </t>
  </si>
  <si>
    <t>8.10</t>
  </si>
  <si>
    <t xml:space="preserve"> Instalação de cavalete Ø1" </t>
  </si>
  <si>
    <t>8.11</t>
  </si>
  <si>
    <t xml:space="preserve"> Instalação de cavalete Ø1½" </t>
  </si>
  <si>
    <t>8.12</t>
  </si>
  <si>
    <t xml:space="preserve"> Instalação de cavalete Ø2" </t>
  </si>
  <si>
    <t>8.13</t>
  </si>
  <si>
    <t xml:space="preserve"> Aferição de hidrômetro </t>
  </si>
  <si>
    <t>8.14</t>
  </si>
  <si>
    <t xml:space="preserve"> Instalação de hidrômetro </t>
  </si>
  <si>
    <t>8.15</t>
  </si>
  <si>
    <t xml:space="preserve"> Retirada de hidrômetro </t>
  </si>
  <si>
    <t>8.16</t>
  </si>
  <si>
    <t xml:space="preserve"> Fornecimento e instalação de Lacre Padrão com arame </t>
  </si>
  <si>
    <t>8.17</t>
  </si>
  <si>
    <t xml:space="preserve"> Fornecimento e instalação de Lacre Padrão em PVC </t>
  </si>
  <si>
    <t>8.18</t>
  </si>
  <si>
    <t xml:space="preserve"> Mão de obra para concerto de hidrômetro, cavalete e caixa padrão </t>
  </si>
  <si>
    <t xml:space="preserve"> Corte e reestabelecimento de fornecimento de água</t>
  </si>
  <si>
    <t>9.1</t>
  </si>
  <si>
    <t xml:space="preserve"> Corte por inadimplência no cavalete ou caixa padrão </t>
  </si>
  <si>
    <t>9.2</t>
  </si>
  <si>
    <t xml:space="preserve"> Corte por inadimplência na calçada </t>
  </si>
  <si>
    <t>9.3</t>
  </si>
  <si>
    <t xml:space="preserve"> Corte por solicitação do usuário no cavalete ou caixa padrão sem retirada de hidrômetro</t>
  </si>
  <si>
    <t>9.4</t>
  </si>
  <si>
    <t xml:space="preserve"> Corte por solicitação do usuário no cavalete ou caixa padrão com retirada de hidrômetro</t>
  </si>
  <si>
    <t>9.5</t>
  </si>
  <si>
    <t xml:space="preserve"> Reestabelecimento de fornecimento no cavalete ou caixa padrão sem retirada de hidrômetro</t>
  </si>
  <si>
    <t>9.6</t>
  </si>
  <si>
    <t xml:space="preserve"> Reestabelecimento de fornecimento no cavalete ou caixa padrão com retirada de hidrômetro</t>
  </si>
  <si>
    <t>9.7</t>
  </si>
  <si>
    <t xml:space="preserve"> Reestabelecimento de fornecimento na calçada </t>
  </si>
  <si>
    <t xml:space="preserve"> Desobstrução de esgoto e limpeza de fossa séptica</t>
  </si>
  <si>
    <t>10.1</t>
  </si>
  <si>
    <t xml:space="preserve"> Desobstrução de ramal de esgoto com varão de aço (deslocamento até 15 km)</t>
  </si>
  <si>
    <t>10.2</t>
  </si>
  <si>
    <t xml:space="preserve"> Desobstrução de ramal de esgoto com caminhão hidro jato (deslocamento até 15 Km)</t>
  </si>
  <si>
    <t>10.3</t>
  </si>
  <si>
    <t xml:space="preserve"> Limpeza ou esgotamento de fossa até 6 m³ (deslocamento até 15 km)</t>
  </si>
  <si>
    <t>10.4</t>
  </si>
  <si>
    <t xml:space="preserve"> Km rodado adicional acima de 15 Km de caminhão de desobstrução de esgoto, caminhão hidro jato, caminhão auto vácuo ou caminhão limpa fossa.</t>
  </si>
  <si>
    <t>R$/km</t>
  </si>
  <si>
    <t>TABELA 4 - TARIFAS DE SERVIÇOS TÉCNICOS E DE EXPEDIENTE</t>
  </si>
  <si>
    <t>Tarifas de Serviços técnicos e de Expediente</t>
  </si>
  <si>
    <t>Serviços técnicos e de Expediente</t>
  </si>
  <si>
    <t xml:space="preserve"> Certidões para fins de atestado de regularidade de ligações de água e esgoto</t>
  </si>
  <si>
    <t xml:space="preserve"> Certidão para fins de habite-se</t>
  </si>
  <si>
    <t>por unidade habitacional</t>
  </si>
  <si>
    <t xml:space="preserve"> Certidões de diretrizes de abastecimento de água</t>
  </si>
  <si>
    <t>Certidões de diretrizes de abastecimento de esgoto</t>
  </si>
  <si>
    <t xml:space="preserve"> Outras certidões </t>
  </si>
  <si>
    <t xml:space="preserve"> 2ª via do recibo impresso / Fatura</t>
  </si>
  <si>
    <t xml:space="preserve"> Fotocópias </t>
  </si>
  <si>
    <t xml:space="preserve"> Análise de projeto-Empreendimentos até 10 unidades habitacionais </t>
  </si>
  <si>
    <t xml:space="preserve"> Análise de projeto-Empreendimentos até 11 a 50 unidades habitacionais </t>
  </si>
  <si>
    <t xml:space="preserve"> Análise de projeto-Empreendimentos até 51 a 100 unidades habitacionais </t>
  </si>
  <si>
    <t xml:space="preserve"> Análise de projeto-Empreendimentos 101 até 200 unidades habitacionais </t>
  </si>
  <si>
    <t xml:space="preserve"> Análise de projeto-Empreendimentos 201 até 300 unidades habitacionais </t>
  </si>
  <si>
    <t>1.13</t>
  </si>
  <si>
    <t xml:space="preserve"> Análise de projeto-Empreendimentos 301 até 400 unidades habitacionais </t>
  </si>
  <si>
    <t>1.14</t>
  </si>
  <si>
    <t xml:space="preserve"> Análise de projeto-Empreendimentos 401 até 500 unidades habitacionais </t>
  </si>
  <si>
    <t>1.15</t>
  </si>
  <si>
    <t xml:space="preserve"> Análise de projeto-Empreendimentos 501 até 600 unidades habitacionais </t>
  </si>
  <si>
    <t>1.16</t>
  </si>
  <si>
    <t xml:space="preserve"> Análise de projeto -Empreendimentos 601 até 700 unidades habitacionais </t>
  </si>
  <si>
    <t>1.17</t>
  </si>
  <si>
    <t xml:space="preserve"> Análise de projeto -Empreendimentos 700 até 800 unidades habitacionais </t>
  </si>
  <si>
    <t>1.18</t>
  </si>
  <si>
    <t xml:space="preserve"> Análise e Aprovação de projeto -Empreendimentos acima 801 unidades habitacionais </t>
  </si>
  <si>
    <t>1.19</t>
  </si>
  <si>
    <t xml:space="preserve"> Editais</t>
  </si>
  <si>
    <t>Por folha</t>
  </si>
  <si>
    <t>1.20</t>
  </si>
  <si>
    <t xml:space="preserve"> Cópias de Projetos e Plantas </t>
  </si>
  <si>
    <t>1.21</t>
  </si>
  <si>
    <t>Análise de água - Físico-Químico</t>
  </si>
  <si>
    <t>1.22</t>
  </si>
  <si>
    <t>Análise de água - Bacteriológico</t>
  </si>
  <si>
    <t>1.23</t>
  </si>
  <si>
    <t>Análise de esgoto - Físico-Químico</t>
  </si>
  <si>
    <t xml:space="preserve"> Serviços de vistorias técnicas e fiscalizações de obras</t>
  </si>
  <si>
    <t>Vistorias em reservatórios e estações elevatórias</t>
  </si>
  <si>
    <t>Vistoria técnica para recebimento e aceitação poços profundos com medição de vazão</t>
  </si>
  <si>
    <t>Vistoria técnica em imóvel para levantamento de condições de abastecimento de água por solicitação do usuário</t>
  </si>
  <si>
    <t>Vistoria técnica em imóvel para levantamento de condições de abastecimento de água e/ou de esgotamento sanitário com sondagem para detecção de vazamento por solicitação do usuário</t>
  </si>
  <si>
    <t>Vistoria técnica em imóvel para levantamento de condições de esgotamento sanitário por solicitação do usuário</t>
  </si>
  <si>
    <t>Vistoria técnica em imóvel para levantamento das condições de aceitação de instalações hidrossanitárias internas e externas para reformas e construções novas.</t>
  </si>
  <si>
    <t>2.7</t>
  </si>
  <si>
    <t xml:space="preserve"> Vistoria técnica em imóvel para levantamento de condições de abastecimento de água com aferição de hidrômetro por solicitação do usuário</t>
  </si>
  <si>
    <t>2.8</t>
  </si>
  <si>
    <t xml:space="preserve"> Fiscalização e acompanhamento de perfuração de poços profundos de abastecimento de água</t>
  </si>
  <si>
    <t>2.9</t>
  </si>
  <si>
    <t xml:space="preserve"> Fiscalização e acompanhamento de execução de redes de água e esgoto para loteamentos e empreendimentos imobiliários (calculado sobre a área total do empreendimento)</t>
  </si>
  <si>
    <t>2.10</t>
  </si>
  <si>
    <t xml:space="preserve"> Visita improdutiva quando não for possível a execução de serviços </t>
  </si>
  <si>
    <t>Preço Unitário Io</t>
  </si>
  <si>
    <t>Preço Unitário In</t>
  </si>
  <si>
    <t>1.6.3 - Cadastramento de malha hidrográfica do municipio</t>
  </si>
  <si>
    <t xml:space="preserve">1.6.3 - Cadastramento de malha hidrográfica do municipio </t>
  </si>
  <si>
    <t>Distribuição do Item 1.5.5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</si>
</sst>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6" formatCode="&quot;R$&quot;\ #,##0;[Red]\-&quot;R$&quot;\ #,##0"/>
    <numFmt numFmtId="7" formatCode="&quot;R$&quot;\ #,##0.00;\-&quot;R$&quot;\ #,##0.00"/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#,##0.0000"/>
    <numFmt numFmtId="166" formatCode="0.000%"/>
    <numFmt numFmtId="167" formatCode="0.0%"/>
    <numFmt numFmtId="168" formatCode="0.0000"/>
    <numFmt numFmtId="169" formatCode="0.000"/>
    <numFmt numFmtId="170" formatCode="#,##0_ ;[Red]\-#,##0\ "/>
    <numFmt numFmtId="171" formatCode="0.000000"/>
    <numFmt numFmtId="172" formatCode="&quot;R$&quot;\ #,##0.000000"/>
    <numFmt numFmtId="173" formatCode="0.0000%"/>
    <numFmt numFmtId="174" formatCode="0.0000000%"/>
    <numFmt numFmtId="175" formatCode="#,##0.000000"/>
    <numFmt numFmtId="176" formatCode="&quot;R$&quot;\ #,##0.00000000"/>
    <numFmt numFmtId="177" formatCode="_(* #,##0.00_);_(* \(#,##0.00\);_(* &quot;-&quot;??_);_(@_)"/>
    <numFmt numFmtId="178" formatCode="_-* #,##0_-;\-* #,##0_-;_-* &quot;-&quot;??_-;_-@_-"/>
    <numFmt numFmtId="179" formatCode="0.00000%"/>
    <numFmt numFmtId="180" formatCode="0.0000000000%"/>
    <numFmt numFmtId="181" formatCode="0.0"/>
    <numFmt numFmtId="182" formatCode="_-&quot;R$&quot;\ * #,##0.0000_-;\-&quot;R$&quot;\ * #,##0.0000_-;_-&quot;R$&quot;\ * &quot;-&quot;??_-;_-@_-"/>
    <numFmt numFmtId="183" formatCode="_(&quot;R$ &quot;* #,##0.00_);_(&quot;R$ &quot;* \(#,##0.00\);_(&quot;R$ &quot;* &quot;-&quot;??_);_(@_)"/>
    <numFmt numFmtId="184" formatCode="#,##0.00000"/>
    <numFmt numFmtId="185" formatCode="#,##0.000"/>
    <numFmt numFmtId="186" formatCode="&quot;R$&quot;\ #,##0.000000000000000;\-&quot;R$&quot;\ #,##0.000000000000000"/>
    <numFmt numFmtId="187" formatCode="_-&quot;R$&quot;\ * #,##0.000000_-;\-&quot;R$&quot;\ * #,##0.000000_-;_-&quot;R$&quot;\ * &quot;-&quot;??????_-;_-@_-"/>
    <numFmt numFmtId="188" formatCode="0.00000"/>
    <numFmt numFmtId="189" formatCode="_-* #,##0.00_-;\-* #,##0.00_-;_-* &quot;-&quot;????_-;_-@_-"/>
  </numFmts>
  <fonts count="7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b/>
      <sz val="12"/>
      <color rgb="FF000000"/>
      <name val="Calibri"/>
      <family val="2"/>
    </font>
    <font>
      <b/>
      <vertAlign val="superscript"/>
      <sz val="12"/>
      <color rgb="FF000000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0"/>
      <name val="Calibri"/>
      <family val="2"/>
    </font>
    <font>
      <sz val="11"/>
      <color rgb="FF3F3F76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name val="Calibri"/>
      <family val="2"/>
    </font>
    <font>
      <sz val="7"/>
      <color rgb="FF000000"/>
      <name val="Arial"/>
      <family val="2"/>
    </font>
    <font>
      <b/>
      <sz val="11"/>
      <color theme="0"/>
      <name val="Calibri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b/>
      <i/>
      <u/>
      <sz val="20"/>
      <name val="Calibri"/>
      <family val="2"/>
      <scheme val="minor"/>
    </font>
    <font>
      <b/>
      <sz val="2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Arial Narrow"/>
      <family val="2"/>
    </font>
    <font>
      <b/>
      <sz val="9"/>
      <color theme="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theme="0"/>
      <name val="Calibri"/>
      <family val="2"/>
    </font>
    <font>
      <b/>
      <sz val="8"/>
      <color theme="0"/>
      <name val="Calibri"/>
      <family val="2"/>
      <scheme val="minor"/>
    </font>
    <font>
      <b/>
      <sz val="20"/>
      <color theme="0"/>
      <name val="Arial Narrow"/>
      <family val="2"/>
    </font>
    <font>
      <b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9"/>
      <color theme="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7"/>
      <color rgb="FF6E6C6C"/>
      <name val="Arial"/>
      <family val="2"/>
    </font>
    <font>
      <b/>
      <sz val="11"/>
      <color rgb="FF3F3F76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9"/>
      <color theme="0"/>
      <name val="Calibri"/>
      <family val="2"/>
    </font>
    <font>
      <b/>
      <sz val="9"/>
      <color rgb="FF000000"/>
      <name val="Calibri"/>
      <family val="2"/>
    </font>
    <font>
      <sz val="9"/>
      <color theme="1"/>
      <name val="Calibri"/>
      <family val="2"/>
    </font>
    <font>
      <b/>
      <sz val="9"/>
      <name val="Calibri"/>
      <family val="2"/>
    </font>
    <font>
      <b/>
      <sz val="9"/>
      <color theme="1"/>
      <name val="Calibri"/>
      <family val="2"/>
    </font>
    <font>
      <sz val="9"/>
      <name val="Calibri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2"/>
      <name val="Calibri"/>
      <family val="2"/>
      <scheme val="minor"/>
    </font>
    <font>
      <b/>
      <vertAlign val="subscript"/>
      <sz val="11"/>
      <color theme="0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2F2F2"/>
      </patternFill>
    </fill>
    <fill>
      <patternFill patternType="solid">
        <fgColor rgb="FFE7E6E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rgb="FF000000"/>
      </patternFill>
    </fill>
    <fill>
      <patternFill patternType="solid">
        <fgColor rgb="FFFFCC9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rgb="FF000000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-0.249977111117893"/>
        <bgColor indexed="64"/>
      </patternFill>
    </fill>
  </fills>
  <borders count="19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theme="0"/>
      </left>
      <right style="medium">
        <color theme="0"/>
      </right>
      <top style="thick">
        <color auto="1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medium">
        <color auto="1"/>
      </left>
      <right/>
      <top style="medium">
        <color auto="1"/>
      </top>
      <bottom style="medium">
        <color theme="0"/>
      </bottom>
      <diagonal/>
    </border>
    <border>
      <left/>
      <right/>
      <top style="medium">
        <color auto="1"/>
      </top>
      <bottom style="medium">
        <color theme="0"/>
      </bottom>
      <diagonal/>
    </border>
    <border>
      <left/>
      <right style="medium">
        <color auto="1"/>
      </right>
      <top style="medium">
        <color auto="1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auto="1"/>
      </right>
      <top style="medium">
        <color theme="0"/>
      </top>
      <bottom style="medium">
        <color theme="0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/>
      <bottom style="medium">
        <color indexed="64"/>
      </bottom>
      <diagonal/>
    </border>
    <border>
      <left style="thick">
        <color auto="1"/>
      </left>
      <right style="medium">
        <color theme="0"/>
      </right>
      <top style="thick">
        <color auto="1"/>
      </top>
      <bottom/>
      <diagonal/>
    </border>
    <border>
      <left style="thick">
        <color auto="1"/>
      </left>
      <right style="medium">
        <color theme="0"/>
      </right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theme="0"/>
      </left>
      <right style="medium">
        <color auto="1"/>
      </right>
      <top style="medium">
        <color theme="0"/>
      </top>
      <bottom/>
      <diagonal/>
    </border>
    <border>
      <left style="medium">
        <color theme="0"/>
      </left>
      <right style="medium">
        <color auto="1"/>
      </right>
      <top/>
      <bottom style="medium">
        <color theme="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auto="1"/>
      </top>
      <bottom style="thin">
        <color theme="1"/>
      </bottom>
      <diagonal/>
    </border>
    <border>
      <left/>
      <right style="thin">
        <color theme="1"/>
      </right>
      <top style="thin">
        <color auto="1"/>
      </top>
      <bottom style="thin">
        <color theme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theme="0"/>
      </bottom>
      <diagonal/>
    </border>
    <border>
      <left/>
      <right/>
      <top style="thin">
        <color auto="1"/>
      </top>
      <bottom style="thin">
        <color theme="0"/>
      </bottom>
      <diagonal/>
    </border>
    <border>
      <left/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/>
      <top style="thin">
        <color theme="0"/>
      </top>
      <bottom style="thin">
        <color auto="1"/>
      </bottom>
      <diagonal/>
    </border>
    <border>
      <left/>
      <right/>
      <top style="thin">
        <color theme="0"/>
      </top>
      <bottom style="thin">
        <color auto="1"/>
      </bottom>
      <diagonal/>
    </border>
    <border>
      <left/>
      <right style="thin">
        <color auto="1"/>
      </right>
      <top style="thin">
        <color theme="0"/>
      </top>
      <bottom style="thin">
        <color auto="1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rgb="FF7F7F7F"/>
      </left>
      <right style="thick">
        <color auto="1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auto="1"/>
      </right>
      <top style="thin">
        <color rgb="FF7F7F7F"/>
      </top>
      <bottom/>
      <diagonal/>
    </border>
    <border>
      <left style="thin">
        <color rgb="FF7F7F7F"/>
      </left>
      <right style="thick">
        <color auto="1"/>
      </right>
      <top/>
      <bottom style="thin">
        <color rgb="FF7F7F7F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rgb="FF7F7F7F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rgb="FF7F7F7F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rgb="FF7F7F7F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theme="0"/>
      </right>
      <top style="medium">
        <color auto="1"/>
      </top>
      <bottom/>
      <diagonal/>
    </border>
    <border>
      <left style="medium">
        <color theme="0"/>
      </left>
      <right style="medium">
        <color theme="0"/>
      </right>
      <top style="medium">
        <color auto="1"/>
      </top>
      <bottom style="medium">
        <color theme="0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ck">
        <color auto="1"/>
      </bottom>
      <diagonal/>
    </border>
    <border>
      <left style="thin">
        <color rgb="FF7F7F7F"/>
      </left>
      <right style="thick">
        <color auto="1"/>
      </right>
      <top style="thin">
        <color rgb="FF7F7F7F"/>
      </top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medium">
        <color theme="0"/>
      </left>
      <right style="medium">
        <color auto="1"/>
      </right>
      <top style="thick">
        <color auto="1"/>
      </top>
      <bottom/>
      <diagonal/>
    </border>
    <border>
      <left style="medium">
        <color theme="0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medium">
        <color auto="1"/>
      </right>
      <top style="thin">
        <color rgb="FF7F7F7F"/>
      </top>
      <bottom style="thin">
        <color rgb="FF7F7F7F"/>
      </bottom>
      <diagonal/>
    </border>
    <border>
      <left style="medium">
        <color auto="1"/>
      </left>
      <right style="thin">
        <color rgb="FF7F7F7F"/>
      </right>
      <top style="thin">
        <color rgb="FF7F7F7F"/>
      </top>
      <bottom style="medium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auto="1"/>
      </bottom>
      <diagonal/>
    </border>
    <border>
      <left style="medium">
        <color theme="0"/>
      </left>
      <right/>
      <top style="medium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14">
    <xf numFmtId="0" fontId="0" fillId="0" borderId="0"/>
    <xf numFmtId="9" fontId="1" fillId="0" borderId="0" applyFont="0" applyFill="0" applyBorder="0" applyAlignment="0" applyProtection="0"/>
    <xf numFmtId="0" fontId="6" fillId="3" borderId="4" applyNumberFormat="0" applyAlignment="0" applyProtection="0"/>
    <xf numFmtId="44" fontId="1" fillId="0" borderId="0" applyFont="0" applyFill="0" applyBorder="0" applyAlignment="0" applyProtection="0"/>
    <xf numFmtId="0" fontId="17" fillId="9" borderId="4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34" fillId="0" borderId="0"/>
    <xf numFmtId="0" fontId="35" fillId="0" borderId="0"/>
    <xf numFmtId="9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4" fillId="0" borderId="0" applyFont="0" applyFill="0" applyBorder="0" applyAlignment="0" applyProtection="0"/>
  </cellStyleXfs>
  <cellXfs count="1168">
    <xf numFmtId="0" fontId="0" fillId="0" borderId="0" xfId="0"/>
    <xf numFmtId="3" fontId="0" fillId="0" borderId="0" xfId="0" applyNumberFormat="1"/>
    <xf numFmtId="10" fontId="0" fillId="0" borderId="0" xfId="1" applyNumberFormat="1" applyFont="1"/>
    <xf numFmtId="164" fontId="0" fillId="0" borderId="0" xfId="0" applyNumberFormat="1"/>
    <xf numFmtId="0" fontId="0" fillId="0" borderId="5" xfId="0" applyBorder="1"/>
    <xf numFmtId="0" fontId="7" fillId="0" borderId="0" xfId="0" applyFont="1"/>
    <xf numFmtId="0" fontId="7" fillId="0" borderId="0" xfId="0" applyFont="1" applyAlignment="1">
      <alignment horizontal="center" vertical="center"/>
    </xf>
    <xf numFmtId="167" fontId="7" fillId="0" borderId="0" xfId="1" applyNumberFormat="1" applyFont="1" applyFill="1" applyBorder="1" applyAlignment="1">
      <alignment horizontal="center" vertical="center"/>
    </xf>
    <xf numFmtId="10" fontId="7" fillId="0" borderId="0" xfId="1" applyNumberFormat="1" applyFont="1" applyFill="1" applyBorder="1" applyAlignment="1">
      <alignment horizontal="center" vertical="center"/>
    </xf>
    <xf numFmtId="10" fontId="7" fillId="0" borderId="0" xfId="1" applyNumberFormat="1" applyFont="1" applyFill="1" applyBorder="1"/>
    <xf numFmtId="3" fontId="7" fillId="0" borderId="0" xfId="0" applyNumberFormat="1" applyFont="1"/>
    <xf numFmtId="0" fontId="8" fillId="0" borderId="9" xfId="0" applyFont="1" applyBorder="1" applyAlignment="1">
      <alignment horizontal="left" vertical="center"/>
    </xf>
    <xf numFmtId="0" fontId="8" fillId="0" borderId="2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9" fillId="0" borderId="0" xfId="0" applyFont="1"/>
    <xf numFmtId="0" fontId="20" fillId="0" borderId="5" xfId="0" applyFont="1" applyBorder="1"/>
    <xf numFmtId="0" fontId="19" fillId="0" borderId="5" xfId="0" applyFont="1" applyBorder="1"/>
    <xf numFmtId="3" fontId="19" fillId="0" borderId="0" xfId="0" applyNumberFormat="1" applyFont="1"/>
    <xf numFmtId="0" fontId="20" fillId="0" borderId="0" xfId="0" applyFont="1" applyAlignment="1">
      <alignment horizontal="center"/>
    </xf>
    <xf numFmtId="8" fontId="19" fillId="0" borderId="0" xfId="0" applyNumberFormat="1" applyFont="1"/>
    <xf numFmtId="8" fontId="19" fillId="0" borderId="5" xfId="0" applyNumberFormat="1" applyFont="1" applyBorder="1"/>
    <xf numFmtId="164" fontId="19" fillId="0" borderId="0" xfId="0" applyNumberFormat="1" applyFont="1"/>
    <xf numFmtId="4" fontId="19" fillId="0" borderId="0" xfId="0" applyNumberFormat="1" applyFont="1"/>
    <xf numFmtId="0" fontId="19" fillId="0" borderId="0" xfId="0" applyFont="1" applyAlignment="1">
      <alignment horizontal="center"/>
    </xf>
    <xf numFmtId="10" fontId="19" fillId="0" borderId="0" xfId="1" applyNumberFormat="1" applyFont="1"/>
    <xf numFmtId="10" fontId="19" fillId="0" borderId="0" xfId="0" applyNumberFormat="1" applyFont="1"/>
    <xf numFmtId="0" fontId="18" fillId="2" borderId="61" xfId="0" applyFont="1" applyFill="1" applyBorder="1"/>
    <xf numFmtId="0" fontId="18" fillId="2" borderId="57" xfId="0" applyFont="1" applyFill="1" applyBorder="1" applyAlignment="1">
      <alignment horizontal="center"/>
    </xf>
    <xf numFmtId="8" fontId="19" fillId="0" borderId="67" xfId="0" applyNumberFormat="1" applyFont="1" applyBorder="1"/>
    <xf numFmtId="7" fontId="18" fillId="2" borderId="58" xfId="2" applyNumberFormat="1" applyFont="1" applyFill="1" applyBorder="1"/>
    <xf numFmtId="166" fontId="23" fillId="0" borderId="0" xfId="0" applyNumberFormat="1" applyFont="1"/>
    <xf numFmtId="165" fontId="19" fillId="0" borderId="0" xfId="0" applyNumberFormat="1" applyFont="1"/>
    <xf numFmtId="0" fontId="19" fillId="0" borderId="0" xfId="1" applyNumberFormat="1" applyFont="1"/>
    <xf numFmtId="2" fontId="19" fillId="0" borderId="0" xfId="0" applyNumberFormat="1" applyFont="1"/>
    <xf numFmtId="7" fontId="0" fillId="0" borderId="0" xfId="0" applyNumberFormat="1"/>
    <xf numFmtId="168" fontId="0" fillId="0" borderId="0" xfId="0" applyNumberFormat="1"/>
    <xf numFmtId="0" fontId="3" fillId="0" borderId="5" xfId="0" applyFont="1" applyBorder="1" applyAlignment="1">
      <alignment horizontal="center"/>
    </xf>
    <xf numFmtId="10" fontId="19" fillId="0" borderId="0" xfId="0" applyNumberFormat="1" applyFont="1" applyAlignment="1">
      <alignment horizontal="center"/>
    </xf>
    <xf numFmtId="8" fontId="19" fillId="0" borderId="0" xfId="0" applyNumberFormat="1" applyFont="1" applyAlignment="1">
      <alignment horizontal="center"/>
    </xf>
    <xf numFmtId="171" fontId="0" fillId="0" borderId="0" xfId="0" applyNumberFormat="1"/>
    <xf numFmtId="3" fontId="25" fillId="0" borderId="0" xfId="0" applyNumberFormat="1" applyFont="1"/>
    <xf numFmtId="9" fontId="0" fillId="0" borderId="0" xfId="1" applyFont="1"/>
    <xf numFmtId="0" fontId="3" fillId="0" borderId="0" xfId="0" applyFont="1"/>
    <xf numFmtId="0" fontId="19" fillId="0" borderId="36" xfId="0" applyFont="1" applyBorder="1"/>
    <xf numFmtId="164" fontId="19" fillId="0" borderId="5" xfId="0" applyNumberFormat="1" applyFont="1" applyBorder="1"/>
    <xf numFmtId="0" fontId="19" fillId="0" borderId="89" xfId="0" applyFont="1" applyBorder="1"/>
    <xf numFmtId="0" fontId="19" fillId="0" borderId="96" xfId="0" applyFont="1" applyBorder="1"/>
    <xf numFmtId="0" fontId="19" fillId="0" borderId="1" xfId="0" applyFont="1" applyBorder="1"/>
    <xf numFmtId="164" fontId="19" fillId="0" borderId="1" xfId="0" applyNumberFormat="1" applyFont="1" applyBorder="1"/>
    <xf numFmtId="0" fontId="19" fillId="0" borderId="0" xfId="0" applyFont="1" applyAlignment="1">
      <alignment horizontal="center" vertical="center"/>
    </xf>
    <xf numFmtId="0" fontId="19" fillId="0" borderId="99" xfId="0" applyFont="1" applyBorder="1" applyAlignment="1">
      <alignment horizontal="center" vertical="center"/>
    </xf>
    <xf numFmtId="0" fontId="19" fillId="0" borderId="97" xfId="0" applyFont="1" applyBorder="1" applyAlignment="1">
      <alignment horizontal="center" vertical="center"/>
    </xf>
    <xf numFmtId="0" fontId="20" fillId="0" borderId="0" xfId="0" applyFont="1"/>
    <xf numFmtId="173" fontId="19" fillId="0" borderId="0" xfId="1" applyNumberFormat="1" applyFont="1" applyFill="1"/>
    <xf numFmtId="9" fontId="19" fillId="0" borderId="0" xfId="0" applyNumberFormat="1" applyFont="1"/>
    <xf numFmtId="10" fontId="19" fillId="0" borderId="0" xfId="1" applyNumberFormat="1" applyFont="1" applyFill="1" applyBorder="1"/>
    <xf numFmtId="10" fontId="19" fillId="0" borderId="0" xfId="1" applyNumberFormat="1" applyFont="1" applyFill="1" applyBorder="1" applyAlignment="1">
      <alignment horizontal="center" vertical="center"/>
    </xf>
    <xf numFmtId="9" fontId="19" fillId="0" borderId="0" xfId="1" applyFont="1" applyFill="1" applyBorder="1"/>
    <xf numFmtId="0" fontId="19" fillId="0" borderId="5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8" fillId="2" borderId="89" xfId="0" applyFont="1" applyFill="1" applyBorder="1" applyAlignment="1">
      <alignment horizontal="center"/>
    </xf>
    <xf numFmtId="0" fontId="18" fillId="2" borderId="88" xfId="0" applyFont="1" applyFill="1" applyBorder="1" applyAlignment="1">
      <alignment horizontal="center"/>
    </xf>
    <xf numFmtId="0" fontId="0" fillId="0" borderId="0" xfId="0" applyAlignment="1">
      <alignment horizontal="center"/>
    </xf>
    <xf numFmtId="10" fontId="0" fillId="0" borderId="0" xfId="0" applyNumberFormat="1"/>
    <xf numFmtId="0" fontId="3" fillId="0" borderId="0" xfId="0" applyFont="1" applyAlignment="1">
      <alignment horizontal="center"/>
    </xf>
    <xf numFmtId="2" fontId="0" fillId="0" borderId="0" xfId="0" applyNumberFormat="1"/>
    <xf numFmtId="173" fontId="0" fillId="0" borderId="0" xfId="0" applyNumberFormat="1"/>
    <xf numFmtId="8" fontId="0" fillId="0" borderId="0" xfId="0" applyNumberFormat="1"/>
    <xf numFmtId="173" fontId="0" fillId="0" borderId="0" xfId="1" applyNumberFormat="1" applyFont="1" applyAlignment="1">
      <alignment vertical="center"/>
    </xf>
    <xf numFmtId="6" fontId="0" fillId="0" borderId="0" xfId="0" applyNumberFormat="1"/>
    <xf numFmtId="0" fontId="3" fillId="0" borderId="0" xfId="0" applyFont="1" applyAlignment="1">
      <alignment vertical="center"/>
    </xf>
    <xf numFmtId="8" fontId="14" fillId="0" borderId="0" xfId="0" applyNumberFormat="1" applyFont="1"/>
    <xf numFmtId="0" fontId="31" fillId="2" borderId="0" xfId="0" applyFont="1" applyFill="1"/>
    <xf numFmtId="4" fontId="0" fillId="0" borderId="0" xfId="0" applyNumberFormat="1"/>
    <xf numFmtId="171" fontId="32" fillId="6" borderId="0" xfId="0" applyNumberFormat="1" applyFont="1" applyFill="1"/>
    <xf numFmtId="0" fontId="24" fillId="6" borderId="0" xfId="0" applyFont="1" applyFill="1"/>
    <xf numFmtId="0" fontId="32" fillId="6" borderId="0" xfId="0" applyFont="1" applyFill="1"/>
    <xf numFmtId="0" fontId="27" fillId="0" borderId="0" xfId="0" applyFont="1"/>
    <xf numFmtId="0" fontId="21" fillId="2" borderId="0" xfId="0" applyFont="1" applyFill="1"/>
    <xf numFmtId="44" fontId="19" fillId="0" borderId="0" xfId="0" applyNumberFormat="1" applyFont="1"/>
    <xf numFmtId="44" fontId="19" fillId="0" borderId="0" xfId="3" applyFont="1"/>
    <xf numFmtId="0" fontId="0" fillId="6" borderId="0" xfId="0" applyFill="1"/>
    <xf numFmtId="0" fontId="19" fillId="6" borderId="0" xfId="0" applyFont="1" applyFill="1"/>
    <xf numFmtId="0" fontId="3" fillId="6" borderId="0" xfId="0" applyFont="1" applyFill="1"/>
    <xf numFmtId="0" fontId="4" fillId="6" borderId="0" xfId="0" applyFont="1" applyFill="1"/>
    <xf numFmtId="8" fontId="0" fillId="0" borderId="0" xfId="0" applyNumberFormat="1" applyAlignment="1">
      <alignment horizontal="center"/>
    </xf>
    <xf numFmtId="0" fontId="41" fillId="2" borderId="57" xfId="0" applyFont="1" applyFill="1" applyBorder="1" applyAlignment="1">
      <alignment horizontal="center"/>
    </xf>
    <xf numFmtId="0" fontId="42" fillId="0" borderId="0" xfId="0" applyFont="1"/>
    <xf numFmtId="178" fontId="42" fillId="0" borderId="0" xfId="6" applyNumberFormat="1" applyFont="1"/>
    <xf numFmtId="43" fontId="0" fillId="0" borderId="0" xfId="0" applyNumberFormat="1"/>
    <xf numFmtId="167" fontId="0" fillId="0" borderId="0" xfId="1" applyNumberFormat="1" applyFont="1"/>
    <xf numFmtId="0" fontId="14" fillId="0" borderId="0" xfId="0" applyFont="1"/>
    <xf numFmtId="0" fontId="3" fillId="0" borderId="5" xfId="0" applyFont="1" applyBorder="1"/>
    <xf numFmtId="1" fontId="0" fillId="0" borderId="0" xfId="0" applyNumberFormat="1"/>
    <xf numFmtId="8" fontId="19" fillId="0" borderId="5" xfId="0" applyNumberFormat="1" applyFont="1" applyBorder="1" applyAlignment="1">
      <alignment horizontal="center" vertical="center"/>
    </xf>
    <xf numFmtId="8" fontId="20" fillId="0" borderId="5" xfId="0" applyNumberFormat="1" applyFont="1" applyBorder="1" applyAlignment="1">
      <alignment horizontal="center" vertical="center"/>
    </xf>
    <xf numFmtId="179" fontId="0" fillId="0" borderId="0" xfId="1" applyNumberFormat="1" applyFont="1"/>
    <xf numFmtId="8" fontId="0" fillId="0" borderId="5" xfId="0" applyNumberFormat="1" applyBorder="1"/>
    <xf numFmtId="0" fontId="4" fillId="2" borderId="54" xfId="0" applyFont="1" applyFill="1" applyBorder="1" applyAlignment="1">
      <alignment horizontal="center"/>
    </xf>
    <xf numFmtId="0" fontId="4" fillId="2" borderId="55" xfId="0" applyFont="1" applyFill="1" applyBorder="1" applyAlignment="1">
      <alignment horizontal="center"/>
    </xf>
    <xf numFmtId="0" fontId="3" fillId="0" borderId="49" xfId="0" applyFont="1" applyBorder="1"/>
    <xf numFmtId="0" fontId="3" fillId="0" borderId="50" xfId="0" applyFont="1" applyBorder="1"/>
    <xf numFmtId="0" fontId="3" fillId="0" borderId="2" xfId="0" applyFont="1" applyBorder="1" applyAlignment="1">
      <alignment horizontal="center"/>
    </xf>
    <xf numFmtId="0" fontId="3" fillId="6" borderId="49" xfId="0" applyFont="1" applyFill="1" applyBorder="1"/>
    <xf numFmtId="0" fontId="3" fillId="0" borderId="49" xfId="0" applyFont="1" applyBorder="1" applyAlignment="1">
      <alignment horizontal="center" vertical="center"/>
    </xf>
    <xf numFmtId="0" fontId="3" fillId="0" borderId="75" xfId="0" applyFont="1" applyBorder="1"/>
    <xf numFmtId="0" fontId="3" fillId="0" borderId="51" xfId="0" applyFont="1" applyBorder="1"/>
    <xf numFmtId="0" fontId="3" fillId="0" borderId="52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4" fillId="2" borderId="56" xfId="0" applyFont="1" applyFill="1" applyBorder="1" applyAlignment="1">
      <alignment horizontal="left" vertical="center" readingOrder="1"/>
    </xf>
    <xf numFmtId="0" fontId="0" fillId="0" borderId="49" xfId="0" applyBorder="1"/>
    <xf numFmtId="0" fontId="0" fillId="6" borderId="49" xfId="0" applyFill="1" applyBorder="1"/>
    <xf numFmtId="0" fontId="3" fillId="6" borderId="49" xfId="0" applyFont="1" applyFill="1" applyBorder="1" applyAlignment="1">
      <alignment horizontal="center"/>
    </xf>
    <xf numFmtId="0" fontId="5" fillId="6" borderId="49" xfId="0" applyFont="1" applyFill="1" applyBorder="1"/>
    <xf numFmtId="0" fontId="0" fillId="0" borderId="48" xfId="0" applyBorder="1"/>
    <xf numFmtId="0" fontId="0" fillId="0" borderId="70" xfId="0" applyBorder="1"/>
    <xf numFmtId="8" fontId="0" fillId="0" borderId="70" xfId="0" applyNumberFormat="1" applyBorder="1"/>
    <xf numFmtId="0" fontId="46" fillId="0" borderId="49" xfId="0" applyFont="1" applyBorder="1" applyAlignment="1">
      <alignment horizontal="left" vertical="center" readingOrder="1"/>
    </xf>
    <xf numFmtId="10" fontId="27" fillId="0" borderId="0" xfId="0" applyNumberFormat="1" applyFont="1"/>
    <xf numFmtId="180" fontId="27" fillId="0" borderId="0" xfId="0" applyNumberFormat="1" applyFont="1"/>
    <xf numFmtId="2" fontId="8" fillId="0" borderId="22" xfId="0" applyNumberFormat="1" applyFont="1" applyBorder="1" applyAlignment="1">
      <alignment horizontal="center" vertical="center"/>
    </xf>
    <xf numFmtId="2" fontId="8" fillId="0" borderId="23" xfId="0" applyNumberFormat="1" applyFont="1" applyBorder="1" applyAlignment="1">
      <alignment horizontal="center" vertical="center"/>
    </xf>
    <xf numFmtId="0" fontId="31" fillId="2" borderId="0" xfId="0" applyFont="1" applyFill="1" applyAlignment="1">
      <alignment horizontal="center"/>
    </xf>
    <xf numFmtId="0" fontId="4" fillId="2" borderId="5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/>
    </xf>
    <xf numFmtId="0" fontId="21" fillId="2" borderId="5" xfId="0" applyFont="1" applyFill="1" applyBorder="1"/>
    <xf numFmtId="0" fontId="18" fillId="2" borderId="128" xfId="0" applyFont="1" applyFill="1" applyBorder="1" applyAlignment="1">
      <alignment horizontal="center"/>
    </xf>
    <xf numFmtId="0" fontId="18" fillId="2" borderId="112" xfId="0" applyFont="1" applyFill="1" applyBorder="1" applyAlignment="1">
      <alignment horizontal="center"/>
    </xf>
    <xf numFmtId="0" fontId="18" fillId="2" borderId="110" xfId="0" applyFont="1" applyFill="1" applyBorder="1" applyAlignment="1">
      <alignment horizontal="center"/>
    </xf>
    <xf numFmtId="44" fontId="0" fillId="0" borderId="0" xfId="0" applyNumberFormat="1"/>
    <xf numFmtId="0" fontId="0" fillId="0" borderId="2" xfId="0" applyBorder="1"/>
    <xf numFmtId="3" fontId="0" fillId="0" borderId="5" xfId="0" applyNumberFormat="1" applyBorder="1"/>
    <xf numFmtId="0" fontId="4" fillId="6" borderId="5" xfId="0" applyFont="1" applyFill="1" applyBorder="1" applyAlignment="1">
      <alignment horizontal="center"/>
    </xf>
    <xf numFmtId="0" fontId="18" fillId="2" borderId="5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27" fillId="0" borderId="2" xfId="0" applyFont="1" applyBorder="1" applyAlignment="1">
      <alignment horizontal="left" vertical="center" indent="1"/>
    </xf>
    <xf numFmtId="0" fontId="27" fillId="0" borderId="2" xfId="0" applyFont="1" applyBorder="1" applyAlignment="1">
      <alignment horizontal="center" vertical="center"/>
    </xf>
    <xf numFmtId="6" fontId="27" fillId="0" borderId="2" xfId="0" applyNumberFormat="1" applyFont="1" applyBorder="1" applyAlignment="1">
      <alignment horizontal="center" vertical="center"/>
    </xf>
    <xf numFmtId="2" fontId="0" fillId="10" borderId="2" xfId="0" applyNumberFormat="1" applyFill="1" applyBorder="1"/>
    <xf numFmtId="10" fontId="0" fillId="10" borderId="2" xfId="0" applyNumberFormat="1" applyFill="1" applyBorder="1"/>
    <xf numFmtId="4" fontId="27" fillId="10" borderId="2" xfId="0" applyNumberFormat="1" applyFont="1" applyFill="1" applyBorder="1" applyAlignment="1">
      <alignment vertical="center"/>
    </xf>
    <xf numFmtId="10" fontId="27" fillId="10" borderId="2" xfId="0" applyNumberFormat="1" applyFont="1" applyFill="1" applyBorder="1" applyAlignment="1">
      <alignment vertical="center"/>
    </xf>
    <xf numFmtId="0" fontId="0" fillId="10" borderId="0" xfId="0" applyFill="1"/>
    <xf numFmtId="8" fontId="0" fillId="10" borderId="5" xfId="0" applyNumberFormat="1" applyFill="1" applyBorder="1"/>
    <xf numFmtId="8" fontId="0" fillId="10" borderId="48" xfId="0" applyNumberFormat="1" applyFill="1" applyBorder="1"/>
    <xf numFmtId="8" fontId="3" fillId="10" borderId="5" xfId="0" applyNumberFormat="1" applyFont="1" applyFill="1" applyBorder="1"/>
    <xf numFmtId="8" fontId="3" fillId="10" borderId="48" xfId="0" applyNumberFormat="1" applyFont="1" applyFill="1" applyBorder="1"/>
    <xf numFmtId="0" fontId="0" fillId="10" borderId="5" xfId="0" applyFill="1" applyBorder="1"/>
    <xf numFmtId="0" fontId="19" fillId="0" borderId="5" xfId="0" applyFont="1" applyBorder="1" applyAlignment="1">
      <alignment horizontal="center"/>
    </xf>
    <xf numFmtId="178" fontId="0" fillId="0" borderId="0" xfId="0" applyNumberFormat="1"/>
    <xf numFmtId="8" fontId="19" fillId="10" borderId="5" xfId="0" applyNumberFormat="1" applyFont="1" applyFill="1" applyBorder="1"/>
    <xf numFmtId="8" fontId="19" fillId="10" borderId="67" xfId="0" applyNumberFormat="1" applyFont="1" applyFill="1" applyBorder="1"/>
    <xf numFmtId="178" fontId="43" fillId="10" borderId="5" xfId="0" applyNumberFormat="1" applyFont="1" applyFill="1" applyBorder="1"/>
    <xf numFmtId="178" fontId="42" fillId="10" borderId="5" xfId="6" applyNumberFormat="1" applyFont="1" applyFill="1" applyBorder="1"/>
    <xf numFmtId="10" fontId="0" fillId="10" borderId="5" xfId="1" applyNumberFormat="1" applyFont="1" applyFill="1" applyBorder="1"/>
    <xf numFmtId="0" fontId="43" fillId="0" borderId="5" xfId="0" applyFont="1" applyBorder="1"/>
    <xf numFmtId="0" fontId="42" fillId="0" borderId="5" xfId="0" applyFont="1" applyBorder="1"/>
    <xf numFmtId="0" fontId="44" fillId="0" borderId="5" xfId="7" applyFont="1" applyBorder="1" applyAlignment="1">
      <alignment horizontal="left" vertical="center" indent="2"/>
    </xf>
    <xf numFmtId="0" fontId="45" fillId="0" borderId="5" xfId="7" applyFont="1" applyBorder="1" applyAlignment="1">
      <alignment horizontal="left" vertical="center" indent="2"/>
    </xf>
    <xf numFmtId="178" fontId="42" fillId="0" borderId="5" xfId="6" applyNumberFormat="1" applyFont="1" applyFill="1" applyBorder="1"/>
    <xf numFmtId="164" fontId="20" fillId="10" borderId="5" xfId="0" applyNumberFormat="1" applyFont="1" applyFill="1" applyBorder="1"/>
    <xf numFmtId="0" fontId="8" fillId="0" borderId="27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2" fontId="12" fillId="10" borderId="22" xfId="0" applyNumberFormat="1" applyFont="1" applyFill="1" applyBorder="1" applyAlignment="1">
      <alignment horizontal="center" vertical="center"/>
    </xf>
    <xf numFmtId="2" fontId="12" fillId="10" borderId="23" xfId="0" applyNumberFormat="1" applyFont="1" applyFill="1" applyBorder="1" applyAlignment="1">
      <alignment horizontal="center" vertical="center"/>
    </xf>
    <xf numFmtId="2" fontId="12" fillId="10" borderId="5" xfId="0" applyNumberFormat="1" applyFont="1" applyFill="1" applyBorder="1" applyAlignment="1">
      <alignment horizontal="center" vertical="center"/>
    </xf>
    <xf numFmtId="2" fontId="12" fillId="10" borderId="28" xfId="0" applyNumberFormat="1" applyFont="1" applyFill="1" applyBorder="1" applyAlignment="1">
      <alignment horizontal="center" vertical="center"/>
    </xf>
    <xf numFmtId="2" fontId="12" fillId="10" borderId="18" xfId="0" applyNumberFormat="1" applyFont="1" applyFill="1" applyBorder="1" applyAlignment="1">
      <alignment horizontal="center" vertical="center"/>
    </xf>
    <xf numFmtId="2" fontId="12" fillId="10" borderId="33" xfId="0" applyNumberFormat="1" applyFont="1" applyFill="1" applyBorder="1" applyAlignment="1">
      <alignment horizontal="center" vertical="center"/>
    </xf>
    <xf numFmtId="2" fontId="12" fillId="10" borderId="120" xfId="0" applyNumberFormat="1" applyFont="1" applyFill="1" applyBorder="1" applyAlignment="1">
      <alignment horizontal="center" vertical="center"/>
    </xf>
    <xf numFmtId="0" fontId="7" fillId="10" borderId="5" xfId="0" applyFont="1" applyFill="1" applyBorder="1" applyAlignment="1">
      <alignment horizontal="center" vertical="center"/>
    </xf>
    <xf numFmtId="9" fontId="24" fillId="12" borderId="5" xfId="1" applyFont="1" applyFill="1" applyBorder="1" applyAlignment="1">
      <alignment horizontal="center" vertical="center"/>
    </xf>
    <xf numFmtId="9" fontId="24" fillId="12" borderId="32" xfId="1" applyFont="1" applyFill="1" applyBorder="1" applyAlignment="1">
      <alignment horizontal="center" vertical="center"/>
    </xf>
    <xf numFmtId="0" fontId="7" fillId="12" borderId="22" xfId="0" applyFont="1" applyFill="1" applyBorder="1" applyAlignment="1">
      <alignment horizontal="center" vertical="center"/>
    </xf>
    <xf numFmtId="0" fontId="7" fillId="12" borderId="5" xfId="0" applyFont="1" applyFill="1" applyBorder="1" applyAlignment="1">
      <alignment horizontal="center" vertical="center"/>
    </xf>
    <xf numFmtId="0" fontId="26" fillId="8" borderId="17" xfId="0" applyFont="1" applyFill="1" applyBorder="1" applyAlignment="1">
      <alignment horizontal="center" vertical="center"/>
    </xf>
    <xf numFmtId="0" fontId="26" fillId="8" borderId="18" xfId="0" applyFont="1" applyFill="1" applyBorder="1" applyAlignment="1">
      <alignment horizontal="center" vertical="center"/>
    </xf>
    <xf numFmtId="0" fontId="26" fillId="8" borderId="31" xfId="0" applyFont="1" applyFill="1" applyBorder="1" applyAlignment="1">
      <alignment horizontal="center" vertical="center"/>
    </xf>
    <xf numFmtId="0" fontId="26" fillId="8" borderId="18" xfId="0" applyFont="1" applyFill="1" applyBorder="1" applyAlignment="1">
      <alignment horizontal="center"/>
    </xf>
    <xf numFmtId="0" fontId="26" fillId="8" borderId="18" xfId="0" applyFont="1" applyFill="1" applyBorder="1" applyAlignment="1">
      <alignment vertical="center"/>
    </xf>
    <xf numFmtId="0" fontId="26" fillId="8" borderId="33" xfId="0" applyFont="1" applyFill="1" applyBorder="1" applyAlignment="1">
      <alignment horizontal="center" vertical="center"/>
    </xf>
    <xf numFmtId="0" fontId="7" fillId="11" borderId="24" xfId="0" applyFont="1" applyFill="1" applyBorder="1" applyAlignment="1">
      <alignment horizontal="center" vertical="center"/>
    </xf>
    <xf numFmtId="0" fontId="7" fillId="11" borderId="25" xfId="0" applyFont="1" applyFill="1" applyBorder="1" applyAlignment="1">
      <alignment horizontal="center" vertical="center"/>
    </xf>
    <xf numFmtId="0" fontId="7" fillId="10" borderId="29" xfId="0" applyFont="1" applyFill="1" applyBorder="1" applyAlignment="1">
      <alignment horizontal="center" vertical="center"/>
    </xf>
    <xf numFmtId="0" fontId="7" fillId="11" borderId="29" xfId="0" applyFont="1" applyFill="1" applyBorder="1" applyAlignment="1">
      <alignment horizontal="center" vertical="center"/>
    </xf>
    <xf numFmtId="0" fontId="7" fillId="11" borderId="5" xfId="0" applyFont="1" applyFill="1" applyBorder="1" applyAlignment="1">
      <alignment horizontal="center" vertical="center"/>
    </xf>
    <xf numFmtId="170" fontId="7" fillId="10" borderId="25" xfId="0" applyNumberFormat="1" applyFont="1" applyFill="1" applyBorder="1" applyAlignment="1">
      <alignment horizontal="center"/>
    </xf>
    <xf numFmtId="164" fontId="7" fillId="10" borderId="29" xfId="0" applyNumberFormat="1" applyFont="1" applyFill="1" applyBorder="1"/>
    <xf numFmtId="164" fontId="7" fillId="10" borderId="5" xfId="0" applyNumberFormat="1" applyFont="1" applyFill="1" applyBorder="1"/>
    <xf numFmtId="10" fontId="7" fillId="10" borderId="5" xfId="1" applyNumberFormat="1" applyFont="1" applyFill="1" applyBorder="1"/>
    <xf numFmtId="170" fontId="7" fillId="10" borderId="5" xfId="0" applyNumberFormat="1" applyFont="1" applyFill="1" applyBorder="1" applyAlignment="1">
      <alignment horizontal="center"/>
    </xf>
    <xf numFmtId="170" fontId="24" fillId="10" borderId="5" xfId="0" applyNumberFormat="1" applyFont="1" applyFill="1" applyBorder="1" applyAlignment="1">
      <alignment horizontal="center"/>
    </xf>
    <xf numFmtId="164" fontId="24" fillId="10" borderId="29" xfId="0" applyNumberFormat="1" applyFont="1" applyFill="1" applyBorder="1"/>
    <xf numFmtId="164" fontId="24" fillId="10" borderId="5" xfId="0" applyNumberFormat="1" applyFont="1" applyFill="1" applyBorder="1"/>
    <xf numFmtId="10" fontId="24" fillId="10" borderId="5" xfId="1" applyNumberFormat="1" applyFont="1" applyFill="1" applyBorder="1"/>
    <xf numFmtId="170" fontId="7" fillId="10" borderId="18" xfId="0" applyNumberFormat="1" applyFont="1" applyFill="1" applyBorder="1" applyAlignment="1">
      <alignment horizontal="center"/>
    </xf>
    <xf numFmtId="10" fontId="7" fillId="10" borderId="18" xfId="1" applyNumberFormat="1" applyFont="1" applyFill="1" applyBorder="1"/>
    <xf numFmtId="10" fontId="8" fillId="11" borderId="44" xfId="1" applyNumberFormat="1" applyFont="1" applyFill="1" applyBorder="1" applyAlignment="1">
      <alignment horizontal="center"/>
    </xf>
    <xf numFmtId="3" fontId="8" fillId="11" borderId="40" xfId="0" applyNumberFormat="1" applyFont="1" applyFill="1" applyBorder="1" applyAlignment="1">
      <alignment horizontal="center"/>
    </xf>
    <xf numFmtId="3" fontId="13" fillId="11" borderId="40" xfId="0" applyNumberFormat="1" applyFont="1" applyFill="1" applyBorder="1" applyAlignment="1">
      <alignment horizontal="center"/>
    </xf>
    <xf numFmtId="10" fontId="8" fillId="11" borderId="40" xfId="1" applyNumberFormat="1" applyFont="1" applyFill="1" applyBorder="1" applyAlignment="1">
      <alignment horizontal="center" vertical="center"/>
    </xf>
    <xf numFmtId="3" fontId="13" fillId="11" borderId="39" xfId="0" applyNumberFormat="1" applyFont="1" applyFill="1" applyBorder="1" applyAlignment="1">
      <alignment horizontal="center"/>
    </xf>
    <xf numFmtId="164" fontId="8" fillId="11" borderId="44" xfId="0" applyNumberFormat="1" applyFont="1" applyFill="1" applyBorder="1"/>
    <xf numFmtId="164" fontId="8" fillId="11" borderId="13" xfId="0" applyNumberFormat="1" applyFont="1" applyFill="1" applyBorder="1"/>
    <xf numFmtId="10" fontId="8" fillId="11" borderId="16" xfId="1" applyNumberFormat="1" applyFont="1" applyFill="1" applyBorder="1"/>
    <xf numFmtId="10" fontId="8" fillId="11" borderId="41" xfId="1" applyNumberFormat="1" applyFont="1" applyFill="1" applyBorder="1"/>
    <xf numFmtId="3" fontId="7" fillId="10" borderId="5" xfId="1" applyNumberFormat="1" applyFont="1" applyFill="1" applyBorder="1" applyAlignment="1">
      <alignment horizontal="center" vertical="center"/>
    </xf>
    <xf numFmtId="165" fontId="7" fillId="10" borderId="5" xfId="1" applyNumberFormat="1" applyFont="1" applyFill="1" applyBorder="1" applyAlignment="1">
      <alignment horizontal="center" vertical="center"/>
    </xf>
    <xf numFmtId="9" fontId="7" fillId="10" borderId="5" xfId="1" applyFont="1" applyFill="1" applyBorder="1" applyAlignment="1">
      <alignment horizontal="center" vertical="center"/>
    </xf>
    <xf numFmtId="164" fontId="12" fillId="10" borderId="5" xfId="0" applyNumberFormat="1" applyFont="1" applyFill="1" applyBorder="1" applyAlignment="1">
      <alignment horizontal="center" vertical="center"/>
    </xf>
    <xf numFmtId="164" fontId="12" fillId="10" borderId="28" xfId="0" applyNumberFormat="1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left" vertical="center" wrapText="1" readingOrder="1"/>
    </xf>
    <xf numFmtId="8" fontId="20" fillId="10" borderId="5" xfId="0" applyNumberFormat="1" applyFont="1" applyFill="1" applyBorder="1" applyAlignment="1">
      <alignment horizontal="center" vertical="center"/>
    </xf>
    <xf numFmtId="164" fontId="20" fillId="10" borderId="5" xfId="0" applyNumberFormat="1" applyFont="1" applyFill="1" applyBorder="1" applyAlignment="1">
      <alignment horizontal="center" vertical="center"/>
    </xf>
    <xf numFmtId="9" fontId="20" fillId="10" borderId="5" xfId="0" applyNumberFormat="1" applyFont="1" applyFill="1" applyBorder="1"/>
    <xf numFmtId="9" fontId="20" fillId="10" borderId="5" xfId="0" applyNumberFormat="1" applyFont="1" applyFill="1" applyBorder="1" applyAlignment="1">
      <alignment horizontal="center" vertical="center"/>
    </xf>
    <xf numFmtId="0" fontId="0" fillId="12" borderId="0" xfId="0" applyFill="1"/>
    <xf numFmtId="9" fontId="9" fillId="12" borderId="121" xfId="1" applyFont="1" applyFill="1" applyBorder="1" applyAlignment="1">
      <alignment horizontal="center" vertical="center" wrapText="1"/>
    </xf>
    <xf numFmtId="9" fontId="24" fillId="12" borderId="22" xfId="1" applyFont="1" applyFill="1" applyBorder="1" applyAlignment="1">
      <alignment horizontal="center" vertical="center"/>
    </xf>
    <xf numFmtId="8" fontId="19" fillId="10" borderId="97" xfId="0" applyNumberFormat="1" applyFont="1" applyFill="1" applyBorder="1"/>
    <xf numFmtId="8" fontId="19" fillId="10" borderId="89" xfId="0" applyNumberFormat="1" applyFont="1" applyFill="1" applyBorder="1"/>
    <xf numFmtId="8" fontId="19" fillId="10" borderId="88" xfId="0" applyNumberFormat="1" applyFont="1" applyFill="1" applyBorder="1"/>
    <xf numFmtId="8" fontId="19" fillId="10" borderId="66" xfId="0" applyNumberFormat="1" applyFont="1" applyFill="1" applyBorder="1"/>
    <xf numFmtId="8" fontId="19" fillId="10" borderId="95" xfId="0" applyNumberFormat="1" applyFont="1" applyFill="1" applyBorder="1"/>
    <xf numFmtId="8" fontId="19" fillId="10" borderId="92" xfId="0" applyNumberFormat="1" applyFont="1" applyFill="1" applyBorder="1"/>
    <xf numFmtId="8" fontId="19" fillId="10" borderId="91" xfId="0" applyNumberFormat="1" applyFont="1" applyFill="1" applyBorder="1"/>
    <xf numFmtId="8" fontId="20" fillId="10" borderId="94" xfId="0" applyNumberFormat="1" applyFont="1" applyFill="1" applyBorder="1"/>
    <xf numFmtId="8" fontId="19" fillId="10" borderId="98" xfId="0" applyNumberFormat="1" applyFont="1" applyFill="1" applyBorder="1"/>
    <xf numFmtId="8" fontId="19" fillId="10" borderId="93" xfId="0" applyNumberFormat="1" applyFont="1" applyFill="1" applyBorder="1"/>
    <xf numFmtId="8" fontId="19" fillId="10" borderId="94" xfId="0" applyNumberFormat="1" applyFont="1" applyFill="1" applyBorder="1"/>
    <xf numFmtId="8" fontId="19" fillId="0" borderId="97" xfId="0" applyNumberFormat="1" applyFont="1" applyBorder="1"/>
    <xf numFmtId="8" fontId="19" fillId="0" borderId="89" xfId="0" applyNumberFormat="1" applyFont="1" applyBorder="1"/>
    <xf numFmtId="8" fontId="19" fillId="0" borderId="88" xfId="0" applyNumberFormat="1" applyFont="1" applyBorder="1"/>
    <xf numFmtId="8" fontId="19" fillId="0" borderId="66" xfId="0" applyNumberFormat="1" applyFont="1" applyBorder="1"/>
    <xf numFmtId="8" fontId="19" fillId="0" borderId="95" xfId="0" applyNumberFormat="1" applyFont="1" applyBorder="1"/>
    <xf numFmtId="8" fontId="19" fillId="0" borderId="92" xfId="0" applyNumberFormat="1" applyFont="1" applyBorder="1"/>
    <xf numFmtId="8" fontId="19" fillId="0" borderId="91" xfId="0" applyNumberFormat="1" applyFont="1" applyBorder="1"/>
    <xf numFmtId="0" fontId="29" fillId="0" borderId="5" xfId="0" applyFont="1" applyBorder="1" applyAlignment="1">
      <alignment horizontal="left" vertical="center" indent="1"/>
    </xf>
    <xf numFmtId="0" fontId="29" fillId="0" borderId="5" xfId="0" applyFont="1" applyBorder="1" applyAlignment="1">
      <alignment horizontal="center" vertical="center"/>
    </xf>
    <xf numFmtId="3" fontId="29" fillId="0" borderId="5" xfId="0" applyNumberFormat="1" applyFont="1" applyBorder="1" applyAlignment="1">
      <alignment horizontal="center" vertical="center"/>
    </xf>
    <xf numFmtId="0" fontId="29" fillId="0" borderId="5" xfId="0" applyFont="1" applyBorder="1" applyAlignment="1">
      <alignment vertical="center"/>
    </xf>
    <xf numFmtId="0" fontId="0" fillId="0" borderId="5" xfId="0" applyBorder="1" applyAlignment="1">
      <alignment horizontal="center"/>
    </xf>
    <xf numFmtId="0" fontId="30" fillId="0" borderId="5" xfId="0" applyFont="1" applyBorder="1" applyAlignment="1">
      <alignment horizontal="left" vertical="center" indent="1"/>
    </xf>
    <xf numFmtId="0" fontId="30" fillId="0" borderId="5" xfId="0" applyFont="1" applyBorder="1" applyAlignment="1">
      <alignment horizontal="center" vertical="center"/>
    </xf>
    <xf numFmtId="4" fontId="29" fillId="10" borderId="5" xfId="0" applyNumberFormat="1" applyFont="1" applyFill="1" applyBorder="1" applyAlignment="1">
      <alignment horizontal="center" vertical="center"/>
    </xf>
    <xf numFmtId="3" fontId="29" fillId="10" borderId="5" xfId="0" applyNumberFormat="1" applyFont="1" applyFill="1" applyBorder="1" applyAlignment="1">
      <alignment horizontal="center" vertical="center"/>
    </xf>
    <xf numFmtId="10" fontId="29" fillId="10" borderId="5" xfId="1" applyNumberFormat="1" applyFont="1" applyFill="1" applyBorder="1" applyAlignment="1">
      <alignment horizontal="center" vertical="center"/>
    </xf>
    <xf numFmtId="3" fontId="0" fillId="10" borderId="5" xfId="0" applyNumberFormat="1" applyFill="1" applyBorder="1"/>
    <xf numFmtId="4" fontId="29" fillId="10" borderId="5" xfId="3" applyNumberFormat="1" applyFont="1" applyFill="1" applyBorder="1" applyAlignment="1">
      <alignment horizontal="center" vertical="center"/>
    </xf>
    <xf numFmtId="44" fontId="30" fillId="10" borderId="5" xfId="3" applyFont="1" applyFill="1" applyBorder="1" applyAlignment="1">
      <alignment horizontal="center" vertical="center"/>
    </xf>
    <xf numFmtId="8" fontId="39" fillId="10" borderId="5" xfId="0" applyNumberFormat="1" applyFont="1" applyFill="1" applyBorder="1"/>
    <xf numFmtId="0" fontId="39" fillId="10" borderId="5" xfId="0" applyFont="1" applyFill="1" applyBorder="1"/>
    <xf numFmtId="8" fontId="32" fillId="10" borderId="5" xfId="0" applyNumberFormat="1" applyFont="1" applyFill="1" applyBorder="1"/>
    <xf numFmtId="172" fontId="19" fillId="10" borderId="5" xfId="0" applyNumberFormat="1" applyFont="1" applyFill="1" applyBorder="1"/>
    <xf numFmtId="3" fontId="19" fillId="10" borderId="5" xfId="0" applyNumberFormat="1" applyFont="1" applyFill="1" applyBorder="1"/>
    <xf numFmtId="9" fontId="19" fillId="10" borderId="5" xfId="1" applyFont="1" applyFill="1" applyBorder="1"/>
    <xf numFmtId="44" fontId="19" fillId="10" borderId="5" xfId="3" applyFont="1" applyFill="1" applyBorder="1"/>
    <xf numFmtId="175" fontId="20" fillId="10" borderId="5" xfId="0" applyNumberFormat="1" applyFont="1" applyFill="1" applyBorder="1"/>
    <xf numFmtId="44" fontId="20" fillId="10" borderId="5" xfId="0" applyNumberFormat="1" applyFont="1" applyFill="1" applyBorder="1"/>
    <xf numFmtId="4" fontId="19" fillId="10" borderId="5" xfId="0" applyNumberFormat="1" applyFont="1" applyFill="1" applyBorder="1"/>
    <xf numFmtId="2" fontId="19" fillId="10" borderId="5" xfId="0" applyNumberFormat="1" applyFont="1" applyFill="1" applyBorder="1"/>
    <xf numFmtId="175" fontId="19" fillId="10" borderId="5" xfId="0" applyNumberFormat="1" applyFont="1" applyFill="1" applyBorder="1"/>
    <xf numFmtId="0" fontId="21" fillId="2" borderId="36" xfId="0" applyFont="1" applyFill="1" applyBorder="1"/>
    <xf numFmtId="0" fontId="22" fillId="10" borderId="36" xfId="0" applyFont="1" applyFill="1" applyBorder="1"/>
    <xf numFmtId="173" fontId="0" fillId="0" borderId="5" xfId="1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164" fontId="0" fillId="0" borderId="5" xfId="0" applyNumberFormat="1" applyBorder="1"/>
    <xf numFmtId="173" fontId="0" fillId="10" borderId="5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3" xfId="0" applyBorder="1"/>
    <xf numFmtId="8" fontId="0" fillId="0" borderId="3" xfId="0" applyNumberFormat="1" applyBorder="1"/>
    <xf numFmtId="9" fontId="0" fillId="0" borderId="1" xfId="0" applyNumberFormat="1" applyBorder="1"/>
    <xf numFmtId="9" fontId="0" fillId="0" borderId="3" xfId="0" applyNumberFormat="1" applyBorder="1"/>
    <xf numFmtId="173" fontId="0" fillId="0" borderId="5" xfId="1" applyNumberFormat="1" applyFont="1" applyFill="1" applyBorder="1"/>
    <xf numFmtId="6" fontId="0" fillId="0" borderId="5" xfId="0" applyNumberFormat="1" applyBorder="1"/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8" fontId="0" fillId="10" borderId="1" xfId="0" applyNumberFormat="1" applyFill="1" applyBorder="1"/>
    <xf numFmtId="164" fontId="0" fillId="10" borderId="5" xfId="0" applyNumberFormat="1" applyFill="1" applyBorder="1"/>
    <xf numFmtId="174" fontId="0" fillId="10" borderId="5" xfId="1" applyNumberFormat="1" applyFont="1" applyFill="1" applyBorder="1"/>
    <xf numFmtId="0" fontId="36" fillId="0" borderId="113" xfId="0" applyFont="1" applyBorder="1" applyAlignment="1">
      <alignment horizontal="center" vertical="center"/>
    </xf>
    <xf numFmtId="0" fontId="36" fillId="0" borderId="81" xfId="0" applyFont="1" applyBorder="1" applyAlignment="1">
      <alignment horizontal="center" vertical="center"/>
    </xf>
    <xf numFmtId="0" fontId="32" fillId="0" borderId="0" xfId="0" applyFont="1"/>
    <xf numFmtId="164" fontId="36" fillId="0" borderId="105" xfId="0" applyNumberFormat="1" applyFont="1" applyBorder="1"/>
    <xf numFmtId="164" fontId="36" fillId="0" borderId="83" xfId="0" applyNumberFormat="1" applyFont="1" applyBorder="1"/>
    <xf numFmtId="164" fontId="32" fillId="0" borderId="0" xfId="0" applyNumberFormat="1" applyFont="1"/>
    <xf numFmtId="0" fontId="32" fillId="0" borderId="82" xfId="0" applyFont="1" applyBorder="1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/>
    <xf numFmtId="164" fontId="2" fillId="0" borderId="82" xfId="0" applyNumberFormat="1" applyFont="1" applyBorder="1"/>
    <xf numFmtId="176" fontId="32" fillId="0" borderId="0" xfId="0" applyNumberFormat="1" applyFont="1"/>
    <xf numFmtId="0" fontId="36" fillId="0" borderId="105" xfId="0" applyFont="1" applyBorder="1" applyAlignment="1">
      <alignment horizontal="center" vertical="center"/>
    </xf>
    <xf numFmtId="0" fontId="5" fillId="0" borderId="0" xfId="0" applyFont="1"/>
    <xf numFmtId="10" fontId="36" fillId="0" borderId="105" xfId="0" applyNumberFormat="1" applyFont="1" applyBorder="1"/>
    <xf numFmtId="0" fontId="32" fillId="0" borderId="0" xfId="0" applyFont="1" applyAlignment="1">
      <alignment wrapText="1"/>
    </xf>
    <xf numFmtId="0" fontId="48" fillId="2" borderId="113" xfId="0" applyFont="1" applyFill="1" applyBorder="1" applyAlignment="1">
      <alignment horizontal="center" vertical="center"/>
    </xf>
    <xf numFmtId="0" fontId="48" fillId="2" borderId="81" xfId="0" applyFont="1" applyFill="1" applyBorder="1" applyAlignment="1">
      <alignment horizontal="center" vertical="center"/>
    </xf>
    <xf numFmtId="164" fontId="36" fillId="10" borderId="105" xfId="0" applyNumberFormat="1" applyFont="1" applyFill="1" applyBorder="1"/>
    <xf numFmtId="164" fontId="36" fillId="10" borderId="83" xfId="0" applyNumberFormat="1" applyFont="1" applyFill="1" applyBorder="1"/>
    <xf numFmtId="0" fontId="2" fillId="10" borderId="0" xfId="0" applyFont="1" applyFill="1" applyAlignment="1">
      <alignment horizontal="center" vertical="center"/>
    </xf>
    <xf numFmtId="164" fontId="2" fillId="10" borderId="0" xfId="0" applyNumberFormat="1" applyFont="1" applyFill="1"/>
    <xf numFmtId="164" fontId="2" fillId="10" borderId="82" xfId="0" applyNumberFormat="1" applyFont="1" applyFill="1" applyBorder="1"/>
    <xf numFmtId="0" fontId="36" fillId="10" borderId="105" xfId="0" applyFont="1" applyFill="1" applyBorder="1" applyAlignment="1">
      <alignment horizontal="center" vertical="center"/>
    </xf>
    <xf numFmtId="10" fontId="2" fillId="10" borderId="0" xfId="1" applyNumberFormat="1" applyFont="1" applyFill="1" applyBorder="1"/>
    <xf numFmtId="10" fontId="2" fillId="10" borderId="0" xfId="0" applyNumberFormat="1" applyFont="1" applyFill="1"/>
    <xf numFmtId="0" fontId="30" fillId="0" borderId="0" xfId="0" applyFont="1" applyAlignment="1">
      <alignment horizontal="left" vertical="center" indent="1"/>
    </xf>
    <xf numFmtId="0" fontId="30" fillId="0" borderId="0" xfId="0" applyFont="1" applyAlignment="1">
      <alignment horizontal="center" vertical="center"/>
    </xf>
    <xf numFmtId="0" fontId="28" fillId="2" borderId="2" xfId="0" applyFont="1" applyFill="1" applyBorder="1" applyAlignment="1">
      <alignment horizontal="left" vertical="center" indent="1"/>
    </xf>
    <xf numFmtId="1" fontId="28" fillId="2" borderId="2" xfId="0" applyNumberFormat="1" applyFont="1" applyFill="1" applyBorder="1" applyAlignment="1">
      <alignment horizontal="center" vertical="center"/>
    </xf>
    <xf numFmtId="4" fontId="30" fillId="10" borderId="5" xfId="0" applyNumberFormat="1" applyFont="1" applyFill="1" applyBorder="1" applyAlignment="1">
      <alignment horizontal="center" vertical="center"/>
    </xf>
    <xf numFmtId="3" fontId="30" fillId="10" borderId="5" xfId="0" applyNumberFormat="1" applyFont="1" applyFill="1" applyBorder="1" applyAlignment="1">
      <alignment horizontal="center" vertical="center"/>
    </xf>
    <xf numFmtId="0" fontId="0" fillId="13" borderId="0" xfId="0" applyFill="1"/>
    <xf numFmtId="10" fontId="0" fillId="13" borderId="5" xfId="0" applyNumberFormat="1" applyFill="1" applyBorder="1"/>
    <xf numFmtId="4" fontId="0" fillId="13" borderId="5" xfId="0" applyNumberFormat="1" applyFill="1" applyBorder="1"/>
    <xf numFmtId="3" fontId="0" fillId="13" borderId="5" xfId="0" applyNumberFormat="1" applyFill="1" applyBorder="1"/>
    <xf numFmtId="10" fontId="0" fillId="13" borderId="5" xfId="1" applyNumberFormat="1" applyFont="1" applyFill="1" applyBorder="1" applyAlignment="1">
      <alignment horizontal="right"/>
    </xf>
    <xf numFmtId="2" fontId="7" fillId="13" borderId="25" xfId="0" applyNumberFormat="1" applyFont="1" applyFill="1" applyBorder="1" applyAlignment="1">
      <alignment horizontal="center" vertical="center"/>
    </xf>
    <xf numFmtId="10" fontId="7" fillId="14" borderId="25" xfId="1" applyNumberFormat="1" applyFont="1" applyFill="1" applyBorder="1" applyAlignment="1">
      <alignment horizontal="center" vertical="center"/>
    </xf>
    <xf numFmtId="181" fontId="7" fillId="13" borderId="25" xfId="0" applyNumberFormat="1" applyFont="1" applyFill="1" applyBorder="1" applyAlignment="1">
      <alignment horizontal="center" vertical="center"/>
    </xf>
    <xf numFmtId="10" fontId="7" fillId="13" borderId="68" xfId="1" applyNumberFormat="1" applyFont="1" applyFill="1" applyBorder="1" applyAlignment="1">
      <alignment horizontal="center" vertical="center"/>
    </xf>
    <xf numFmtId="2" fontId="7" fillId="13" borderId="5" xfId="0" applyNumberFormat="1" applyFont="1" applyFill="1" applyBorder="1" applyAlignment="1">
      <alignment horizontal="center" vertical="center"/>
    </xf>
    <xf numFmtId="10" fontId="7" fillId="14" borderId="5" xfId="1" applyNumberFormat="1" applyFont="1" applyFill="1" applyBorder="1" applyAlignment="1">
      <alignment horizontal="center" vertical="center"/>
    </xf>
    <xf numFmtId="181" fontId="7" fillId="13" borderId="5" xfId="0" applyNumberFormat="1" applyFont="1" applyFill="1" applyBorder="1" applyAlignment="1">
      <alignment horizontal="center" vertical="center"/>
    </xf>
    <xf numFmtId="10" fontId="7" fillId="13" borderId="1" xfId="1" applyNumberFormat="1" applyFont="1" applyFill="1" applyBorder="1" applyAlignment="1">
      <alignment horizontal="center" vertical="center"/>
    </xf>
    <xf numFmtId="2" fontId="24" fillId="13" borderId="5" xfId="0" applyNumberFormat="1" applyFont="1" applyFill="1" applyBorder="1" applyAlignment="1">
      <alignment horizontal="center" vertical="center"/>
    </xf>
    <xf numFmtId="181" fontId="24" fillId="13" borderId="5" xfId="0" applyNumberFormat="1" applyFont="1" applyFill="1" applyBorder="1" applyAlignment="1">
      <alignment horizontal="center" vertical="center"/>
    </xf>
    <xf numFmtId="10" fontId="24" fillId="13" borderId="1" xfId="1" applyNumberFormat="1" applyFont="1" applyFill="1" applyBorder="1" applyAlignment="1">
      <alignment horizontal="center" vertical="center"/>
    </xf>
    <xf numFmtId="2" fontId="7" fillId="13" borderId="18" xfId="0" applyNumberFormat="1" applyFont="1" applyFill="1" applyBorder="1" applyAlignment="1">
      <alignment horizontal="center" vertical="center"/>
    </xf>
    <xf numFmtId="10" fontId="7" fillId="14" borderId="18" xfId="1" applyNumberFormat="1" applyFont="1" applyFill="1" applyBorder="1" applyAlignment="1">
      <alignment horizontal="center" vertical="center"/>
    </xf>
    <xf numFmtId="181" fontId="7" fillId="13" borderId="18" xfId="0" applyNumberFormat="1" applyFont="1" applyFill="1" applyBorder="1" applyAlignment="1">
      <alignment horizontal="center" vertical="center"/>
    </xf>
    <xf numFmtId="10" fontId="7" fillId="13" borderId="31" xfId="1" applyNumberFormat="1" applyFont="1" applyFill="1" applyBorder="1" applyAlignment="1">
      <alignment horizontal="center" vertical="center"/>
    </xf>
    <xf numFmtId="0" fontId="20" fillId="13" borderId="5" xfId="0" applyFont="1" applyFill="1" applyBorder="1" applyAlignment="1">
      <alignment horizontal="center" vertical="center"/>
    </xf>
    <xf numFmtId="10" fontId="19" fillId="10" borderId="5" xfId="1" applyNumberFormat="1" applyFont="1" applyFill="1" applyBorder="1" applyAlignment="1">
      <alignment horizontal="center" vertical="center"/>
    </xf>
    <xf numFmtId="10" fontId="19" fillId="13" borderId="5" xfId="1" applyNumberFormat="1" applyFont="1" applyFill="1" applyBorder="1" applyAlignment="1">
      <alignment horizontal="center" vertical="center"/>
    </xf>
    <xf numFmtId="10" fontId="19" fillId="13" borderId="5" xfId="0" applyNumberFormat="1" applyFont="1" applyFill="1" applyBorder="1" applyAlignment="1">
      <alignment horizontal="center" vertical="center"/>
    </xf>
    <xf numFmtId="164" fontId="19" fillId="10" borderId="5" xfId="0" applyNumberFormat="1" applyFont="1" applyFill="1" applyBorder="1"/>
    <xf numFmtId="164" fontId="19" fillId="10" borderId="67" xfId="0" applyNumberFormat="1" applyFont="1" applyFill="1" applyBorder="1"/>
    <xf numFmtId="164" fontId="19" fillId="10" borderId="36" xfId="0" applyNumberFormat="1" applyFont="1" applyFill="1" applyBorder="1"/>
    <xf numFmtId="8" fontId="19" fillId="10" borderId="36" xfId="0" applyNumberFormat="1" applyFont="1" applyFill="1" applyBorder="1"/>
    <xf numFmtId="8" fontId="19" fillId="10" borderId="87" xfId="0" applyNumberFormat="1" applyFont="1" applyFill="1" applyBorder="1"/>
    <xf numFmtId="0" fontId="20" fillId="0" borderId="85" xfId="0" applyFont="1" applyBorder="1"/>
    <xf numFmtId="164" fontId="20" fillId="10" borderId="84" xfId="0" applyNumberFormat="1" applyFont="1" applyFill="1" applyBorder="1"/>
    <xf numFmtId="3" fontId="29" fillId="13" borderId="5" xfId="0" applyNumberFormat="1" applyFont="1" applyFill="1" applyBorder="1" applyAlignment="1">
      <alignment horizontal="center" vertical="center"/>
    </xf>
    <xf numFmtId="3" fontId="30" fillId="13" borderId="5" xfId="0" applyNumberFormat="1" applyFont="1" applyFill="1" applyBorder="1" applyAlignment="1">
      <alignment horizontal="center" vertical="center"/>
    </xf>
    <xf numFmtId="4" fontId="29" fillId="13" borderId="5" xfId="0" applyNumberFormat="1" applyFont="1" applyFill="1" applyBorder="1" applyAlignment="1">
      <alignment horizontal="center" vertical="center"/>
    </xf>
    <xf numFmtId="3" fontId="30" fillId="0" borderId="0" xfId="0" applyNumberFormat="1" applyFont="1" applyAlignment="1">
      <alignment horizontal="center" vertical="center"/>
    </xf>
    <xf numFmtId="10" fontId="19" fillId="13" borderId="0" xfId="1" applyNumberFormat="1" applyFont="1" applyFill="1"/>
    <xf numFmtId="10" fontId="29" fillId="13" borderId="0" xfId="1" applyNumberFormat="1" applyFont="1" applyFill="1" applyBorder="1" applyAlignment="1">
      <alignment vertical="center"/>
    </xf>
    <xf numFmtId="10" fontId="0" fillId="13" borderId="5" xfId="1" applyNumberFormat="1" applyFont="1" applyFill="1" applyBorder="1"/>
    <xf numFmtId="0" fontId="19" fillId="13" borderId="5" xfId="0" applyFont="1" applyFill="1" applyBorder="1"/>
    <xf numFmtId="10" fontId="19" fillId="13" borderId="5" xfId="1" applyNumberFormat="1" applyFont="1" applyFill="1" applyBorder="1"/>
    <xf numFmtId="9" fontId="19" fillId="13" borderId="5" xfId="1" applyFont="1" applyFill="1" applyBorder="1" applyAlignment="1">
      <alignment horizontal="center"/>
    </xf>
    <xf numFmtId="169" fontId="19" fillId="13" borderId="5" xfId="0" applyNumberFormat="1" applyFont="1" applyFill="1" applyBorder="1"/>
    <xf numFmtId="9" fontId="19" fillId="13" borderId="5" xfId="1" applyFont="1" applyFill="1" applyBorder="1"/>
    <xf numFmtId="0" fontId="32" fillId="13" borderId="0" xfId="0" applyFont="1" applyFill="1"/>
    <xf numFmtId="0" fontId="22" fillId="13" borderId="0" xfId="0" applyFont="1" applyFill="1"/>
    <xf numFmtId="4" fontId="22" fillId="13" borderId="0" xfId="0" applyNumberFormat="1" applyFont="1" applyFill="1"/>
    <xf numFmtId="167" fontId="22" fillId="13" borderId="5" xfId="1" applyNumberFormat="1" applyFont="1" applyFill="1" applyBorder="1" applyAlignment="1">
      <alignment horizontal="center"/>
    </xf>
    <xf numFmtId="167" fontId="22" fillId="13" borderId="36" xfId="1" applyNumberFormat="1" applyFont="1" applyFill="1" applyBorder="1" applyAlignment="1">
      <alignment horizontal="center"/>
    </xf>
    <xf numFmtId="0" fontId="22" fillId="13" borderId="5" xfId="0" applyFont="1" applyFill="1" applyBorder="1"/>
    <xf numFmtId="167" fontId="0" fillId="13" borderId="5" xfId="0" applyNumberFormat="1" applyFill="1" applyBorder="1"/>
    <xf numFmtId="44" fontId="0" fillId="13" borderId="1" xfId="3" applyFont="1" applyFill="1" applyBorder="1"/>
    <xf numFmtId="0" fontId="50" fillId="0" borderId="0" xfId="0" applyFont="1"/>
    <xf numFmtId="10" fontId="50" fillId="10" borderId="5" xfId="0" applyNumberFormat="1" applyFont="1" applyFill="1" applyBorder="1" applyAlignment="1">
      <alignment horizontal="center"/>
    </xf>
    <xf numFmtId="10" fontId="50" fillId="10" borderId="5" xfId="0" applyNumberFormat="1" applyFont="1" applyFill="1" applyBorder="1" applyAlignment="1">
      <alignment horizontal="center" vertical="center"/>
    </xf>
    <xf numFmtId="7" fontId="36" fillId="0" borderId="5" xfId="3" applyNumberFormat="1" applyFont="1" applyFill="1" applyBorder="1"/>
    <xf numFmtId="166" fontId="51" fillId="0" borderId="0" xfId="0" applyNumberFormat="1" applyFont="1"/>
    <xf numFmtId="0" fontId="14" fillId="0" borderId="5" xfId="0" applyFont="1" applyBorder="1"/>
    <xf numFmtId="164" fontId="50" fillId="10" borderId="5" xfId="0" applyNumberFormat="1" applyFont="1" applyFill="1" applyBorder="1"/>
    <xf numFmtId="167" fontId="14" fillId="0" borderId="0" xfId="1" applyNumberFormat="1" applyFont="1"/>
    <xf numFmtId="0" fontId="7" fillId="0" borderId="25" xfId="0" applyFont="1" applyBorder="1" applyAlignment="1">
      <alignment horizontal="center" vertical="center"/>
    </xf>
    <xf numFmtId="2" fontId="12" fillId="10" borderId="25" xfId="0" applyNumberFormat="1" applyFont="1" applyFill="1" applyBorder="1" applyAlignment="1">
      <alignment horizontal="center" vertical="center"/>
    </xf>
    <xf numFmtId="2" fontId="12" fillId="10" borderId="26" xfId="0" applyNumberFormat="1" applyFont="1" applyFill="1" applyBorder="1" applyAlignment="1">
      <alignment horizontal="center" vertical="center"/>
    </xf>
    <xf numFmtId="0" fontId="47" fillId="2" borderId="5" xfId="0" applyFont="1" applyFill="1" applyBorder="1" applyAlignment="1">
      <alignment horizontal="center" vertical="center"/>
    </xf>
    <xf numFmtId="0" fontId="47" fillId="8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10" fontId="0" fillId="12" borderId="5" xfId="1" applyNumberFormat="1" applyFont="1" applyFill="1" applyBorder="1" applyAlignment="1">
      <alignment horizontal="right"/>
    </xf>
    <xf numFmtId="164" fontId="0" fillId="13" borderId="5" xfId="3" applyNumberFormat="1" applyFont="1" applyFill="1" applyBorder="1"/>
    <xf numFmtId="9" fontId="0" fillId="13" borderId="5" xfId="1" applyFont="1" applyFill="1" applyBorder="1" applyAlignment="1">
      <alignment horizontal="center" vertical="center"/>
    </xf>
    <xf numFmtId="182" fontId="31" fillId="2" borderId="5" xfId="0" applyNumberFormat="1" applyFont="1" applyFill="1" applyBorder="1" applyAlignment="1">
      <alignment horizontal="center" vertical="center"/>
    </xf>
    <xf numFmtId="44" fontId="31" fillId="2" borderId="5" xfId="0" applyNumberFormat="1" applyFont="1" applyFill="1" applyBorder="1" applyAlignment="1">
      <alignment horizontal="center" vertical="center"/>
    </xf>
    <xf numFmtId="0" fontId="29" fillId="12" borderId="5" xfId="0" applyFont="1" applyFill="1" applyBorder="1" applyAlignment="1">
      <alignment horizontal="left" vertical="center" indent="1"/>
    </xf>
    <xf numFmtId="0" fontId="0" fillId="12" borderId="5" xfId="0" applyFill="1" applyBorder="1" applyAlignment="1">
      <alignment horizontal="center"/>
    </xf>
    <xf numFmtId="0" fontId="0" fillId="12" borderId="5" xfId="0" applyFill="1" applyBorder="1"/>
    <xf numFmtId="0" fontId="0" fillId="12" borderId="5" xfId="0" applyFill="1" applyBorder="1" applyAlignment="1">
      <alignment horizontal="center" vertical="center"/>
    </xf>
    <xf numFmtId="4" fontId="33" fillId="0" borderId="80" xfId="0" applyNumberFormat="1" applyFont="1" applyBorder="1" applyAlignment="1">
      <alignment horizontal="center" vertical="center"/>
    </xf>
    <xf numFmtId="4" fontId="54" fillId="0" borderId="80" xfId="0" applyNumberFormat="1" applyFont="1" applyBorder="1" applyAlignment="1">
      <alignment horizontal="right" vertical="center"/>
    </xf>
    <xf numFmtId="0" fontId="54" fillId="15" borderId="105" xfId="0" applyFont="1" applyFill="1" applyBorder="1" applyAlignment="1">
      <alignment horizontal="center" vertical="center"/>
    </xf>
    <xf numFmtId="183" fontId="54" fillId="15" borderId="105" xfId="0" applyNumberFormat="1" applyFont="1" applyFill="1" applyBorder="1" applyAlignment="1">
      <alignment horizontal="center" vertical="center" wrapText="1"/>
    </xf>
    <xf numFmtId="0" fontId="53" fillId="0" borderId="0" xfId="0" applyFont="1"/>
    <xf numFmtId="0" fontId="33" fillId="15" borderId="97" xfId="0" applyFont="1" applyFill="1" applyBorder="1" applyAlignment="1">
      <alignment horizontal="left" vertical="center" wrapText="1"/>
    </xf>
    <xf numFmtId="0" fontId="33" fillId="0" borderId="79" xfId="0" applyFont="1" applyBorder="1" applyAlignment="1">
      <alignment horizontal="left" vertical="center" wrapText="1"/>
    </xf>
    <xf numFmtId="0" fontId="33" fillId="0" borderId="0" xfId="0" applyFont="1" applyAlignment="1">
      <alignment horizontal="center" vertical="center"/>
    </xf>
    <xf numFmtId="183" fontId="33" fillId="0" borderId="0" xfId="0" applyNumberFormat="1" applyFont="1" applyAlignment="1">
      <alignment horizontal="center" vertical="center" wrapText="1"/>
    </xf>
    <xf numFmtId="0" fontId="54" fillId="0" borderId="79" xfId="0" applyFont="1" applyBorder="1" applyAlignment="1">
      <alignment horizontal="left" vertical="center" wrapText="1"/>
    </xf>
    <xf numFmtId="184" fontId="54" fillId="13" borderId="0" xfId="0" applyNumberFormat="1" applyFont="1" applyFill="1" applyAlignment="1" applyProtection="1">
      <alignment horizontal="center" vertical="center"/>
      <protection locked="0"/>
    </xf>
    <xf numFmtId="0" fontId="54" fillId="0" borderId="0" xfId="0" applyFont="1" applyAlignment="1">
      <alignment horizontal="center" vertical="center"/>
    </xf>
    <xf numFmtId="183" fontId="54" fillId="13" borderId="0" xfId="0" applyNumberFormat="1" applyFont="1" applyFill="1" applyAlignment="1">
      <alignment horizontal="center" vertical="center" wrapText="1"/>
    </xf>
    <xf numFmtId="183" fontId="54" fillId="0" borderId="0" xfId="0" applyNumberFormat="1" applyFont="1" applyAlignment="1">
      <alignment horizontal="center" vertical="center" wrapText="1"/>
    </xf>
    <xf numFmtId="0" fontId="54" fillId="0" borderId="0" xfId="0" applyFont="1" applyAlignment="1">
      <alignment horizontal="center" vertical="center" wrapText="1"/>
    </xf>
    <xf numFmtId="0" fontId="54" fillId="15" borderId="0" xfId="0" applyFont="1" applyFill="1" applyAlignment="1">
      <alignment vertical="center"/>
    </xf>
    <xf numFmtId="165" fontId="54" fillId="15" borderId="0" xfId="0" applyNumberFormat="1" applyFont="1" applyFill="1" applyAlignment="1">
      <alignment vertical="center"/>
    </xf>
    <xf numFmtId="0" fontId="54" fillId="15" borderId="0" xfId="0" applyFont="1" applyFill="1" applyAlignment="1">
      <alignment horizontal="center" vertical="center" wrapText="1"/>
    </xf>
    <xf numFmtId="183" fontId="54" fillId="15" borderId="0" xfId="0" applyNumberFormat="1" applyFont="1" applyFill="1" applyAlignment="1">
      <alignment horizontal="center" vertical="center" wrapText="1"/>
    </xf>
    <xf numFmtId="0" fontId="54" fillId="0" borderId="79" xfId="0" applyFont="1" applyBorder="1" applyAlignment="1">
      <alignment vertical="center" wrapText="1"/>
    </xf>
    <xf numFmtId="3" fontId="3" fillId="0" borderId="5" xfId="0" applyNumberFormat="1" applyFont="1" applyBorder="1"/>
    <xf numFmtId="4" fontId="5" fillId="0" borderId="80" xfId="0" applyNumberFormat="1" applyFont="1" applyBorder="1" applyAlignment="1">
      <alignment horizontal="center" vertical="center"/>
    </xf>
    <xf numFmtId="4" fontId="32" fillId="0" borderId="80" xfId="0" applyNumberFormat="1" applyFont="1" applyBorder="1" applyAlignment="1">
      <alignment horizontal="right" vertical="center"/>
    </xf>
    <xf numFmtId="0" fontId="32" fillId="15" borderId="105" xfId="0" applyFont="1" applyFill="1" applyBorder="1" applyAlignment="1">
      <alignment horizontal="center" vertical="center"/>
    </xf>
    <xf numFmtId="183" fontId="32" fillId="15" borderId="105" xfId="0" applyNumberFormat="1" applyFont="1" applyFill="1" applyBorder="1" applyAlignment="1">
      <alignment horizontal="center" vertical="center" wrapText="1"/>
    </xf>
    <xf numFmtId="0" fontId="5" fillId="15" borderId="97" xfId="0" applyFont="1" applyFill="1" applyBorder="1" applyAlignment="1">
      <alignment horizontal="left" vertical="center" wrapText="1"/>
    </xf>
    <xf numFmtId="0" fontId="5" fillId="0" borderId="79" xfId="0" applyFont="1" applyBorder="1" applyAlignment="1">
      <alignment horizontal="left" vertical="center" wrapText="1"/>
    </xf>
    <xf numFmtId="183" fontId="5" fillId="0" borderId="0" xfId="0" applyNumberFormat="1" applyFont="1" applyAlignment="1">
      <alignment horizontal="center" vertical="center" wrapText="1"/>
    </xf>
    <xf numFmtId="0" fontId="32" fillId="0" borderId="79" xfId="0" applyFont="1" applyBorder="1" applyAlignment="1">
      <alignment horizontal="left" vertical="center" wrapText="1"/>
    </xf>
    <xf numFmtId="0" fontId="32" fillId="0" borderId="0" xfId="0" applyFont="1" applyAlignment="1">
      <alignment horizontal="center" vertical="center"/>
    </xf>
    <xf numFmtId="183" fontId="32" fillId="0" borderId="0" xfId="0" applyNumberFormat="1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15" borderId="0" xfId="0" applyFont="1" applyFill="1" applyAlignment="1">
      <alignment vertical="center"/>
    </xf>
    <xf numFmtId="165" fontId="32" fillId="15" borderId="0" xfId="0" applyNumberFormat="1" applyFont="1" applyFill="1" applyAlignment="1">
      <alignment vertical="center"/>
    </xf>
    <xf numFmtId="0" fontId="32" fillId="15" borderId="0" xfId="0" applyFont="1" applyFill="1" applyAlignment="1">
      <alignment horizontal="center" vertical="center" wrapText="1"/>
    </xf>
    <xf numFmtId="183" fontId="32" fillId="15" borderId="0" xfId="0" applyNumberFormat="1" applyFont="1" applyFill="1" applyAlignment="1">
      <alignment horizontal="center" vertical="center" wrapText="1"/>
    </xf>
    <xf numFmtId="0" fontId="55" fillId="0" borderId="0" xfId="0" applyFont="1"/>
    <xf numFmtId="43" fontId="53" fillId="0" borderId="0" xfId="0" applyNumberFormat="1" applyFont="1"/>
    <xf numFmtId="165" fontId="54" fillId="13" borderId="0" xfId="0" applyNumberFormat="1" applyFont="1" applyFill="1" applyAlignment="1" applyProtection="1">
      <alignment horizontal="center" vertical="center"/>
      <protection locked="0"/>
    </xf>
    <xf numFmtId="185" fontId="54" fillId="13" borderId="0" xfId="0" applyNumberFormat="1" applyFont="1" applyFill="1" applyAlignment="1" applyProtection="1">
      <alignment horizontal="center" vertical="center"/>
      <protection locked="0"/>
    </xf>
    <xf numFmtId="10" fontId="19" fillId="10" borderId="30" xfId="1" applyNumberFormat="1" applyFont="1" applyFill="1" applyBorder="1"/>
    <xf numFmtId="4" fontId="32" fillId="12" borderId="5" xfId="0" applyNumberFormat="1" applyFont="1" applyFill="1" applyBorder="1" applyAlignment="1">
      <alignment horizontal="right"/>
    </xf>
    <xf numFmtId="4" fontId="32" fillId="13" borderId="5" xfId="0" applyNumberFormat="1" applyFont="1" applyFill="1" applyBorder="1" applyAlignment="1">
      <alignment horizontal="right"/>
    </xf>
    <xf numFmtId="3" fontId="0" fillId="12" borderId="5" xfId="0" applyNumberFormat="1" applyFill="1" applyBorder="1" applyAlignment="1">
      <alignment horizontal="right"/>
    </xf>
    <xf numFmtId="3" fontId="0" fillId="13" borderId="5" xfId="0" applyNumberFormat="1" applyFill="1" applyBorder="1" applyAlignment="1">
      <alignment horizontal="right"/>
    </xf>
    <xf numFmtId="3" fontId="0" fillId="0" borderId="5" xfId="0" applyNumberFormat="1" applyBorder="1" applyAlignment="1">
      <alignment horizontal="right"/>
    </xf>
    <xf numFmtId="10" fontId="0" fillId="12" borderId="5" xfId="0" applyNumberFormat="1" applyFill="1" applyBorder="1"/>
    <xf numFmtId="4" fontId="0" fillId="12" borderId="5" xfId="0" applyNumberFormat="1" applyFill="1" applyBorder="1"/>
    <xf numFmtId="4" fontId="0" fillId="10" borderId="5" xfId="0" applyNumberFormat="1" applyFill="1" applyBorder="1"/>
    <xf numFmtId="3" fontId="0" fillId="10" borderId="5" xfId="0" applyNumberFormat="1" applyFill="1" applyBorder="1" applyAlignment="1">
      <alignment horizontal="right"/>
    </xf>
    <xf numFmtId="3" fontId="0" fillId="0" borderId="2" xfId="0" applyNumberFormat="1" applyBorder="1" applyAlignment="1">
      <alignment horizontal="right"/>
    </xf>
    <xf numFmtId="3" fontId="0" fillId="12" borderId="5" xfId="0" applyNumberFormat="1" applyFill="1" applyBorder="1"/>
    <xf numFmtId="3" fontId="0" fillId="10" borderId="36" xfId="0" applyNumberFormat="1" applyFill="1" applyBorder="1"/>
    <xf numFmtId="3" fontId="0" fillId="10" borderId="52" xfId="0" applyNumberFormat="1" applyFill="1" applyBorder="1"/>
    <xf numFmtId="0" fontId="4" fillId="2" borderId="122" xfId="0" applyFont="1" applyFill="1" applyBorder="1" applyAlignment="1">
      <alignment horizontal="center"/>
    </xf>
    <xf numFmtId="0" fontId="4" fillId="2" borderId="123" xfId="0" applyFont="1" applyFill="1" applyBorder="1" applyAlignment="1">
      <alignment horizontal="center"/>
    </xf>
    <xf numFmtId="0" fontId="4" fillId="2" borderId="124" xfId="0" applyFont="1" applyFill="1" applyBorder="1" applyAlignment="1">
      <alignment horizontal="center"/>
    </xf>
    <xf numFmtId="0" fontId="4" fillId="2" borderId="125" xfId="0" applyFont="1" applyFill="1" applyBorder="1" applyAlignment="1">
      <alignment horizontal="center"/>
    </xf>
    <xf numFmtId="0" fontId="4" fillId="2" borderId="126" xfId="0" applyFont="1" applyFill="1" applyBorder="1" applyAlignment="1">
      <alignment horizontal="center"/>
    </xf>
    <xf numFmtId="0" fontId="4" fillId="2" borderId="127" xfId="0" applyFont="1" applyFill="1" applyBorder="1" applyAlignment="1">
      <alignment horizontal="center"/>
    </xf>
    <xf numFmtId="0" fontId="5" fillId="0" borderId="5" xfId="0" applyFont="1" applyBorder="1" applyAlignment="1">
      <alignment horizontal="left" indent="1"/>
    </xf>
    <xf numFmtId="10" fontId="32" fillId="13" borderId="5" xfId="1" applyNumberFormat="1" applyFont="1" applyFill="1" applyBorder="1"/>
    <xf numFmtId="10" fontId="32" fillId="13" borderId="5" xfId="0" applyNumberFormat="1" applyFont="1" applyFill="1" applyBorder="1"/>
    <xf numFmtId="43" fontId="32" fillId="13" borderId="5" xfId="0" applyNumberFormat="1" applyFont="1" applyFill="1" applyBorder="1"/>
    <xf numFmtId="43" fontId="32" fillId="13" borderId="5" xfId="6" applyFont="1" applyFill="1" applyBorder="1"/>
    <xf numFmtId="10" fontId="32" fillId="10" borderId="5" xfId="1" applyNumberFormat="1" applyFont="1" applyFill="1" applyBorder="1"/>
    <xf numFmtId="8" fontId="3" fillId="10" borderId="0" xfId="0" applyNumberFormat="1" applyFont="1" applyFill="1"/>
    <xf numFmtId="0" fontId="4" fillId="2" borderId="150" xfId="0" applyFont="1" applyFill="1" applyBorder="1" applyAlignment="1">
      <alignment horizontal="center" vertical="center"/>
    </xf>
    <xf numFmtId="0" fontId="4" fillId="2" borderId="151" xfId="0" applyFont="1" applyFill="1" applyBorder="1" applyAlignment="1">
      <alignment horizontal="center"/>
    </xf>
    <xf numFmtId="0" fontId="0" fillId="0" borderId="152" xfId="0" applyBorder="1"/>
    <xf numFmtId="0" fontId="3" fillId="0" borderId="79" xfId="0" applyFont="1" applyBorder="1" applyAlignment="1">
      <alignment horizontal="left"/>
    </xf>
    <xf numFmtId="2" fontId="3" fillId="0" borderId="80" xfId="0" applyNumberFormat="1" applyFont="1" applyBorder="1"/>
    <xf numFmtId="0" fontId="4" fillId="2" borderId="153" xfId="0" applyFont="1" applyFill="1" applyBorder="1" applyAlignment="1">
      <alignment horizontal="left" vertical="center" readingOrder="1"/>
    </xf>
    <xf numFmtId="0" fontId="0" fillId="0" borderId="66" xfId="0" applyBorder="1"/>
    <xf numFmtId="0" fontId="0" fillId="6" borderId="66" xfId="0" applyFill="1" applyBorder="1"/>
    <xf numFmtId="8" fontId="0" fillId="10" borderId="67" xfId="0" applyNumberFormat="1" applyFill="1" applyBorder="1"/>
    <xf numFmtId="0" fontId="3" fillId="6" borderId="66" xfId="0" applyFont="1" applyFill="1" applyBorder="1" applyAlignment="1">
      <alignment horizontal="center"/>
    </xf>
    <xf numFmtId="8" fontId="3" fillId="10" borderId="67" xfId="0" applyNumberFormat="1" applyFont="1" applyFill="1" applyBorder="1"/>
    <xf numFmtId="0" fontId="3" fillId="0" borderId="66" xfId="0" applyFont="1" applyBorder="1"/>
    <xf numFmtId="0" fontId="5" fillId="6" borderId="51" xfId="0" applyFont="1" applyFill="1" applyBorder="1"/>
    <xf numFmtId="8" fontId="5" fillId="10" borderId="155" xfId="4" applyNumberFormat="1" applyFont="1" applyFill="1" applyBorder="1" applyAlignment="1">
      <alignment horizontal="center"/>
    </xf>
    <xf numFmtId="8" fontId="5" fillId="10" borderId="156" xfId="4" applyNumberFormat="1" applyFont="1" applyFill="1" applyBorder="1" applyAlignment="1">
      <alignment horizontal="right"/>
    </xf>
    <xf numFmtId="0" fontId="4" fillId="2" borderId="157" xfId="0" applyFont="1" applyFill="1" applyBorder="1" applyAlignment="1">
      <alignment horizontal="center" vertical="center" readingOrder="1"/>
    </xf>
    <xf numFmtId="0" fontId="3" fillId="0" borderId="51" xfId="0" applyFont="1" applyBorder="1" applyAlignment="1">
      <alignment horizontal="center" vertical="center"/>
    </xf>
    <xf numFmtId="8" fontId="3" fillId="10" borderId="52" xfId="0" applyNumberFormat="1" applyFont="1" applyFill="1" applyBorder="1" applyAlignment="1">
      <alignment horizontal="center" vertical="center"/>
    </xf>
    <xf numFmtId="8" fontId="3" fillId="10" borderId="53" xfId="0" applyNumberFormat="1" applyFont="1" applyFill="1" applyBorder="1" applyAlignment="1">
      <alignment horizontal="center" vertical="center"/>
    </xf>
    <xf numFmtId="10" fontId="3" fillId="10" borderId="5" xfId="0" applyNumberFormat="1" applyFont="1" applyFill="1" applyBorder="1" applyAlignment="1">
      <alignment horizontal="center"/>
    </xf>
    <xf numFmtId="10" fontId="56" fillId="10" borderId="5" xfId="4" applyNumberFormat="1" applyFont="1" applyFill="1" applyBorder="1" applyAlignment="1">
      <alignment horizontal="center"/>
    </xf>
    <xf numFmtId="10" fontId="5" fillId="10" borderId="5" xfId="1" applyNumberFormat="1" applyFont="1" applyFill="1" applyBorder="1" applyAlignment="1">
      <alignment horizontal="center"/>
    </xf>
    <xf numFmtId="10" fontId="56" fillId="10" borderId="5" xfId="4" applyNumberFormat="1" applyFont="1" applyFill="1" applyBorder="1" applyAlignment="1">
      <alignment horizontal="center" vertical="center"/>
    </xf>
    <xf numFmtId="10" fontId="3" fillId="10" borderId="5" xfId="1" applyNumberFormat="1" applyFont="1" applyFill="1" applyBorder="1" applyAlignment="1">
      <alignment horizontal="center"/>
    </xf>
    <xf numFmtId="10" fontId="3" fillId="10" borderId="5" xfId="0" applyNumberFormat="1" applyFont="1" applyFill="1" applyBorder="1" applyAlignment="1">
      <alignment horizontal="center" vertical="center"/>
    </xf>
    <xf numFmtId="8" fontId="3" fillId="6" borderId="5" xfId="2" applyNumberFormat="1" applyFont="1" applyFill="1" applyBorder="1" applyAlignment="1">
      <alignment horizontal="center"/>
    </xf>
    <xf numFmtId="10" fontId="3" fillId="6" borderId="5" xfId="1" applyNumberFormat="1" applyFont="1" applyFill="1" applyBorder="1" applyAlignment="1">
      <alignment horizontal="center"/>
    </xf>
    <xf numFmtId="0" fontId="5" fillId="6" borderId="108" xfId="2" applyFont="1" applyFill="1" applyBorder="1" applyAlignment="1">
      <alignment vertical="center"/>
    </xf>
    <xf numFmtId="0" fontId="5" fillId="6" borderId="109" xfId="2" applyFont="1" applyFill="1" applyBorder="1" applyAlignment="1">
      <alignment vertical="center"/>
    </xf>
    <xf numFmtId="8" fontId="3" fillId="10" borderId="104" xfId="2" applyNumberFormat="1" applyFont="1" applyFill="1" applyBorder="1" applyAlignment="1">
      <alignment horizontal="right" vertical="center"/>
    </xf>
    <xf numFmtId="8" fontId="3" fillId="10" borderId="74" xfId="2" applyNumberFormat="1" applyFont="1" applyFill="1" applyBorder="1" applyAlignment="1">
      <alignment horizontal="right" vertical="center"/>
    </xf>
    <xf numFmtId="8" fontId="3" fillId="10" borderId="74" xfId="1" applyNumberFormat="1" applyFont="1" applyFill="1" applyBorder="1" applyAlignment="1">
      <alignment horizontal="right" vertical="center"/>
    </xf>
    <xf numFmtId="9" fontId="0" fillId="0" borderId="0" xfId="0" applyNumberFormat="1"/>
    <xf numFmtId="10" fontId="3" fillId="10" borderId="74" xfId="1" applyNumberFormat="1" applyFont="1" applyFill="1" applyBorder="1" applyAlignment="1">
      <alignment horizontal="center" vertical="center"/>
    </xf>
    <xf numFmtId="10" fontId="39" fillId="0" borderId="0" xfId="1" applyNumberFormat="1" applyFont="1"/>
    <xf numFmtId="0" fontId="4" fillId="2" borderId="59" xfId="0" applyFont="1" applyFill="1" applyBorder="1"/>
    <xf numFmtId="0" fontId="4" fillId="2" borderId="60" xfId="0" applyFont="1" applyFill="1" applyBorder="1"/>
    <xf numFmtId="0" fontId="4" fillId="2" borderId="61" xfId="0" applyFont="1" applyFill="1" applyBorder="1"/>
    <xf numFmtId="0" fontId="4" fillId="2" borderId="62" xfId="0" applyFont="1" applyFill="1" applyBorder="1" applyAlignment="1">
      <alignment horizontal="center"/>
    </xf>
    <xf numFmtId="0" fontId="4" fillId="2" borderId="57" xfId="0" applyFont="1" applyFill="1" applyBorder="1" applyAlignment="1">
      <alignment horizontal="center"/>
    </xf>
    <xf numFmtId="0" fontId="4" fillId="2" borderId="63" xfId="0" applyFont="1" applyFill="1" applyBorder="1" applyAlignment="1">
      <alignment horizontal="center"/>
    </xf>
    <xf numFmtId="0" fontId="31" fillId="2" borderId="62" xfId="0" applyFont="1" applyFill="1" applyBorder="1"/>
    <xf numFmtId="0" fontId="31" fillId="2" borderId="57" xfId="0" applyFont="1" applyFill="1" applyBorder="1"/>
    <xf numFmtId="0" fontId="3" fillId="0" borderId="64" xfId="0" applyFont="1" applyBorder="1"/>
    <xf numFmtId="0" fontId="0" fillId="0" borderId="25" xfId="0" applyBorder="1"/>
    <xf numFmtId="8" fontId="3" fillId="0" borderId="25" xfId="0" applyNumberFormat="1" applyFont="1" applyBorder="1"/>
    <xf numFmtId="8" fontId="3" fillId="0" borderId="68" xfId="0" applyNumberFormat="1" applyFont="1" applyBorder="1"/>
    <xf numFmtId="8" fontId="0" fillId="0" borderId="65" xfId="0" applyNumberFormat="1" applyBorder="1"/>
    <xf numFmtId="8" fontId="3" fillId="0" borderId="5" xfId="0" applyNumberFormat="1" applyFont="1" applyBorder="1"/>
    <xf numFmtId="8" fontId="3" fillId="0" borderId="1" xfId="0" applyNumberFormat="1" applyFont="1" applyBorder="1"/>
    <xf numFmtId="8" fontId="0" fillId="0" borderId="67" xfId="0" applyNumberFormat="1" applyBorder="1"/>
    <xf numFmtId="10" fontId="17" fillId="13" borderId="5" xfId="4" applyNumberFormat="1" applyFill="1" applyBorder="1" applyAlignment="1">
      <alignment horizontal="center"/>
    </xf>
    <xf numFmtId="8" fontId="0" fillId="0" borderId="1" xfId="0" applyNumberFormat="1" applyBorder="1"/>
    <xf numFmtId="8" fontId="4" fillId="0" borderId="5" xfId="1" applyNumberFormat="1" applyFont="1" applyFill="1" applyBorder="1" applyAlignment="1">
      <alignment horizontal="center"/>
    </xf>
    <xf numFmtId="8" fontId="32" fillId="0" borderId="5" xfId="0" applyNumberFormat="1" applyFont="1" applyBorder="1"/>
    <xf numFmtId="10" fontId="0" fillId="0" borderId="5" xfId="0" applyNumberFormat="1" applyBorder="1" applyAlignment="1">
      <alignment horizontal="center"/>
    </xf>
    <xf numFmtId="8" fontId="0" fillId="6" borderId="67" xfId="0" applyNumberFormat="1" applyFill="1" applyBorder="1"/>
    <xf numFmtId="10" fontId="0" fillId="0" borderId="0" xfId="0" applyNumberFormat="1" applyAlignment="1">
      <alignment horizontal="center"/>
    </xf>
    <xf numFmtId="10" fontId="0" fillId="0" borderId="5" xfId="1" applyNumberFormat="1" applyFont="1" applyFill="1" applyBorder="1"/>
    <xf numFmtId="10" fontId="0" fillId="0" borderId="0" xfId="1" applyNumberFormat="1" applyFont="1" applyAlignment="1">
      <alignment horizontal="center" vertical="center"/>
    </xf>
    <xf numFmtId="10" fontId="3" fillId="0" borderId="5" xfId="1" applyNumberFormat="1" applyFont="1" applyBorder="1" applyAlignment="1">
      <alignment horizontal="center"/>
    </xf>
    <xf numFmtId="8" fontId="0" fillId="0" borderId="0" xfId="0" applyNumberFormat="1" applyAlignment="1">
      <alignment horizontal="center" vertical="center"/>
    </xf>
    <xf numFmtId="10" fontId="0" fillId="0" borderId="5" xfId="0" applyNumberFormat="1" applyBorder="1"/>
    <xf numFmtId="0" fontId="32" fillId="6" borderId="66" xfId="0" applyFont="1" applyFill="1" applyBorder="1"/>
    <xf numFmtId="0" fontId="32" fillId="6" borderId="5" xfId="0" applyFont="1" applyFill="1" applyBorder="1"/>
    <xf numFmtId="8" fontId="32" fillId="6" borderId="5" xfId="0" applyNumberFormat="1" applyFont="1" applyFill="1" applyBorder="1"/>
    <xf numFmtId="10" fontId="0" fillId="0" borderId="5" xfId="1" applyNumberFormat="1" applyFont="1" applyBorder="1" applyAlignment="1">
      <alignment horizontal="center"/>
    </xf>
    <xf numFmtId="10" fontId="17" fillId="13" borderId="4" xfId="4" applyNumberFormat="1" applyFill="1" applyAlignment="1">
      <alignment horizontal="center"/>
    </xf>
    <xf numFmtId="0" fontId="0" fillId="0" borderId="79" xfId="0" applyBorder="1"/>
    <xf numFmtId="10" fontId="0" fillId="0" borderId="0" xfId="1" applyNumberFormat="1" applyFont="1" applyBorder="1" applyAlignment="1">
      <alignment horizontal="center"/>
    </xf>
    <xf numFmtId="8" fontId="0" fillId="0" borderId="80" xfId="0" applyNumberFormat="1" applyBorder="1"/>
    <xf numFmtId="0" fontId="5" fillId="0" borderId="5" xfId="2" applyFont="1" applyFill="1" applyBorder="1"/>
    <xf numFmtId="8" fontId="5" fillId="0" borderId="5" xfId="1" applyNumberFormat="1" applyFont="1" applyFill="1" applyBorder="1" applyAlignment="1">
      <alignment horizontal="center"/>
    </xf>
    <xf numFmtId="0" fontId="5" fillId="10" borderId="5" xfId="2" applyFont="1" applyFill="1" applyBorder="1" applyAlignment="1">
      <alignment horizontal="center"/>
    </xf>
    <xf numFmtId="7" fontId="5" fillId="10" borderId="5" xfId="2" applyNumberFormat="1" applyFont="1" applyFill="1" applyBorder="1"/>
    <xf numFmtId="0" fontId="5" fillId="0" borderId="5" xfId="0" applyFont="1" applyBorder="1"/>
    <xf numFmtId="0" fontId="5" fillId="10" borderId="5" xfId="0" applyFont="1" applyFill="1" applyBorder="1" applyAlignment="1">
      <alignment horizontal="center"/>
    </xf>
    <xf numFmtId="7" fontId="5" fillId="10" borderId="5" xfId="0" applyNumberFormat="1" applyFont="1" applyFill="1" applyBorder="1"/>
    <xf numFmtId="7" fontId="32" fillId="10" borderId="5" xfId="0" applyNumberFormat="1" applyFont="1" applyFill="1" applyBorder="1"/>
    <xf numFmtId="166" fontId="57" fillId="0" borderId="0" xfId="0" applyNumberFormat="1" applyFont="1"/>
    <xf numFmtId="0" fontId="3" fillId="6" borderId="1" xfId="0" applyFont="1" applyFill="1" applyBorder="1"/>
    <xf numFmtId="0" fontId="3" fillId="6" borderId="2" xfId="0" applyFont="1" applyFill="1" applyBorder="1"/>
    <xf numFmtId="0" fontId="5" fillId="6" borderId="1" xfId="2" applyFont="1" applyFill="1" applyBorder="1" applyAlignment="1"/>
    <xf numFmtId="0" fontId="5" fillId="6" borderId="2" xfId="2" applyFont="1" applyFill="1" applyBorder="1" applyAlignment="1"/>
    <xf numFmtId="168" fontId="56" fillId="10" borderId="5" xfId="4" applyNumberFormat="1" applyFont="1" applyFill="1" applyBorder="1" applyAlignment="1">
      <alignment horizontal="center" vertical="center"/>
    </xf>
    <xf numFmtId="8" fontId="0" fillId="10" borderId="74" xfId="2" applyNumberFormat="1" applyFont="1" applyFill="1" applyBorder="1"/>
    <xf numFmtId="8" fontId="0" fillId="10" borderId="104" xfId="2" applyNumberFormat="1" applyFont="1" applyFill="1" applyBorder="1"/>
    <xf numFmtId="10" fontId="3" fillId="10" borderId="5" xfId="1" applyNumberFormat="1" applyFont="1" applyFill="1" applyBorder="1" applyAlignment="1">
      <alignment horizontal="center" vertical="center"/>
    </xf>
    <xf numFmtId="8" fontId="0" fillId="10" borderId="74" xfId="0" applyNumberFormat="1" applyFill="1" applyBorder="1"/>
    <xf numFmtId="10" fontId="5" fillId="13" borderId="5" xfId="1" applyNumberFormat="1" applyFont="1" applyFill="1" applyBorder="1" applyAlignment="1">
      <alignment horizontal="center"/>
    </xf>
    <xf numFmtId="166" fontId="5" fillId="12" borderId="5" xfId="1" applyNumberFormat="1" applyFont="1" applyFill="1" applyBorder="1" applyAlignment="1">
      <alignment horizontal="center"/>
    </xf>
    <xf numFmtId="8" fontId="3" fillId="10" borderId="74" xfId="2" applyNumberFormat="1" applyFont="1" applyFill="1" applyBorder="1"/>
    <xf numFmtId="10" fontId="3" fillId="10" borderId="74" xfId="1" applyNumberFormat="1" applyFont="1" applyFill="1" applyBorder="1"/>
    <xf numFmtId="0" fontId="0" fillId="0" borderId="64" xfId="0" applyBorder="1"/>
    <xf numFmtId="0" fontId="3" fillId="0" borderId="116" xfId="0" applyFont="1" applyBorder="1"/>
    <xf numFmtId="8" fontId="0" fillId="0" borderId="36" xfId="0" applyNumberFormat="1" applyBorder="1"/>
    <xf numFmtId="8" fontId="3" fillId="0" borderId="36" xfId="0" applyNumberFormat="1" applyFont="1" applyBorder="1"/>
    <xf numFmtId="166" fontId="5" fillId="0" borderId="5" xfId="0" applyNumberFormat="1" applyFont="1" applyBorder="1"/>
    <xf numFmtId="186" fontId="0" fillId="0" borderId="0" xfId="0" applyNumberFormat="1"/>
    <xf numFmtId="0" fontId="4" fillId="2" borderId="72" xfId="0" applyFont="1" applyFill="1" applyBorder="1" applyAlignment="1">
      <alignment horizontal="center" vertical="center" readingOrder="1"/>
    </xf>
    <xf numFmtId="10" fontId="56" fillId="10" borderId="1" xfId="4" applyNumberFormat="1" applyFont="1" applyFill="1" applyBorder="1" applyAlignment="1">
      <alignment horizontal="center"/>
    </xf>
    <xf numFmtId="10" fontId="56" fillId="10" borderId="1" xfId="4" applyNumberFormat="1" applyFont="1" applyFill="1" applyBorder="1" applyAlignment="1">
      <alignment horizontal="center" vertical="center"/>
    </xf>
    <xf numFmtId="168" fontId="56" fillId="13" borderId="1" xfId="4" applyNumberFormat="1" applyFont="1" applyFill="1" applyBorder="1" applyAlignment="1">
      <alignment horizontal="center" vertical="center"/>
    </xf>
    <xf numFmtId="10" fontId="3" fillId="10" borderId="1" xfId="0" applyNumberFormat="1" applyFont="1" applyFill="1" applyBorder="1" applyAlignment="1">
      <alignment horizontal="center" vertical="center"/>
    </xf>
    <xf numFmtId="10" fontId="3" fillId="12" borderId="1" xfId="1" applyNumberFormat="1" applyFont="1" applyFill="1" applyBorder="1" applyAlignment="1">
      <alignment horizontal="center"/>
    </xf>
    <xf numFmtId="164" fontId="32" fillId="10" borderId="1" xfId="4" applyNumberFormat="1" applyFont="1" applyFill="1" applyBorder="1" applyAlignment="1">
      <alignment horizontal="center"/>
    </xf>
    <xf numFmtId="164" fontId="32" fillId="10" borderId="1" xfId="4" applyNumberFormat="1" applyFont="1" applyFill="1" applyBorder="1" applyAlignment="1">
      <alignment horizontal="center" vertical="center"/>
    </xf>
    <xf numFmtId="9" fontId="32" fillId="10" borderId="1" xfId="1" applyFont="1" applyFill="1" applyBorder="1" applyAlignment="1">
      <alignment horizontal="center" vertical="center"/>
    </xf>
    <xf numFmtId="10" fontId="56" fillId="13" borderId="1" xfId="1" applyNumberFormat="1" applyFont="1" applyFill="1" applyBorder="1" applyAlignment="1">
      <alignment horizontal="center" vertical="center"/>
    </xf>
    <xf numFmtId="0" fontId="19" fillId="0" borderId="30" xfId="0" applyFont="1" applyBorder="1"/>
    <xf numFmtId="0" fontId="21" fillId="2" borderId="165" xfId="0" applyFont="1" applyFill="1" applyBorder="1" applyAlignment="1">
      <alignment horizontal="center" vertical="center" wrapText="1"/>
    </xf>
    <xf numFmtId="164" fontId="57" fillId="13" borderId="0" xfId="0" applyNumberFormat="1" applyFont="1" applyFill="1" applyAlignment="1">
      <alignment horizontal="center" vertical="center"/>
    </xf>
    <xf numFmtId="0" fontId="31" fillId="0" borderId="0" xfId="0" applyFont="1"/>
    <xf numFmtId="0" fontId="4" fillId="2" borderId="5" xfId="0" applyFont="1" applyFill="1" applyBorder="1" applyAlignment="1">
      <alignment horizontal="center"/>
    </xf>
    <xf numFmtId="0" fontId="60" fillId="12" borderId="18" xfId="0" applyFont="1" applyFill="1" applyBorder="1" applyAlignment="1">
      <alignment horizontal="center" vertical="center"/>
    </xf>
    <xf numFmtId="0" fontId="61" fillId="12" borderId="22" xfId="0" applyFont="1" applyFill="1" applyBorder="1" applyAlignment="1">
      <alignment horizontal="center" vertical="center"/>
    </xf>
    <xf numFmtId="0" fontId="61" fillId="12" borderId="5" xfId="0" applyFont="1" applyFill="1" applyBorder="1" applyAlignment="1">
      <alignment horizontal="center" vertical="center"/>
    </xf>
    <xf numFmtId="0" fontId="60" fillId="12" borderId="12" xfId="0" applyFont="1" applyFill="1" applyBorder="1" applyAlignment="1">
      <alignment horizontal="center" vertical="center" wrapText="1"/>
    </xf>
    <xf numFmtId="0" fontId="60" fillId="12" borderId="13" xfId="0" applyFont="1" applyFill="1" applyBorder="1" applyAlignment="1">
      <alignment horizontal="center" vertical="center" wrapText="1"/>
    </xf>
    <xf numFmtId="0" fontId="60" fillId="12" borderId="19" xfId="0" applyFont="1" applyFill="1" applyBorder="1" applyAlignment="1">
      <alignment horizontal="center" vertical="center" wrapText="1"/>
    </xf>
    <xf numFmtId="0" fontId="60" fillId="12" borderId="20" xfId="0" applyFont="1" applyFill="1" applyBorder="1" applyAlignment="1">
      <alignment horizontal="center" vertical="center" wrapText="1"/>
    </xf>
    <xf numFmtId="164" fontId="62" fillId="10" borderId="22" xfId="0" applyNumberFormat="1" applyFont="1" applyFill="1" applyBorder="1" applyAlignment="1">
      <alignment horizontal="center" vertical="center"/>
    </xf>
    <xf numFmtId="164" fontId="62" fillId="10" borderId="23" xfId="0" applyNumberFormat="1" applyFont="1" applyFill="1" applyBorder="1" applyAlignment="1">
      <alignment horizontal="center" vertical="center"/>
    </xf>
    <xf numFmtId="164" fontId="62" fillId="10" borderId="5" xfId="0" applyNumberFormat="1" applyFont="1" applyFill="1" applyBorder="1" applyAlignment="1">
      <alignment horizontal="center" vertical="center"/>
    </xf>
    <xf numFmtId="164" fontId="62" fillId="10" borderId="28" xfId="0" applyNumberFormat="1" applyFont="1" applyFill="1" applyBorder="1" applyAlignment="1">
      <alignment horizontal="center" vertical="center"/>
    </xf>
    <xf numFmtId="164" fontId="62" fillId="10" borderId="18" xfId="0" applyNumberFormat="1" applyFont="1" applyFill="1" applyBorder="1" applyAlignment="1">
      <alignment horizontal="center" vertical="center"/>
    </xf>
    <xf numFmtId="164" fontId="62" fillId="10" borderId="33" xfId="0" applyNumberFormat="1" applyFont="1" applyFill="1" applyBorder="1" applyAlignment="1">
      <alignment horizontal="center" vertical="center"/>
    </xf>
    <xf numFmtId="0" fontId="18" fillId="2" borderId="90" xfId="0" applyFont="1" applyFill="1" applyBorder="1" applyAlignment="1">
      <alignment horizontal="center"/>
    </xf>
    <xf numFmtId="0" fontId="4" fillId="2" borderId="113" xfId="0" applyFont="1" applyFill="1" applyBorder="1" applyAlignment="1">
      <alignment horizontal="center"/>
    </xf>
    <xf numFmtId="0" fontId="4" fillId="2" borderId="152" xfId="0" applyFont="1" applyFill="1" applyBorder="1" applyAlignment="1">
      <alignment horizontal="center"/>
    </xf>
    <xf numFmtId="0" fontId="15" fillId="0" borderId="166" xfId="0" applyFont="1" applyBorder="1"/>
    <xf numFmtId="10" fontId="22" fillId="10" borderId="4" xfId="4" applyNumberFormat="1" applyFont="1" applyFill="1" applyAlignment="1">
      <alignment horizontal="center"/>
    </xf>
    <xf numFmtId="10" fontId="22" fillId="10" borderId="167" xfId="4" applyNumberFormat="1" applyFont="1" applyFill="1" applyBorder="1" applyAlignment="1">
      <alignment horizontal="center"/>
    </xf>
    <xf numFmtId="0" fontId="33" fillId="6" borderId="166" xfId="0" applyFont="1" applyFill="1" applyBorder="1"/>
    <xf numFmtId="0" fontId="15" fillId="0" borderId="168" xfId="0" applyFont="1" applyBorder="1"/>
    <xf numFmtId="10" fontId="3" fillId="10" borderId="105" xfId="0" applyNumberFormat="1" applyFont="1" applyFill="1" applyBorder="1"/>
    <xf numFmtId="10" fontId="3" fillId="10" borderId="148" xfId="0" applyNumberFormat="1" applyFont="1" applyFill="1" applyBorder="1"/>
    <xf numFmtId="0" fontId="48" fillId="2" borderId="0" xfId="0" applyFont="1" applyFill="1"/>
    <xf numFmtId="0" fontId="18" fillId="2" borderId="172" xfId="0" applyFont="1" applyFill="1" applyBorder="1" applyAlignment="1">
      <alignment horizontal="centerContinuous"/>
    </xf>
    <xf numFmtId="0" fontId="18" fillId="2" borderId="173" xfId="0" applyFont="1" applyFill="1" applyBorder="1" applyAlignment="1">
      <alignment horizontal="centerContinuous"/>
    </xf>
    <xf numFmtId="0" fontId="18" fillId="2" borderId="174" xfId="0" applyFont="1" applyFill="1" applyBorder="1" applyAlignment="1">
      <alignment horizontal="centerContinuous"/>
    </xf>
    <xf numFmtId="0" fontId="18" fillId="2" borderId="175" xfId="0" applyFont="1" applyFill="1" applyBorder="1" applyAlignment="1">
      <alignment horizontal="centerContinuous"/>
    </xf>
    <xf numFmtId="0" fontId="18" fillId="2" borderId="176" xfId="0" applyFont="1" applyFill="1" applyBorder="1" applyAlignment="1">
      <alignment horizontal="centerContinuous"/>
    </xf>
    <xf numFmtId="0" fontId="18" fillId="2" borderId="177" xfId="0" applyFont="1" applyFill="1" applyBorder="1" applyAlignment="1">
      <alignment horizontal="centerContinuous"/>
    </xf>
    <xf numFmtId="0" fontId="61" fillId="0" borderId="0" xfId="0" applyFont="1"/>
    <xf numFmtId="0" fontId="61" fillId="0" borderId="0" xfId="0" applyFont="1" applyAlignment="1">
      <alignment horizontal="center" vertical="center"/>
    </xf>
    <xf numFmtId="4" fontId="61" fillId="0" borderId="0" xfId="0" applyNumberFormat="1" applyFont="1" applyAlignment="1">
      <alignment horizontal="center" vertical="center"/>
    </xf>
    <xf numFmtId="0" fontId="59" fillId="2" borderId="56" xfId="0" applyFont="1" applyFill="1" applyBorder="1" applyAlignment="1">
      <alignment horizontal="left" vertical="center" readingOrder="1"/>
    </xf>
    <xf numFmtId="0" fontId="59" fillId="2" borderId="46" xfId="0" applyFont="1" applyFill="1" applyBorder="1" applyAlignment="1">
      <alignment horizontal="center" vertical="center" readingOrder="1"/>
    </xf>
    <xf numFmtId="0" fontId="59" fillId="2" borderId="56" xfId="0" applyFont="1" applyFill="1" applyBorder="1" applyAlignment="1">
      <alignment horizontal="center" vertical="center" readingOrder="1"/>
    </xf>
    <xf numFmtId="4" fontId="59" fillId="2" borderId="131" xfId="0" applyNumberFormat="1" applyFont="1" applyFill="1" applyBorder="1" applyAlignment="1">
      <alignment horizontal="center" vertical="center" readingOrder="1"/>
    </xf>
    <xf numFmtId="0" fontId="61" fillId="0" borderId="49" xfId="0" applyFont="1" applyBorder="1"/>
    <xf numFmtId="0" fontId="63" fillId="0" borderId="5" xfId="0" applyFont="1" applyBorder="1" applyAlignment="1">
      <alignment horizontal="center"/>
    </xf>
    <xf numFmtId="4" fontId="63" fillId="0" borderId="48" xfId="0" applyNumberFormat="1" applyFont="1" applyBorder="1" applyAlignment="1">
      <alignment horizontal="center" vertical="center"/>
    </xf>
    <xf numFmtId="0" fontId="61" fillId="6" borderId="49" xfId="0" applyFont="1" applyFill="1" applyBorder="1" applyAlignment="1">
      <alignment horizontal="left" indent="1"/>
    </xf>
    <xf numFmtId="8" fontId="64" fillId="10" borderId="143" xfId="4" applyNumberFormat="1" applyFont="1" applyFill="1" applyBorder="1" applyAlignment="1">
      <alignment horizontal="center"/>
    </xf>
    <xf numFmtId="3" fontId="61" fillId="10" borderId="2" xfId="0" applyNumberFormat="1" applyFont="1" applyFill="1" applyBorder="1" applyAlignment="1">
      <alignment horizontal="center" vertical="center"/>
    </xf>
    <xf numFmtId="4" fontId="64" fillId="10" borderId="132" xfId="4" applyNumberFormat="1" applyFont="1" applyFill="1" applyBorder="1" applyAlignment="1">
      <alignment horizontal="center" vertical="center"/>
    </xf>
    <xf numFmtId="164" fontId="61" fillId="0" borderId="0" xfId="0" applyNumberFormat="1" applyFont="1"/>
    <xf numFmtId="0" fontId="61" fillId="6" borderId="75" xfId="0" applyFont="1" applyFill="1" applyBorder="1" applyAlignment="1">
      <alignment horizontal="left" indent="1"/>
    </xf>
    <xf numFmtId="8" fontId="64" fillId="10" borderId="142" xfId="4" applyNumberFormat="1" applyFont="1" applyFill="1" applyBorder="1" applyAlignment="1">
      <alignment horizontal="center"/>
    </xf>
    <xf numFmtId="3" fontId="61" fillId="10" borderId="69" xfId="0" applyNumberFormat="1" applyFont="1" applyFill="1" applyBorder="1" applyAlignment="1">
      <alignment horizontal="center" vertical="center"/>
    </xf>
    <xf numFmtId="4" fontId="64" fillId="10" borderId="133" xfId="4" applyNumberFormat="1" applyFont="1" applyFill="1" applyBorder="1" applyAlignment="1">
      <alignment horizontal="center" vertical="center"/>
    </xf>
    <xf numFmtId="0" fontId="63" fillId="6" borderId="135" xfId="0" applyFont="1" applyFill="1" applyBorder="1" applyAlignment="1">
      <alignment horizontal="center"/>
    </xf>
    <xf numFmtId="8" fontId="63" fillId="10" borderId="136" xfId="0" applyNumberFormat="1" applyFont="1" applyFill="1" applyBorder="1" applyAlignment="1">
      <alignment horizontal="center"/>
    </xf>
    <xf numFmtId="3" fontId="61" fillId="10" borderId="70" xfId="0" applyNumberFormat="1" applyFont="1" applyFill="1" applyBorder="1" applyAlignment="1">
      <alignment horizontal="center" vertical="center"/>
    </xf>
    <xf numFmtId="0" fontId="61" fillId="6" borderId="130" xfId="0" applyFont="1" applyFill="1" applyBorder="1" applyAlignment="1">
      <alignment horizontal="left" indent="1"/>
    </xf>
    <xf numFmtId="8" fontId="64" fillId="10" borderId="146" xfId="4" applyNumberFormat="1" applyFont="1" applyFill="1" applyBorder="1" applyAlignment="1">
      <alignment horizontal="center"/>
    </xf>
    <xf numFmtId="3" fontId="61" fillId="10" borderId="72" xfId="0" applyNumberFormat="1" applyFont="1" applyFill="1" applyBorder="1" applyAlignment="1">
      <alignment horizontal="center" vertical="center"/>
    </xf>
    <xf numFmtId="4" fontId="64" fillId="10" borderId="134" xfId="4" applyNumberFormat="1" applyFont="1" applyFill="1" applyBorder="1" applyAlignment="1">
      <alignment horizontal="center" vertical="center"/>
    </xf>
    <xf numFmtId="0" fontId="63" fillId="0" borderId="138" xfId="0" applyFont="1" applyBorder="1" applyAlignment="1">
      <alignment horizontal="center" vertical="center"/>
    </xf>
    <xf numFmtId="8" fontId="63" fillId="10" borderId="139" xfId="0" applyNumberFormat="1" applyFont="1" applyFill="1" applyBorder="1" applyAlignment="1">
      <alignment horizontal="center"/>
    </xf>
    <xf numFmtId="0" fontId="61" fillId="10" borderId="140" xfId="0" applyFont="1" applyFill="1" applyBorder="1"/>
    <xf numFmtId="0" fontId="61" fillId="0" borderId="49" xfId="0" applyFont="1" applyBorder="1" applyAlignment="1">
      <alignment horizontal="left" indent="1"/>
    </xf>
    <xf numFmtId="8" fontId="64" fillId="10" borderId="5" xfId="4" applyNumberFormat="1" applyFont="1" applyFill="1" applyBorder="1" applyAlignment="1">
      <alignment horizontal="center"/>
    </xf>
    <xf numFmtId="3" fontId="61" fillId="10" borderId="143" xfId="0" applyNumberFormat="1" applyFont="1" applyFill="1" applyBorder="1" applyAlignment="1">
      <alignment horizontal="center" vertical="center"/>
    </xf>
    <xf numFmtId="8" fontId="62" fillId="10" borderId="144" xfId="4" applyNumberFormat="1" applyFont="1" applyFill="1" applyBorder="1" applyAlignment="1">
      <alignment horizontal="center"/>
    </xf>
    <xf numFmtId="0" fontId="61" fillId="0" borderId="130" xfId="0" applyFont="1" applyBorder="1" applyAlignment="1">
      <alignment horizontal="left" indent="1"/>
    </xf>
    <xf numFmtId="3" fontId="61" fillId="10" borderId="146" xfId="0" applyNumberFormat="1" applyFont="1" applyFill="1" applyBorder="1" applyAlignment="1">
      <alignment horizontal="center" vertical="center"/>
    </xf>
    <xf numFmtId="8" fontId="61" fillId="0" borderId="0" xfId="0" applyNumberFormat="1" applyFont="1"/>
    <xf numFmtId="0" fontId="63" fillId="6" borderId="135" xfId="0" applyFont="1" applyFill="1" applyBorder="1" applyAlignment="1">
      <alignment horizontal="left" indent="1"/>
    </xf>
    <xf numFmtId="4" fontId="61" fillId="16" borderId="0" xfId="0" applyNumberFormat="1" applyFont="1" applyFill="1" applyAlignment="1">
      <alignment horizontal="right" vertical="center" wrapText="1"/>
    </xf>
    <xf numFmtId="8" fontId="61" fillId="0" borderId="0" xfId="0" applyNumberFormat="1" applyFont="1" applyAlignment="1">
      <alignment horizontal="center" vertical="center"/>
    </xf>
    <xf numFmtId="0" fontId="63" fillId="0" borderId="5" xfId="0" applyFont="1" applyBorder="1" applyAlignment="1">
      <alignment horizontal="center" vertical="center"/>
    </xf>
    <xf numFmtId="4" fontId="61" fillId="0" borderId="0" xfId="0" applyNumberFormat="1" applyFont="1"/>
    <xf numFmtId="0" fontId="61" fillId="0" borderId="0" xfId="0" applyFont="1" applyAlignment="1">
      <alignment wrapText="1"/>
    </xf>
    <xf numFmtId="0" fontId="61" fillId="16" borderId="0" xfId="0" applyFont="1" applyFill="1" applyAlignment="1">
      <alignment horizontal="left" vertical="center" wrapText="1" indent="2"/>
    </xf>
    <xf numFmtId="4" fontId="61" fillId="16" borderId="0" xfId="0" applyNumberFormat="1" applyFont="1" applyFill="1" applyAlignment="1">
      <alignment horizontal="center" vertical="center" wrapText="1"/>
    </xf>
    <xf numFmtId="164" fontId="61" fillId="0" borderId="0" xfId="0" applyNumberFormat="1" applyFont="1" applyAlignment="1">
      <alignment horizontal="center" vertical="center"/>
    </xf>
    <xf numFmtId="0" fontId="59" fillId="2" borderId="135" xfId="0" applyFont="1" applyFill="1" applyBorder="1" applyAlignment="1">
      <alignment horizontal="left"/>
    </xf>
    <xf numFmtId="0" fontId="59" fillId="2" borderId="70" xfId="0" applyFont="1" applyFill="1" applyBorder="1" applyAlignment="1">
      <alignment horizontal="left" wrapText="1"/>
    </xf>
    <xf numFmtId="0" fontId="59" fillId="2" borderId="70" xfId="0" applyFont="1" applyFill="1" applyBorder="1" applyAlignment="1">
      <alignment horizontal="left"/>
    </xf>
    <xf numFmtId="0" fontId="59" fillId="2" borderId="70" xfId="0" applyFont="1" applyFill="1" applyBorder="1" applyAlignment="1">
      <alignment horizontal="left" vertical="center" wrapText="1"/>
    </xf>
    <xf numFmtId="4" fontId="59" fillId="2" borderId="70" xfId="0" applyNumberFormat="1" applyFont="1" applyFill="1" applyBorder="1" applyAlignment="1">
      <alignment horizontal="center" vertical="center"/>
    </xf>
    <xf numFmtId="164" fontId="59" fillId="2" borderId="70" xfId="0" applyNumberFormat="1" applyFont="1" applyFill="1" applyBorder="1" applyAlignment="1">
      <alignment horizontal="center" vertical="center" wrapText="1"/>
    </xf>
    <xf numFmtId="164" fontId="59" fillId="2" borderId="145" xfId="0" applyNumberFormat="1" applyFont="1" applyFill="1" applyBorder="1" applyAlignment="1">
      <alignment horizontal="left" vertical="center"/>
    </xf>
    <xf numFmtId="0" fontId="61" fillId="6" borderId="147" xfId="0" applyFont="1" applyFill="1" applyBorder="1" applyAlignment="1">
      <alignment horizontal="left" indent="1"/>
    </xf>
    <xf numFmtId="164" fontId="12" fillId="6" borderId="1" xfId="0" applyNumberFormat="1" applyFont="1" applyFill="1" applyBorder="1" applyAlignment="1">
      <alignment horizontal="center" vertical="center" wrapText="1"/>
    </xf>
    <xf numFmtId="4" fontId="65" fillId="16" borderId="5" xfId="0" applyNumberFormat="1" applyFont="1" applyFill="1" applyBorder="1" applyAlignment="1">
      <alignment horizontal="center" vertical="center" wrapText="1"/>
    </xf>
    <xf numFmtId="0" fontId="63" fillId="0" borderId="5" xfId="0" applyFont="1" applyBorder="1"/>
    <xf numFmtId="0" fontId="63" fillId="0" borderId="5" xfId="0" applyFont="1" applyBorder="1" applyAlignment="1">
      <alignment horizontal="center" vertical="center" wrapText="1"/>
    </xf>
    <xf numFmtId="4" fontId="63" fillId="0" borderId="5" xfId="0" applyNumberFormat="1" applyFont="1" applyBorder="1" applyAlignment="1">
      <alignment horizontal="center" vertical="center" wrapText="1"/>
    </xf>
    <xf numFmtId="4" fontId="63" fillId="16" borderId="5" xfId="0" applyNumberFormat="1" applyFont="1" applyFill="1" applyBorder="1" applyAlignment="1">
      <alignment horizontal="center" vertical="center" wrapText="1"/>
    </xf>
    <xf numFmtId="0" fontId="63" fillId="0" borderId="5" xfId="0" applyFont="1" applyBorder="1" applyAlignment="1">
      <alignment horizontal="left" wrapText="1"/>
    </xf>
    <xf numFmtId="4" fontId="63" fillId="0" borderId="5" xfId="0" applyNumberFormat="1" applyFont="1" applyBorder="1" applyAlignment="1">
      <alignment horizontal="center" vertical="center"/>
    </xf>
    <xf numFmtId="164" fontId="63" fillId="0" borderId="5" xfId="3" applyNumberFormat="1" applyFont="1" applyBorder="1" applyAlignment="1">
      <alignment horizontal="right" wrapText="1"/>
    </xf>
    <xf numFmtId="0" fontId="61" fillId="0" borderId="5" xfId="0" applyFont="1" applyBorder="1" applyAlignment="1">
      <alignment horizontal="left" wrapText="1"/>
    </xf>
    <xf numFmtId="0" fontId="61" fillId="0" borderId="5" xfId="0" applyFont="1" applyBorder="1" applyAlignment="1">
      <alignment horizontal="left" wrapText="1" indent="1"/>
    </xf>
    <xf numFmtId="0" fontId="61" fillId="0" borderId="5" xfId="0" applyFont="1" applyBorder="1" applyAlignment="1">
      <alignment horizontal="center" vertical="center" wrapText="1"/>
    </xf>
    <xf numFmtId="164" fontId="61" fillId="0" borderId="5" xfId="3" applyNumberFormat="1" applyFont="1" applyBorder="1" applyAlignment="1">
      <alignment horizontal="right" wrapText="1"/>
    </xf>
    <xf numFmtId="4" fontId="61" fillId="16" borderId="5" xfId="0" applyNumberFormat="1" applyFont="1" applyFill="1" applyBorder="1" applyAlignment="1">
      <alignment horizontal="center" vertical="center" wrapText="1"/>
    </xf>
    <xf numFmtId="0" fontId="61" fillId="0" borderId="0" xfId="0" applyFont="1" applyAlignment="1">
      <alignment horizontal="left" wrapText="1"/>
    </xf>
    <xf numFmtId="4" fontId="61" fillId="0" borderId="0" xfId="0" applyNumberFormat="1" applyFont="1" applyAlignment="1">
      <alignment horizontal="center" vertical="center" wrapText="1"/>
    </xf>
    <xf numFmtId="164" fontId="12" fillId="6" borderId="1" xfId="0" applyNumberFormat="1" applyFont="1" applyFill="1" applyBorder="1" applyAlignment="1">
      <alignment vertical="center" wrapText="1"/>
    </xf>
    <xf numFmtId="0" fontId="63" fillId="0" borderId="5" xfId="0" applyFont="1" applyBorder="1" applyAlignment="1">
      <alignment horizontal="center" wrapText="1"/>
    </xf>
    <xf numFmtId="164" fontId="63" fillId="16" borderId="5" xfId="0" applyNumberFormat="1" applyFont="1" applyFill="1" applyBorder="1" applyAlignment="1">
      <alignment horizontal="right" vertical="center" wrapText="1"/>
    </xf>
    <xf numFmtId="0" fontId="61" fillId="0" borderId="5" xfId="0" applyFont="1" applyBorder="1" applyAlignment="1">
      <alignment horizontal="center" wrapText="1"/>
    </xf>
    <xf numFmtId="164" fontId="61" fillId="0" borderId="5" xfId="0" applyNumberFormat="1" applyFont="1" applyBorder="1" applyAlignment="1">
      <alignment horizontal="right" wrapText="1"/>
    </xf>
    <xf numFmtId="164" fontId="61" fillId="16" borderId="5" xfId="0" applyNumberFormat="1" applyFont="1" applyFill="1" applyBorder="1" applyAlignment="1">
      <alignment horizontal="right" vertical="center" wrapText="1"/>
    </xf>
    <xf numFmtId="0" fontId="61" fillId="0" borderId="5" xfId="0" applyFont="1" applyBorder="1" applyAlignment="1">
      <alignment horizontal="left" vertical="center" wrapText="1"/>
    </xf>
    <xf numFmtId="0" fontId="61" fillId="0" borderId="0" xfId="0" applyFont="1" applyAlignment="1">
      <alignment horizontal="center" vertical="center" wrapText="1"/>
    </xf>
    <xf numFmtId="164" fontId="61" fillId="0" borderId="0" xfId="3" applyNumberFormat="1" applyFont="1" applyBorder="1" applyAlignment="1">
      <alignment horizontal="right" wrapText="1"/>
    </xf>
    <xf numFmtId="164" fontId="61" fillId="0" borderId="5" xfId="3" applyNumberFormat="1" applyFont="1" applyBorder="1" applyAlignment="1">
      <alignment horizontal="right" vertical="center" wrapText="1"/>
    </xf>
    <xf numFmtId="164" fontId="63" fillId="16" borderId="5" xfId="0" applyNumberFormat="1" applyFont="1" applyFill="1" applyBorder="1" applyAlignment="1">
      <alignment horizontal="center" vertical="center" wrapText="1"/>
    </xf>
    <xf numFmtId="164" fontId="61" fillId="0" borderId="5" xfId="0" applyNumberFormat="1" applyFont="1" applyBorder="1" applyAlignment="1">
      <alignment horizontal="center" wrapText="1"/>
    </xf>
    <xf numFmtId="164" fontId="61" fillId="16" borderId="5" xfId="0" applyNumberFormat="1" applyFont="1" applyFill="1" applyBorder="1" applyAlignment="1">
      <alignment horizontal="center" vertical="center" wrapText="1"/>
    </xf>
    <xf numFmtId="164" fontId="63" fillId="0" borderId="5" xfId="3" applyNumberFormat="1" applyFont="1" applyBorder="1" applyAlignment="1">
      <alignment horizontal="center" wrapText="1"/>
    </xf>
    <xf numFmtId="164" fontId="61" fillId="0" borderId="5" xfId="0" applyNumberFormat="1" applyFont="1" applyBorder="1" applyAlignment="1">
      <alignment horizontal="center" vertical="center" wrapText="1"/>
    </xf>
    <xf numFmtId="0" fontId="61" fillId="0" borderId="0" xfId="0" applyFont="1" applyAlignment="1">
      <alignment horizontal="left" wrapText="1" indent="1"/>
    </xf>
    <xf numFmtId="164" fontId="61" fillId="0" borderId="0" xfId="3" applyNumberFormat="1" applyFont="1" applyBorder="1" applyAlignment="1">
      <alignment horizontal="center" vertical="center" wrapText="1"/>
    </xf>
    <xf numFmtId="164" fontId="61" fillId="16" borderId="0" xfId="0" applyNumberFormat="1" applyFont="1" applyFill="1" applyAlignment="1">
      <alignment horizontal="center" vertical="center" wrapText="1"/>
    </xf>
    <xf numFmtId="0" fontId="62" fillId="6" borderId="5" xfId="0" applyFont="1" applyFill="1" applyBorder="1" applyAlignment="1">
      <alignment horizontal="centerContinuous" wrapText="1"/>
    </xf>
    <xf numFmtId="0" fontId="59" fillId="17" borderId="135" xfId="0" applyFont="1" applyFill="1" applyBorder="1" applyAlignment="1">
      <alignment horizontal="left"/>
    </xf>
    <xf numFmtId="0" fontId="59" fillId="17" borderId="70" xfId="0" applyFont="1" applyFill="1" applyBorder="1" applyAlignment="1">
      <alignment horizontal="left" wrapText="1"/>
    </xf>
    <xf numFmtId="0" fontId="59" fillId="17" borderId="70" xfId="0" applyFont="1" applyFill="1" applyBorder="1" applyAlignment="1">
      <alignment horizontal="left"/>
    </xf>
    <xf numFmtId="0" fontId="59" fillId="17" borderId="70" xfId="0" applyFont="1" applyFill="1" applyBorder="1" applyAlignment="1">
      <alignment horizontal="left" vertical="center" wrapText="1"/>
    </xf>
    <xf numFmtId="4" fontId="59" fillId="17" borderId="70" xfId="0" applyNumberFormat="1" applyFont="1" applyFill="1" applyBorder="1" applyAlignment="1">
      <alignment horizontal="center" vertical="center"/>
    </xf>
    <xf numFmtId="4" fontId="59" fillId="17" borderId="70" xfId="0" applyNumberFormat="1" applyFont="1" applyFill="1" applyBorder="1" applyAlignment="1">
      <alignment horizontal="center" vertical="center" wrapText="1"/>
    </xf>
    <xf numFmtId="164" fontId="59" fillId="17" borderId="145" xfId="0" applyNumberFormat="1" applyFont="1" applyFill="1" applyBorder="1" applyAlignment="1">
      <alignment horizontal="left" vertical="center"/>
    </xf>
    <xf numFmtId="164" fontId="59" fillId="17" borderId="1" xfId="0" applyNumberFormat="1" applyFont="1" applyFill="1" applyBorder="1" applyAlignment="1">
      <alignment vertical="center" wrapText="1"/>
    </xf>
    <xf numFmtId="164" fontId="59" fillId="17" borderId="3" xfId="0" applyNumberFormat="1" applyFont="1" applyFill="1" applyBorder="1" applyAlignment="1">
      <alignment vertical="center" wrapText="1"/>
    </xf>
    <xf numFmtId="0" fontId="63" fillId="0" borderId="5" xfId="0" applyFont="1" applyBorder="1" applyAlignment="1">
      <alignment horizontal="right"/>
    </xf>
    <xf numFmtId="0" fontId="61" fillId="0" borderId="5" xfId="0" applyFont="1" applyBorder="1" applyAlignment="1">
      <alignment horizontal="right" wrapText="1"/>
    </xf>
    <xf numFmtId="0" fontId="63" fillId="0" borderId="5" xfId="0" applyFont="1" applyBorder="1" applyAlignment="1">
      <alignment horizontal="right" wrapText="1"/>
    </xf>
    <xf numFmtId="0" fontId="26" fillId="2" borderId="1" xfId="0" applyFont="1" applyFill="1" applyBorder="1" applyAlignment="1">
      <alignment horizontal="centerContinuous"/>
    </xf>
    <xf numFmtId="0" fontId="26" fillId="2" borderId="2" xfId="0" applyFont="1" applyFill="1" applyBorder="1" applyAlignment="1">
      <alignment horizontal="centerContinuous"/>
    </xf>
    <xf numFmtId="4" fontId="26" fillId="2" borderId="2" xfId="0" applyNumberFormat="1" applyFont="1" applyFill="1" applyBorder="1" applyAlignment="1">
      <alignment horizontal="center" vertical="center"/>
    </xf>
    <xf numFmtId="164" fontId="26" fillId="2" borderId="2" xfId="0" applyNumberFormat="1" applyFont="1" applyFill="1" applyBorder="1" applyAlignment="1">
      <alignment horizontal="center" vertical="center"/>
    </xf>
    <xf numFmtId="164" fontId="26" fillId="2" borderId="2" xfId="0" applyNumberFormat="1" applyFont="1" applyFill="1" applyBorder="1" applyAlignment="1">
      <alignment vertical="center"/>
    </xf>
    <xf numFmtId="164" fontId="26" fillId="17" borderId="101" xfId="0" applyNumberFormat="1" applyFont="1" applyFill="1" applyBorder="1"/>
    <xf numFmtId="0" fontId="26" fillId="17" borderId="100" xfId="0" applyFont="1" applyFill="1" applyBorder="1"/>
    <xf numFmtId="0" fontId="4" fillId="2" borderId="169" xfId="0" applyFont="1" applyFill="1" applyBorder="1" applyAlignment="1">
      <alignment horizontal="center" vertical="center"/>
    </xf>
    <xf numFmtId="0" fontId="4" fillId="2" borderId="170" xfId="0" applyFont="1" applyFill="1" applyBorder="1" applyAlignment="1">
      <alignment horizontal="center" vertical="center"/>
    </xf>
    <xf numFmtId="0" fontId="4" fillId="2" borderId="171" xfId="0" applyFont="1" applyFill="1" applyBorder="1" applyAlignment="1">
      <alignment horizontal="center" vertical="center"/>
    </xf>
    <xf numFmtId="0" fontId="4" fillId="2" borderId="175" xfId="0" applyFont="1" applyFill="1" applyBorder="1" applyAlignment="1">
      <alignment horizontal="center" vertical="center"/>
    </xf>
    <xf numFmtId="0" fontId="4" fillId="2" borderId="176" xfId="0" applyFont="1" applyFill="1" applyBorder="1" applyAlignment="1">
      <alignment horizontal="center" vertical="center"/>
    </xf>
    <xf numFmtId="0" fontId="4" fillId="2" borderId="177" xfId="0" applyFont="1" applyFill="1" applyBorder="1" applyAlignment="1">
      <alignment horizontal="center" vertical="center"/>
    </xf>
    <xf numFmtId="164" fontId="12" fillId="6" borderId="3" xfId="0" applyNumberFormat="1" applyFont="1" applyFill="1" applyBorder="1" applyAlignment="1">
      <alignment vertical="center" wrapText="1"/>
    </xf>
    <xf numFmtId="0" fontId="65" fillId="0" borderId="5" xfId="0" applyFont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Continuous" wrapText="1"/>
    </xf>
    <xf numFmtId="4" fontId="12" fillId="6" borderId="5" xfId="0" applyNumberFormat="1" applyFont="1" applyFill="1" applyBorder="1" applyAlignment="1">
      <alignment horizontal="center" vertical="center" wrapText="1"/>
    </xf>
    <xf numFmtId="4" fontId="7" fillId="16" borderId="5" xfId="0" applyNumberFormat="1" applyFont="1" applyFill="1" applyBorder="1" applyAlignment="1">
      <alignment horizontal="center" vertical="center" wrapText="1"/>
    </xf>
    <xf numFmtId="0" fontId="26" fillId="17" borderId="85" xfId="0" applyFont="1" applyFill="1" applyBorder="1" applyAlignment="1">
      <alignment horizontal="left"/>
    </xf>
    <xf numFmtId="0" fontId="26" fillId="17" borderId="101" xfId="0" applyFont="1" applyFill="1" applyBorder="1" applyAlignment="1">
      <alignment horizontal="left" wrapText="1"/>
    </xf>
    <xf numFmtId="0" fontId="26" fillId="17" borderId="101" xfId="0" applyFont="1" applyFill="1" applyBorder="1" applyAlignment="1">
      <alignment horizontal="left"/>
    </xf>
    <xf numFmtId="0" fontId="26" fillId="17" borderId="101" xfId="0" applyFont="1" applyFill="1" applyBorder="1" applyAlignment="1">
      <alignment horizontal="left" vertical="center" wrapText="1"/>
    </xf>
    <xf numFmtId="4" fontId="26" fillId="17" borderId="101" xfId="0" applyNumberFormat="1" applyFont="1" applyFill="1" applyBorder="1" applyAlignment="1">
      <alignment horizontal="center" vertical="center"/>
    </xf>
    <xf numFmtId="4" fontId="26" fillId="17" borderId="101" xfId="0" applyNumberFormat="1" applyFont="1" applyFill="1" applyBorder="1" applyAlignment="1">
      <alignment horizontal="center" vertical="center" wrapText="1"/>
    </xf>
    <xf numFmtId="164" fontId="26" fillId="17" borderId="100" xfId="0" applyNumberFormat="1" applyFont="1" applyFill="1" applyBorder="1" applyAlignment="1">
      <alignment horizontal="left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 wrapText="1" indent="1"/>
    </xf>
    <xf numFmtId="0" fontId="7" fillId="0" borderId="0" xfId="0" applyFont="1" applyAlignment="1">
      <alignment horizontal="center" vertical="center" wrapText="1"/>
    </xf>
    <xf numFmtId="164" fontId="7" fillId="0" borderId="0" xfId="3" applyNumberFormat="1" applyFont="1" applyBorder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164" fontId="7" fillId="16" borderId="0" xfId="0" applyNumberFormat="1" applyFont="1" applyFill="1" applyAlignment="1">
      <alignment horizontal="center" vertical="center" wrapText="1"/>
    </xf>
    <xf numFmtId="4" fontId="7" fillId="16" borderId="0" xfId="0" applyNumberFormat="1" applyFont="1" applyFill="1" applyAlignment="1">
      <alignment horizontal="center" vertical="center" wrapText="1"/>
    </xf>
    <xf numFmtId="164" fontId="26" fillId="17" borderId="1" xfId="0" applyNumberFormat="1" applyFont="1" applyFill="1" applyBorder="1" applyAlignment="1">
      <alignment vertical="center" wrapText="1"/>
    </xf>
    <xf numFmtId="164" fontId="26" fillId="17" borderId="3" xfId="0" applyNumberFormat="1" applyFont="1" applyFill="1" applyBorder="1" applyAlignment="1">
      <alignment vertical="center" wrapText="1"/>
    </xf>
    <xf numFmtId="0" fontId="26" fillId="17" borderId="135" xfId="0" applyFont="1" applyFill="1" applyBorder="1" applyAlignment="1">
      <alignment horizontal="left"/>
    </xf>
    <xf numFmtId="0" fontId="26" fillId="17" borderId="70" xfId="0" applyFont="1" applyFill="1" applyBorder="1" applyAlignment="1">
      <alignment horizontal="left" wrapText="1"/>
    </xf>
    <xf numFmtId="0" fontId="26" fillId="17" borderId="70" xfId="0" applyFont="1" applyFill="1" applyBorder="1" applyAlignment="1">
      <alignment horizontal="left"/>
    </xf>
    <xf numFmtId="0" fontId="26" fillId="17" borderId="70" xfId="0" applyFont="1" applyFill="1" applyBorder="1" applyAlignment="1">
      <alignment horizontal="left" vertical="center" wrapText="1"/>
    </xf>
    <xf numFmtId="4" fontId="26" fillId="17" borderId="70" xfId="0" applyNumberFormat="1" applyFont="1" applyFill="1" applyBorder="1" applyAlignment="1">
      <alignment horizontal="center" vertical="center"/>
    </xf>
    <xf numFmtId="4" fontId="26" fillId="17" borderId="70" xfId="0" applyNumberFormat="1" applyFont="1" applyFill="1" applyBorder="1" applyAlignment="1">
      <alignment horizontal="center" vertical="center" wrapText="1"/>
    </xf>
    <xf numFmtId="164" fontId="26" fillId="17" borderId="145" xfId="0" applyNumberFormat="1" applyFont="1" applyFill="1" applyBorder="1" applyAlignment="1">
      <alignment horizontal="left" vertical="center"/>
    </xf>
    <xf numFmtId="164" fontId="26" fillId="17" borderId="1" xfId="0" applyNumberFormat="1" applyFont="1" applyFill="1" applyBorder="1" applyAlignment="1">
      <alignment horizontal="center" vertical="center" wrapText="1"/>
    </xf>
    <xf numFmtId="164" fontId="26" fillId="17" borderId="3" xfId="0" applyNumberFormat="1" applyFont="1" applyFill="1" applyBorder="1" applyAlignment="1">
      <alignment horizontal="center" vertical="center" wrapText="1"/>
    </xf>
    <xf numFmtId="9" fontId="54" fillId="0" borderId="79" xfId="0" quotePrefix="1" applyNumberFormat="1" applyFont="1" applyBorder="1" applyAlignment="1">
      <alignment horizontal="right" vertical="center" wrapText="1"/>
    </xf>
    <xf numFmtId="10" fontId="54" fillId="0" borderId="0" xfId="1" applyNumberFormat="1" applyFont="1" applyFill="1" applyBorder="1" applyAlignment="1" applyProtection="1">
      <alignment vertical="center"/>
    </xf>
    <xf numFmtId="9" fontId="54" fillId="15" borderId="79" xfId="0" applyNumberFormat="1" applyFont="1" applyFill="1" applyBorder="1" applyAlignment="1">
      <alignment horizontal="right" vertical="center" wrapText="1"/>
    </xf>
    <xf numFmtId="4" fontId="33" fillId="15" borderId="0" xfId="0" quotePrefix="1" applyNumberFormat="1" applyFont="1" applyFill="1" applyAlignment="1">
      <alignment horizontal="right" vertical="center"/>
    </xf>
    <xf numFmtId="183" fontId="33" fillId="15" borderId="0" xfId="0" applyNumberFormat="1" applyFont="1" applyFill="1" applyAlignment="1">
      <alignment horizontal="center" vertical="center" wrapText="1"/>
    </xf>
    <xf numFmtId="4" fontId="54" fillId="15" borderId="80" xfId="0" applyNumberFormat="1" applyFont="1" applyFill="1" applyBorder="1" applyAlignment="1">
      <alignment vertical="center"/>
    </xf>
    <xf numFmtId="183" fontId="33" fillId="15" borderId="89" xfId="0" applyNumberFormat="1" applyFont="1" applyFill="1" applyBorder="1" applyAlignment="1">
      <alignment horizontal="center" vertical="center" wrapText="1"/>
    </xf>
    <xf numFmtId="4" fontId="33" fillId="15" borderId="88" xfId="3" applyNumberFormat="1" applyFont="1" applyFill="1" applyBorder="1" applyAlignment="1" applyProtection="1">
      <alignment vertical="center"/>
    </xf>
    <xf numFmtId="4" fontId="54" fillId="0" borderId="80" xfId="0" applyNumberFormat="1" applyFont="1" applyBorder="1" applyAlignment="1">
      <alignment vertical="center"/>
    </xf>
    <xf numFmtId="10" fontId="54" fillId="0" borderId="0" xfId="0" quotePrefix="1" applyNumberFormat="1" applyFont="1" applyAlignment="1">
      <alignment horizontal="right" vertical="center"/>
    </xf>
    <xf numFmtId="9" fontId="54" fillId="15" borderId="86" xfId="0" applyNumberFormat="1" applyFont="1" applyFill="1" applyBorder="1" applyAlignment="1">
      <alignment horizontal="right" vertical="center" wrapText="1"/>
    </xf>
    <xf numFmtId="9" fontId="54" fillId="15" borderId="105" xfId="1" applyFont="1" applyFill="1" applyBorder="1" applyAlignment="1" applyProtection="1">
      <alignment vertical="center"/>
    </xf>
    <xf numFmtId="4" fontId="54" fillId="15" borderId="148" xfId="0" applyNumberFormat="1" applyFont="1" applyFill="1" applyBorder="1" applyAlignment="1">
      <alignment vertical="center"/>
    </xf>
    <xf numFmtId="183" fontId="5" fillId="15" borderId="89" xfId="0" applyNumberFormat="1" applyFont="1" applyFill="1" applyBorder="1" applyAlignment="1">
      <alignment horizontal="center" vertical="center" wrapText="1"/>
    </xf>
    <xf numFmtId="4" fontId="5" fillId="15" borderId="88" xfId="3" applyNumberFormat="1" applyFont="1" applyFill="1" applyBorder="1" applyAlignment="1" applyProtection="1">
      <alignment vertical="center"/>
    </xf>
    <xf numFmtId="9" fontId="32" fillId="0" borderId="79" xfId="0" quotePrefix="1" applyNumberFormat="1" applyFont="1" applyBorder="1" applyAlignment="1">
      <alignment horizontal="right" vertical="center" wrapText="1"/>
    </xf>
    <xf numFmtId="10" fontId="32" fillId="0" borderId="0" xfId="1" applyNumberFormat="1" applyFont="1" applyFill="1" applyBorder="1" applyAlignment="1" applyProtection="1">
      <alignment vertical="center"/>
    </xf>
    <xf numFmtId="4" fontId="32" fillId="0" borderId="80" xfId="0" applyNumberFormat="1" applyFont="1" applyBorder="1" applyAlignment="1">
      <alignment vertical="center"/>
    </xf>
    <xf numFmtId="9" fontId="32" fillId="15" borderId="79" xfId="0" applyNumberFormat="1" applyFont="1" applyFill="1" applyBorder="1" applyAlignment="1">
      <alignment horizontal="right" vertical="center" wrapText="1"/>
    </xf>
    <xf numFmtId="4" fontId="5" fillId="15" borderId="0" xfId="0" quotePrefix="1" applyNumberFormat="1" applyFont="1" applyFill="1" applyAlignment="1">
      <alignment horizontal="right" vertical="center"/>
    </xf>
    <xf numFmtId="183" fontId="5" fillId="15" borderId="0" xfId="0" applyNumberFormat="1" applyFont="1" applyFill="1" applyAlignment="1">
      <alignment horizontal="center" vertical="center" wrapText="1"/>
    </xf>
    <xf numFmtId="4" fontId="32" fillId="15" borderId="80" xfId="0" applyNumberFormat="1" applyFont="1" applyFill="1" applyBorder="1" applyAlignment="1">
      <alignment vertical="center"/>
    </xf>
    <xf numFmtId="10" fontId="32" fillId="0" borderId="0" xfId="0" quotePrefix="1" applyNumberFormat="1" applyFont="1" applyAlignment="1">
      <alignment horizontal="right" vertical="center"/>
    </xf>
    <xf numFmtId="9" fontId="32" fillId="15" borderId="86" xfId="0" applyNumberFormat="1" applyFont="1" applyFill="1" applyBorder="1" applyAlignment="1">
      <alignment horizontal="right" vertical="center" wrapText="1"/>
    </xf>
    <xf numFmtId="9" fontId="32" fillId="15" borderId="105" xfId="1" applyFont="1" applyFill="1" applyBorder="1" applyAlignment="1" applyProtection="1">
      <alignment vertical="center"/>
    </xf>
    <xf numFmtId="4" fontId="32" fillId="15" borderId="148" xfId="0" applyNumberFormat="1" applyFont="1" applyFill="1" applyBorder="1" applyAlignment="1">
      <alignment vertical="center"/>
    </xf>
    <xf numFmtId="164" fontId="61" fillId="13" borderId="5" xfId="3" applyNumberFormat="1" applyFont="1" applyFill="1" applyBorder="1" applyAlignment="1">
      <alignment horizontal="right" wrapText="1"/>
    </xf>
    <xf numFmtId="4" fontId="61" fillId="13" borderId="5" xfId="0" applyNumberFormat="1" applyFont="1" applyFill="1" applyBorder="1" applyAlignment="1">
      <alignment horizontal="center" vertical="center" wrapText="1"/>
    </xf>
    <xf numFmtId="164" fontId="61" fillId="13" borderId="5" xfId="3" applyNumberFormat="1" applyFont="1" applyFill="1" applyBorder="1" applyAlignment="1">
      <alignment horizontal="center" vertical="center" wrapText="1"/>
    </xf>
    <xf numFmtId="164" fontId="61" fillId="13" borderId="5" xfId="3" applyNumberFormat="1" applyFont="1" applyFill="1" applyBorder="1" applyAlignment="1">
      <alignment horizontal="center" wrapText="1"/>
    </xf>
    <xf numFmtId="164" fontId="63" fillId="10" borderId="137" xfId="0" applyNumberFormat="1" applyFont="1" applyFill="1" applyBorder="1" applyAlignment="1">
      <alignment horizontal="center" vertical="center"/>
    </xf>
    <xf numFmtId="164" fontId="63" fillId="10" borderId="137" xfId="3" applyNumberFormat="1" applyFont="1" applyFill="1" applyBorder="1" applyAlignment="1">
      <alignment horizontal="center" vertical="center"/>
    </xf>
    <xf numFmtId="164" fontId="63" fillId="10" borderId="141" xfId="3" applyNumberFormat="1" applyFont="1" applyFill="1" applyBorder="1" applyAlignment="1">
      <alignment horizontal="center" vertical="center"/>
    </xf>
    <xf numFmtId="164" fontId="63" fillId="10" borderId="145" xfId="0" applyNumberFormat="1" applyFont="1" applyFill="1" applyBorder="1" applyAlignment="1">
      <alignment horizontal="center" vertical="center"/>
    </xf>
    <xf numFmtId="164" fontId="63" fillId="10" borderId="141" xfId="0" applyNumberFormat="1" applyFont="1" applyFill="1" applyBorder="1" applyAlignment="1">
      <alignment horizontal="center" vertical="center"/>
    </xf>
    <xf numFmtId="164" fontId="63" fillId="10" borderId="47" xfId="0" applyNumberFormat="1" applyFont="1" applyFill="1" applyBorder="1" applyAlignment="1">
      <alignment horizontal="center" vertical="center"/>
    </xf>
    <xf numFmtId="164" fontId="63" fillId="10" borderId="48" xfId="0" applyNumberFormat="1" applyFont="1" applyFill="1" applyBorder="1" applyAlignment="1">
      <alignment horizontal="center" vertical="center"/>
    </xf>
    <xf numFmtId="164" fontId="63" fillId="10" borderId="53" xfId="0" applyNumberFormat="1" applyFont="1" applyFill="1" applyBorder="1" applyAlignment="1">
      <alignment horizontal="center" vertical="center"/>
    </xf>
    <xf numFmtId="0" fontId="19" fillId="0" borderId="2" xfId="0" applyFont="1" applyBorder="1"/>
    <xf numFmtId="0" fontId="19" fillId="0" borderId="3" xfId="0" applyFont="1" applyBorder="1"/>
    <xf numFmtId="164" fontId="30" fillId="10" borderId="5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left" vertical="center" indent="1"/>
    </xf>
    <xf numFmtId="173" fontId="0" fillId="12" borderId="5" xfId="1" applyNumberFormat="1" applyFont="1" applyFill="1" applyBorder="1"/>
    <xf numFmtId="2" fontId="0" fillId="12" borderId="5" xfId="0" applyNumberFormat="1" applyFill="1" applyBorder="1" applyAlignment="1">
      <alignment horizontal="center" vertical="center"/>
    </xf>
    <xf numFmtId="4" fontId="0" fillId="10" borderId="5" xfId="0" applyNumberFormat="1" applyFill="1" applyBorder="1" applyAlignment="1">
      <alignment horizontal="center" vertical="center"/>
    </xf>
    <xf numFmtId="187" fontId="0" fillId="0" borderId="0" xfId="0" applyNumberFormat="1"/>
    <xf numFmtId="168" fontId="0" fillId="0" borderId="5" xfId="0" applyNumberFormat="1" applyBorder="1"/>
    <xf numFmtId="44" fontId="0" fillId="0" borderId="5" xfId="0" applyNumberFormat="1" applyBorder="1"/>
    <xf numFmtId="171" fontId="1" fillId="13" borderId="5" xfId="1" applyNumberFormat="1" applyFont="1" applyFill="1" applyBorder="1"/>
    <xf numFmtId="10" fontId="3" fillId="10" borderId="1" xfId="0" applyNumberFormat="1" applyFont="1" applyFill="1" applyBorder="1" applyAlignment="1">
      <alignment horizontal="centerContinuous"/>
    </xf>
    <xf numFmtId="10" fontId="3" fillId="10" borderId="3" xfId="0" applyNumberFormat="1" applyFont="1" applyFill="1" applyBorder="1" applyAlignment="1">
      <alignment horizontal="centerContinuous"/>
    </xf>
    <xf numFmtId="10" fontId="5" fillId="10" borderId="1" xfId="0" applyNumberFormat="1" applyFont="1" applyFill="1" applyBorder="1" applyAlignment="1">
      <alignment horizontal="centerContinuous"/>
    </xf>
    <xf numFmtId="10" fontId="5" fillId="10" borderId="3" xfId="0" applyNumberFormat="1" applyFont="1" applyFill="1" applyBorder="1" applyAlignment="1">
      <alignment horizontal="centerContinuous"/>
    </xf>
    <xf numFmtId="8" fontId="3" fillId="10" borderId="1" xfId="2" applyNumberFormat="1" applyFont="1" applyFill="1" applyBorder="1" applyAlignment="1">
      <alignment horizontal="centerContinuous"/>
    </xf>
    <xf numFmtId="8" fontId="3" fillId="10" borderId="3" xfId="2" applyNumberFormat="1" applyFont="1" applyFill="1" applyBorder="1" applyAlignment="1">
      <alignment horizontal="centerContinuous"/>
    </xf>
    <xf numFmtId="2" fontId="3" fillId="10" borderId="1" xfId="2" applyNumberFormat="1" applyFont="1" applyFill="1" applyBorder="1" applyAlignment="1">
      <alignment horizontal="centerContinuous"/>
    </xf>
    <xf numFmtId="2" fontId="3" fillId="10" borderId="3" xfId="2" applyNumberFormat="1" applyFont="1" applyFill="1" applyBorder="1" applyAlignment="1">
      <alignment horizontal="centerContinuous"/>
    </xf>
    <xf numFmtId="10" fontId="19" fillId="0" borderId="5" xfId="0" applyNumberFormat="1" applyFont="1" applyBorder="1" applyAlignment="1">
      <alignment horizontal="center"/>
    </xf>
    <xf numFmtId="164" fontId="26" fillId="17" borderId="5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78" fontId="0" fillId="0" borderId="5" xfId="6" applyNumberFormat="1" applyFont="1" applyBorder="1" applyAlignment="1">
      <alignment horizontal="center" vertical="center"/>
    </xf>
    <xf numFmtId="0" fontId="66" fillId="0" borderId="5" xfId="0" applyFont="1" applyBorder="1" applyAlignment="1">
      <alignment horizontal="center" vertical="center"/>
    </xf>
    <xf numFmtId="167" fontId="0" fillId="0" borderId="5" xfId="1" applyNumberFormat="1" applyFont="1" applyBorder="1" applyAlignment="1">
      <alignment horizontal="center" vertical="center"/>
    </xf>
    <xf numFmtId="10" fontId="26" fillId="17" borderId="5" xfId="0" applyNumberFormat="1" applyFont="1" applyFill="1" applyBorder="1" applyAlignment="1">
      <alignment horizontal="center" vertical="center" wrapText="1"/>
    </xf>
    <xf numFmtId="3" fontId="0" fillId="10" borderId="2" xfId="0" applyNumberFormat="1" applyFill="1" applyBorder="1"/>
    <xf numFmtId="0" fontId="12" fillId="6" borderId="5" xfId="0" applyFont="1" applyFill="1" applyBorder="1" applyAlignment="1">
      <alignment wrapText="1"/>
    </xf>
    <xf numFmtId="0" fontId="4" fillId="2" borderId="180" xfId="0" applyFont="1" applyFill="1" applyBorder="1" applyAlignment="1">
      <alignment horizontal="centerContinuous" vertical="center"/>
    </xf>
    <xf numFmtId="0" fontId="4" fillId="2" borderId="181" xfId="0" applyFont="1" applyFill="1" applyBorder="1" applyAlignment="1">
      <alignment horizontal="centerContinuous" vertical="center"/>
    </xf>
    <xf numFmtId="0" fontId="4" fillId="2" borderId="181" xfId="0" applyFont="1" applyFill="1" applyBorder="1" applyAlignment="1">
      <alignment horizontal="center" vertical="center"/>
    </xf>
    <xf numFmtId="17" fontId="18" fillId="2" borderId="181" xfId="0" applyNumberFormat="1" applyFont="1" applyFill="1" applyBorder="1" applyAlignment="1">
      <alignment horizontal="center" vertical="center"/>
    </xf>
    <xf numFmtId="17" fontId="18" fillId="2" borderId="182" xfId="0" applyNumberFormat="1" applyFont="1" applyFill="1" applyBorder="1" applyAlignment="1">
      <alignment horizontal="center" vertical="center"/>
    </xf>
    <xf numFmtId="0" fontId="4" fillId="2" borderId="183" xfId="0" applyFont="1" applyFill="1" applyBorder="1" applyAlignment="1">
      <alignment horizontal="center" vertical="center"/>
    </xf>
    <xf numFmtId="0" fontId="19" fillId="0" borderId="5" xfId="0" applyFont="1" applyBorder="1" applyAlignment="1">
      <alignment horizontal="left" vertical="center"/>
    </xf>
    <xf numFmtId="188" fontId="19" fillId="0" borderId="5" xfId="0" applyNumberFormat="1" applyFont="1" applyBorder="1" applyAlignment="1">
      <alignment horizontal="center" vertical="center"/>
    </xf>
    <xf numFmtId="188" fontId="19" fillId="0" borderId="5" xfId="0" applyNumberFormat="1" applyFont="1" applyBorder="1" applyAlignment="1">
      <alignment horizontal="left" vertical="center"/>
    </xf>
    <xf numFmtId="188" fontId="19" fillId="13" borderId="5" xfId="0" applyNumberFormat="1" applyFont="1" applyFill="1" applyBorder="1" applyAlignment="1">
      <alignment horizontal="center" vertical="center"/>
    </xf>
    <xf numFmtId="0" fontId="21" fillId="2" borderId="180" xfId="0" applyFont="1" applyFill="1" applyBorder="1" applyAlignment="1">
      <alignment horizontal="centerContinuous" vertical="center"/>
    </xf>
    <xf numFmtId="188" fontId="18" fillId="2" borderId="181" xfId="0" applyNumberFormat="1" applyFont="1" applyFill="1" applyBorder="1" applyAlignment="1">
      <alignment horizontal="center" vertical="center"/>
    </xf>
    <xf numFmtId="188" fontId="21" fillId="2" borderId="182" xfId="0" applyNumberFormat="1" applyFont="1" applyFill="1" applyBorder="1" applyAlignment="1">
      <alignment horizontal="centerContinuous" vertical="center"/>
    </xf>
    <xf numFmtId="188" fontId="18" fillId="2" borderId="182" xfId="0" applyNumberFormat="1" applyFont="1" applyFill="1" applyBorder="1" applyAlignment="1">
      <alignment horizontal="centerContinuous" vertical="center"/>
    </xf>
    <xf numFmtId="188" fontId="18" fillId="2" borderId="184" xfId="0" applyNumberFormat="1" applyFont="1" applyFill="1" applyBorder="1" applyAlignment="1">
      <alignment horizontal="centerContinuous" vertical="center"/>
    </xf>
    <xf numFmtId="188" fontId="18" fillId="2" borderId="3" xfId="0" applyNumberFormat="1" applyFont="1" applyFill="1" applyBorder="1" applyAlignment="1">
      <alignment horizontal="center" vertical="center"/>
    </xf>
    <xf numFmtId="164" fontId="61" fillId="10" borderId="5" xfId="3" applyNumberFormat="1" applyFont="1" applyFill="1" applyBorder="1" applyAlignment="1">
      <alignment horizontal="center" wrapText="1"/>
    </xf>
    <xf numFmtId="8" fontId="61" fillId="13" borderId="5" xfId="0" applyNumberFormat="1" applyFont="1" applyFill="1" applyBorder="1" applyAlignment="1">
      <alignment horizontal="center" vertical="center"/>
    </xf>
    <xf numFmtId="8" fontId="61" fillId="10" borderId="5" xfId="0" applyNumberFormat="1" applyFont="1" applyFill="1" applyBorder="1" applyAlignment="1">
      <alignment horizontal="center" vertical="center"/>
    </xf>
    <xf numFmtId="164" fontId="61" fillId="10" borderId="5" xfId="3" applyNumberFormat="1" applyFont="1" applyFill="1" applyBorder="1" applyAlignment="1">
      <alignment horizontal="center" vertical="center" wrapText="1"/>
    </xf>
    <xf numFmtId="8" fontId="63" fillId="10" borderId="0" xfId="0" applyNumberFormat="1" applyFont="1" applyFill="1" applyAlignment="1">
      <alignment horizontal="center" vertical="center"/>
    </xf>
    <xf numFmtId="168" fontId="63" fillId="10" borderId="0" xfId="0" applyNumberFormat="1" applyFont="1" applyFill="1" applyAlignment="1">
      <alignment horizontal="center" vertical="center"/>
    </xf>
    <xf numFmtId="4" fontId="22" fillId="10" borderId="0" xfId="0" applyNumberFormat="1" applyFont="1" applyFill="1"/>
    <xf numFmtId="164" fontId="61" fillId="13" borderId="5" xfId="3" applyNumberFormat="1" applyFont="1" applyFill="1" applyBorder="1" applyAlignment="1">
      <alignment horizontal="right" vertical="center" wrapText="1"/>
    </xf>
    <xf numFmtId="189" fontId="53" fillId="0" borderId="0" xfId="0" applyNumberFormat="1" applyFont="1"/>
    <xf numFmtId="0" fontId="3" fillId="10" borderId="0" xfId="0" applyFont="1" applyFill="1" applyAlignment="1">
      <alignment horizontal="centerContinuous" vertical="center"/>
    </xf>
    <xf numFmtId="189" fontId="53" fillId="10" borderId="0" xfId="0" applyNumberFormat="1" applyFont="1" applyFill="1" applyAlignment="1">
      <alignment horizontal="center" vertical="center"/>
    </xf>
    <xf numFmtId="189" fontId="53" fillId="0" borderId="0" xfId="0" applyNumberFormat="1" applyFont="1" applyAlignment="1">
      <alignment horizontal="center" vertical="center"/>
    </xf>
    <xf numFmtId="43" fontId="53" fillId="0" borderId="0" xfId="0" applyNumberFormat="1" applyFont="1" applyAlignment="1">
      <alignment horizontal="center" vertical="center"/>
    </xf>
    <xf numFmtId="0" fontId="67" fillId="0" borderId="0" xfId="0" applyFont="1"/>
    <xf numFmtId="10" fontId="19" fillId="0" borderId="0" xfId="0" applyNumberFormat="1" applyFont="1" applyAlignment="1">
      <alignment horizontal="left"/>
    </xf>
    <xf numFmtId="188" fontId="39" fillId="0" borderId="0" xfId="1" applyNumberFormat="1" applyFont="1"/>
    <xf numFmtId="0" fontId="3" fillId="10" borderId="5" xfId="0" applyFont="1" applyFill="1" applyBorder="1"/>
    <xf numFmtId="0" fontId="3" fillId="10" borderId="5" xfId="0" applyFont="1" applyFill="1" applyBorder="1" applyAlignment="1">
      <alignment horizontal="center" vertical="center"/>
    </xf>
    <xf numFmtId="173" fontId="62" fillId="10" borderId="5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20" fillId="0" borderId="0" xfId="0" applyFont="1" applyAlignment="1">
      <alignment horizontal="right" vertical="center"/>
    </xf>
    <xf numFmtId="164" fontId="20" fillId="0" borderId="0" xfId="0" applyNumberFormat="1" applyFont="1" applyAlignment="1">
      <alignment horizontal="left"/>
    </xf>
    <xf numFmtId="4" fontId="3" fillId="10" borderId="5" xfId="0" applyNumberFormat="1" applyFont="1" applyFill="1" applyBorder="1"/>
    <xf numFmtId="10" fontId="4" fillId="2" borderId="1" xfId="1" applyNumberFormat="1" applyFont="1" applyFill="1" applyBorder="1" applyAlignment="1">
      <alignment horizontal="center" vertical="center"/>
    </xf>
    <xf numFmtId="8" fontId="4" fillId="2" borderId="5" xfId="0" applyNumberFormat="1" applyFont="1" applyFill="1" applyBorder="1" applyAlignment="1">
      <alignment horizontal="center" vertical="center"/>
    </xf>
    <xf numFmtId="8" fontId="4" fillId="2" borderId="5" xfId="1" applyNumberFormat="1" applyFont="1" applyFill="1" applyBorder="1" applyAlignment="1">
      <alignment horizontal="center" vertical="center"/>
    </xf>
    <xf numFmtId="0" fontId="49" fillId="2" borderId="0" xfId="5" applyFont="1" applyFill="1" applyAlignment="1">
      <alignment vertical="center"/>
    </xf>
    <xf numFmtId="0" fontId="4" fillId="2" borderId="0" xfId="0" applyFont="1" applyFill="1"/>
    <xf numFmtId="0" fontId="28" fillId="2" borderId="2" xfId="0" applyFont="1" applyFill="1" applyBorder="1" applyAlignment="1">
      <alignment horizontal="center" vertical="center"/>
    </xf>
    <xf numFmtId="1" fontId="28" fillId="2" borderId="2" xfId="0" applyNumberFormat="1" applyFont="1" applyFill="1" applyBorder="1" applyAlignment="1">
      <alignment horizontal="centerContinuous" vertical="center"/>
    </xf>
    <xf numFmtId="167" fontId="27" fillId="6" borderId="5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indent="1"/>
    </xf>
    <xf numFmtId="4" fontId="27" fillId="10" borderId="3" xfId="0" applyNumberFormat="1" applyFont="1" applyFill="1" applyBorder="1" applyAlignment="1">
      <alignment vertical="center"/>
    </xf>
    <xf numFmtId="0" fontId="27" fillId="0" borderId="0" xfId="0" applyFont="1" applyAlignment="1">
      <alignment horizontal="left" vertical="center" indent="1"/>
    </xf>
    <xf numFmtId="0" fontId="0" fillId="0" borderId="0" xfId="0" applyAlignment="1">
      <alignment horizontal="centerContinuous"/>
    </xf>
    <xf numFmtId="0" fontId="0" fillId="6" borderId="5" xfId="0" applyFill="1" applyBorder="1" applyAlignment="1">
      <alignment horizontal="left" vertical="center" indent="1"/>
    </xf>
    <xf numFmtId="164" fontId="28" fillId="2" borderId="2" xfId="0" applyNumberFormat="1" applyFont="1" applyFill="1" applyBorder="1" applyAlignment="1">
      <alignment horizontal="center" vertical="center"/>
    </xf>
    <xf numFmtId="0" fontId="28" fillId="2" borderId="2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centerContinuous" vertical="center"/>
    </xf>
    <xf numFmtId="0" fontId="4" fillId="2" borderId="126" xfId="0" applyFont="1" applyFill="1" applyBorder="1" applyAlignment="1">
      <alignment horizontal="centerContinuous"/>
    </xf>
    <xf numFmtId="0" fontId="4" fillId="2" borderId="185" xfId="0" applyFont="1" applyFill="1" applyBorder="1" applyAlignment="1">
      <alignment horizontal="centerContinuous"/>
    </xf>
    <xf numFmtId="0" fontId="4" fillId="2" borderId="186" xfId="0" applyFont="1" applyFill="1" applyBorder="1" applyAlignment="1">
      <alignment horizontal="centerContinuous"/>
    </xf>
    <xf numFmtId="0" fontId="60" fillId="12" borderId="29" xfId="0" applyFont="1" applyFill="1" applyBorder="1" applyAlignment="1">
      <alignment vertical="center" wrapText="1"/>
    </xf>
    <xf numFmtId="0" fontId="4" fillId="2" borderId="189" xfId="0" applyFont="1" applyFill="1" applyBorder="1" applyAlignment="1">
      <alignment horizontal="center"/>
    </xf>
    <xf numFmtId="0" fontId="4" fillId="2" borderId="189" xfId="0" applyFont="1" applyFill="1" applyBorder="1" applyAlignment="1">
      <alignment horizontal="center" vertical="center"/>
    </xf>
    <xf numFmtId="0" fontId="4" fillId="2" borderId="189" xfId="0" applyFont="1" applyFill="1" applyBorder="1" applyAlignment="1">
      <alignment horizontal="center" vertical="center" wrapText="1"/>
    </xf>
    <xf numFmtId="0" fontId="3" fillId="0" borderId="147" xfId="0" applyFont="1" applyBorder="1"/>
    <xf numFmtId="8" fontId="0" fillId="0" borderId="165" xfId="0" applyNumberFormat="1" applyBorder="1"/>
    <xf numFmtId="8" fontId="3" fillId="0" borderId="30" xfId="0" applyNumberFormat="1" applyFont="1" applyBorder="1"/>
    <xf numFmtId="8" fontId="3" fillId="0" borderId="65" xfId="0" applyNumberFormat="1" applyFont="1" applyBorder="1"/>
    <xf numFmtId="164" fontId="0" fillId="0" borderId="25" xfId="0" applyNumberFormat="1" applyBorder="1"/>
    <xf numFmtId="0" fontId="3" fillId="0" borderId="3" xfId="0" applyFont="1" applyBorder="1"/>
    <xf numFmtId="164" fontId="3" fillId="0" borderId="5" xfId="0" applyNumberFormat="1" applyFont="1" applyBorder="1"/>
    <xf numFmtId="8" fontId="3" fillId="6" borderId="5" xfId="0" applyNumberFormat="1" applyFont="1" applyFill="1" applyBorder="1"/>
    <xf numFmtId="8" fontId="3" fillId="0" borderId="67" xfId="0" applyNumberFormat="1" applyFont="1" applyBorder="1"/>
    <xf numFmtId="0" fontId="0" fillId="0" borderId="3" xfId="0" applyBorder="1" applyAlignment="1">
      <alignment horizontal="center" vertical="center"/>
    </xf>
    <xf numFmtId="164" fontId="0" fillId="0" borderId="5" xfId="3" applyNumberFormat="1" applyFont="1" applyBorder="1"/>
    <xf numFmtId="8" fontId="3" fillId="0" borderId="25" xfId="0" applyNumberFormat="1" applyFont="1" applyBorder="1" applyAlignment="1">
      <alignment horizontal="center" vertical="center"/>
    </xf>
    <xf numFmtId="44" fontId="0" fillId="10" borderId="5" xfId="0" applyNumberFormat="1" applyFill="1" applyBorder="1"/>
    <xf numFmtId="44" fontId="3" fillId="0" borderId="5" xfId="0" applyNumberFormat="1" applyFont="1" applyBorder="1"/>
    <xf numFmtId="0" fontId="4" fillId="2" borderId="57" xfId="0" applyFont="1" applyFill="1" applyBorder="1" applyAlignment="1">
      <alignment horizontal="center" vertical="center"/>
    </xf>
    <xf numFmtId="0" fontId="4" fillId="2" borderId="187" xfId="0" applyFont="1" applyFill="1" applyBorder="1" applyAlignment="1">
      <alignment horizontal="center" vertical="center"/>
    </xf>
    <xf numFmtId="8" fontId="63" fillId="10" borderId="0" xfId="0" applyNumberFormat="1" applyFont="1" applyFill="1" applyAlignment="1">
      <alignment horizontal="centerContinuous" vertical="center"/>
    </xf>
    <xf numFmtId="164" fontId="0" fillId="0" borderId="25" xfId="3" applyNumberFormat="1" applyFont="1" applyBorder="1"/>
    <xf numFmtId="0" fontId="3" fillId="10" borderId="30" xfId="0" applyFont="1" applyFill="1" applyBorder="1" applyAlignment="1">
      <alignment horizontal="center" vertical="center"/>
    </xf>
    <xf numFmtId="164" fontId="0" fillId="0" borderId="1" xfId="0" applyNumberFormat="1" applyBorder="1"/>
    <xf numFmtId="10" fontId="0" fillId="0" borderId="5" xfId="1" applyNumberFormat="1" applyFont="1" applyBorder="1"/>
    <xf numFmtId="0" fontId="4" fillId="2" borderId="185" xfId="0" applyFont="1" applyFill="1" applyBorder="1" applyAlignment="1">
      <alignment horizontal="centerContinuous" vertical="center"/>
    </xf>
    <xf numFmtId="0" fontId="4" fillId="2" borderId="126" xfId="0" applyFont="1" applyFill="1" applyBorder="1" applyAlignment="1">
      <alignment horizontal="centerContinuous" vertical="center"/>
    </xf>
    <xf numFmtId="0" fontId="4" fillId="2" borderId="186" xfId="0" applyFont="1" applyFill="1" applyBorder="1" applyAlignment="1">
      <alignment horizontal="centerContinuous" vertical="center"/>
    </xf>
    <xf numFmtId="0" fontId="69" fillId="0" borderId="190" xfId="0" applyFont="1" applyBorder="1" applyAlignment="1">
      <alignment horizontal="centerContinuous" vertical="justify" wrapText="1"/>
    </xf>
    <xf numFmtId="0" fontId="0" fillId="0" borderId="190" xfId="0" applyBorder="1" applyAlignment="1">
      <alignment horizontal="centerContinuous" vertical="justify"/>
    </xf>
    <xf numFmtId="0" fontId="70" fillId="0" borderId="190" xfId="0" applyFont="1" applyBorder="1" applyAlignment="1">
      <alignment horizontal="center" vertical="center" wrapText="1"/>
    </xf>
    <xf numFmtId="0" fontId="70" fillId="0" borderId="190" xfId="0" applyFont="1" applyBorder="1" applyAlignment="1">
      <alignment horizontal="centerContinuous" vertical="justify" wrapText="1"/>
    </xf>
    <xf numFmtId="10" fontId="0" fillId="0" borderId="5" xfId="1" applyNumberFormat="1" applyFont="1" applyBorder="1" applyAlignment="1">
      <alignment horizontal="center" vertical="center"/>
    </xf>
    <xf numFmtId="8" fontId="0" fillId="0" borderId="5" xfId="0" applyNumberFormat="1" applyBorder="1" applyAlignment="1">
      <alignment horizontal="right"/>
    </xf>
    <xf numFmtId="0" fontId="0" fillId="0" borderId="5" xfId="0" applyBorder="1" applyAlignment="1">
      <alignment horizontal="right"/>
    </xf>
    <xf numFmtId="0" fontId="31" fillId="2" borderId="5" xfId="0" applyFont="1" applyFill="1" applyBorder="1" applyAlignment="1">
      <alignment horizontal="centerContinuous" vertical="center"/>
    </xf>
    <xf numFmtId="8" fontId="3" fillId="0" borderId="0" xfId="0" applyNumberFormat="1" applyFont="1" applyAlignment="1">
      <alignment horizontal="center" vertical="center"/>
    </xf>
    <xf numFmtId="8" fontId="3" fillId="0" borderId="25" xfId="0" applyNumberFormat="1" applyFont="1" applyBorder="1" applyAlignment="1">
      <alignment wrapText="1"/>
    </xf>
    <xf numFmtId="8" fontId="0" fillId="0" borderId="25" xfId="0" applyNumberFormat="1" applyBorder="1" applyAlignment="1">
      <alignment wrapText="1"/>
    </xf>
    <xf numFmtId="8" fontId="0" fillId="0" borderId="25" xfId="0" applyNumberFormat="1" applyBorder="1" applyAlignment="1">
      <alignment horizontal="center" vertical="center" wrapText="1"/>
    </xf>
    <xf numFmtId="8" fontId="3" fillId="0" borderId="25" xfId="0" applyNumberFormat="1" applyFont="1" applyBorder="1" applyAlignment="1">
      <alignment horizontal="center" vertical="center" wrapText="1"/>
    </xf>
    <xf numFmtId="0" fontId="3" fillId="0" borderId="64" xfId="0" applyFont="1" applyBorder="1" applyAlignment="1">
      <alignment vertical="justify" wrapText="1"/>
    </xf>
    <xf numFmtId="0" fontId="3" fillId="0" borderId="66" xfId="0" applyFont="1" applyBorder="1" applyAlignment="1">
      <alignment vertical="justify" wrapText="1"/>
    </xf>
    <xf numFmtId="0" fontId="0" fillId="0" borderId="66" xfId="0" applyBorder="1" applyAlignment="1">
      <alignment vertical="justify" wrapText="1"/>
    </xf>
    <xf numFmtId="164" fontId="0" fillId="0" borderId="5" xfId="3" applyNumberFormat="1" applyFont="1" applyBorder="1" applyAlignment="1">
      <alignment horizontal="right" vertical="center"/>
    </xf>
    <xf numFmtId="164" fontId="0" fillId="0" borderId="5" xfId="3" applyNumberFormat="1" applyFont="1" applyBorder="1" applyAlignment="1">
      <alignment vertical="center"/>
    </xf>
    <xf numFmtId="3" fontId="0" fillId="0" borderId="5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164" fontId="0" fillId="0" borderId="5" xfId="0" applyNumberFormat="1" applyBorder="1" applyAlignment="1">
      <alignment vertical="center"/>
    </xf>
    <xf numFmtId="164" fontId="3" fillId="0" borderId="5" xfId="0" applyNumberFormat="1" applyFont="1" applyBorder="1" applyAlignment="1">
      <alignment vertical="center"/>
    </xf>
    <xf numFmtId="8" fontId="4" fillId="0" borderId="5" xfId="1" applyNumberFormat="1" applyFont="1" applyFill="1" applyBorder="1" applyAlignment="1">
      <alignment horizontal="center" vertical="center"/>
    </xf>
    <xf numFmtId="164" fontId="4" fillId="0" borderId="5" xfId="3" applyNumberFormat="1" applyFont="1" applyFill="1" applyBorder="1" applyAlignment="1">
      <alignment horizontal="right" vertical="center"/>
    </xf>
    <xf numFmtId="0" fontId="3" fillId="0" borderId="64" xfId="0" applyFont="1" applyBorder="1" applyAlignment="1">
      <alignment horizontal="left" vertical="center" wrapText="1"/>
    </xf>
    <xf numFmtId="0" fontId="3" fillId="0" borderId="66" xfId="0" applyFont="1" applyBorder="1" applyAlignment="1">
      <alignment horizontal="left" vertical="center" wrapText="1"/>
    </xf>
    <xf numFmtId="0" fontId="0" fillId="0" borderId="66" xfId="0" applyBorder="1" applyAlignment="1">
      <alignment horizontal="left" vertical="center" wrapText="1"/>
    </xf>
    <xf numFmtId="8" fontId="0" fillId="0" borderId="5" xfId="0" applyNumberFormat="1" applyBorder="1" applyAlignment="1">
      <alignment horizontal="center" vertical="center"/>
    </xf>
    <xf numFmtId="8" fontId="3" fillId="0" borderId="5" xfId="0" applyNumberFormat="1" applyFont="1" applyBorder="1" applyAlignment="1">
      <alignment horizontal="center" vertical="center"/>
    </xf>
    <xf numFmtId="44" fontId="0" fillId="0" borderId="5" xfId="3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3" fontId="0" fillId="0" borderId="5" xfId="0" applyNumberFormat="1" applyBorder="1" applyAlignment="1">
      <alignment vertical="center"/>
    </xf>
    <xf numFmtId="44" fontId="32" fillId="10" borderId="5" xfId="0" applyNumberFormat="1" applyFont="1" applyFill="1" applyBorder="1"/>
    <xf numFmtId="2" fontId="31" fillId="10" borderId="0" xfId="0" applyNumberFormat="1" applyFont="1" applyFill="1"/>
    <xf numFmtId="8" fontId="31" fillId="0" borderId="0" xfId="0" applyNumberFormat="1" applyFont="1"/>
    <xf numFmtId="0" fontId="49" fillId="2" borderId="0" xfId="5" applyFont="1" applyFill="1" applyAlignment="1">
      <alignment horizontal="center" vertical="center"/>
    </xf>
    <xf numFmtId="0" fontId="58" fillId="2" borderId="36" xfId="0" applyFont="1" applyFill="1" applyBorder="1" applyAlignment="1">
      <alignment horizontal="center" vertical="top" wrapText="1"/>
    </xf>
    <xf numFmtId="0" fontId="58" fillId="2" borderId="30" xfId="0" applyFont="1" applyFill="1" applyBorder="1" applyAlignment="1">
      <alignment horizontal="center" vertical="top" wrapText="1"/>
    </xf>
    <xf numFmtId="0" fontId="58" fillId="2" borderId="164" xfId="0" applyFont="1" applyFill="1" applyBorder="1" applyAlignment="1">
      <alignment horizontal="center" vertical="top" wrapText="1"/>
    </xf>
    <xf numFmtId="0" fontId="21" fillId="2" borderId="165" xfId="0" applyFont="1" applyFill="1" applyBorder="1" applyAlignment="1">
      <alignment horizontal="center" vertical="center" wrapText="1"/>
    </xf>
    <xf numFmtId="0" fontId="21" fillId="2" borderId="30" xfId="0" applyFont="1" applyFill="1" applyBorder="1" applyAlignment="1">
      <alignment horizontal="center" vertical="center" wrapText="1"/>
    </xf>
    <xf numFmtId="0" fontId="21" fillId="2" borderId="25" xfId="0" applyFont="1" applyFill="1" applyBorder="1" applyAlignment="1">
      <alignment horizontal="center" vertical="center" wrapText="1"/>
    </xf>
    <xf numFmtId="0" fontId="5" fillId="6" borderId="108" xfId="2" applyFont="1" applyFill="1" applyBorder="1" applyAlignment="1">
      <alignment horizontal="center"/>
    </xf>
    <xf numFmtId="0" fontId="5" fillId="6" borderId="117" xfId="2" applyFont="1" applyFill="1" applyBorder="1" applyAlignment="1">
      <alignment horizontal="center"/>
    </xf>
    <xf numFmtId="0" fontId="5" fillId="6" borderId="74" xfId="2" applyFont="1" applyFill="1" applyBorder="1" applyAlignment="1">
      <alignment vertical="center"/>
    </xf>
    <xf numFmtId="0" fontId="3" fillId="0" borderId="5" xfId="0" applyFont="1" applyBorder="1" applyAlignment="1">
      <alignment horizontal="left"/>
    </xf>
    <xf numFmtId="0" fontId="5" fillId="6" borderId="108" xfId="2" applyFont="1" applyFill="1" applyBorder="1" applyAlignment="1">
      <alignment vertical="center"/>
    </xf>
    <xf numFmtId="0" fontId="5" fillId="6" borderId="109" xfId="2" applyFont="1" applyFill="1" applyBorder="1" applyAlignment="1">
      <alignment vertical="center"/>
    </xf>
    <xf numFmtId="0" fontId="3" fillId="0" borderId="5" xfId="0" applyFont="1" applyBorder="1" applyAlignment="1">
      <alignment horizontal="left" vertical="center"/>
    </xf>
    <xf numFmtId="0" fontId="4" fillId="2" borderId="76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77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6" borderId="108" xfId="0" applyFont="1" applyFill="1" applyBorder="1" applyAlignment="1">
      <alignment horizontal="center"/>
    </xf>
    <xf numFmtId="0" fontId="3" fillId="6" borderId="117" xfId="0" applyFont="1" applyFill="1" applyBorder="1" applyAlignment="1">
      <alignment horizontal="center"/>
    </xf>
    <xf numFmtId="2" fontId="3" fillId="10" borderId="5" xfId="2" applyNumberFormat="1" applyFont="1" applyFill="1" applyBorder="1" applyAlignment="1">
      <alignment horizontal="center"/>
    </xf>
    <xf numFmtId="8" fontId="3" fillId="10" borderId="5" xfId="2" applyNumberFormat="1" applyFont="1" applyFill="1" applyBorder="1" applyAlignment="1">
      <alignment horizontal="center"/>
    </xf>
    <xf numFmtId="10" fontId="5" fillId="10" borderId="5" xfId="0" applyNumberFormat="1" applyFont="1" applyFill="1" applyBorder="1" applyAlignment="1">
      <alignment horizontal="center"/>
    </xf>
    <xf numFmtId="10" fontId="3" fillId="10" borderId="5" xfId="0" applyNumberFormat="1" applyFont="1" applyFill="1" applyBorder="1" applyAlignment="1">
      <alignment horizontal="center"/>
    </xf>
    <xf numFmtId="0" fontId="40" fillId="2" borderId="110" xfId="0" applyFont="1" applyFill="1" applyBorder="1" applyAlignment="1">
      <alignment horizontal="center" vertical="center"/>
    </xf>
    <xf numFmtId="0" fontId="40" fillId="2" borderId="111" xfId="0" applyFont="1" applyFill="1" applyBorder="1" applyAlignment="1">
      <alignment horizontal="center" vertical="center"/>
    </xf>
    <xf numFmtId="0" fontId="41" fillId="2" borderId="114" xfId="0" applyFont="1" applyFill="1" applyBorder="1" applyAlignment="1">
      <alignment horizontal="center" vertical="center"/>
    </xf>
    <xf numFmtId="0" fontId="41" fillId="2" borderId="115" xfId="0" applyFont="1" applyFill="1" applyBorder="1" applyAlignment="1">
      <alignment horizontal="center" vertical="center"/>
    </xf>
    <xf numFmtId="0" fontId="5" fillId="6" borderId="108" xfId="2" applyFont="1" applyFill="1" applyBorder="1" applyAlignment="1">
      <alignment horizontal="left"/>
    </xf>
    <xf numFmtId="0" fontId="5" fillId="6" borderId="109" xfId="2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0" fontId="5" fillId="6" borderId="118" xfId="2" applyFont="1" applyFill="1" applyBorder="1" applyAlignment="1">
      <alignment horizontal="left"/>
    </xf>
    <xf numFmtId="0" fontId="5" fillId="6" borderId="119" xfId="2" applyFont="1" applyFill="1" applyBorder="1" applyAlignment="1">
      <alignment horizontal="left"/>
    </xf>
    <xf numFmtId="0" fontId="5" fillId="6" borderId="1" xfId="2" applyFont="1" applyFill="1" applyBorder="1" applyAlignment="1">
      <alignment horizontal="center"/>
    </xf>
    <xf numFmtId="0" fontId="5" fillId="6" borderId="3" xfId="2" applyFont="1" applyFill="1" applyBorder="1" applyAlignment="1">
      <alignment horizontal="center"/>
    </xf>
    <xf numFmtId="0" fontId="60" fillId="12" borderId="21" xfId="0" applyFont="1" applyFill="1" applyBorder="1" applyAlignment="1">
      <alignment horizontal="center" vertical="center" wrapText="1"/>
    </xf>
    <xf numFmtId="0" fontId="60" fillId="12" borderId="27" xfId="0" applyFont="1" applyFill="1" applyBorder="1" applyAlignment="1">
      <alignment horizontal="center" vertical="center" wrapText="1"/>
    </xf>
    <xf numFmtId="0" fontId="60" fillId="12" borderId="35" xfId="0" applyFont="1" applyFill="1" applyBorder="1" applyAlignment="1">
      <alignment horizontal="center" vertical="center" wrapText="1"/>
    </xf>
    <xf numFmtId="0" fontId="60" fillId="12" borderId="9" xfId="0" applyFont="1" applyFill="1" applyBorder="1" applyAlignment="1">
      <alignment horizontal="center" vertical="center"/>
    </xf>
    <xf numFmtId="0" fontId="60" fillId="12" borderId="17" xfId="0" applyFont="1" applyFill="1" applyBorder="1" applyAlignment="1">
      <alignment horizontal="center" vertical="center"/>
    </xf>
    <xf numFmtId="0" fontId="60" fillId="12" borderId="24" xfId="0" applyFont="1" applyFill="1" applyBorder="1" applyAlignment="1">
      <alignment horizontal="center" vertical="center" wrapText="1"/>
    </xf>
    <xf numFmtId="0" fontId="61" fillId="12" borderId="31" xfId="0" applyFont="1" applyFill="1" applyBorder="1" applyAlignment="1">
      <alignment horizontal="center" vertical="center"/>
    </xf>
    <xf numFmtId="0" fontId="61" fillId="12" borderId="32" xfId="0" applyFont="1" applyFill="1" applyBorder="1" applyAlignment="1">
      <alignment horizontal="center" vertical="center"/>
    </xf>
    <xf numFmtId="0" fontId="59" fillId="8" borderId="6" xfId="0" applyFont="1" applyFill="1" applyBorder="1" applyAlignment="1">
      <alignment horizontal="center"/>
    </xf>
    <xf numFmtId="0" fontId="59" fillId="8" borderId="7" xfId="0" applyFont="1" applyFill="1" applyBorder="1" applyAlignment="1">
      <alignment horizontal="center"/>
    </xf>
    <xf numFmtId="0" fontId="59" fillId="8" borderId="8" xfId="0" applyFont="1" applyFill="1" applyBorder="1" applyAlignment="1">
      <alignment horizontal="center"/>
    </xf>
    <xf numFmtId="0" fontId="60" fillId="12" borderId="10" xfId="0" applyFont="1" applyFill="1" applyBorder="1" applyAlignment="1">
      <alignment horizontal="center" vertical="center"/>
    </xf>
    <xf numFmtId="0" fontId="60" fillId="12" borderId="1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0" fontId="7" fillId="10" borderId="45" xfId="1" applyNumberFormat="1" applyFont="1" applyFill="1" applyBorder="1" applyAlignment="1">
      <alignment horizontal="center" vertical="center"/>
    </xf>
    <xf numFmtId="10" fontId="7" fillId="10" borderId="120" xfId="1" applyNumberFormat="1" applyFont="1" applyFill="1" applyBorder="1" applyAlignment="1">
      <alignment horizontal="center" vertical="center"/>
    </xf>
    <xf numFmtId="10" fontId="7" fillId="10" borderId="26" xfId="1" applyNumberFormat="1" applyFont="1" applyFill="1" applyBorder="1" applyAlignment="1">
      <alignment horizontal="center" vertical="center"/>
    </xf>
    <xf numFmtId="0" fontId="7" fillId="10" borderId="36" xfId="0" applyFont="1" applyFill="1" applyBorder="1" applyAlignment="1">
      <alignment horizontal="center" vertical="center"/>
    </xf>
    <xf numFmtId="0" fontId="7" fillId="10" borderId="30" xfId="0" applyFont="1" applyFill="1" applyBorder="1" applyAlignment="1">
      <alignment horizontal="center" vertical="center"/>
    </xf>
    <xf numFmtId="0" fontId="7" fillId="10" borderId="25" xfId="0" applyFont="1" applyFill="1" applyBorder="1" applyAlignment="1">
      <alignment horizontal="center" vertical="center"/>
    </xf>
    <xf numFmtId="0" fontId="7" fillId="11" borderId="34" xfId="0" applyFont="1" applyFill="1" applyBorder="1" applyAlignment="1">
      <alignment horizontal="center" vertical="center"/>
    </xf>
    <xf numFmtId="0" fontId="7" fillId="11" borderId="3" xfId="0" applyFont="1" applyFill="1" applyBorder="1" applyAlignment="1">
      <alignment horizontal="center" vertical="center"/>
    </xf>
    <xf numFmtId="0" fontId="7" fillId="12" borderId="31" xfId="0" applyFont="1" applyFill="1" applyBorder="1" applyAlignment="1">
      <alignment horizontal="center" vertical="center"/>
    </xf>
    <xf numFmtId="0" fontId="7" fillId="12" borderId="32" xfId="0" applyFont="1" applyFill="1" applyBorder="1" applyAlignment="1">
      <alignment horizontal="center" vertical="center"/>
    </xf>
    <xf numFmtId="0" fontId="10" fillId="0" borderId="35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10" fontId="7" fillId="14" borderId="21" xfId="1" applyNumberFormat="1" applyFont="1" applyFill="1" applyBorder="1" applyAlignment="1">
      <alignment horizontal="center" vertical="center"/>
    </xf>
    <xf numFmtId="10" fontId="7" fillId="14" borderId="27" xfId="1" applyNumberFormat="1" applyFont="1" applyFill="1" applyBorder="1" applyAlignment="1">
      <alignment horizontal="center" vertical="center"/>
    </xf>
    <xf numFmtId="10" fontId="7" fillId="14" borderId="37" xfId="1" applyNumberFormat="1" applyFont="1" applyFill="1" applyBorder="1" applyAlignment="1">
      <alignment horizontal="center" vertical="center"/>
    </xf>
    <xf numFmtId="10" fontId="7" fillId="14" borderId="24" xfId="1" applyNumberFormat="1" applyFont="1" applyFill="1" applyBorder="1" applyAlignment="1">
      <alignment horizontal="center" vertical="center"/>
    </xf>
    <xf numFmtId="10" fontId="7" fillId="10" borderId="36" xfId="1" applyNumberFormat="1" applyFont="1" applyFill="1" applyBorder="1" applyAlignment="1">
      <alignment horizontal="center" vertical="center"/>
    </xf>
    <xf numFmtId="10" fontId="7" fillId="10" borderId="30" xfId="1" applyNumberFormat="1" applyFont="1" applyFill="1" applyBorder="1" applyAlignment="1">
      <alignment horizontal="center" vertical="center"/>
    </xf>
    <xf numFmtId="10" fontId="7" fillId="10" borderId="25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5" borderId="1" xfId="0" applyFont="1" applyFill="1" applyBorder="1" applyAlignment="1">
      <alignment horizontal="left" vertical="center"/>
    </xf>
    <xf numFmtId="0" fontId="8" fillId="5" borderId="2" xfId="0" applyFont="1" applyFill="1" applyBorder="1" applyAlignment="1">
      <alignment horizontal="left" vertical="center"/>
    </xf>
    <xf numFmtId="0" fontId="8" fillId="5" borderId="3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7" fillId="10" borderId="12" xfId="0" applyFont="1" applyFill="1" applyBorder="1" applyAlignment="1">
      <alignment horizontal="center" vertical="center"/>
    </xf>
    <xf numFmtId="10" fontId="7" fillId="10" borderId="12" xfId="1" applyNumberFormat="1" applyFont="1" applyFill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7" fillId="10" borderId="19" xfId="0" applyFont="1" applyFill="1" applyBorder="1" applyAlignment="1">
      <alignment horizontal="center" vertical="center"/>
    </xf>
    <xf numFmtId="2" fontId="7" fillId="10" borderId="36" xfId="0" applyNumberFormat="1" applyFont="1" applyFill="1" applyBorder="1" applyAlignment="1">
      <alignment horizontal="center" vertical="center"/>
    </xf>
    <xf numFmtId="2" fontId="7" fillId="10" borderId="30" xfId="0" applyNumberFormat="1" applyFont="1" applyFill="1" applyBorder="1" applyAlignment="1">
      <alignment horizontal="center" vertical="center"/>
    </xf>
    <xf numFmtId="2" fontId="7" fillId="10" borderId="19" xfId="0" applyNumberFormat="1" applyFont="1" applyFill="1" applyBorder="1" applyAlignment="1">
      <alignment horizontal="center" vertical="center"/>
    </xf>
    <xf numFmtId="166" fontId="7" fillId="10" borderId="36" xfId="1" applyNumberFormat="1" applyFont="1" applyFill="1" applyBorder="1" applyAlignment="1">
      <alignment horizontal="center" vertical="center"/>
    </xf>
    <xf numFmtId="166" fontId="7" fillId="10" borderId="30" xfId="1" applyNumberFormat="1" applyFont="1" applyFill="1" applyBorder="1" applyAlignment="1">
      <alignment horizontal="center" vertical="center"/>
    </xf>
    <xf numFmtId="166" fontId="7" fillId="10" borderId="19" xfId="1" applyNumberFormat="1" applyFont="1" applyFill="1" applyBorder="1" applyAlignment="1">
      <alignment horizontal="center" vertical="center"/>
    </xf>
    <xf numFmtId="169" fontId="7" fillId="10" borderId="36" xfId="0" applyNumberFormat="1" applyFont="1" applyFill="1" applyBorder="1" applyAlignment="1">
      <alignment horizontal="center" vertical="center"/>
    </xf>
    <xf numFmtId="169" fontId="7" fillId="10" borderId="30" xfId="0" applyNumberFormat="1" applyFont="1" applyFill="1" applyBorder="1" applyAlignment="1">
      <alignment horizontal="center" vertical="center"/>
    </xf>
    <xf numFmtId="169" fontId="7" fillId="10" borderId="19" xfId="0" applyNumberFormat="1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164" fontId="8" fillId="11" borderId="43" xfId="0" applyNumberFormat="1" applyFont="1" applyFill="1" applyBorder="1" applyAlignment="1">
      <alignment horizontal="center"/>
    </xf>
    <xf numFmtId="164" fontId="8" fillId="11" borderId="38" xfId="0" applyNumberFormat="1" applyFont="1" applyFill="1" applyBorder="1" applyAlignment="1">
      <alignment horizontal="center"/>
    </xf>
    <xf numFmtId="0" fontId="3" fillId="7" borderId="2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3" fillId="7" borderId="37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10" fontId="5" fillId="12" borderId="13" xfId="1" applyNumberFormat="1" applyFont="1" applyFill="1" applyBorder="1" applyAlignment="1">
      <alignment horizontal="center" vertical="center"/>
    </xf>
    <xf numFmtId="10" fontId="5" fillId="12" borderId="20" xfId="1" applyNumberFormat="1" applyFont="1" applyFill="1" applyBorder="1" applyAlignment="1">
      <alignment horizontal="center" vertical="center"/>
    </xf>
    <xf numFmtId="164" fontId="13" fillId="10" borderId="31" xfId="0" applyNumberFormat="1" applyFont="1" applyFill="1" applyBorder="1" applyAlignment="1">
      <alignment horizontal="center" vertical="center"/>
    </xf>
    <xf numFmtId="164" fontId="13" fillId="10" borderId="38" xfId="0" applyNumberFormat="1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16" fillId="8" borderId="5" xfId="0" applyFont="1" applyFill="1" applyBorder="1" applyAlignment="1">
      <alignment horizontal="center"/>
    </xf>
    <xf numFmtId="0" fontId="10" fillId="0" borderId="21" xfId="0" applyFont="1" applyBorder="1" applyAlignment="1">
      <alignment horizontal="center" vertical="center" wrapText="1"/>
    </xf>
    <xf numFmtId="0" fontId="26" fillId="8" borderId="22" xfId="0" applyFont="1" applyFill="1" applyBorder="1" applyAlignment="1">
      <alignment horizontal="center" vertical="center"/>
    </xf>
    <xf numFmtId="0" fontId="26" fillId="8" borderId="5" xfId="0" applyFont="1" applyFill="1" applyBorder="1" applyAlignment="1">
      <alignment horizontal="center" vertical="center"/>
    </xf>
    <xf numFmtId="0" fontId="26" fillId="8" borderId="23" xfId="0" applyFont="1" applyFill="1" applyBorder="1" applyAlignment="1">
      <alignment horizontal="center" vertical="center"/>
    </xf>
    <xf numFmtId="0" fontId="26" fillId="8" borderId="28" xfId="0" applyFont="1" applyFill="1" applyBorder="1" applyAlignment="1">
      <alignment horizontal="center" vertical="center"/>
    </xf>
    <xf numFmtId="0" fontId="26" fillId="2" borderId="5" xfId="0" applyFont="1" applyFill="1" applyBorder="1" applyAlignment="1">
      <alignment horizontal="center" vertical="center"/>
    </xf>
    <xf numFmtId="0" fontId="47" fillId="2" borderId="5" xfId="0" applyFont="1" applyFill="1" applyBorder="1" applyAlignment="1">
      <alignment horizontal="center" vertical="center"/>
    </xf>
    <xf numFmtId="0" fontId="26" fillId="8" borderId="14" xfId="0" applyFont="1" applyFill="1" applyBorder="1" applyAlignment="1">
      <alignment horizontal="center" vertical="center"/>
    </xf>
    <xf numFmtId="0" fontId="26" fillId="8" borderId="11" xfId="0" applyFont="1" applyFill="1" applyBorder="1" applyAlignment="1">
      <alignment horizontal="center" vertical="center"/>
    </xf>
    <xf numFmtId="0" fontId="26" fillId="8" borderId="10" xfId="0" applyFont="1" applyFill="1" applyBorder="1" applyAlignment="1">
      <alignment horizontal="center" vertical="center"/>
    </xf>
    <xf numFmtId="0" fontId="26" fillId="8" borderId="15" xfId="0" applyFont="1" applyFill="1" applyBorder="1" applyAlignment="1">
      <alignment horizontal="center" vertical="center"/>
    </xf>
    <xf numFmtId="0" fontId="26" fillId="8" borderId="42" xfId="0" applyFont="1" applyFill="1" applyBorder="1" applyAlignment="1">
      <alignment horizontal="center" vertical="center"/>
    </xf>
    <xf numFmtId="0" fontId="26" fillId="8" borderId="9" xfId="0" applyFont="1" applyFill="1" applyBorder="1" applyAlignment="1">
      <alignment horizontal="center" vertical="center"/>
    </xf>
    <xf numFmtId="0" fontId="26" fillId="8" borderId="29" xfId="0" applyFont="1" applyFill="1" applyBorder="1" applyAlignment="1">
      <alignment horizontal="center" vertical="center"/>
    </xf>
    <xf numFmtId="0" fontId="16" fillId="8" borderId="6" xfId="0" applyFont="1" applyFill="1" applyBorder="1" applyAlignment="1">
      <alignment horizontal="center"/>
    </xf>
    <xf numFmtId="0" fontId="16" fillId="8" borderId="7" xfId="0" applyFont="1" applyFill="1" applyBorder="1" applyAlignment="1">
      <alignment horizontal="center"/>
    </xf>
    <xf numFmtId="0" fontId="16" fillId="8" borderId="8" xfId="0" applyFont="1" applyFill="1" applyBorder="1" applyAlignment="1">
      <alignment horizontal="center"/>
    </xf>
    <xf numFmtId="0" fontId="47" fillId="8" borderId="5" xfId="0" applyFont="1" applyFill="1" applyBorder="1" applyAlignment="1">
      <alignment horizontal="center" vertical="center" wrapText="1"/>
    </xf>
    <xf numFmtId="0" fontId="4" fillId="2" borderId="106" xfId="0" applyFont="1" applyFill="1" applyBorder="1" applyAlignment="1">
      <alignment horizontal="center" vertical="center"/>
    </xf>
    <xf numFmtId="0" fontId="4" fillId="2" borderId="107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150" xfId="0" applyFont="1" applyFill="1" applyBorder="1" applyAlignment="1">
      <alignment horizontal="center" vertical="center"/>
    </xf>
    <xf numFmtId="0" fontId="4" fillId="2" borderId="188" xfId="0" applyFont="1" applyFill="1" applyBorder="1" applyAlignment="1">
      <alignment horizontal="center" vertical="center"/>
    </xf>
    <xf numFmtId="0" fontId="4" fillId="2" borderId="151" xfId="0" applyFont="1" applyFill="1" applyBorder="1" applyAlignment="1">
      <alignment horizontal="center"/>
    </xf>
    <xf numFmtId="0" fontId="4" fillId="2" borderId="151" xfId="0" applyFont="1" applyFill="1" applyBorder="1" applyAlignment="1">
      <alignment horizontal="center" vertical="center"/>
    </xf>
    <xf numFmtId="0" fontId="4" fillId="2" borderId="189" xfId="0" applyFont="1" applyFill="1" applyBorder="1" applyAlignment="1">
      <alignment horizontal="center" vertical="center"/>
    </xf>
    <xf numFmtId="0" fontId="63" fillId="0" borderId="49" xfId="0" applyFont="1" applyBorder="1" applyAlignment="1">
      <alignment horizontal="center" vertical="center"/>
    </xf>
    <xf numFmtId="0" fontId="63" fillId="0" borderId="5" xfId="0" applyFont="1" applyBorder="1" applyAlignment="1">
      <alignment horizontal="center" vertical="center"/>
    </xf>
    <xf numFmtId="0" fontId="63" fillId="0" borderId="56" xfId="0" applyFont="1" applyBorder="1" applyAlignment="1">
      <alignment horizontal="center" vertical="center"/>
    </xf>
    <xf numFmtId="0" fontId="63" fillId="0" borderId="46" xfId="0" applyFont="1" applyBorder="1" applyAlignment="1">
      <alignment horizontal="center" vertical="center"/>
    </xf>
    <xf numFmtId="0" fontId="59" fillId="2" borderId="178" xfId="0" applyFont="1" applyFill="1" applyBorder="1" applyAlignment="1">
      <alignment horizontal="center" vertical="center" readingOrder="1"/>
    </xf>
    <xf numFmtId="0" fontId="59" fillId="2" borderId="157" xfId="0" applyFont="1" applyFill="1" applyBorder="1" applyAlignment="1">
      <alignment horizontal="center" vertical="center" readingOrder="1"/>
    </xf>
    <xf numFmtId="0" fontId="59" fillId="2" borderId="179" xfId="0" applyFont="1" applyFill="1" applyBorder="1" applyAlignment="1">
      <alignment horizontal="center" vertical="center" readingOrder="1"/>
    </xf>
    <xf numFmtId="0" fontId="59" fillId="2" borderId="162" xfId="0" applyFont="1" applyFill="1" applyBorder="1" applyAlignment="1">
      <alignment horizontal="center" vertical="center"/>
    </xf>
    <xf numFmtId="0" fontId="59" fillId="2" borderId="140" xfId="0" applyFont="1" applyFill="1" applyBorder="1" applyAlignment="1">
      <alignment horizontal="center" vertical="center"/>
    </xf>
    <xf numFmtId="0" fontId="59" fillId="2" borderId="163" xfId="0" applyFont="1" applyFill="1" applyBorder="1" applyAlignment="1">
      <alignment horizontal="center" vertical="center"/>
    </xf>
    <xf numFmtId="0" fontId="63" fillId="0" borderId="51" xfId="0" applyFont="1" applyBorder="1" applyAlignment="1">
      <alignment horizontal="center"/>
    </xf>
    <xf numFmtId="0" fontId="63" fillId="0" borderId="52" xfId="0" applyFont="1" applyBorder="1" applyAlignment="1">
      <alignment horizontal="center"/>
    </xf>
    <xf numFmtId="0" fontId="12" fillId="6" borderId="5" xfId="0" applyFont="1" applyFill="1" applyBorder="1" applyAlignment="1">
      <alignment horizontal="center" wrapText="1"/>
    </xf>
    <xf numFmtId="0" fontId="26" fillId="17" borderId="5" xfId="0" applyFont="1" applyFill="1" applyBorder="1" applyAlignment="1">
      <alignment horizontal="center" wrapText="1"/>
    </xf>
    <xf numFmtId="0" fontId="59" fillId="17" borderId="5" xfId="0" applyFont="1" applyFill="1" applyBorder="1" applyAlignment="1">
      <alignment horizontal="center" wrapText="1"/>
    </xf>
    <xf numFmtId="0" fontId="26" fillId="17" borderId="102" xfId="0" applyFont="1" applyFill="1" applyBorder="1" applyAlignment="1">
      <alignment horizontal="center"/>
    </xf>
    <xf numFmtId="0" fontId="26" fillId="17" borderId="101" xfId="0" applyFont="1" applyFill="1" applyBorder="1" applyAlignment="1">
      <alignment horizontal="center"/>
    </xf>
    <xf numFmtId="0" fontId="4" fillId="2" borderId="154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160" xfId="0" applyFont="1" applyFill="1" applyBorder="1" applyAlignment="1">
      <alignment horizontal="center" vertical="center"/>
    </xf>
    <xf numFmtId="0" fontId="4" fillId="2" borderId="161" xfId="0" applyFont="1" applyFill="1" applyBorder="1" applyAlignment="1">
      <alignment horizontal="center" vertical="center"/>
    </xf>
    <xf numFmtId="0" fontId="4" fillId="2" borderId="158" xfId="0" applyFont="1" applyFill="1" applyBorder="1" applyAlignment="1">
      <alignment horizontal="center" vertical="center" readingOrder="1"/>
    </xf>
    <xf numFmtId="0" fontId="4" fillId="2" borderId="71" xfId="0" applyFont="1" applyFill="1" applyBorder="1" applyAlignment="1">
      <alignment horizontal="center" vertical="center" readingOrder="1"/>
    </xf>
    <xf numFmtId="0" fontId="4" fillId="2" borderId="159" xfId="0" applyFont="1" applyFill="1" applyBorder="1" applyAlignment="1">
      <alignment horizontal="center" vertical="center" readingOrder="1"/>
    </xf>
    <xf numFmtId="0" fontId="4" fillId="2" borderId="73" xfId="0" applyFont="1" applyFill="1" applyBorder="1" applyAlignment="1">
      <alignment horizontal="center" vertical="center" readingOrder="1"/>
    </xf>
    <xf numFmtId="0" fontId="19" fillId="0" borderId="78" xfId="0" applyFont="1" applyBorder="1" applyAlignment="1">
      <alignment horizontal="center"/>
    </xf>
    <xf numFmtId="0" fontId="19" fillId="0" borderId="69" xfId="0" applyFont="1" applyBorder="1" applyAlignment="1">
      <alignment horizontal="center"/>
    </xf>
    <xf numFmtId="0" fontId="19" fillId="0" borderId="103" xfId="0" applyFont="1" applyBorder="1" applyAlignment="1">
      <alignment horizontal="center"/>
    </xf>
    <xf numFmtId="164" fontId="19" fillId="10" borderId="102" xfId="0" applyNumberFormat="1" applyFont="1" applyFill="1" applyBorder="1" applyAlignment="1">
      <alignment horizontal="center"/>
    </xf>
    <xf numFmtId="164" fontId="19" fillId="10" borderId="101" xfId="0" applyNumberFormat="1" applyFont="1" applyFill="1" applyBorder="1" applyAlignment="1">
      <alignment horizontal="center"/>
    </xf>
    <xf numFmtId="164" fontId="19" fillId="10" borderId="100" xfId="0" applyNumberFormat="1" applyFont="1" applyFill="1" applyBorder="1" applyAlignment="1">
      <alignment horizontal="center"/>
    </xf>
    <xf numFmtId="0" fontId="18" fillId="2" borderId="5" xfId="0" applyFont="1" applyFill="1" applyBorder="1" applyAlignment="1">
      <alignment horizontal="center" vertical="center" wrapText="1" readingOrder="1"/>
    </xf>
    <xf numFmtId="9" fontId="19" fillId="10" borderId="102" xfId="0" applyNumberFormat="1" applyFont="1" applyFill="1" applyBorder="1" applyAlignment="1">
      <alignment horizontal="center"/>
    </xf>
    <xf numFmtId="0" fontId="19" fillId="10" borderId="101" xfId="0" applyFont="1" applyFill="1" applyBorder="1" applyAlignment="1">
      <alignment horizontal="center"/>
    </xf>
    <xf numFmtId="0" fontId="19" fillId="10" borderId="100" xfId="0" applyFont="1" applyFill="1" applyBorder="1" applyAlignment="1">
      <alignment horizontal="center"/>
    </xf>
    <xf numFmtId="0" fontId="18" fillId="2" borderId="102" xfId="0" applyFont="1" applyFill="1" applyBorder="1" applyAlignment="1">
      <alignment horizontal="center"/>
    </xf>
    <xf numFmtId="0" fontId="18" fillId="2" borderId="101" xfId="0" applyFont="1" applyFill="1" applyBorder="1" applyAlignment="1">
      <alignment horizontal="center"/>
    </xf>
    <xf numFmtId="0" fontId="18" fillId="2" borderId="100" xfId="0" applyFont="1" applyFill="1" applyBorder="1" applyAlignment="1">
      <alignment horizontal="center"/>
    </xf>
    <xf numFmtId="0" fontId="19" fillId="0" borderId="5" xfId="0" applyFont="1" applyBorder="1" applyAlignment="1">
      <alignment horizontal="center" vertical="center"/>
    </xf>
    <xf numFmtId="0" fontId="19" fillId="0" borderId="66" xfId="0" applyFont="1" applyBorder="1" applyAlignment="1">
      <alignment horizontal="center" vertical="center" wrapText="1"/>
    </xf>
    <xf numFmtId="0" fontId="19" fillId="0" borderId="95" xfId="0" applyFont="1" applyBorder="1" applyAlignment="1">
      <alignment horizontal="center" vertical="center" wrapText="1"/>
    </xf>
    <xf numFmtId="0" fontId="19" fillId="0" borderId="90" xfId="0" applyFont="1" applyBorder="1" applyAlignment="1">
      <alignment horizontal="center" vertical="center" wrapText="1"/>
    </xf>
    <xf numFmtId="0" fontId="19" fillId="0" borderId="79" xfId="0" applyFont="1" applyBorder="1" applyAlignment="1">
      <alignment horizontal="center" vertical="center" wrapText="1"/>
    </xf>
    <xf numFmtId="0" fontId="19" fillId="0" borderId="86" xfId="0" applyFont="1" applyBorder="1" applyAlignment="1">
      <alignment horizontal="center" vertical="center" wrapText="1"/>
    </xf>
    <xf numFmtId="9" fontId="19" fillId="10" borderId="101" xfId="0" applyNumberFormat="1" applyFont="1" applyFill="1" applyBorder="1" applyAlignment="1">
      <alignment horizontal="center"/>
    </xf>
    <xf numFmtId="9" fontId="19" fillId="10" borderId="100" xfId="0" applyNumberFormat="1" applyFont="1" applyFill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4" fontId="33" fillId="15" borderId="99" xfId="0" quotePrefix="1" applyNumberFormat="1" applyFont="1" applyFill="1" applyBorder="1" applyAlignment="1">
      <alignment horizontal="right" vertical="center"/>
    </xf>
    <xf numFmtId="4" fontId="33" fillId="15" borderId="149" xfId="0" quotePrefix="1" applyNumberFormat="1" applyFont="1" applyFill="1" applyBorder="1" applyAlignment="1">
      <alignment horizontal="right" vertical="center"/>
    </xf>
    <xf numFmtId="4" fontId="33" fillId="15" borderId="89" xfId="0" quotePrefix="1" applyNumberFormat="1" applyFont="1" applyFill="1" applyBorder="1" applyAlignment="1">
      <alignment horizontal="right" vertical="center"/>
    </xf>
    <xf numFmtId="4" fontId="5" fillId="15" borderId="89" xfId="0" quotePrefix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center"/>
    </xf>
    <xf numFmtId="0" fontId="52" fillId="2" borderId="78" xfId="0" applyFont="1" applyFill="1" applyBorder="1" applyAlignment="1">
      <alignment horizontal="center" vertical="center"/>
    </xf>
    <xf numFmtId="0" fontId="52" fillId="2" borderId="103" xfId="0" applyFont="1" applyFill="1" applyBorder="1" applyAlignment="1">
      <alignment horizontal="center" vertical="center"/>
    </xf>
    <xf numFmtId="0" fontId="52" fillId="2" borderId="68" xfId="0" applyFont="1" applyFill="1" applyBorder="1" applyAlignment="1">
      <alignment horizontal="center" vertical="center"/>
    </xf>
    <xf numFmtId="0" fontId="52" fillId="2" borderId="147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8" fillId="2" borderId="169" xfId="0" applyFont="1" applyFill="1" applyBorder="1" applyAlignment="1">
      <alignment horizontal="center"/>
    </xf>
    <xf numFmtId="0" fontId="18" fillId="2" borderId="170" xfId="0" applyFont="1" applyFill="1" applyBorder="1" applyAlignment="1">
      <alignment horizontal="center"/>
    </xf>
    <xf numFmtId="0" fontId="18" fillId="2" borderId="171" xfId="0" applyFont="1" applyFill="1" applyBorder="1" applyAlignment="1">
      <alignment horizontal="center"/>
    </xf>
    <xf numFmtId="0" fontId="19" fillId="0" borderId="5" xfId="0" applyFont="1" applyBorder="1" applyAlignment="1">
      <alignment horizontal="center" vertical="center" textRotation="90"/>
    </xf>
    <xf numFmtId="0" fontId="20" fillId="0" borderId="5" xfId="0" applyFont="1" applyBorder="1" applyAlignment="1">
      <alignment horizontal="left"/>
    </xf>
    <xf numFmtId="0" fontId="18" fillId="0" borderId="5" xfId="0" applyFont="1" applyBorder="1" applyAlignment="1">
      <alignment horizontal="center" vertical="center"/>
    </xf>
    <xf numFmtId="0" fontId="18" fillId="2" borderId="5" xfId="0" applyFont="1" applyFill="1" applyBorder="1" applyAlignment="1">
      <alignment horizontal="center"/>
    </xf>
    <xf numFmtId="164" fontId="3" fillId="10" borderId="78" xfId="0" applyNumberFormat="1" applyFont="1" applyFill="1" applyBorder="1" applyAlignment="1">
      <alignment horizontal="center"/>
    </xf>
    <xf numFmtId="164" fontId="3" fillId="10" borderId="103" xfId="0" applyNumberFormat="1" applyFont="1" applyFill="1" applyBorder="1" applyAlignment="1">
      <alignment horizontal="center"/>
    </xf>
    <xf numFmtId="0" fontId="18" fillId="2" borderId="129" xfId="0" applyFont="1" applyFill="1" applyBorder="1" applyAlignment="1">
      <alignment horizontal="center"/>
    </xf>
    <xf numFmtId="0" fontId="18" fillId="2" borderId="128" xfId="0" applyFont="1" applyFill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31" fillId="2" borderId="0" xfId="0" applyFont="1" applyFill="1" applyAlignment="1">
      <alignment horizontal="center"/>
    </xf>
    <xf numFmtId="0" fontId="20" fillId="0" borderId="5" xfId="0" applyFont="1" applyBorder="1" applyAlignment="1">
      <alignment horizontal="center"/>
    </xf>
    <xf numFmtId="0" fontId="19" fillId="0" borderId="5" xfId="0" applyFont="1" applyBorder="1" applyAlignment="1">
      <alignment horizontal="center" vertical="center" textRotation="45"/>
    </xf>
    <xf numFmtId="0" fontId="21" fillId="2" borderId="5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5" fillId="0" borderId="81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3" xfId="0" applyFont="1" applyBorder="1" applyAlignment="1">
      <alignment horizontal="center" vertical="center"/>
    </xf>
    <xf numFmtId="0" fontId="38" fillId="0" borderId="81" xfId="0" applyFont="1" applyBorder="1" applyAlignment="1">
      <alignment horizontal="center" vertical="center"/>
    </xf>
    <xf numFmtId="0" fontId="38" fillId="0" borderId="82" xfId="0" applyFont="1" applyBorder="1" applyAlignment="1">
      <alignment horizontal="center" vertical="center"/>
    </xf>
    <xf numFmtId="0" fontId="38" fillId="0" borderId="83" xfId="0" applyFont="1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0" fontId="4" fillId="2" borderId="113" xfId="0" applyFont="1" applyFill="1" applyBorder="1" applyAlignment="1">
      <alignment horizontal="center" vertical="center"/>
    </xf>
    <xf numFmtId="0" fontId="4" fillId="2" borderId="105" xfId="0" applyFont="1" applyFill="1" applyBorder="1" applyAlignment="1">
      <alignment horizontal="center" vertical="center"/>
    </xf>
    <xf numFmtId="0" fontId="4" fillId="2" borderId="101" xfId="0" applyFont="1" applyFill="1" applyBorder="1" applyAlignment="1">
      <alignment horizontal="center" vertical="center"/>
    </xf>
    <xf numFmtId="0" fontId="4" fillId="2" borderId="100" xfId="0" applyFont="1" applyFill="1" applyBorder="1" applyAlignment="1">
      <alignment horizontal="center" vertical="center"/>
    </xf>
    <xf numFmtId="0" fontId="5" fillId="10" borderId="82" xfId="0" applyFont="1" applyFill="1" applyBorder="1" applyAlignment="1">
      <alignment horizontal="center" vertical="center"/>
    </xf>
    <xf numFmtId="0" fontId="5" fillId="10" borderId="83" xfId="0" applyFont="1" applyFill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82" xfId="0" applyFont="1" applyBorder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</cellXfs>
  <cellStyles count="14">
    <cellStyle name="Cálculo" xfId="2" builtinId="22"/>
    <cellStyle name="Entrada" xfId="4" builtinId="20"/>
    <cellStyle name="Moeda" xfId="3" builtinId="4"/>
    <cellStyle name="Moeda 2" xfId="11" xr:uid="{00000000-0005-0000-0000-000003000000}"/>
    <cellStyle name="Normal" xfId="0" builtinId="0"/>
    <cellStyle name="Normal 2" xfId="7" xr:uid="{00000000-0005-0000-0000-000005000000}"/>
    <cellStyle name="Normal 2 2 2" xfId="8" xr:uid="{00000000-0005-0000-0000-000006000000}"/>
    <cellStyle name="Normal 5" xfId="5" xr:uid="{00000000-0005-0000-0000-000007000000}"/>
    <cellStyle name="Porcentagem" xfId="1" builtinId="5"/>
    <cellStyle name="Porcentagem 2" xfId="9" xr:uid="{00000000-0005-0000-0000-000009000000}"/>
    <cellStyle name="Vírgula" xfId="6" builtinId="3"/>
    <cellStyle name="Vírgula 2" xfId="10" xr:uid="{00000000-0005-0000-0000-00000B000000}"/>
    <cellStyle name="Vírgula 2 2" xfId="13" xr:uid="{00000000-0005-0000-0000-00000C000000}"/>
    <cellStyle name="Vírgula 3" xfId="12" xr:uid="{00000000-0005-0000-0000-00000D000000}"/>
  </cellStyles>
  <dxfs count="6"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  <color rgb="FFF616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33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Saldo</a:t>
            </a:r>
            <a:r>
              <a:rPr lang="pt-BR" baseline="0"/>
              <a:t> de Caixa do Projeto</a:t>
            </a:r>
            <a:endParaRPr lang="pt-B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2312871353846987"/>
          <c:y val="0.14828449746866715"/>
          <c:w val="0.80610804917572787"/>
          <c:h val="0.66482403701576021"/>
        </c:manualLayout>
      </c:layout>
      <c:barChart>
        <c:barDir val="col"/>
        <c:grouping val="stacked"/>
        <c:varyColors val="0"/>
        <c:ser>
          <c:idx val="0"/>
          <c:order val="0"/>
          <c:tx>
            <c:v>3.4 - Receita Líquida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35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pt idx="20">
                <c:v>21</c:v>
              </c:pt>
              <c:pt idx="21">
                <c:v>22</c:v>
              </c:pt>
              <c:pt idx="22">
                <c:v>23</c:v>
              </c:pt>
              <c:pt idx="23">
                <c:v>24</c:v>
              </c:pt>
              <c:pt idx="24">
                <c:v>25</c:v>
              </c:pt>
              <c:pt idx="25">
                <c:v>26</c:v>
              </c:pt>
              <c:pt idx="26">
                <c:v>27</c:v>
              </c:pt>
              <c:pt idx="27">
                <c:v>28</c:v>
              </c:pt>
              <c:pt idx="28">
                <c:v>29</c:v>
              </c:pt>
              <c:pt idx="29">
                <c:v>30</c:v>
              </c:pt>
              <c:pt idx="30">
                <c:v>31</c:v>
              </c:pt>
              <c:pt idx="31">
                <c:v>32</c:v>
              </c:pt>
              <c:pt idx="32">
                <c:v>33</c:v>
              </c:pt>
              <c:pt idx="33">
                <c:v>34</c:v>
              </c:pt>
              <c:pt idx="34">
                <c:v>35</c:v>
              </c:pt>
            </c:numLit>
          </c:cat>
          <c:val>
            <c:numLit>
              <c:formatCode>General</c:formatCode>
              <c:ptCount val="35"/>
              <c:pt idx="0">
                <c:v>18259967.455161162</c:v>
              </c:pt>
              <c:pt idx="1">
                <c:v>23794446.593608659</c:v>
              </c:pt>
              <c:pt idx="2">
                <c:v>26373604.32072223</c:v>
              </c:pt>
              <c:pt idx="3">
                <c:v>29317997.047056016</c:v>
              </c:pt>
              <c:pt idx="4">
                <c:v>32273887.455885787</c:v>
              </c:pt>
              <c:pt idx="5">
                <c:v>34908750.788191624</c:v>
              </c:pt>
              <c:pt idx="6">
                <c:v>37590648.401521988</c:v>
              </c:pt>
              <c:pt idx="7">
                <c:v>40299954.835582048</c:v>
              </c:pt>
              <c:pt idx="8">
                <c:v>43062325.752406672</c:v>
              </c:pt>
              <c:pt idx="9">
                <c:v>43943046.640301168</c:v>
              </c:pt>
              <c:pt idx="10">
                <c:v>44800059.565721259</c:v>
              </c:pt>
              <c:pt idx="11">
                <c:v>45638807.847348236</c:v>
              </c:pt>
              <c:pt idx="12">
                <c:v>46469690.208281308</c:v>
              </c:pt>
              <c:pt idx="13">
                <c:v>47299343.459637821</c:v>
              </c:pt>
              <c:pt idx="14">
                <c:v>47625283.9371856</c:v>
              </c:pt>
              <c:pt idx="15">
                <c:v>47941579.562357157</c:v>
              </c:pt>
              <c:pt idx="16">
                <c:v>48231752.134399138</c:v>
              </c:pt>
              <c:pt idx="17">
                <c:v>48517818.873852044</c:v>
              </c:pt>
              <c:pt idx="18">
                <c:v>48786470.964800291</c:v>
              </c:pt>
              <c:pt idx="19">
                <c:v>49057560.821269274</c:v>
              </c:pt>
              <c:pt idx="20">
                <c:v>49293064.101639114</c:v>
              </c:pt>
              <c:pt idx="21">
                <c:v>49531159.863382965</c:v>
              </c:pt>
              <c:pt idx="22">
                <c:v>49745990.489866368</c:v>
              </c:pt>
              <c:pt idx="23">
                <c:v>49952626.136493735</c:v>
              </c:pt>
              <c:pt idx="24">
                <c:v>50151559.153728142</c:v>
              </c:pt>
              <c:pt idx="25">
                <c:v>50339770.324829869</c:v>
              </c:pt>
              <c:pt idx="26">
                <c:v>50522022.550522961</c:v>
              </c:pt>
              <c:pt idx="27">
                <c:v>50709476.57182312</c:v>
              </c:pt>
              <c:pt idx="28">
                <c:v>50861516.326529317</c:v>
              </c:pt>
              <c:pt idx="29">
                <c:v>51033841.979105853</c:v>
              </c:pt>
              <c:pt idx="30">
                <c:v>51181178.408160828</c:v>
              </c:pt>
              <c:pt idx="31">
                <c:v>51335614.691719308</c:v>
              </c:pt>
              <c:pt idx="32">
                <c:v>51490351.460135706</c:v>
              </c:pt>
              <c:pt idx="33">
                <c:v>51640963.45445019</c:v>
              </c:pt>
              <c:pt idx="34">
                <c:v>51835706.203375757</c:v>
              </c:pt>
            </c:numLit>
          </c:val>
          <c:extLst>
            <c:ext xmlns:c16="http://schemas.microsoft.com/office/drawing/2014/chart" uri="{C3380CC4-5D6E-409C-BE32-E72D297353CC}">
              <c16:uniqueId val="{00000000-D43B-463A-B727-1D9B3EA9960E}"/>
            </c:ext>
          </c:extLst>
        </c:ser>
        <c:ser>
          <c:idx val="8"/>
          <c:order val="1"/>
          <c:tx>
            <c:v>3.5 - Custeio</c:v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35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pt idx="20">
                <c:v>21</c:v>
              </c:pt>
              <c:pt idx="21">
                <c:v>22</c:v>
              </c:pt>
              <c:pt idx="22">
                <c:v>23</c:v>
              </c:pt>
              <c:pt idx="23">
                <c:v>24</c:v>
              </c:pt>
              <c:pt idx="24">
                <c:v>25</c:v>
              </c:pt>
              <c:pt idx="25">
                <c:v>26</c:v>
              </c:pt>
              <c:pt idx="26">
                <c:v>27</c:v>
              </c:pt>
              <c:pt idx="27">
                <c:v>28</c:v>
              </c:pt>
              <c:pt idx="28">
                <c:v>29</c:v>
              </c:pt>
              <c:pt idx="29">
                <c:v>30</c:v>
              </c:pt>
              <c:pt idx="30">
                <c:v>31</c:v>
              </c:pt>
              <c:pt idx="31">
                <c:v>32</c:v>
              </c:pt>
              <c:pt idx="32">
                <c:v>33</c:v>
              </c:pt>
              <c:pt idx="33">
                <c:v>34</c:v>
              </c:pt>
              <c:pt idx="34">
                <c:v>35</c:v>
              </c:pt>
            </c:numLit>
          </c:cat>
          <c:val>
            <c:numLit>
              <c:formatCode>General</c:formatCode>
              <c:ptCount val="35"/>
              <c:pt idx="0">
                <c:v>-10420313.752238216</c:v>
              </c:pt>
              <c:pt idx="1">
                <c:v>-13296668.398130348</c:v>
              </c:pt>
              <c:pt idx="2">
                <c:v>-14690705.000611948</c:v>
              </c:pt>
              <c:pt idx="3">
                <c:v>-16211311.409318721</c:v>
              </c:pt>
              <c:pt idx="4">
                <c:v>-17710853.747647677</c:v>
              </c:pt>
              <c:pt idx="5">
                <c:v>-19162035.260049209</c:v>
              </c:pt>
              <c:pt idx="6">
                <c:v>-20638992.744423099</c:v>
              </c:pt>
              <c:pt idx="7">
                <c:v>-22133513.581663966</c:v>
              </c:pt>
              <c:pt idx="8">
                <c:v>-23645240.426083133</c:v>
              </c:pt>
              <c:pt idx="9">
                <c:v>-24028791.56155654</c:v>
              </c:pt>
              <c:pt idx="10">
                <c:v>-24106817.645908058</c:v>
              </c:pt>
              <c:pt idx="11">
                <c:v>-24565208.769698162</c:v>
              </c:pt>
              <c:pt idx="12">
                <c:v>-25020340.252358131</c:v>
              </c:pt>
              <c:pt idx="13">
                <c:v>-25471687.401068967</c:v>
              </c:pt>
              <c:pt idx="14">
                <c:v>-25622747.712379187</c:v>
              </c:pt>
              <c:pt idx="15">
                <c:v>-25787944.742774747</c:v>
              </c:pt>
              <c:pt idx="16">
                <c:v>-25945873.045292582</c:v>
              </c:pt>
              <c:pt idx="17">
                <c:v>-26097423.70558707</c:v>
              </c:pt>
              <c:pt idx="18">
                <c:v>-26242085.885871593</c:v>
              </c:pt>
              <c:pt idx="19">
                <c:v>-26380661.161283668</c:v>
              </c:pt>
              <c:pt idx="20">
                <c:v>-26512970.254264552</c:v>
              </c:pt>
              <c:pt idx="21">
                <c:v>-26639171.845406435</c:v>
              </c:pt>
              <c:pt idx="22">
                <c:v>-26759370.50199442</c:v>
              </c:pt>
              <c:pt idx="23">
                <c:v>-26874247.138251673</c:v>
              </c:pt>
              <c:pt idx="24">
                <c:v>-26984309.609012183</c:v>
              </c:pt>
              <c:pt idx="25">
                <c:v>-27216482.039869595</c:v>
              </c:pt>
              <c:pt idx="26">
                <c:v>-27316380.596982554</c:v>
              </c:pt>
              <c:pt idx="27">
                <c:v>-27411617.046705347</c:v>
              </c:pt>
              <c:pt idx="28">
                <c:v>-27502084.738347016</c:v>
              </c:pt>
              <c:pt idx="29">
                <c:v>-27588565.966790449</c:v>
              </c:pt>
              <c:pt idx="30">
                <c:v>-27670315.477654915</c:v>
              </c:pt>
              <c:pt idx="31">
                <c:v>-27748402.091193147</c:v>
              </c:pt>
              <c:pt idx="32">
                <c:v>-27823120.504130397</c:v>
              </c:pt>
              <c:pt idx="33">
                <c:v>-27893725.906392254</c:v>
              </c:pt>
              <c:pt idx="34">
                <c:v>-27960641.910240963</c:v>
              </c:pt>
            </c:numLit>
          </c:val>
          <c:extLst>
            <c:ext xmlns:c16="http://schemas.microsoft.com/office/drawing/2014/chart" uri="{C3380CC4-5D6E-409C-BE32-E72D297353CC}">
              <c16:uniqueId val="{00000001-D43B-463A-B727-1D9B3EA9960E}"/>
            </c:ext>
          </c:extLst>
        </c:ser>
        <c:ser>
          <c:idx val="2"/>
          <c:order val="2"/>
          <c:tx>
            <c:v>3.6 - Investimento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35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pt idx="20">
                <c:v>21</c:v>
              </c:pt>
              <c:pt idx="21">
                <c:v>22</c:v>
              </c:pt>
              <c:pt idx="22">
                <c:v>23</c:v>
              </c:pt>
              <c:pt idx="23">
                <c:v>24</c:v>
              </c:pt>
              <c:pt idx="24">
                <c:v>25</c:v>
              </c:pt>
              <c:pt idx="25">
                <c:v>26</c:v>
              </c:pt>
              <c:pt idx="26">
                <c:v>27</c:v>
              </c:pt>
              <c:pt idx="27">
                <c:v>28</c:v>
              </c:pt>
              <c:pt idx="28">
                <c:v>29</c:v>
              </c:pt>
              <c:pt idx="29">
                <c:v>30</c:v>
              </c:pt>
              <c:pt idx="30">
                <c:v>31</c:v>
              </c:pt>
              <c:pt idx="31">
                <c:v>32</c:v>
              </c:pt>
              <c:pt idx="32">
                <c:v>33</c:v>
              </c:pt>
              <c:pt idx="33">
                <c:v>34</c:v>
              </c:pt>
              <c:pt idx="34">
                <c:v>35</c:v>
              </c:pt>
            </c:numLit>
          </c:cat>
          <c:val>
            <c:numLit>
              <c:formatCode>General</c:formatCode>
              <c:ptCount val="35"/>
              <c:pt idx="0">
                <c:v>-2114677.3868770716</c:v>
              </c:pt>
              <c:pt idx="1">
                <c:v>-39381365.766599283</c:v>
              </c:pt>
              <c:pt idx="2">
                <c:v>-22101408.064548817</c:v>
              </c:pt>
              <c:pt idx="3">
                <c:v>-22497662.708168142</c:v>
              </c:pt>
              <c:pt idx="4">
                <c:v>-22134603.483560711</c:v>
              </c:pt>
              <c:pt idx="5">
                <c:v>-21357053.752172656</c:v>
              </c:pt>
              <c:pt idx="6">
                <c:v>-21649635.919661108</c:v>
              </c:pt>
              <c:pt idx="7">
                <c:v>-21911066.986903075</c:v>
              </c:pt>
              <c:pt idx="8">
                <c:v>-22164031.264346197</c:v>
              </c:pt>
              <c:pt idx="9">
                <c:v>-6818761.1080981027</c:v>
              </c:pt>
              <c:pt idx="10">
                <c:v>-6771217.0309315585</c:v>
              </c:pt>
              <c:pt idx="11">
                <c:v>-6720458.0809714301</c:v>
              </c:pt>
              <c:pt idx="12">
                <c:v>-6672914.0038048849</c:v>
              </c:pt>
              <c:pt idx="13">
                <c:v>-6617582.1515767211</c:v>
              </c:pt>
              <c:pt idx="14">
                <c:v>-2523609.9151604311</c:v>
              </c:pt>
              <c:pt idx="15">
                <c:v>-2416978.510294497</c:v>
              </c:pt>
              <c:pt idx="16">
                <c:v>-2310347.1054285634</c:v>
              </c:pt>
              <c:pt idx="17">
                <c:v>-2217933.2212114208</c:v>
              </c:pt>
              <c:pt idx="18">
                <c:v>-2118410.576669883</c:v>
              </c:pt>
              <c:pt idx="19">
                <c:v>-2025996.6924527402</c:v>
              </c:pt>
              <c:pt idx="20">
                <c:v>-1940691.5685599935</c:v>
              </c:pt>
              <c:pt idx="21">
                <c:v>-1848277.6843428509</c:v>
              </c:pt>
              <c:pt idx="22">
                <c:v>-1762972.5604501038</c:v>
              </c:pt>
              <c:pt idx="23">
                <c:v>-1684776.1968817525</c:v>
              </c:pt>
              <c:pt idx="24">
                <c:v>-1613688.5936377966</c:v>
              </c:pt>
              <c:pt idx="25">
                <c:v>-1528383.4697450497</c:v>
              </c:pt>
              <c:pt idx="26">
                <c:v>-1464404.6268254896</c:v>
              </c:pt>
              <c:pt idx="27">
                <c:v>-1393317.0235815337</c:v>
              </c:pt>
              <c:pt idx="28">
                <c:v>-1329338.1806619735</c:v>
              </c:pt>
              <c:pt idx="29">
                <c:v>-1265359.3377424134</c:v>
              </c:pt>
              <c:pt idx="30">
                <c:v>-1201380.494822853</c:v>
              </c:pt>
              <c:pt idx="31">
                <c:v>-1144510.4122276884</c:v>
              </c:pt>
              <c:pt idx="32">
                <c:v>-1094749.0899569194</c:v>
              </c:pt>
              <c:pt idx="33">
                <c:v>-1037879.0073617547</c:v>
              </c:pt>
              <c:pt idx="34">
                <c:v>-981008.92476659012</c:v>
              </c:pt>
            </c:numLit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2-D43B-463A-B727-1D9B3EA9960E}"/>
            </c:ext>
          </c:extLst>
        </c:ser>
        <c:ser>
          <c:idx val="4"/>
          <c:order val="3"/>
          <c:tx>
            <c:v>3.10 - Impostos 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35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pt idx="20">
                <c:v>21</c:v>
              </c:pt>
              <c:pt idx="21">
                <c:v>22</c:v>
              </c:pt>
              <c:pt idx="22">
                <c:v>23</c:v>
              </c:pt>
              <c:pt idx="23">
                <c:v>24</c:v>
              </c:pt>
              <c:pt idx="24">
                <c:v>25</c:v>
              </c:pt>
              <c:pt idx="25">
                <c:v>26</c:v>
              </c:pt>
              <c:pt idx="26">
                <c:v>27</c:v>
              </c:pt>
              <c:pt idx="27">
                <c:v>28</c:v>
              </c:pt>
              <c:pt idx="28">
                <c:v>29</c:v>
              </c:pt>
              <c:pt idx="29">
                <c:v>30</c:v>
              </c:pt>
              <c:pt idx="30">
                <c:v>31</c:v>
              </c:pt>
              <c:pt idx="31">
                <c:v>32</c:v>
              </c:pt>
              <c:pt idx="32">
                <c:v>33</c:v>
              </c:pt>
              <c:pt idx="33">
                <c:v>34</c:v>
              </c:pt>
              <c:pt idx="34">
                <c:v>35</c:v>
              </c:pt>
            </c:numLit>
          </c:cat>
          <c:val>
            <c:numLit>
              <c:formatCode>General</c:formatCode>
              <c:ptCount val="35"/>
              <c:pt idx="0">
                <c:v>-4495332.4569330588</c:v>
              </c:pt>
              <c:pt idx="1">
                <c:v>-5392914.6968128551</c:v>
              </c:pt>
              <c:pt idx="2">
                <c:v>-5818514.1706784628</c:v>
              </c:pt>
              <c:pt idx="3">
                <c:v>-6337302.5226204088</c:v>
              </c:pt>
              <c:pt idx="4">
                <c:v>-6863896.9981064629</c:v>
              </c:pt>
              <c:pt idx="5">
                <c:v>-7279490.8574038222</c:v>
              </c:pt>
              <c:pt idx="6">
                <c:v>-7698939.3420715965</c:v>
              </c:pt>
              <c:pt idx="7">
                <c:v>-8121518.8056066334</c:v>
              </c:pt>
              <c:pt idx="8">
                <c:v>-8534495.0655698143</c:v>
              </c:pt>
              <c:pt idx="9">
                <c:v>-8741343.231807461</c:v>
              </c:pt>
              <c:pt idx="10">
                <c:v>-9058995.5222735703</c:v>
              </c:pt>
              <c:pt idx="11">
                <c:v>-9236530.853299411</c:v>
              </c:pt>
              <c:pt idx="12">
                <c:v>-9410878.7101608776</c:v>
              </c:pt>
              <c:pt idx="13">
                <c:v>-9580590.4787645154</c:v>
              </c:pt>
              <c:pt idx="14">
                <c:v>-9709324.2022131532</c:v>
              </c:pt>
              <c:pt idx="15">
                <c:v>-9829734.9221593253</c:v>
              </c:pt>
              <c:pt idx="16">
                <c:v>-9955575.0606646091</c:v>
              </c:pt>
              <c:pt idx="17">
                <c:v>-10064209.73183959</c:v>
              </c:pt>
              <c:pt idx="18">
                <c:v>-10169144.510055613</c:v>
              </c:pt>
              <c:pt idx="19">
                <c:v>-10272262.873509681</c:v>
              </c:pt>
              <c:pt idx="20">
                <c:v>-10359330.610804683</c:v>
              </c:pt>
              <c:pt idx="21">
                <c:v>-10447732.004964601</c:v>
              </c:pt>
              <c:pt idx="22">
                <c:v>-10527582.553539166</c:v>
              </c:pt>
              <c:pt idx="23">
                <c:v>-10601100.660642009</c:v>
              </c:pt>
              <c:pt idx="24">
                <c:v>-10669643.20957041</c:v>
              </c:pt>
              <c:pt idx="25">
                <c:v>-10688914.34340623</c:v>
              </c:pt>
              <c:pt idx="26">
                <c:v>-10746004.761054695</c:v>
              </c:pt>
              <c:pt idx="27">
                <c:v>-10801916.571289845</c:v>
              </c:pt>
              <c:pt idx="28">
                <c:v>-10842814.608424447</c:v>
              </c:pt>
              <c:pt idx="29">
                <c:v>-10879640.383859504</c:v>
              </c:pt>
              <c:pt idx="30">
                <c:v>-10895015.419404075</c:v>
              </c:pt>
              <c:pt idx="31">
                <c:v>-10896148.111748366</c:v>
              </c:pt>
              <c:pt idx="32">
                <c:v>-10866506.996029202</c:v>
              </c:pt>
              <c:pt idx="33">
                <c:v>-10773395.366060428</c:v>
              </c:pt>
              <c:pt idx="34">
                <c:v>-10508544.8102942</c:v>
              </c:pt>
            </c:numLit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3-D43B-463A-B727-1D9B3EA9960E}"/>
            </c:ext>
          </c:extLst>
        </c:ser>
        <c:ser>
          <c:idx val="5"/>
          <c:order val="4"/>
          <c:tx>
            <c:v>3.11- Equity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35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pt idx="20">
                <c:v>21</c:v>
              </c:pt>
              <c:pt idx="21">
                <c:v>22</c:v>
              </c:pt>
              <c:pt idx="22">
                <c:v>23</c:v>
              </c:pt>
              <c:pt idx="23">
                <c:v>24</c:v>
              </c:pt>
              <c:pt idx="24">
                <c:v>25</c:v>
              </c:pt>
              <c:pt idx="25">
                <c:v>26</c:v>
              </c:pt>
              <c:pt idx="26">
                <c:v>27</c:v>
              </c:pt>
              <c:pt idx="27">
                <c:v>28</c:v>
              </c:pt>
              <c:pt idx="28">
                <c:v>29</c:v>
              </c:pt>
              <c:pt idx="29">
                <c:v>30</c:v>
              </c:pt>
              <c:pt idx="30">
                <c:v>31</c:v>
              </c:pt>
              <c:pt idx="31">
                <c:v>32</c:v>
              </c:pt>
              <c:pt idx="32">
                <c:v>33</c:v>
              </c:pt>
              <c:pt idx="33">
                <c:v>34</c:v>
              </c:pt>
              <c:pt idx="34">
                <c:v>35</c:v>
              </c:pt>
            </c:numLit>
          </c:cat>
          <c:val>
            <c:numLit>
              <c:formatCode>General</c:formatCode>
              <c:ptCount val="35"/>
              <c:pt idx="0">
                <c:v>0</c:v>
              </c:pt>
              <c:pt idx="1">
                <c:v>33379394.449948527</c:v>
              </c:pt>
              <c:pt idx="2">
                <c:v>15068254.803406913</c:v>
              </c:pt>
              <c:pt idx="3">
                <c:v>14371287.28749102</c:v>
              </c:pt>
              <c:pt idx="4">
                <c:v>12893023.986845456</c:v>
              </c:pt>
              <c:pt idx="5">
                <c:v>11179903.253122196</c:v>
              </c:pt>
              <c:pt idx="6">
                <c:v>10524798.606070964</c:v>
              </c:pt>
              <c:pt idx="7">
                <c:v>9827506.3059622515</c:v>
              </c:pt>
              <c:pt idx="8">
                <c:v>9093133.9323714897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  <c:pt idx="32">
                <c:v>0</c:v>
              </c:pt>
              <c:pt idx="33">
                <c:v>0</c:v>
              </c:pt>
              <c:pt idx="34">
                <c:v>0</c:v>
              </c:pt>
            </c:numLit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4-D43B-463A-B727-1D9B3EA996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559673104"/>
        <c:axId val="-559667120"/>
      </c:barChart>
      <c:lineChart>
        <c:grouping val="standard"/>
        <c:varyColors val="0"/>
        <c:ser>
          <c:idx val="6"/>
          <c:order val="5"/>
          <c:tx>
            <c:v>Saldo de CX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75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numLit>
              <c:formatCode>General</c:formatCode>
              <c:ptCount val="35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pt idx="20">
                <c:v>21</c:v>
              </c:pt>
              <c:pt idx="21">
                <c:v>22</c:v>
              </c:pt>
              <c:pt idx="22">
                <c:v>23</c:v>
              </c:pt>
              <c:pt idx="23">
                <c:v>24</c:v>
              </c:pt>
              <c:pt idx="24">
                <c:v>25</c:v>
              </c:pt>
              <c:pt idx="25">
                <c:v>26</c:v>
              </c:pt>
              <c:pt idx="26">
                <c:v>27</c:v>
              </c:pt>
              <c:pt idx="27">
                <c:v>28</c:v>
              </c:pt>
              <c:pt idx="28">
                <c:v>29</c:v>
              </c:pt>
              <c:pt idx="29">
                <c:v>30</c:v>
              </c:pt>
              <c:pt idx="30">
                <c:v>31</c:v>
              </c:pt>
              <c:pt idx="31">
                <c:v>32</c:v>
              </c:pt>
              <c:pt idx="32">
                <c:v>33</c:v>
              </c:pt>
              <c:pt idx="33">
                <c:v>34</c:v>
              </c:pt>
              <c:pt idx="34">
                <c:v>35</c:v>
              </c:pt>
            </c:numLit>
          </c:cat>
          <c:val>
            <c:numLit>
              <c:formatCode>General</c:formatCode>
              <c:ptCount val="35"/>
              <c:pt idx="0">
                <c:v>2055120.8110763645</c:v>
              </c:pt>
              <c:pt idx="1">
                <c:v>-33379394.449948527</c:v>
              </c:pt>
              <c:pt idx="2">
                <c:v>-15068254.803406913</c:v>
              </c:pt>
              <c:pt idx="3">
                <c:v>-14371287.28749102</c:v>
              </c:pt>
              <c:pt idx="4">
                <c:v>-12893023.986845456</c:v>
              </c:pt>
              <c:pt idx="5">
                <c:v>-11179903.253122196</c:v>
              </c:pt>
              <c:pt idx="6">
                <c:v>-10524798.606070964</c:v>
              </c:pt>
              <c:pt idx="7">
                <c:v>-9827506.3059622515</c:v>
              </c:pt>
              <c:pt idx="8">
                <c:v>-9093133.9323714897</c:v>
              </c:pt>
              <c:pt idx="9">
                <c:v>6669793.5280692857</c:v>
              </c:pt>
              <c:pt idx="10">
                <c:v>7625385.5501473732</c:v>
              </c:pt>
              <c:pt idx="11">
                <c:v>7939507.7168255616</c:v>
              </c:pt>
              <c:pt idx="12">
                <c:v>8249858.9695792235</c:v>
              </c:pt>
              <c:pt idx="13">
                <c:v>8572285.8930471092</c:v>
              </c:pt>
              <c:pt idx="14">
                <c:v>12769515.195332915</c:v>
              </c:pt>
              <c:pt idx="15">
                <c:v>12943690.569188785</c:v>
              </c:pt>
              <c:pt idx="16">
                <c:v>13106794.438842025</c:v>
              </c:pt>
              <c:pt idx="17">
                <c:v>13258848.339662462</c:v>
              </c:pt>
              <c:pt idx="18">
                <c:v>13412651.504951917</c:v>
              </c:pt>
              <c:pt idx="19">
                <c:v>13566388.01002807</c:v>
              </c:pt>
              <c:pt idx="20">
                <c:v>13695924.227812076</c:v>
              </c:pt>
              <c:pt idx="21">
                <c:v>13839850.497920077</c:v>
              </c:pt>
              <c:pt idx="22">
                <c:v>13967440.299102964</c:v>
              </c:pt>
              <c:pt idx="23">
                <c:v>14088309.66080907</c:v>
              </c:pt>
              <c:pt idx="24">
                <c:v>14202836.089666845</c:v>
              </c:pt>
              <c:pt idx="25">
                <c:v>14118580.936372768</c:v>
              </c:pt>
              <c:pt idx="26">
                <c:v>14227974.310542736</c:v>
              </c:pt>
              <c:pt idx="27">
                <c:v>14354911.032324977</c:v>
              </c:pt>
              <c:pt idx="28">
                <c:v>14460288.199298985</c:v>
              </c:pt>
              <c:pt idx="29">
                <c:v>14588224.804365411</c:v>
              </c:pt>
              <c:pt idx="30">
                <c:v>14712604.99811513</c:v>
              </c:pt>
              <c:pt idx="31">
                <c:v>14851289.251276532</c:v>
              </c:pt>
              <c:pt idx="32">
                <c:v>15010103.144751109</c:v>
              </c:pt>
              <c:pt idx="33">
                <c:v>15224988.737935647</c:v>
              </c:pt>
              <c:pt idx="34">
                <c:v>15619532.753390945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D43B-463A-B727-1D9B3EA9960E}"/>
            </c:ext>
          </c:extLst>
        </c:ser>
        <c:ser>
          <c:idx val="7"/>
          <c:order val="6"/>
          <c:tx>
            <c:v>Saldo de CX Acumulado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rgbClr val="FF0000"/>
              </a:solidFill>
              <a:ln w="9525">
                <a:solidFill>
                  <a:schemeClr val="tx1"/>
                </a:solidFill>
              </a:ln>
              <a:effectLst/>
            </c:spPr>
          </c:marker>
          <c:dLbls>
            <c:dLbl>
              <c:idx val="9"/>
              <c:layout>
                <c:manualLayout>
                  <c:x val="-5.5220440171620047E-2"/>
                  <c:y val="2.77881069857124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43B-463A-B727-1D9B3EA9960E}"/>
                </c:ext>
              </c:extLst>
            </c:dLbl>
            <c:dLbl>
              <c:idx val="3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43B-463A-B727-1D9B3EA9960E}"/>
                </c:ext>
              </c:extLst>
            </c:dLbl>
            <c:numFmt formatCode="&quot;R$&quot;\ 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Lit>
              <c:formatCode>General</c:formatCode>
              <c:ptCount val="35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pt idx="20">
                <c:v>21</c:v>
              </c:pt>
              <c:pt idx="21">
                <c:v>22</c:v>
              </c:pt>
              <c:pt idx="22">
                <c:v>23</c:v>
              </c:pt>
              <c:pt idx="23">
                <c:v>24</c:v>
              </c:pt>
              <c:pt idx="24">
                <c:v>25</c:v>
              </c:pt>
              <c:pt idx="25">
                <c:v>26</c:v>
              </c:pt>
              <c:pt idx="26">
                <c:v>27</c:v>
              </c:pt>
              <c:pt idx="27">
                <c:v>28</c:v>
              </c:pt>
              <c:pt idx="28">
                <c:v>29</c:v>
              </c:pt>
              <c:pt idx="29">
                <c:v>30</c:v>
              </c:pt>
              <c:pt idx="30">
                <c:v>31</c:v>
              </c:pt>
              <c:pt idx="31">
                <c:v>32</c:v>
              </c:pt>
              <c:pt idx="32">
                <c:v>33</c:v>
              </c:pt>
              <c:pt idx="33">
                <c:v>34</c:v>
              </c:pt>
              <c:pt idx="34">
                <c:v>35</c:v>
              </c:pt>
            </c:numLit>
          </c:cat>
          <c:val>
            <c:numLit>
              <c:formatCode>General</c:formatCode>
              <c:ptCount val="35"/>
              <c:pt idx="0">
                <c:v>2055120.8110763645</c:v>
              </c:pt>
              <c:pt idx="1">
                <c:v>-31324273.638872162</c:v>
              </c:pt>
              <c:pt idx="2">
                <c:v>-46392528.442279071</c:v>
              </c:pt>
              <c:pt idx="3">
                <c:v>-60763815.729770094</c:v>
              </c:pt>
              <c:pt idx="4">
                <c:v>-73656839.716615558</c:v>
              </c:pt>
              <c:pt idx="5">
                <c:v>-84836742.969737753</c:v>
              </c:pt>
              <c:pt idx="6">
                <c:v>-95361541.575808719</c:v>
              </c:pt>
              <c:pt idx="7">
                <c:v>-105189047.88177097</c:v>
              </c:pt>
              <c:pt idx="8">
                <c:v>-114282181.81414247</c:v>
              </c:pt>
              <c:pt idx="9">
                <c:v>-107612388.28607318</c:v>
              </c:pt>
              <c:pt idx="10">
                <c:v>-99987002.735925809</c:v>
              </c:pt>
              <c:pt idx="11">
                <c:v>-92047495.019100249</c:v>
              </c:pt>
              <c:pt idx="12">
                <c:v>-83797636.049521029</c:v>
              </c:pt>
              <c:pt idx="13">
                <c:v>-75225350.15647392</c:v>
              </c:pt>
              <c:pt idx="14">
                <c:v>-62455834.961141005</c:v>
              </c:pt>
              <c:pt idx="15">
                <c:v>-49512144.391952217</c:v>
              </c:pt>
              <c:pt idx="16">
                <c:v>-36405349.953110188</c:v>
              </c:pt>
              <c:pt idx="17">
                <c:v>-23146501.613447726</c:v>
              </c:pt>
              <c:pt idx="18">
                <c:v>-9733850.1084958091</c:v>
              </c:pt>
              <c:pt idx="19">
                <c:v>3832537.9015322607</c:v>
              </c:pt>
              <c:pt idx="20">
                <c:v>17528462.129344337</c:v>
              </c:pt>
              <c:pt idx="21">
                <c:v>31368312.627264414</c:v>
              </c:pt>
              <c:pt idx="22">
                <c:v>45335752.92636738</c:v>
              </c:pt>
              <c:pt idx="23">
                <c:v>59424062.58717645</c:v>
              </c:pt>
              <c:pt idx="24">
                <c:v>73626898.6768433</c:v>
              </c:pt>
              <c:pt idx="25">
                <c:v>87745479.613216072</c:v>
              </c:pt>
              <c:pt idx="26">
                <c:v>101973453.9237588</c:v>
              </c:pt>
              <c:pt idx="27">
                <c:v>116328364.95608377</c:v>
              </c:pt>
              <c:pt idx="28">
                <c:v>130788653.15538275</c:v>
              </c:pt>
              <c:pt idx="29">
                <c:v>145376877.95974815</c:v>
              </c:pt>
              <c:pt idx="30">
                <c:v>160089482.95786327</c:v>
              </c:pt>
              <c:pt idx="31">
                <c:v>174940772.20913979</c:v>
              </c:pt>
              <c:pt idx="32">
                <c:v>189950875.3538909</c:v>
              </c:pt>
              <c:pt idx="33">
                <c:v>205175864.09182656</c:v>
              </c:pt>
              <c:pt idx="34">
                <c:v>220795396.8452175</c:v>
              </c:pt>
            </c:numLit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D43B-463A-B727-1D9B3EA996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559673104"/>
        <c:axId val="-559667120"/>
      </c:lineChart>
      <c:catAx>
        <c:axId val="-5596731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59667120"/>
        <c:crosses val="autoZero"/>
        <c:auto val="1"/>
        <c:lblAlgn val="ctr"/>
        <c:lblOffset val="100"/>
        <c:noMultiLvlLbl val="1"/>
      </c:catAx>
      <c:valAx>
        <c:axId val="-559667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R$&quot;#,##0_);[Red]\(&quot;R$&quot;#,##0\)" sourceLinked="0"/>
        <c:majorTickMark val="out"/>
        <c:minorTickMark val="in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59673104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2.1309937824123659E-2"/>
          <c:y val="0.89433336634742866"/>
          <c:w val="0.95284457382191601"/>
          <c:h val="0.1056666282776668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Despesas de Capex, Contrapartida,</a:t>
            </a:r>
            <a:r>
              <a:rPr lang="pt-BR" baseline="0"/>
              <a:t> </a:t>
            </a:r>
            <a:r>
              <a:rPr lang="pt-BR"/>
              <a:t>Empréstimos e Amortizações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2312871353846987"/>
          <c:y val="0.1055596821239011"/>
          <c:w val="0.80610804917572787"/>
          <c:h val="0.75113824977554"/>
        </c:manualLayout>
      </c:layout>
      <c:barChart>
        <c:barDir val="col"/>
        <c:grouping val="stacked"/>
        <c:varyColors val="0"/>
        <c:ser>
          <c:idx val="0"/>
          <c:order val="0"/>
          <c:tx>
            <c:v>Capex</c:v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35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pt idx="20">
                <c:v>21</c:v>
              </c:pt>
              <c:pt idx="21">
                <c:v>22</c:v>
              </c:pt>
              <c:pt idx="22">
                <c:v>23</c:v>
              </c:pt>
              <c:pt idx="23">
                <c:v>24</c:v>
              </c:pt>
              <c:pt idx="24">
                <c:v>25</c:v>
              </c:pt>
              <c:pt idx="25">
                <c:v>26</c:v>
              </c:pt>
              <c:pt idx="26">
                <c:v>27</c:v>
              </c:pt>
              <c:pt idx="27">
                <c:v>28</c:v>
              </c:pt>
              <c:pt idx="28">
                <c:v>29</c:v>
              </c:pt>
              <c:pt idx="29">
                <c:v>30</c:v>
              </c:pt>
              <c:pt idx="30">
                <c:v>31</c:v>
              </c:pt>
              <c:pt idx="31">
                <c:v>32</c:v>
              </c:pt>
              <c:pt idx="32">
                <c:v>33</c:v>
              </c:pt>
              <c:pt idx="33">
                <c:v>34</c:v>
              </c:pt>
              <c:pt idx="34">
                <c:v>35</c:v>
              </c:pt>
            </c:numLit>
          </c:cat>
          <c:val>
            <c:numLit>
              <c:formatCode>General</c:formatCode>
              <c:ptCount val="32"/>
              <c:pt idx="0">
                <c:v>-2114677.3868770716</c:v>
              </c:pt>
              <c:pt idx="1">
                <c:v>-39381365.766599275</c:v>
              </c:pt>
              <c:pt idx="2">
                <c:v>-22101408.06454882</c:v>
              </c:pt>
              <c:pt idx="3">
                <c:v>-22497662.708168142</c:v>
              </c:pt>
              <c:pt idx="4">
                <c:v>-22134603.483560715</c:v>
              </c:pt>
              <c:pt idx="5">
                <c:v>-21357053.752172653</c:v>
              </c:pt>
              <c:pt idx="6">
                <c:v>-21649635.919661108</c:v>
              </c:pt>
              <c:pt idx="7">
                <c:v>-21911066.986903075</c:v>
              </c:pt>
              <c:pt idx="8">
                <c:v>-22164031.264346197</c:v>
              </c:pt>
              <c:pt idx="9">
                <c:v>-6818761.1080981027</c:v>
              </c:pt>
              <c:pt idx="10">
                <c:v>-6771217.0309315585</c:v>
              </c:pt>
              <c:pt idx="11">
                <c:v>-6720458.0809714301</c:v>
              </c:pt>
              <c:pt idx="12">
                <c:v>-6672914.0038048858</c:v>
              </c:pt>
              <c:pt idx="13">
                <c:v>-6617582.1515767202</c:v>
              </c:pt>
              <c:pt idx="14">
                <c:v>-2523609.9151604311</c:v>
              </c:pt>
              <c:pt idx="15">
                <c:v>-2416978.510294497</c:v>
              </c:pt>
              <c:pt idx="16">
                <c:v>-2310347.1054285634</c:v>
              </c:pt>
              <c:pt idx="17">
                <c:v>-2217933.2212114208</c:v>
              </c:pt>
              <c:pt idx="18">
                <c:v>-2118410.576669883</c:v>
              </c:pt>
              <c:pt idx="19">
                <c:v>-2025996.6924527402</c:v>
              </c:pt>
              <c:pt idx="20">
                <c:v>-1940691.5685599935</c:v>
              </c:pt>
              <c:pt idx="21">
                <c:v>-1848277.6843428509</c:v>
              </c:pt>
              <c:pt idx="22">
                <c:v>-1762972.5604501038</c:v>
              </c:pt>
              <c:pt idx="23">
                <c:v>-1684776.1968817525</c:v>
              </c:pt>
              <c:pt idx="24">
                <c:v>-1613688.5936377966</c:v>
              </c:pt>
              <c:pt idx="25">
                <c:v>-1528383.4697450495</c:v>
              </c:pt>
              <c:pt idx="26">
                <c:v>-1464404.6268254893</c:v>
              </c:pt>
              <c:pt idx="27">
                <c:v>-1393317.0235815337</c:v>
              </c:pt>
              <c:pt idx="28">
                <c:v>-1329338.1806619735</c:v>
              </c:pt>
              <c:pt idx="29">
                <c:v>-1265359.3377424132</c:v>
              </c:pt>
              <c:pt idx="30">
                <c:v>-1201380.494822853</c:v>
              </c:pt>
              <c:pt idx="31">
                <c:v>-1144510.4122276884</c:v>
              </c:pt>
            </c:numLit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2B2D-4741-B60D-3E5B65B4C1F4}"/>
            </c:ext>
          </c:extLst>
        </c:ser>
        <c:ser>
          <c:idx val="3"/>
          <c:order val="1"/>
          <c:tx>
            <c:v>Empréstimo Anual (R$)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35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pt idx="20">
                <c:v>21</c:v>
              </c:pt>
              <c:pt idx="21">
                <c:v>22</c:v>
              </c:pt>
              <c:pt idx="22">
                <c:v>23</c:v>
              </c:pt>
              <c:pt idx="23">
                <c:v>24</c:v>
              </c:pt>
              <c:pt idx="24">
                <c:v>25</c:v>
              </c:pt>
              <c:pt idx="25">
                <c:v>26</c:v>
              </c:pt>
              <c:pt idx="26">
                <c:v>27</c:v>
              </c:pt>
              <c:pt idx="27">
                <c:v>28</c:v>
              </c:pt>
              <c:pt idx="28">
                <c:v>29</c:v>
              </c:pt>
              <c:pt idx="29">
                <c:v>30</c:v>
              </c:pt>
              <c:pt idx="30">
                <c:v>31</c:v>
              </c:pt>
              <c:pt idx="31">
                <c:v>32</c:v>
              </c:pt>
              <c:pt idx="32">
                <c:v>33</c:v>
              </c:pt>
              <c:pt idx="33">
                <c:v>34</c:v>
              </c:pt>
              <c:pt idx="34">
                <c:v>35</c:v>
              </c:pt>
            </c:numLit>
          </c:cat>
          <c:val>
            <c:numLit>
              <c:formatCode>General</c:formatCode>
              <c:ptCount val="32"/>
              <c:pt idx="0">
                <c:v>1903209.6481893647</c:v>
              </c:pt>
              <c:pt idx="1">
                <c:v>35443229.18993935</c:v>
              </c:pt>
              <c:pt idx="2">
                <c:v>19891267.258093938</c:v>
              </c:pt>
              <c:pt idx="3">
                <c:v>20247896.437351327</c:v>
              </c:pt>
              <c:pt idx="4">
                <c:v>19921143.135204643</c:v>
              </c:pt>
              <c:pt idx="5">
                <c:v>19221348.376955386</c:v>
              </c:pt>
              <c:pt idx="6">
                <c:v>19484672.327694997</c:v>
              </c:pt>
              <c:pt idx="7">
                <c:v>19719960.288212769</c:v>
              </c:pt>
              <c:pt idx="8">
                <c:v>19947628.137911577</c:v>
              </c:pt>
              <c:pt idx="9">
                <c:v>6136884.9972882923</c:v>
              </c:pt>
              <c:pt idx="10">
                <c:v>6094095.3278384022</c:v>
              </c:pt>
              <c:pt idx="11">
                <c:v>6048412.2728742864</c:v>
              </c:pt>
              <c:pt idx="12">
                <c:v>6005622.6034243973</c:v>
              </c:pt>
              <c:pt idx="13">
                <c:v>5955823.9364190474</c:v>
              </c:pt>
              <c:pt idx="14">
                <c:v>2271248.9236443881</c:v>
              </c:pt>
              <c:pt idx="15">
                <c:v>2175280.6592650469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</c:numLit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2B2D-4741-B60D-3E5B65B4C1F4}"/>
            </c:ext>
          </c:extLst>
        </c:ser>
        <c:ser>
          <c:idx val="1"/>
          <c:order val="2"/>
          <c:tx>
            <c:v>Contrapartida Anual (R$)</c:v>
          </c:tx>
          <c:spPr>
            <a:solidFill>
              <a:schemeClr val="tx1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35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pt idx="20">
                <c:v>21</c:v>
              </c:pt>
              <c:pt idx="21">
                <c:v>22</c:v>
              </c:pt>
              <c:pt idx="22">
                <c:v>23</c:v>
              </c:pt>
              <c:pt idx="23">
                <c:v>24</c:v>
              </c:pt>
              <c:pt idx="24">
                <c:v>25</c:v>
              </c:pt>
              <c:pt idx="25">
                <c:v>26</c:v>
              </c:pt>
              <c:pt idx="26">
                <c:v>27</c:v>
              </c:pt>
              <c:pt idx="27">
                <c:v>28</c:v>
              </c:pt>
              <c:pt idx="28">
                <c:v>29</c:v>
              </c:pt>
              <c:pt idx="29">
                <c:v>30</c:v>
              </c:pt>
              <c:pt idx="30">
                <c:v>31</c:v>
              </c:pt>
              <c:pt idx="31">
                <c:v>32</c:v>
              </c:pt>
              <c:pt idx="32">
                <c:v>33</c:v>
              </c:pt>
              <c:pt idx="33">
                <c:v>34</c:v>
              </c:pt>
              <c:pt idx="34">
                <c:v>35</c:v>
              </c:pt>
            </c:numLit>
          </c:cat>
          <c:val>
            <c:numLit>
              <c:formatCode>General</c:formatCode>
              <c:ptCount val="32"/>
              <c:pt idx="0">
                <c:v>211467.73868770711</c:v>
              </c:pt>
              <c:pt idx="1">
                <c:v>3938136.5766599262</c:v>
              </c:pt>
              <c:pt idx="2">
                <c:v>2210140.8064548811</c:v>
              </c:pt>
              <c:pt idx="3">
                <c:v>2249766.2708168137</c:v>
              </c:pt>
              <c:pt idx="4">
                <c:v>2213460.3483560709</c:v>
              </c:pt>
              <c:pt idx="5">
                <c:v>2135705.375217265</c:v>
              </c:pt>
              <c:pt idx="6">
                <c:v>2164963.5919661107</c:v>
              </c:pt>
              <c:pt idx="7">
                <c:v>2191106.6986903073</c:v>
              </c:pt>
              <c:pt idx="8">
                <c:v>2216403.1264346191</c:v>
              </c:pt>
              <c:pt idx="9">
                <c:v>681876.11080981011</c:v>
              </c:pt>
              <c:pt idx="10">
                <c:v>677121.70309315564</c:v>
              </c:pt>
              <c:pt idx="11">
                <c:v>672045.80809714284</c:v>
              </c:pt>
              <c:pt idx="12">
                <c:v>667291.40038048849</c:v>
              </c:pt>
              <c:pt idx="13">
                <c:v>661758.21515767183</c:v>
              </c:pt>
              <c:pt idx="14">
                <c:v>252360.99151604308</c:v>
              </c:pt>
              <c:pt idx="15">
                <c:v>241697.85102944964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2B2D-4741-B60D-3E5B65B4C1F4}"/>
            </c:ext>
          </c:extLst>
        </c:ser>
        <c:ser>
          <c:idx val="4"/>
          <c:order val="3"/>
          <c:tx>
            <c:v>Amortizações e juros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35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pt idx="20">
                <c:v>21</c:v>
              </c:pt>
              <c:pt idx="21">
                <c:v>22</c:v>
              </c:pt>
              <c:pt idx="22">
                <c:v>23</c:v>
              </c:pt>
              <c:pt idx="23">
                <c:v>24</c:v>
              </c:pt>
              <c:pt idx="24">
                <c:v>25</c:v>
              </c:pt>
              <c:pt idx="25">
                <c:v>26</c:v>
              </c:pt>
              <c:pt idx="26">
                <c:v>27</c:v>
              </c:pt>
              <c:pt idx="27">
                <c:v>28</c:v>
              </c:pt>
              <c:pt idx="28">
                <c:v>29</c:v>
              </c:pt>
              <c:pt idx="29">
                <c:v>30</c:v>
              </c:pt>
              <c:pt idx="30">
                <c:v>31</c:v>
              </c:pt>
              <c:pt idx="31">
                <c:v>32</c:v>
              </c:pt>
              <c:pt idx="32">
                <c:v>33</c:v>
              </c:pt>
              <c:pt idx="33">
                <c:v>34</c:v>
              </c:pt>
              <c:pt idx="34">
                <c:v>35</c:v>
              </c:pt>
            </c:numLit>
          </c:cat>
          <c:val>
            <c:numLit>
              <c:formatCode>General</c:formatCode>
              <c:ptCount val="32"/>
              <c:pt idx="0">
                <c:v>-148260.031735</c:v>
              </c:pt>
              <c:pt idx="1">
                <c:v>-2909287.5856360001</c:v>
              </c:pt>
              <c:pt idx="2">
                <c:v>-4458817.3051899998</c:v>
              </c:pt>
              <c:pt idx="3">
                <c:v>-6036128.4378660005</c:v>
              </c:pt>
              <c:pt idx="4">
                <c:v>-9321007.5731615573</c:v>
              </c:pt>
              <c:pt idx="5">
                <c:v>-10818350.611726383</c:v>
              </c:pt>
              <c:pt idx="6">
                <c:v>-12336206.586053824</c:v>
              </c:pt>
              <c:pt idx="7">
                <c:v>-13872391.492505599</c:v>
              </c:pt>
              <c:pt idx="8">
                <c:v>-17178602.368959691</c:v>
              </c:pt>
              <c:pt idx="9">
                <c:v>-17656665.710248448</c:v>
              </c:pt>
              <c:pt idx="10">
                <c:v>-18131395.736287061</c:v>
              </c:pt>
              <c:pt idx="11">
                <c:v>-18602567.052343965</c:v>
              </c:pt>
              <c:pt idx="12">
                <c:v>-19925380.28738606</c:v>
              </c:pt>
              <c:pt idx="13">
                <c:v>-20389338.972033102</c:v>
              </c:pt>
              <c:pt idx="14">
                <c:v>-20566269.263185002</c:v>
              </c:pt>
              <c:pt idx="15">
                <c:v>-20735723.626541749</c:v>
              </c:pt>
              <c:pt idx="16">
                <c:v>-21140336.925504185</c:v>
              </c:pt>
              <c:pt idx="17">
                <c:v>-21140336.925504185</c:v>
              </c:pt>
              <c:pt idx="18">
                <c:v>-21140336.925504185</c:v>
              </c:pt>
              <c:pt idx="19">
                <c:v>-21140336.925504185</c:v>
              </c:pt>
              <c:pt idx="20">
                <c:v>-21140336.925504185</c:v>
              </c:pt>
              <c:pt idx="21">
                <c:v>-21140336.925504185</c:v>
              </c:pt>
              <c:pt idx="22">
                <c:v>-21140336.925504185</c:v>
              </c:pt>
              <c:pt idx="23">
                <c:v>-21140336.925504185</c:v>
              </c:pt>
              <c:pt idx="24">
                <c:v>-13371186.402575066</c:v>
              </c:pt>
              <c:pt idx="25">
                <c:v>-13371186.402575068</c:v>
              </c:pt>
              <c:pt idx="26">
                <c:v>-13371186.402575066</c:v>
              </c:pt>
              <c:pt idx="27">
                <c:v>-13371186.402575066</c:v>
              </c:pt>
              <c:pt idx="28">
                <c:v>-5515654.7884878041</c:v>
              </c:pt>
              <c:pt idx="29">
                <c:v>-5515654.7884878051</c:v>
              </c:pt>
              <c:pt idx="30">
                <c:v>-5515654.7884878051</c:v>
              </c:pt>
              <c:pt idx="31">
                <c:v>-5515654.7884878041</c:v>
              </c:pt>
            </c:numLit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3-2B2D-4741-B60D-3E5B65B4C1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559665488"/>
        <c:axId val="-559676912"/>
      </c:barChart>
      <c:catAx>
        <c:axId val="-5596654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59676912"/>
        <c:crosses val="autoZero"/>
        <c:auto val="1"/>
        <c:lblAlgn val="ctr"/>
        <c:lblOffset val="100"/>
        <c:noMultiLvlLbl val="1"/>
      </c:catAx>
      <c:valAx>
        <c:axId val="-559676912"/>
        <c:scaling>
          <c:orientation val="minMax"/>
          <c:max val="50000000"/>
          <c:min val="-500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R$&quot;#,##0_);[Red]\(&quot;R$&quot;#,##0\)" sourceLinked="0"/>
        <c:majorTickMark val="out"/>
        <c:minorTickMark val="in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59665488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2.099669556016627E-3"/>
          <c:y val="0.89433336634742866"/>
          <c:w val="0.97910996640261982"/>
          <c:h val="0.1056666916488023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Conta Água e Esgoto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9.7097145875633464E-2"/>
          <c:y val="7.9283897799424657E-2"/>
          <c:w val="0.84647339837237312"/>
          <c:h val="0.66334097430173844"/>
        </c:manualLayout>
      </c:layout>
      <c:lineChart>
        <c:grouping val="standard"/>
        <c:varyColors val="0"/>
        <c:ser>
          <c:idx val="0"/>
          <c:order val="0"/>
          <c:tx>
            <c:strRef>
              <c:f>Histograma!$B$110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Histograma!$B$111:$B$115</c:f>
              <c:numCache>
                <c:formatCode>General</c:formatCode>
                <c:ptCount val="5"/>
              </c:numCache>
            </c:numRef>
          </c:cat>
          <c:val>
            <c:numRef>
              <c:f>Histograma!$C$111:$C$115</c:f>
              <c:numCache>
                <c:formatCode>General</c:formatCode>
                <c:ptCount val="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A8-4E6A-A5FD-FCDCC20C0305}"/>
            </c:ext>
          </c:extLst>
        </c:ser>
        <c:ser>
          <c:idx val="3"/>
          <c:order val="3"/>
          <c:tx>
            <c:strRef>
              <c:f>Histograma!$B$131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val>
            <c:numRef>
              <c:f>Histograma!$C$132:$C$136</c:f>
              <c:numCache>
                <c:formatCode>General</c:formatCode>
                <c:ptCount val="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DA8-4E6A-A5FD-FCDCC20C0305}"/>
            </c:ext>
          </c:extLst>
        </c:ser>
        <c:ser>
          <c:idx val="6"/>
          <c:order val="6"/>
          <c:tx>
            <c:strRef>
              <c:f>Histograma!$B$152:$E$152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val>
            <c:numRef>
              <c:f>Histograma!$C$153:$C$157</c:f>
              <c:numCache>
                <c:formatCode>General</c:formatCode>
                <c:ptCount val="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9DA8-4E6A-A5FD-FCDCC20C0305}"/>
            </c:ext>
          </c:extLst>
        </c:ser>
        <c:ser>
          <c:idx val="7"/>
          <c:order val="7"/>
          <c:tx>
            <c:strRef>
              <c:f>Histograma!$B$159:$E$159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val>
            <c:numRef>
              <c:f>Histograma!$C$160:$C$164</c:f>
              <c:numCache>
                <c:formatCode>General</c:formatCode>
                <c:ptCount val="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9DA8-4E6A-A5FD-FCDCC20C0305}"/>
            </c:ext>
          </c:extLst>
        </c:ser>
        <c:ser>
          <c:idx val="8"/>
          <c:order val="8"/>
          <c:tx>
            <c:strRef>
              <c:f>Histograma!$B$166:$E$166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val>
            <c:numRef>
              <c:f>Histograma!$C$167:$C$171</c:f>
              <c:numCache>
                <c:formatCode>General</c:formatCode>
                <c:ptCount val="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9DA8-4E6A-A5FD-FCDCC20C0305}"/>
            </c:ext>
          </c:extLst>
        </c:ser>
        <c:ser>
          <c:idx val="9"/>
          <c:order val="9"/>
          <c:tx>
            <c:strRef>
              <c:f>Histograma!$B$173:$E$173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val>
            <c:numRef>
              <c:f>Histograma!$C$174:$C$178</c:f>
              <c:numCache>
                <c:formatCode>General</c:formatCode>
                <c:ptCount val="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9DA8-4E6A-A5FD-FCDCC20C03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559668208"/>
        <c:axId val="-559668752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Histograma!$B$117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val>
                  <c:numRef>
                    <c:extLst>
                      <c:ext uri="{02D57815-91ED-43cb-92C2-25804820EDAC}">
                        <c15:formulaRef>
                          <c15:sqref>Histograma!$C$118:$C$122</c15:sqref>
                        </c15:formulaRef>
                      </c:ext>
                    </c:extLst>
                    <c:numCache>
                      <c:formatCode>General</c:formatCode>
                      <c:ptCount val="5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9DA8-4E6A-A5FD-FCDCC20C0305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Histograma!$B$124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Histograma!$C$125:$C$129</c15:sqref>
                        </c15:formulaRef>
                      </c:ext>
                    </c:extLst>
                    <c:numCache>
                      <c:formatCode>General</c:formatCode>
                      <c:ptCount val="5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9DA8-4E6A-A5FD-FCDCC20C0305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Histograma!$B$138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Histograma!$C$139:$C$143</c15:sqref>
                        </c15:formulaRef>
                      </c:ext>
                    </c:extLst>
                    <c:numCache>
                      <c:formatCode>General</c:formatCode>
                      <c:ptCount val="5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DA8-4E6A-A5FD-FCDCC20C0305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Histograma!$B$145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/>
                    </a:solidFill>
                    <a:ln w="9525">
                      <a:solidFill>
                        <a:schemeClr val="accent6"/>
                      </a:solidFill>
                    </a:ln>
                    <a:effectLst/>
                  </c:spPr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Histograma!$C$146:$C$150</c15:sqref>
                        </c15:formulaRef>
                      </c:ext>
                    </c:extLst>
                    <c:numCache>
                      <c:formatCode>General</c:formatCode>
                      <c:ptCount val="5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9DA8-4E6A-A5FD-FCDCC20C0305}"/>
                  </c:ext>
                </c:extLst>
              </c15:ser>
            </c15:filteredLineSeries>
          </c:ext>
        </c:extLst>
      </c:lineChart>
      <c:catAx>
        <c:axId val="-5596682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Volume Mensal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59668752"/>
        <c:crosses val="autoZero"/>
        <c:auto val="1"/>
        <c:lblAlgn val="ctr"/>
        <c:lblOffset val="100"/>
        <c:noMultiLvlLbl val="0"/>
      </c:catAx>
      <c:valAx>
        <c:axId val="-559668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59668208"/>
        <c:crosses val="autoZero"/>
        <c:crossBetween val="between"/>
        <c:majorUnit val="5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5.6630977731557133E-2"/>
          <c:y val="0.86962877483560197"/>
          <c:w val="0.90352987008699381"/>
          <c:h val="0.1297262396824624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'Seguros e Garantias'!$D$29:$AL$29</c:f>
              <c:numCache>
                <c:formatCode>"R$"#,##0.00_);[Red]\("R$"#,##0.00\)</c:formatCode>
                <c:ptCount val="35"/>
                <c:pt idx="0">
                  <c:v>97472658.245039999</c:v>
                </c:pt>
                <c:pt idx="1">
                  <c:v>97472658.245039999</c:v>
                </c:pt>
                <c:pt idx="2">
                  <c:v>97472658.245039999</c:v>
                </c:pt>
                <c:pt idx="3">
                  <c:v>97472658.245039999</c:v>
                </c:pt>
                <c:pt idx="4">
                  <c:v>97472658.245039999</c:v>
                </c:pt>
                <c:pt idx="5">
                  <c:v>97472658.245039999</c:v>
                </c:pt>
                <c:pt idx="6">
                  <c:v>97472658.245039999</c:v>
                </c:pt>
                <c:pt idx="7">
                  <c:v>97472658.245039999</c:v>
                </c:pt>
                <c:pt idx="8">
                  <c:v>97472658.245039999</c:v>
                </c:pt>
                <c:pt idx="9">
                  <c:v>97472658.245039999</c:v>
                </c:pt>
                <c:pt idx="10">
                  <c:v>38989063.298015997</c:v>
                </c:pt>
                <c:pt idx="11">
                  <c:v>38989063.298015997</c:v>
                </c:pt>
                <c:pt idx="12">
                  <c:v>38989063.298015997</c:v>
                </c:pt>
                <c:pt idx="13">
                  <c:v>38989063.298015997</c:v>
                </c:pt>
                <c:pt idx="14">
                  <c:v>38989063.298015997</c:v>
                </c:pt>
                <c:pt idx="15">
                  <c:v>38989063.298015997</c:v>
                </c:pt>
                <c:pt idx="16">
                  <c:v>38989063.298015997</c:v>
                </c:pt>
                <c:pt idx="17">
                  <c:v>38989063.298015997</c:v>
                </c:pt>
                <c:pt idx="18">
                  <c:v>38989063.298015997</c:v>
                </c:pt>
                <c:pt idx="19">
                  <c:v>38989063.298015997</c:v>
                </c:pt>
                <c:pt idx="20">
                  <c:v>38989063.298015997</c:v>
                </c:pt>
                <c:pt idx="21">
                  <c:v>38989063.298015997</c:v>
                </c:pt>
                <c:pt idx="22">
                  <c:v>38989063.298015997</c:v>
                </c:pt>
                <c:pt idx="23">
                  <c:v>38989063.298015997</c:v>
                </c:pt>
                <c:pt idx="24">
                  <c:v>38989063.298015997</c:v>
                </c:pt>
                <c:pt idx="25">
                  <c:v>58483594.947023988</c:v>
                </c:pt>
                <c:pt idx="26">
                  <c:v>58483594.947023988</c:v>
                </c:pt>
                <c:pt idx="27">
                  <c:v>58483594.947023988</c:v>
                </c:pt>
                <c:pt idx="28">
                  <c:v>58483594.947023988</c:v>
                </c:pt>
                <c:pt idx="29">
                  <c:v>58483594.947023988</c:v>
                </c:pt>
                <c:pt idx="30">
                  <c:v>58483594.947023988</c:v>
                </c:pt>
                <c:pt idx="31">
                  <c:v>58483594.947023988</c:v>
                </c:pt>
                <c:pt idx="32">
                  <c:v>58483594.947023988</c:v>
                </c:pt>
                <c:pt idx="33">
                  <c:v>58483594.947023988</c:v>
                </c:pt>
                <c:pt idx="34">
                  <c:v>58483594.947023988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220-42FC-8EC8-CE9EE361B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47221952"/>
        <c:axId val="-747226304"/>
      </c:scatterChart>
      <c:valAx>
        <c:axId val="-747221952"/>
        <c:scaling>
          <c:orientation val="minMax"/>
          <c:max val="35"/>
        </c:scaling>
        <c:delete val="0"/>
        <c:axPos val="b"/>
        <c:majorTickMark val="out"/>
        <c:minorTickMark val="none"/>
        <c:tickLblPos val="nextTo"/>
        <c:crossAx val="-747226304"/>
        <c:crosses val="autoZero"/>
        <c:crossBetween val="midCat"/>
      </c:valAx>
      <c:valAx>
        <c:axId val="-747226304"/>
        <c:scaling>
          <c:orientation val="minMax"/>
        </c:scaling>
        <c:delete val="0"/>
        <c:axPos val="l"/>
        <c:majorGridlines/>
        <c:numFmt formatCode="&quot;R$&quot;#,##0.00_);[Red]\(&quot;R$&quot;#,##0.00\)" sourceLinked="1"/>
        <c:majorTickMark val="out"/>
        <c:minorTickMark val="none"/>
        <c:tickLblPos val="nextTo"/>
        <c:crossAx val="-74722195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1333500</xdr:colOff>
      <xdr:row>19</xdr:row>
      <xdr:rowOff>0</xdr:rowOff>
    </xdr:from>
    <xdr:to>
      <xdr:col>7</xdr:col>
      <xdr:colOff>1050292</xdr:colOff>
      <xdr:row>51</xdr:row>
      <xdr:rowOff>46354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69B8114B-3B52-43BD-AAC8-BFD6C7BE5D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1310641</xdr:colOff>
      <xdr:row>52</xdr:row>
      <xdr:rowOff>123825</xdr:rowOff>
    </xdr:from>
    <xdr:to>
      <xdr:col>7</xdr:col>
      <xdr:colOff>1085851</xdr:colOff>
      <xdr:row>82</xdr:row>
      <xdr:rowOff>171450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60A0F24-646C-44F2-BEA6-A61613370D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247460</xdr:colOff>
      <xdr:row>8</xdr:row>
      <xdr:rowOff>41594</xdr:rowOff>
    </xdr:from>
    <xdr:to>
      <xdr:col>10</xdr:col>
      <xdr:colOff>1025796</xdr:colOff>
      <xdr:row>12</xdr:row>
      <xdr:rowOff>158089</xdr:rowOff>
    </xdr:to>
    <xdr:sp macro="" textlink="">
      <xdr:nvSpPr>
        <xdr:cNvPr id="3" name="Seta para baixo 2">
          <a:extLst>
            <a:ext uri="{FF2B5EF4-FFF2-40B4-BE49-F238E27FC236}">
              <a16:creationId xmlns:a16="http://schemas.microsoft.com/office/drawing/2014/main" id="{06A86119-63C8-4AE7-A08E-4443D4D42FB9}"/>
            </a:ext>
          </a:extLst>
        </xdr:cNvPr>
        <xdr:cNvSpPr/>
      </xdr:nvSpPr>
      <xdr:spPr>
        <a:xfrm>
          <a:off x="14706410" y="1489394"/>
          <a:ext cx="778336" cy="907070"/>
        </a:xfrm>
        <a:prstGeom prst="downArrow">
          <a:avLst>
            <a:gd name="adj1" fmla="val 50000"/>
            <a:gd name="adj2" fmla="val 63433"/>
          </a:avLst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147</xdr:row>
      <xdr:rowOff>202405</xdr:rowOff>
    </xdr:from>
    <xdr:to>
      <xdr:col>26</xdr:col>
      <xdr:colOff>71437</xdr:colOff>
      <xdr:row>176</xdr:row>
      <xdr:rowOff>190499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DD558CE9-E9D7-4323-BCDE-63D1396FC8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171453</xdr:colOff>
      <xdr:row>10</xdr:row>
      <xdr:rowOff>45243</xdr:rowOff>
    </xdr:from>
    <xdr:to>
      <xdr:col>8</xdr:col>
      <xdr:colOff>1238249</xdr:colOff>
      <xdr:row>19</xdr:row>
      <xdr:rowOff>119062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Waldo%20V\Documents\EZUTE%202023-2024\Aparecida%20do%20Taboado\Planilhas\3-%20EVTE_AT_vers&#227;o_2A0.xlsx" TargetMode="External"/><Relationship Id="rId1" Type="http://schemas.openxmlformats.org/officeDocument/2006/relationships/externalLinkPath" Target="/Users/Waldo%20V/Documents/EZUTE%202023-2024/Aparecida%20do%20Taboado/Planilhas/3-%20EVTE_AT_vers&#227;o_2A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ltados"/>
      <sheetName val="Condições de Contrato"/>
      <sheetName val="Premissas"/>
      <sheetName val="FCFF - Projeto"/>
      <sheetName val="FCFE - Acionista"/>
      <sheetName val="DRE - Projeto"/>
      <sheetName val="Base Física"/>
      <sheetName val="BP - Projeto"/>
      <sheetName val="Dados ME"/>
      <sheetName val="Histograma"/>
      <sheetName val="CAPEX"/>
      <sheetName val="Matriz Tarifária"/>
      <sheetName val="Reposição de Ativos"/>
      <sheetName val="Cronograma"/>
      <sheetName val="Depreciação "/>
      <sheetName val="Financiamento "/>
      <sheetName val="Distribuição Custeio"/>
      <sheetName val="Mão de Obra"/>
      <sheetName val="Manut Rede"/>
      <sheetName val="Veículos"/>
      <sheetName val="Energia Eletrica"/>
      <sheetName val="Produto Químico"/>
      <sheetName val="Lodo"/>
      <sheetName val="Legal e Regulação"/>
      <sheetName val="Despesas diversas"/>
      <sheetName val="Recursos Hidricos"/>
      <sheetName val="Seguros e Garantias"/>
    </sheetNames>
    <sheetDataSet>
      <sheetData sheetId="0"/>
      <sheetData sheetId="1"/>
      <sheetData sheetId="2"/>
      <sheetData sheetId="3">
        <row r="12">
          <cell r="G12" t="str">
            <v>Pagamento de Outorga</v>
          </cell>
        </row>
        <row r="13">
          <cell r="G13" t="str">
            <v xml:space="preserve">Pagamento de Indenizações e Bens Reversíveis </v>
          </cell>
        </row>
        <row r="14">
          <cell r="G14" t="str">
            <v>Indenizações e Ressarecimentos de Modelagem</v>
          </cell>
        </row>
      </sheetData>
      <sheetData sheetId="4">
        <row r="14">
          <cell r="F14" t="str">
            <v>Despesas de Licitação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5">
          <cell r="D5">
            <v>1</v>
          </cell>
        </row>
        <row r="6">
          <cell r="D6">
            <v>7.0000000000000007E-2</v>
          </cell>
        </row>
        <row r="7">
          <cell r="D7">
            <v>0.16</v>
          </cell>
        </row>
        <row r="8">
          <cell r="D8">
            <v>0.01</v>
          </cell>
        </row>
        <row r="9">
          <cell r="D9">
            <v>0.05</v>
          </cell>
        </row>
        <row r="10">
          <cell r="D10">
            <v>0.02</v>
          </cell>
        </row>
        <row r="11">
          <cell r="D11">
            <v>0.03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6"/>
  <sheetViews>
    <sheetView showGridLines="0" tabSelected="1" topLeftCell="A23" zoomScaleNormal="100" workbookViewId="0">
      <selection activeCell="K23" sqref="K23"/>
    </sheetView>
  </sheetViews>
  <sheetFormatPr defaultRowHeight="14.4" x14ac:dyDescent="0.3"/>
  <cols>
    <col min="1" max="1" width="20" customWidth="1"/>
    <col min="2" max="2" width="45.44140625" customWidth="1"/>
    <col min="3" max="3" width="7.6640625" customWidth="1"/>
    <col min="4" max="4" width="18.33203125" customWidth="1"/>
    <col min="6" max="6" width="45.44140625" customWidth="1"/>
    <col min="8" max="8" width="16.6640625" customWidth="1"/>
  </cols>
  <sheetData>
    <row r="1" spans="1:8" ht="25.2" x14ac:dyDescent="0.3">
      <c r="B1" s="935" t="s">
        <v>214</v>
      </c>
      <c r="C1" s="935"/>
      <c r="D1" s="935"/>
      <c r="E1" s="935"/>
      <c r="F1" s="935"/>
      <c r="G1" s="935"/>
      <c r="H1" s="935"/>
    </row>
    <row r="2" spans="1:8" ht="24.6" customHeight="1" x14ac:dyDescent="0.3"/>
    <row r="3" spans="1:8" x14ac:dyDescent="0.3">
      <c r="A3" s="318" t="s">
        <v>522</v>
      </c>
      <c r="B3" s="135" t="s">
        <v>231</v>
      </c>
      <c r="C3" s="139" t="s">
        <v>230</v>
      </c>
      <c r="D3" s="143">
        <f>Histograma!Y89</f>
        <v>9.36</v>
      </c>
      <c r="F3" s="135" t="s">
        <v>232</v>
      </c>
      <c r="G3" s="139" t="s">
        <v>230</v>
      </c>
      <c r="H3" s="143">
        <f>Histograma!Z89</f>
        <v>9.36</v>
      </c>
    </row>
    <row r="4" spans="1:8" x14ac:dyDescent="0.3">
      <c r="A4" s="147" t="s">
        <v>523</v>
      </c>
      <c r="C4" s="66"/>
      <c r="D4" s="69"/>
      <c r="G4" s="66"/>
      <c r="H4" s="69"/>
    </row>
    <row r="5" spans="1:8" x14ac:dyDescent="0.3">
      <c r="A5" s="222" t="s">
        <v>524</v>
      </c>
    </row>
    <row r="6" spans="1:8" x14ac:dyDescent="0.3">
      <c r="B6" s="314" t="s">
        <v>215</v>
      </c>
      <c r="C6" s="315" t="s">
        <v>216</v>
      </c>
      <c r="D6" s="315" t="s">
        <v>217</v>
      </c>
      <c r="F6" s="314" t="s">
        <v>224</v>
      </c>
      <c r="G6" s="315" t="s">
        <v>216</v>
      </c>
      <c r="H6" s="315" t="s">
        <v>217</v>
      </c>
    </row>
    <row r="7" spans="1:8" x14ac:dyDescent="0.3">
      <c r="B7" s="140" t="s">
        <v>218</v>
      </c>
      <c r="C7" s="141" t="s">
        <v>219</v>
      </c>
      <c r="D7" s="144">
        <f>'FCD PROJETO'!D5</f>
        <v>7.7755274343279002E-2</v>
      </c>
      <c r="F7" s="140" t="s">
        <v>225</v>
      </c>
      <c r="G7" s="141" t="s">
        <v>219</v>
      </c>
      <c r="H7" s="146">
        <f ca="1">'FCD Acionista'!D3</f>
        <v>0.1267463442224066</v>
      </c>
    </row>
    <row r="8" spans="1:8" x14ac:dyDescent="0.3">
      <c r="B8" s="140" t="s">
        <v>264</v>
      </c>
      <c r="C8" s="141" t="s">
        <v>219</v>
      </c>
      <c r="D8" s="144">
        <f ca="1">'FCD PROJETO'!J10</f>
        <v>7.775527434164739E-2</v>
      </c>
      <c r="F8" s="140" t="s">
        <v>474</v>
      </c>
      <c r="G8" s="141" t="s">
        <v>219</v>
      </c>
      <c r="H8" s="146">
        <f>'FCD Acionista'!H6</f>
        <v>0.12674634436719204</v>
      </c>
    </row>
    <row r="9" spans="1:8" x14ac:dyDescent="0.3">
      <c r="B9" s="140" t="s">
        <v>220</v>
      </c>
      <c r="C9" s="142" t="s">
        <v>222</v>
      </c>
      <c r="D9" s="145">
        <f ca="1">'FCD PROJETO'!D6</f>
        <v>0</v>
      </c>
      <c r="F9" s="140" t="s">
        <v>226</v>
      </c>
      <c r="G9" s="142" t="s">
        <v>222</v>
      </c>
      <c r="H9" s="145">
        <f ca="1">'FCD Acionista'!D4</f>
        <v>0</v>
      </c>
    </row>
    <row r="10" spans="1:8" x14ac:dyDescent="0.3">
      <c r="B10" s="140" t="s">
        <v>77</v>
      </c>
      <c r="C10" s="139" t="s">
        <v>233</v>
      </c>
      <c r="D10" s="143">
        <f>'FCD PROJETO'!D7</f>
        <v>16</v>
      </c>
      <c r="F10" s="140" t="s">
        <v>77</v>
      </c>
      <c r="G10" s="139" t="s">
        <v>233</v>
      </c>
      <c r="H10" s="143">
        <f ca="1">'FCD Acionista'!D5</f>
        <v>31</v>
      </c>
    </row>
    <row r="11" spans="1:8" x14ac:dyDescent="0.3">
      <c r="B11" s="140" t="s">
        <v>235</v>
      </c>
      <c r="C11" s="139" t="s">
        <v>233</v>
      </c>
      <c r="D11" s="143">
        <f ca="1">'FCD PROJETO'!D8</f>
        <v>35</v>
      </c>
      <c r="F11" s="140" t="s">
        <v>235</v>
      </c>
      <c r="G11" s="139" t="s">
        <v>233</v>
      </c>
      <c r="H11" s="143">
        <f ca="1">'FCD Acionista'!D6</f>
        <v>35</v>
      </c>
    </row>
    <row r="12" spans="1:8" x14ac:dyDescent="0.3">
      <c r="B12" s="140" t="s">
        <v>221</v>
      </c>
      <c r="C12" s="142" t="s">
        <v>222</v>
      </c>
      <c r="D12" s="145">
        <f>-'FCD PROJETO'!$AO$48</f>
        <v>306007162.50999999</v>
      </c>
      <c r="F12" s="140" t="s">
        <v>227</v>
      </c>
      <c r="G12" s="142" t="s">
        <v>222</v>
      </c>
      <c r="H12" s="145">
        <f>MIN('FCD PROJETO'!$F$107:$AI$107)</f>
        <v>-39959345.279983453</v>
      </c>
    </row>
    <row r="13" spans="1:8" x14ac:dyDescent="0.3">
      <c r="B13" s="140" t="s">
        <v>676</v>
      </c>
      <c r="C13" s="142" t="s">
        <v>222</v>
      </c>
      <c r="D13" s="145">
        <f ca="1">SUM('Financiamento '!D96:AI96)</f>
        <v>244162096.82367462</v>
      </c>
      <c r="F13" s="140" t="s">
        <v>228</v>
      </c>
      <c r="G13" s="142" t="s">
        <v>222</v>
      </c>
      <c r="H13" s="145">
        <v>0</v>
      </c>
    </row>
    <row r="14" spans="1:8" x14ac:dyDescent="0.3">
      <c r="B14" s="140" t="s">
        <v>412</v>
      </c>
      <c r="C14" s="142" t="s">
        <v>222</v>
      </c>
      <c r="D14" s="145">
        <f ca="1">IF('FCD PROJETO'!J18=0,0,SUM('Financiamento '!D97:AI97))</f>
        <v>26757593.236325409</v>
      </c>
      <c r="F14" s="140" t="s">
        <v>489</v>
      </c>
      <c r="G14" s="142" t="s">
        <v>222</v>
      </c>
      <c r="H14" s="145">
        <v>0</v>
      </c>
    </row>
    <row r="15" spans="1:8" x14ac:dyDescent="0.3">
      <c r="B15" s="140" t="s">
        <v>229</v>
      </c>
      <c r="C15" s="142" t="s">
        <v>222</v>
      </c>
      <c r="D15" s="145">
        <f>'FCD PROJETO'!$AO$105</f>
        <v>131279859.22558522</v>
      </c>
      <c r="F15" s="140" t="s">
        <v>505</v>
      </c>
      <c r="G15" s="142" t="s">
        <v>222</v>
      </c>
      <c r="H15" s="145">
        <v>0</v>
      </c>
    </row>
    <row r="16" spans="1:8" x14ac:dyDescent="0.3">
      <c r="B16" s="140" t="s">
        <v>223</v>
      </c>
      <c r="C16" s="142" t="s">
        <v>222</v>
      </c>
      <c r="D16" s="145">
        <f>'FCD PROJETO'!$AO$81</f>
        <v>1949453164.9007998</v>
      </c>
      <c r="F16" s="140" t="s">
        <v>291</v>
      </c>
      <c r="G16" s="142" t="s">
        <v>222</v>
      </c>
      <c r="H16" s="145">
        <f>-0.07*'FCD PROJETO'!AO48</f>
        <v>21420501.375700001</v>
      </c>
    </row>
  </sheetData>
  <mergeCells count="1">
    <mergeCell ref="B1:H1"/>
  </mergeCells>
  <phoneticPr fontId="2" type="noConversion"/>
  <conditionalFormatting sqref="B1">
    <cfRule type="cellIs" dxfId="5" priority="4" operator="equal">
      <formula>"z"</formula>
    </cfRule>
    <cfRule type="cellIs" dxfId="4" priority="5" operator="equal">
      <formula>"y"</formula>
    </cfRule>
    <cfRule type="cellIs" dxfId="3" priority="6" operator="equal">
      <formula>"x"</formula>
    </cfRule>
  </conditionalFormatting>
  <pageMargins left="0.511811024" right="0.511811024" top="0.78740157499999996" bottom="0.78740157499999996" header="0.31496062000000002" footer="0.31496062000000002"/>
  <pageSetup paperSize="8" scale="7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10403-DEED-4C5A-8DBE-BB7A2A49E124}">
  <dimension ref="B1:I39"/>
  <sheetViews>
    <sheetView topLeftCell="B1" workbookViewId="0">
      <selection activeCell="J18" sqref="J18"/>
    </sheetView>
  </sheetViews>
  <sheetFormatPr defaultRowHeight="14.4" x14ac:dyDescent="0.3"/>
  <cols>
    <col min="2" max="2" width="60.6640625" customWidth="1"/>
    <col min="3" max="3" width="45.5546875" customWidth="1"/>
    <col min="4" max="4" width="50.88671875" customWidth="1"/>
    <col min="5" max="5" width="9.6640625" customWidth="1"/>
    <col min="6" max="6" width="34.88671875" customWidth="1"/>
    <col min="7" max="7" width="10.5546875" customWidth="1"/>
    <col min="8" max="8" width="20.88671875" customWidth="1"/>
  </cols>
  <sheetData>
    <row r="1" spans="2:9" ht="25.2" x14ac:dyDescent="0.3">
      <c r="B1" s="856" t="s">
        <v>949</v>
      </c>
      <c r="C1" s="856"/>
      <c r="D1" s="856"/>
      <c r="E1" s="856"/>
      <c r="F1" s="856"/>
      <c r="G1" s="856"/>
      <c r="H1" s="856"/>
    </row>
    <row r="3" spans="2:9" x14ac:dyDescent="0.3">
      <c r="B3" s="857" t="s">
        <v>1013</v>
      </c>
      <c r="C3" s="857"/>
      <c r="D3" s="857"/>
      <c r="E3" s="859"/>
      <c r="F3" s="867" t="s">
        <v>950</v>
      </c>
      <c r="G3" s="859"/>
      <c r="H3" s="866">
        <f>'FCD PROJETO'!D10</f>
        <v>1949453164.9007998</v>
      </c>
    </row>
    <row r="4" spans="2:9" x14ac:dyDescent="0.3">
      <c r="B4" s="140"/>
      <c r="C4" s="140"/>
    </row>
    <row r="5" spans="2:9" x14ac:dyDescent="0.3">
      <c r="B5" s="858" t="s">
        <v>951</v>
      </c>
      <c r="C5" s="858" t="s">
        <v>952</v>
      </c>
      <c r="D5" s="858" t="s">
        <v>953</v>
      </c>
      <c r="E5" s="315" t="s">
        <v>954</v>
      </c>
      <c r="F5" s="315" t="s">
        <v>240</v>
      </c>
      <c r="G5" s="315" t="s">
        <v>216</v>
      </c>
      <c r="H5" s="315" t="s">
        <v>955</v>
      </c>
    </row>
    <row r="7" spans="2:9" x14ac:dyDescent="0.3">
      <c r="B7" s="140" t="s">
        <v>956</v>
      </c>
      <c r="C7" s="140" t="s">
        <v>957</v>
      </c>
      <c r="D7" s="140" t="s">
        <v>958</v>
      </c>
      <c r="E7" s="860">
        <v>0.01</v>
      </c>
      <c r="F7" s="861" t="s">
        <v>959</v>
      </c>
      <c r="G7" s="142" t="s">
        <v>222</v>
      </c>
      <c r="H7" s="145">
        <f>H3*E7</f>
        <v>19494531.649007998</v>
      </c>
    </row>
    <row r="8" spans="2:9" x14ac:dyDescent="0.3">
      <c r="B8" s="140" t="s">
        <v>960</v>
      </c>
      <c r="C8" s="140" t="s">
        <v>957</v>
      </c>
      <c r="D8" s="140" t="s">
        <v>961</v>
      </c>
      <c r="E8" s="860">
        <v>1.6E-2</v>
      </c>
      <c r="F8" s="861" t="s">
        <v>959</v>
      </c>
      <c r="G8" s="142" t="s">
        <v>222</v>
      </c>
      <c r="H8" s="145">
        <f>H3*E8</f>
        <v>31191250.638412796</v>
      </c>
    </row>
    <row r="9" spans="2:9" x14ac:dyDescent="0.3">
      <c r="B9" s="140" t="s">
        <v>962</v>
      </c>
      <c r="C9" s="140" t="s">
        <v>957</v>
      </c>
      <c r="D9" s="140" t="s">
        <v>963</v>
      </c>
      <c r="E9" s="860">
        <v>0.15</v>
      </c>
      <c r="F9" s="861" t="s">
        <v>964</v>
      </c>
      <c r="G9" s="142" t="s">
        <v>222</v>
      </c>
      <c r="H9" s="145">
        <f>-'FCD PROJETO'!AO48*E9</f>
        <v>45901074.376499996</v>
      </c>
    </row>
    <row r="10" spans="2:9" x14ac:dyDescent="0.3">
      <c r="B10" s="140" t="s">
        <v>965</v>
      </c>
      <c r="C10" s="140" t="s">
        <v>957</v>
      </c>
      <c r="D10" s="140" t="s">
        <v>963</v>
      </c>
      <c r="E10" s="860">
        <v>0.2</v>
      </c>
      <c r="F10" s="861" t="s">
        <v>966</v>
      </c>
      <c r="G10" s="142" t="s">
        <v>222</v>
      </c>
      <c r="H10" s="145">
        <f>E10*H9</f>
        <v>9180214.8752999995</v>
      </c>
    </row>
    <row r="11" spans="2:9" x14ac:dyDescent="0.3">
      <c r="B11" s="140" t="str">
        <f>'[1]FCFF - Projeto'!G13</f>
        <v xml:space="preserve">Pagamento de Indenizações e Bens Reversíveis </v>
      </c>
      <c r="C11" s="140" t="s">
        <v>967</v>
      </c>
      <c r="D11" s="140" t="s">
        <v>968</v>
      </c>
      <c r="E11" s="860" t="s">
        <v>913</v>
      </c>
      <c r="F11" s="861" t="s">
        <v>969</v>
      </c>
      <c r="G11" s="142" t="s">
        <v>222</v>
      </c>
      <c r="H11" s="145"/>
    </row>
    <row r="12" spans="2:9" x14ac:dyDescent="0.3">
      <c r="B12" s="140" t="str">
        <f>'[1]FCFF - Projeto'!G14</f>
        <v>Indenizações e Ressarecimentos de Modelagem</v>
      </c>
      <c r="C12" s="140" t="s">
        <v>967</v>
      </c>
      <c r="D12" s="140" t="s">
        <v>968</v>
      </c>
      <c r="E12" s="860" t="s">
        <v>913</v>
      </c>
      <c r="F12" s="861" t="s">
        <v>969</v>
      </c>
      <c r="G12" s="142" t="s">
        <v>222</v>
      </c>
      <c r="H12" s="145">
        <v>4056330.56</v>
      </c>
    </row>
    <row r="13" spans="2:9" x14ac:dyDescent="0.3">
      <c r="B13" s="140" t="str">
        <f>'[1]FCFE - Acionista'!F14</f>
        <v>Despesas de Licitação</v>
      </c>
      <c r="C13" s="140" t="s">
        <v>967</v>
      </c>
      <c r="D13" s="140" t="s">
        <v>968</v>
      </c>
      <c r="E13" s="860" t="s">
        <v>913</v>
      </c>
      <c r="F13" s="861" t="s">
        <v>969</v>
      </c>
      <c r="G13" s="142" t="s">
        <v>222</v>
      </c>
      <c r="H13" s="145">
        <f>715646.48*'FCD PROJETO'!S19</f>
        <v>785350.44715199992</v>
      </c>
      <c r="I13" t="s">
        <v>1014</v>
      </c>
    </row>
    <row r="14" spans="2:9" x14ac:dyDescent="0.3">
      <c r="B14" s="140" t="s">
        <v>970</v>
      </c>
      <c r="C14" s="140" t="s">
        <v>971</v>
      </c>
      <c r="D14" s="140" t="s">
        <v>968</v>
      </c>
      <c r="E14" s="860" t="s">
        <v>913</v>
      </c>
      <c r="F14" s="861" t="s">
        <v>969</v>
      </c>
      <c r="G14" s="142" t="s">
        <v>222</v>
      </c>
      <c r="H14" s="145">
        <f>Resultados!H16</f>
        <v>21420501.375700001</v>
      </c>
    </row>
    <row r="15" spans="2:9" x14ac:dyDescent="0.3">
      <c r="B15" s="140" t="str">
        <f>'[1]FCFF - Projeto'!G12</f>
        <v>Pagamento de Outorga</v>
      </c>
      <c r="C15" s="140" t="s">
        <v>971</v>
      </c>
      <c r="D15" s="140" t="s">
        <v>968</v>
      </c>
      <c r="E15" s="860" t="s">
        <v>913</v>
      </c>
      <c r="F15" s="861" t="s">
        <v>969</v>
      </c>
      <c r="G15" s="142" t="s">
        <v>222</v>
      </c>
      <c r="H15" s="145"/>
    </row>
    <row r="16" spans="2:9" x14ac:dyDescent="0.3">
      <c r="B16" s="140" t="s">
        <v>972</v>
      </c>
      <c r="C16" s="140" t="s">
        <v>973</v>
      </c>
      <c r="D16" s="140" t="s">
        <v>1015</v>
      </c>
      <c r="E16" s="860" t="s">
        <v>913</v>
      </c>
      <c r="F16" s="861" t="s">
        <v>969</v>
      </c>
      <c r="G16" s="142" t="s">
        <v>222</v>
      </c>
      <c r="H16" s="862">
        <f>-'FCD Acionista'!C27/35</f>
        <v>1173869.4291780966</v>
      </c>
    </row>
    <row r="17" spans="2:8" x14ac:dyDescent="0.3">
      <c r="B17" s="140"/>
      <c r="C17" s="140"/>
      <c r="D17" s="863"/>
      <c r="E17" s="863"/>
      <c r="F17" s="864"/>
      <c r="G17" s="142"/>
    </row>
    <row r="18" spans="2:8" x14ac:dyDescent="0.3">
      <c r="B18" s="858" t="s">
        <v>974</v>
      </c>
      <c r="C18" s="858" t="s">
        <v>975</v>
      </c>
      <c r="D18" s="858" t="s">
        <v>976</v>
      </c>
      <c r="E18" s="315" t="s">
        <v>954</v>
      </c>
      <c r="F18" s="315" t="s">
        <v>240</v>
      </c>
      <c r="G18" s="315" t="s">
        <v>216</v>
      </c>
      <c r="H18" s="315" t="str">
        <f>H5</f>
        <v>Valor Dez 2025</v>
      </c>
    </row>
    <row r="20" spans="2:8" x14ac:dyDescent="0.3">
      <c r="B20" s="140" t="s">
        <v>977</v>
      </c>
      <c r="C20" s="140" t="s">
        <v>978</v>
      </c>
      <c r="D20" s="140" t="s">
        <v>979</v>
      </c>
      <c r="E20" s="860" t="s">
        <v>913</v>
      </c>
      <c r="F20" s="861" t="s">
        <v>969</v>
      </c>
      <c r="G20" s="142" t="s">
        <v>222</v>
      </c>
      <c r="H20" s="145">
        <f>Resultados!H16</f>
        <v>21420501.375700001</v>
      </c>
    </row>
    <row r="21" spans="2:8" x14ac:dyDescent="0.3">
      <c r="B21" s="140" t="s">
        <v>977</v>
      </c>
      <c r="C21" s="140" t="s">
        <v>980</v>
      </c>
      <c r="D21" s="140" t="s">
        <v>981</v>
      </c>
      <c r="E21" s="860" t="s">
        <v>913</v>
      </c>
      <c r="F21" s="861" t="s">
        <v>969</v>
      </c>
      <c r="G21" s="142" t="s">
        <v>222</v>
      </c>
      <c r="H21" s="145">
        <f>H20</f>
        <v>21420501.375700001</v>
      </c>
    </row>
    <row r="22" spans="2:8" x14ac:dyDescent="0.3">
      <c r="B22" s="140" t="s">
        <v>977</v>
      </c>
      <c r="C22" s="140" t="s">
        <v>982</v>
      </c>
      <c r="D22" s="140" t="s">
        <v>983</v>
      </c>
      <c r="E22" s="860" t="s">
        <v>913</v>
      </c>
      <c r="F22" s="861" t="s">
        <v>969</v>
      </c>
      <c r="G22" s="142" t="s">
        <v>222</v>
      </c>
      <c r="H22" s="145">
        <f t="shared" ref="H22:H29" si="0">H21</f>
        <v>21420501.375700001</v>
      </c>
    </row>
    <row r="23" spans="2:8" x14ac:dyDescent="0.3">
      <c r="B23" s="140" t="s">
        <v>977</v>
      </c>
      <c r="C23" s="140" t="s">
        <v>984</v>
      </c>
      <c r="D23" s="140" t="s">
        <v>985</v>
      </c>
      <c r="E23" s="860" t="s">
        <v>913</v>
      </c>
      <c r="F23" s="861" t="s">
        <v>969</v>
      </c>
      <c r="G23" s="142" t="s">
        <v>222</v>
      </c>
      <c r="H23" s="145">
        <f t="shared" si="0"/>
        <v>21420501.375700001</v>
      </c>
    </row>
    <row r="24" spans="2:8" x14ac:dyDescent="0.3">
      <c r="B24" s="140" t="s">
        <v>977</v>
      </c>
      <c r="C24" s="140" t="s">
        <v>986</v>
      </c>
      <c r="D24" s="140" t="s">
        <v>987</v>
      </c>
      <c r="E24" s="860" t="s">
        <v>913</v>
      </c>
      <c r="F24" s="861" t="s">
        <v>969</v>
      </c>
      <c r="G24" s="142" t="s">
        <v>222</v>
      </c>
      <c r="H24" s="145">
        <f t="shared" si="0"/>
        <v>21420501.375700001</v>
      </c>
    </row>
    <row r="25" spans="2:8" x14ac:dyDescent="0.3">
      <c r="B25" s="140" t="s">
        <v>977</v>
      </c>
      <c r="C25" s="140" t="s">
        <v>988</v>
      </c>
      <c r="D25" s="140" t="s">
        <v>989</v>
      </c>
      <c r="E25" s="860" t="s">
        <v>913</v>
      </c>
      <c r="F25" s="861" t="s">
        <v>969</v>
      </c>
      <c r="G25" s="142" t="s">
        <v>222</v>
      </c>
      <c r="H25" s="145">
        <f t="shared" si="0"/>
        <v>21420501.375700001</v>
      </c>
    </row>
    <row r="26" spans="2:8" x14ac:dyDescent="0.3">
      <c r="B26" s="140" t="s">
        <v>977</v>
      </c>
      <c r="C26" s="140" t="s">
        <v>990</v>
      </c>
      <c r="D26" s="140" t="s">
        <v>991</v>
      </c>
      <c r="E26" s="860" t="s">
        <v>913</v>
      </c>
      <c r="F26" s="861" t="s">
        <v>969</v>
      </c>
      <c r="G26" s="142" t="s">
        <v>222</v>
      </c>
      <c r="H26" s="145">
        <f t="shared" si="0"/>
        <v>21420501.375700001</v>
      </c>
    </row>
    <row r="27" spans="2:8" x14ac:dyDescent="0.3">
      <c r="B27" s="140" t="s">
        <v>977</v>
      </c>
      <c r="C27" s="140" t="s">
        <v>992</v>
      </c>
      <c r="D27" s="140" t="s">
        <v>993</v>
      </c>
      <c r="E27" s="860" t="s">
        <v>913</v>
      </c>
      <c r="F27" s="861" t="s">
        <v>969</v>
      </c>
      <c r="G27" s="142" t="s">
        <v>222</v>
      </c>
      <c r="H27" s="145">
        <f t="shared" si="0"/>
        <v>21420501.375700001</v>
      </c>
    </row>
    <row r="28" spans="2:8" x14ac:dyDescent="0.3">
      <c r="B28" s="140" t="s">
        <v>977</v>
      </c>
      <c r="C28" s="140" t="s">
        <v>994</v>
      </c>
      <c r="D28" s="140" t="s">
        <v>995</v>
      </c>
      <c r="E28" s="860" t="s">
        <v>913</v>
      </c>
      <c r="F28" s="861" t="s">
        <v>969</v>
      </c>
      <c r="G28" s="142" t="s">
        <v>222</v>
      </c>
      <c r="H28" s="145">
        <f t="shared" si="0"/>
        <v>21420501.375700001</v>
      </c>
    </row>
    <row r="29" spans="2:8" x14ac:dyDescent="0.3">
      <c r="B29" s="140" t="s">
        <v>977</v>
      </c>
      <c r="C29" s="140" t="s">
        <v>996</v>
      </c>
      <c r="D29" s="140" t="s">
        <v>997</v>
      </c>
      <c r="E29" s="860" t="s">
        <v>913</v>
      </c>
      <c r="F29" s="861" t="s">
        <v>969</v>
      </c>
      <c r="G29" s="142" t="s">
        <v>222</v>
      </c>
      <c r="H29" s="145">
        <f t="shared" si="0"/>
        <v>21420501.375700001</v>
      </c>
    </row>
    <row r="30" spans="2:8" x14ac:dyDescent="0.3">
      <c r="B30" s="140"/>
      <c r="C30" s="140"/>
      <c r="D30" s="863"/>
      <c r="G30" s="142"/>
    </row>
    <row r="31" spans="2:8" x14ac:dyDescent="0.3">
      <c r="B31" s="858" t="s">
        <v>998</v>
      </c>
      <c r="C31" s="858" t="s">
        <v>975</v>
      </c>
      <c r="D31" s="858" t="s">
        <v>999</v>
      </c>
      <c r="E31" s="315" t="s">
        <v>954</v>
      </c>
      <c r="F31" s="315" t="s">
        <v>240</v>
      </c>
      <c r="G31" s="315" t="s">
        <v>216</v>
      </c>
      <c r="H31" s="315" t="str">
        <f>H18</f>
        <v>Valor Dez 2025</v>
      </c>
    </row>
    <row r="33" spans="2:8" x14ac:dyDescent="0.3">
      <c r="B33" s="140" t="s">
        <v>1000</v>
      </c>
      <c r="C33" s="140" t="s">
        <v>1001</v>
      </c>
      <c r="D33" s="140" t="s">
        <v>1002</v>
      </c>
      <c r="E33" s="860">
        <f>'[1]Seguros e Garantias'!D5</f>
        <v>1</v>
      </c>
      <c r="F33" s="865" t="s">
        <v>964</v>
      </c>
      <c r="G33" s="142" t="s">
        <v>222</v>
      </c>
      <c r="H33" s="145">
        <f>-'FCD PROJETO'!AO48</f>
        <v>306007162.50999999</v>
      </c>
    </row>
    <row r="34" spans="2:8" x14ac:dyDescent="0.3">
      <c r="B34" s="140" t="s">
        <v>1003</v>
      </c>
      <c r="C34" s="140" t="s">
        <v>1001</v>
      </c>
      <c r="D34" s="140" t="s">
        <v>1002</v>
      </c>
      <c r="E34" s="860">
        <f>'[1]Seguros e Garantias'!D6</f>
        <v>7.0000000000000007E-2</v>
      </c>
      <c r="F34" s="865" t="s">
        <v>964</v>
      </c>
      <c r="G34" s="142" t="s">
        <v>222</v>
      </c>
      <c r="H34" s="145">
        <f>-'FCD PROJETO'!AO48*'DADOS PARA CONTRATO'!E34</f>
        <v>21420501.375700001</v>
      </c>
    </row>
    <row r="35" spans="2:8" x14ac:dyDescent="0.3">
      <c r="B35" s="140" t="s">
        <v>1004</v>
      </c>
      <c r="C35" s="140" t="s">
        <v>1005</v>
      </c>
      <c r="D35" s="140" t="s">
        <v>1002</v>
      </c>
      <c r="E35" s="860">
        <f>'[1]Seguros e Garantias'!D7</f>
        <v>0.16</v>
      </c>
      <c r="F35" s="865" t="s">
        <v>1006</v>
      </c>
      <c r="G35" s="142" t="s">
        <v>222</v>
      </c>
      <c r="H35" s="145">
        <f>-'FCD PROJETO'!AO48*E35</f>
        <v>48961146.001599997</v>
      </c>
    </row>
    <row r="36" spans="2:8" x14ac:dyDescent="0.3">
      <c r="B36" s="140" t="s">
        <v>1007</v>
      </c>
      <c r="C36" s="140" t="s">
        <v>1005</v>
      </c>
      <c r="D36" s="140" t="s">
        <v>1002</v>
      </c>
      <c r="E36" s="860">
        <f>'[1]Seguros e Garantias'!D8</f>
        <v>0.01</v>
      </c>
      <c r="F36" s="865" t="s">
        <v>959</v>
      </c>
      <c r="G36" s="142" t="s">
        <v>222</v>
      </c>
      <c r="H36" s="145">
        <f>E36*H3</f>
        <v>19494531.649007998</v>
      </c>
    </row>
    <row r="37" spans="2:8" x14ac:dyDescent="0.3">
      <c r="B37" s="140" t="s">
        <v>1008</v>
      </c>
      <c r="C37" s="140" t="s">
        <v>1009</v>
      </c>
      <c r="D37" s="140" t="s">
        <v>1002</v>
      </c>
      <c r="E37" s="860">
        <f>'[1]Seguros e Garantias'!D9</f>
        <v>0.05</v>
      </c>
      <c r="F37" s="865" t="s">
        <v>959</v>
      </c>
      <c r="G37" s="142" t="s">
        <v>222</v>
      </c>
      <c r="H37" s="145">
        <f>E37*H3</f>
        <v>97472658.245039999</v>
      </c>
    </row>
    <row r="38" spans="2:8" x14ac:dyDescent="0.3">
      <c r="B38" s="140" t="s">
        <v>1008</v>
      </c>
      <c r="C38" s="140" t="s">
        <v>1010</v>
      </c>
      <c r="D38" s="140" t="s">
        <v>1011</v>
      </c>
      <c r="E38" s="860">
        <f>'[1]Seguros e Garantias'!D10</f>
        <v>0.02</v>
      </c>
      <c r="F38" s="865" t="s">
        <v>959</v>
      </c>
      <c r="G38" s="142" t="s">
        <v>222</v>
      </c>
      <c r="H38" s="145">
        <f>E38*H3</f>
        <v>38989063.298015997</v>
      </c>
    </row>
    <row r="39" spans="2:8" x14ac:dyDescent="0.3">
      <c r="B39" s="140" t="s">
        <v>1008</v>
      </c>
      <c r="C39" s="140" t="s">
        <v>1012</v>
      </c>
      <c r="D39" s="140" t="s">
        <v>1011</v>
      </c>
      <c r="E39" s="860">
        <f>'[1]Seguros e Garantias'!D11</f>
        <v>0.03</v>
      </c>
      <c r="F39" s="865" t="s">
        <v>959</v>
      </c>
      <c r="G39" s="142" t="s">
        <v>222</v>
      </c>
      <c r="H39" s="145">
        <f>E39*H3</f>
        <v>58483594.947023988</v>
      </c>
    </row>
  </sheetData>
  <phoneticPr fontId="2" type="noConversion"/>
  <conditionalFormatting sqref="B1:H1">
    <cfRule type="cellIs" dxfId="2" priority="1" operator="equal">
      <formula>"z"</formula>
    </cfRule>
    <cfRule type="cellIs" dxfId="1" priority="2" operator="equal">
      <formula>"y"</formula>
    </cfRule>
    <cfRule type="cellIs" dxfId="0" priority="3" operator="equal">
      <formula>"x"</formula>
    </cfRule>
  </conditionalFormatting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X265"/>
  <sheetViews>
    <sheetView showGridLines="0" topLeftCell="A78" zoomScaleNormal="100" workbookViewId="0">
      <pane xSplit="2" topLeftCell="M1" activePane="topRight" state="frozen"/>
      <selection pane="topRight" activeCell="Q14" sqref="Q14"/>
    </sheetView>
  </sheetViews>
  <sheetFormatPr defaultColWidth="9.109375" defaultRowHeight="12" x14ac:dyDescent="0.25"/>
  <cols>
    <col min="1" max="1" width="14.88671875" style="18" customWidth="1"/>
    <col min="2" max="2" width="59.6640625" style="18" customWidth="1"/>
    <col min="3" max="3" width="14.33203125" style="18" customWidth="1"/>
    <col min="4" max="41" width="18.33203125" style="18" customWidth="1"/>
    <col min="42" max="42" width="19.6640625" style="18" customWidth="1"/>
    <col min="43" max="43" width="16.33203125" style="18" customWidth="1"/>
    <col min="44" max="44" width="12.33203125" style="18" bestFit="1" customWidth="1"/>
    <col min="45" max="45" width="17.5546875" style="18" bestFit="1" customWidth="1"/>
    <col min="46" max="46" width="9.109375" style="18"/>
    <col min="47" max="47" width="17" style="18" bestFit="1" customWidth="1"/>
    <col min="48" max="48" width="13.44140625" style="18" customWidth="1"/>
    <col min="49" max="49" width="15" style="18" customWidth="1"/>
    <col min="50" max="50" width="14.6640625" style="18" bestFit="1" customWidth="1"/>
    <col min="51" max="16384" width="9.109375" style="18"/>
  </cols>
  <sheetData>
    <row r="1" spans="1:44" ht="12" customHeight="1" x14ac:dyDescent="0.3">
      <c r="A1" s="318" t="s">
        <v>522</v>
      </c>
      <c r="B1"/>
      <c r="C1"/>
      <c r="D1"/>
      <c r="E1"/>
      <c r="F1"/>
      <c r="G1"/>
      <c r="H1"/>
      <c r="I1"/>
      <c r="J1"/>
      <c r="K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 s="71"/>
      <c r="AQ1" s="71"/>
      <c r="AR1" s="23"/>
    </row>
    <row r="2" spans="1:44" ht="12" customHeight="1" x14ac:dyDescent="0.3">
      <c r="A2" s="147" t="s">
        <v>523</v>
      </c>
      <c r="B2"/>
      <c r="C2"/>
      <c r="D2"/>
      <c r="E2" s="71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</row>
    <row r="3" spans="1:44" ht="14.4" x14ac:dyDescent="0.3">
      <c r="A3" s="222" t="s">
        <v>524</v>
      </c>
      <c r="B3" s="949" t="s">
        <v>481</v>
      </c>
      <c r="C3" s="950"/>
      <c r="D3" s="950"/>
      <c r="E3" s="951"/>
      <c r="F3"/>
      <c r="G3" s="950" t="s">
        <v>105</v>
      </c>
      <c r="H3" s="950"/>
      <c r="I3" s="950"/>
      <c r="J3" s="950"/>
      <c r="K3" s="936" t="s">
        <v>670</v>
      </c>
      <c r="N3"/>
      <c r="O3"/>
      <c r="P3"/>
      <c r="Q3"/>
      <c r="R3"/>
      <c r="S3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/>
      <c r="AP3"/>
      <c r="AQ3"/>
    </row>
    <row r="4" spans="1:44" ht="15" customHeight="1" x14ac:dyDescent="0.3">
      <c r="A4"/>
      <c r="B4" s="954" t="s">
        <v>97</v>
      </c>
      <c r="C4" s="955"/>
      <c r="D4" s="959">
        <f ca="1">H6</f>
        <v>7.775527434164739E-2</v>
      </c>
      <c r="E4" s="959"/>
      <c r="F4"/>
      <c r="G4" s="96" t="s">
        <v>154</v>
      </c>
      <c r="H4" s="480">
        <f>'Dados ME'!D8</f>
        <v>0.13039999999999999</v>
      </c>
      <c r="I4" s="96" t="s">
        <v>76</v>
      </c>
      <c r="J4" s="560">
        <f>'Dados ME'!D6</f>
        <v>4.6199999999999998E-2</v>
      </c>
      <c r="K4" s="937"/>
      <c r="M4"/>
      <c r="N4"/>
      <c r="O4"/>
      <c r="P4"/>
      <c r="Q4"/>
      <c r="R4"/>
      <c r="S4"/>
      <c r="T4"/>
      <c r="U4"/>
      <c r="V4"/>
      <c r="W4"/>
      <c r="X4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/>
      <c r="AP4"/>
      <c r="AQ4"/>
    </row>
    <row r="5" spans="1:44" ht="15" customHeight="1" x14ac:dyDescent="0.3">
      <c r="A5"/>
      <c r="B5" s="942" t="s">
        <v>144</v>
      </c>
      <c r="C5" s="943"/>
      <c r="D5" s="958">
        <f>IRR(F107:AN107)</f>
        <v>7.7755274343279002E-2</v>
      </c>
      <c r="E5" s="958"/>
      <c r="F5"/>
      <c r="G5" s="96" t="s">
        <v>104</v>
      </c>
      <c r="H5" s="481">
        <f>(1+H4)/(1+J4)-1</f>
        <v>8.0481743452494703E-2</v>
      </c>
      <c r="I5" s="96" t="s">
        <v>84</v>
      </c>
      <c r="J5" s="561">
        <f>'Dados ME'!D12</f>
        <v>3.39E-2</v>
      </c>
      <c r="K5" s="937"/>
      <c r="M5"/>
      <c r="N5"/>
      <c r="O5"/>
      <c r="P5"/>
      <c r="Q5" s="2"/>
      <c r="R5" s="2"/>
      <c r="S5" s="2"/>
      <c r="T5"/>
      <c r="U5"/>
      <c r="V5"/>
      <c r="W5"/>
      <c r="X5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/>
      <c r="AP5"/>
      <c r="AQ5"/>
    </row>
    <row r="6" spans="1:44" ht="15" customHeight="1" x14ac:dyDescent="0.3">
      <c r="A6"/>
      <c r="B6" s="954" t="s">
        <v>145</v>
      </c>
      <c r="C6" s="955"/>
      <c r="D6" s="957">
        <f ca="1">ROUND(NPV(D4,F107:AN107),2)</f>
        <v>0</v>
      </c>
      <c r="E6" s="957"/>
      <c r="F6"/>
      <c r="G6" s="96" t="s">
        <v>102</v>
      </c>
      <c r="H6" s="479">
        <f ca="1">J10</f>
        <v>7.775527434164739E-2</v>
      </c>
      <c r="I6" s="96" t="s">
        <v>898</v>
      </c>
      <c r="J6" s="562">
        <v>0.75820399191777144</v>
      </c>
      <c r="K6" s="937"/>
      <c r="M6"/>
      <c r="N6"/>
      <c r="O6"/>
      <c r="Q6" s="2"/>
      <c r="R6"/>
      <c r="S6"/>
      <c r="T6"/>
      <c r="U6"/>
      <c r="V6"/>
      <c r="W6"/>
      <c r="X6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/>
      <c r="AP6"/>
      <c r="AQ6"/>
    </row>
    <row r="7" spans="1:44" ht="15" customHeight="1" x14ac:dyDescent="0.3">
      <c r="A7"/>
      <c r="B7" s="942" t="s">
        <v>77</v>
      </c>
      <c r="C7" s="943"/>
      <c r="D7" s="956">
        <f>MATCH(0,F108:AN108,1)</f>
        <v>16</v>
      </c>
      <c r="E7" s="956"/>
      <c r="F7" s="89"/>
      <c r="G7" s="96" t="s">
        <v>19</v>
      </c>
      <c r="H7" s="483">
        <f>H5+J8</f>
        <v>9.9981743452494706E-2</v>
      </c>
      <c r="I7" s="96" t="s">
        <v>86</v>
      </c>
      <c r="J7" s="563">
        <f>'Dados ME'!D13</f>
        <v>6.9199999999999998E-2</v>
      </c>
      <c r="K7" s="937"/>
      <c r="M7"/>
      <c r="N7"/>
      <c r="O7"/>
      <c r="Q7" s="2"/>
      <c r="R7"/>
      <c r="S7"/>
      <c r="T7"/>
      <c r="U7"/>
      <c r="V7"/>
      <c r="W7"/>
      <c r="X7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/>
      <c r="AP7"/>
      <c r="AQ7"/>
    </row>
    <row r="8" spans="1:44" ht="15" customHeight="1" thickBot="1" x14ac:dyDescent="0.35">
      <c r="A8"/>
      <c r="B8" s="942" t="s">
        <v>235</v>
      </c>
      <c r="C8" s="943"/>
      <c r="D8" s="956">
        <f ca="1">MATCH(0,F110:AN110,1)+1</f>
        <v>35</v>
      </c>
      <c r="E8" s="956"/>
      <c r="F8" s="71"/>
      <c r="G8" s="96" t="s">
        <v>895</v>
      </c>
      <c r="H8" s="484">
        <f>H5+J6*(J7-J5)+J8</f>
        <v>0.12674634436719204</v>
      </c>
      <c r="I8" s="96" t="s">
        <v>87</v>
      </c>
      <c r="J8" s="561">
        <f>'Dados ME'!D14</f>
        <v>1.95E-2</v>
      </c>
      <c r="K8" s="938"/>
      <c r="N8"/>
      <c r="O8"/>
      <c r="Q8" s="2"/>
      <c r="R8"/>
      <c r="S8"/>
      <c r="T8"/>
      <c r="U8"/>
      <c r="V8"/>
      <c r="W8"/>
      <c r="X8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/>
      <c r="AP8"/>
      <c r="AQ8"/>
    </row>
    <row r="9" spans="1:44" ht="15" customHeight="1" x14ac:dyDescent="0.3">
      <c r="A9"/>
      <c r="B9" s="942" t="s">
        <v>89</v>
      </c>
      <c r="C9" s="943"/>
      <c r="D9" s="485" t="s">
        <v>96</v>
      </c>
      <c r="E9" s="486" t="s">
        <v>22</v>
      </c>
      <c r="F9" s="71"/>
      <c r="G9" s="96" t="s">
        <v>894</v>
      </c>
      <c r="H9" s="484">
        <f>'Financiamento '!C29+'Financiamento '!C30+'Financiamento '!C31</f>
        <v>7.7899999999999997E-2</v>
      </c>
      <c r="I9" s="96" t="s">
        <v>113</v>
      </c>
      <c r="J9" s="564">
        <v>0.34</v>
      </c>
      <c r="K9" s="569"/>
      <c r="N9"/>
      <c r="O9"/>
      <c r="Q9" s="2"/>
      <c r="R9"/>
      <c r="S9"/>
      <c r="T9"/>
      <c r="U9"/>
      <c r="V9"/>
      <c r="W9"/>
      <c r="X9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/>
      <c r="AP9"/>
      <c r="AQ9"/>
    </row>
    <row r="10" spans="1:44" ht="15.6" x14ac:dyDescent="0.35">
      <c r="A10"/>
      <c r="B10" s="946" t="s">
        <v>98</v>
      </c>
      <c r="C10" s="947"/>
      <c r="D10" s="489">
        <f>AO42</f>
        <v>1949453164.9007998</v>
      </c>
      <c r="E10" s="489">
        <f ca="1">NPV(D4,F42:AN42)</f>
        <v>589658284.34426832</v>
      </c>
      <c r="F10" s="71"/>
      <c r="G10" s="952" t="s">
        <v>948</v>
      </c>
      <c r="H10" s="952"/>
      <c r="I10" s="952"/>
      <c r="J10" s="853">
        <f ca="1">(('FCD Acionista'!C53/('FCD Acionista'!C53+'FCD Acionista'!C54))*H8)+(('FCD Acionista'!C54/('FCD Acionista'!C53+'FCD Acionista'!C54))*H9*(1-J9))</f>
        <v>7.775527434164739E-2</v>
      </c>
      <c r="K10" s="569"/>
      <c r="M10"/>
      <c r="N10"/>
      <c r="O10"/>
      <c r="Q10" s="2"/>
      <c r="R10"/>
      <c r="S10"/>
      <c r="T10"/>
      <c r="U10"/>
      <c r="V10"/>
      <c r="W10"/>
      <c r="X10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/>
      <c r="AP10"/>
      <c r="AQ10"/>
    </row>
    <row r="11" spans="1:44" ht="14.25" customHeight="1" x14ac:dyDescent="0.3">
      <c r="A11"/>
      <c r="B11" s="946" t="s">
        <v>100</v>
      </c>
      <c r="C11" s="947"/>
      <c r="D11" s="490">
        <f>AO43</f>
        <v>1948952289.765312</v>
      </c>
      <c r="E11" s="490">
        <f ca="1">NPV(D4,F43:AN43)</f>
        <v>589260501.1946497</v>
      </c>
      <c r="F11" s="71"/>
      <c r="G11"/>
      <c r="H11"/>
      <c r="I11"/>
      <c r="J11"/>
      <c r="K11" s="569"/>
      <c r="L11" s="25">
        <f>J13/S19</f>
        <v>8.5292509568069992</v>
      </c>
      <c r="M11"/>
      <c r="N11"/>
      <c r="O11"/>
      <c r="Q11" s="2"/>
      <c r="R11"/>
      <c r="S11"/>
      <c r="T11"/>
      <c r="U11"/>
      <c r="V11"/>
      <c r="W11"/>
      <c r="X11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/>
      <c r="AP11"/>
      <c r="AQ11"/>
    </row>
    <row r="12" spans="1:44" ht="14.4" x14ac:dyDescent="0.3">
      <c r="A12"/>
      <c r="B12" s="946" t="s">
        <v>107</v>
      </c>
      <c r="C12" s="947"/>
      <c r="D12" s="490">
        <f>-AO48</f>
        <v>306007162.50999999</v>
      </c>
      <c r="E12" s="490">
        <f ca="1">-NPV(D4,F48:AN48)</f>
        <v>194430680.59477165</v>
      </c>
      <c r="F12" s="71"/>
      <c r="G12" s="952" t="s">
        <v>146</v>
      </c>
      <c r="H12" s="952"/>
      <c r="I12" s="952"/>
      <c r="J12" s="953"/>
      <c r="K12" s="569"/>
      <c r="M12" s="572"/>
      <c r="N12"/>
      <c r="O12"/>
      <c r="T12"/>
      <c r="U12"/>
      <c r="V12"/>
      <c r="W12"/>
      <c r="X1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/>
      <c r="AP12"/>
      <c r="AQ12"/>
    </row>
    <row r="13" spans="1:44" ht="15" thickBot="1" x14ac:dyDescent="0.35">
      <c r="A13"/>
      <c r="B13" s="946" t="s">
        <v>108</v>
      </c>
      <c r="C13" s="947"/>
      <c r="D13" s="490">
        <f>-AO53</f>
        <v>927882848.22284544</v>
      </c>
      <c r="E13" s="490">
        <f ca="1">-NPV(D4,F53:AN53)</f>
        <v>277156409.68751055</v>
      </c>
      <c r="F13" s="71"/>
      <c r="G13" s="945" t="s">
        <v>148</v>
      </c>
      <c r="H13" s="945"/>
      <c r="I13" s="945"/>
      <c r="J13" s="565">
        <f>Histograma!Y89</f>
        <v>9.36</v>
      </c>
      <c r="K13" s="569"/>
      <c r="L13" s="848" t="s">
        <v>945</v>
      </c>
      <c r="M13" s="849"/>
      <c r="N13" s="813" t="s">
        <v>916</v>
      </c>
      <c r="O13" s="814"/>
      <c r="P13" s="815" t="s">
        <v>917</v>
      </c>
      <c r="Q13" s="816" t="s">
        <v>1097</v>
      </c>
      <c r="R13" s="817" t="s">
        <v>929</v>
      </c>
      <c r="S13" s="818" t="s">
        <v>918</v>
      </c>
      <c r="T13"/>
      <c r="U13"/>
      <c r="V13"/>
      <c r="W13"/>
      <c r="X13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/>
      <c r="AP13"/>
      <c r="AQ13"/>
    </row>
    <row r="14" spans="1:44" ht="12" customHeight="1" x14ac:dyDescent="0.3">
      <c r="A14"/>
      <c r="B14" s="487" t="s">
        <v>93</v>
      </c>
      <c r="C14" s="488"/>
      <c r="D14" s="490">
        <f>-AO93</f>
        <v>384826634.51061022</v>
      </c>
      <c r="E14" s="490">
        <f ca="1">-NPV(D4,F93:AN93)</f>
        <v>117673410.91010363</v>
      </c>
      <c r="F14" s="71"/>
      <c r="G14" s="948" t="s">
        <v>149</v>
      </c>
      <c r="H14" s="948"/>
      <c r="I14" s="948"/>
      <c r="J14" s="566">
        <f>Histograma!Y90</f>
        <v>9.36</v>
      </c>
      <c r="K14" s="570" t="s">
        <v>671</v>
      </c>
      <c r="L14" s="850" t="s">
        <v>946</v>
      </c>
      <c r="M14" s="851">
        <v>3.17</v>
      </c>
      <c r="N14" s="819" t="s">
        <v>919</v>
      </c>
      <c r="O14" s="820">
        <f>AO55/AO53</f>
        <v>0.20733051521370227</v>
      </c>
      <c r="P14" s="821" t="s">
        <v>920</v>
      </c>
      <c r="Q14" s="822">
        <v>1</v>
      </c>
      <c r="R14" s="822">
        <v>1.0935539999999999</v>
      </c>
      <c r="S14" s="820">
        <f>R14/Q14</f>
        <v>1.0935539999999999</v>
      </c>
      <c r="T14"/>
      <c r="U14"/>
      <c r="V14"/>
      <c r="W14"/>
      <c r="X14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/>
      <c r="AP14"/>
      <c r="AQ14"/>
    </row>
    <row r="15" spans="1:44" ht="15" thickBot="1" x14ac:dyDescent="0.35">
      <c r="A15"/>
      <c r="B15" s="487" t="s">
        <v>7</v>
      </c>
      <c r="C15" s="488"/>
      <c r="D15" s="490">
        <f>AO105</f>
        <v>131279859.22558522</v>
      </c>
      <c r="E15" s="490">
        <f ca="1">NPV(D4,F105:AN105)</f>
        <v>102614610.89150211</v>
      </c>
      <c r="F15" s="71"/>
      <c r="G15" s="945" t="s">
        <v>147</v>
      </c>
      <c r="H15" s="945"/>
      <c r="I15" s="945"/>
      <c r="J15" s="567">
        <f>Histograma!G85</f>
        <v>1</v>
      </c>
      <c r="K15" s="571">
        <v>3.48</v>
      </c>
      <c r="L15" s="850" t="s">
        <v>947</v>
      </c>
      <c r="M15" s="851">
        <f>ROUND(M14*S19,2)</f>
        <v>3.48</v>
      </c>
      <c r="N15" s="819" t="s">
        <v>921</v>
      </c>
      <c r="O15" s="820">
        <f>AO61/AO53</f>
        <v>9.7354910466798478E-2</v>
      </c>
      <c r="P15" s="821" t="s">
        <v>922</v>
      </c>
      <c r="Q15" s="822">
        <v>0.37831999999999999</v>
      </c>
      <c r="R15" s="822">
        <v>0.44557999999999998</v>
      </c>
      <c r="S15" s="820">
        <f>R15/Q15</f>
        <v>1.1777860012687671</v>
      </c>
      <c r="T15"/>
      <c r="U15"/>
      <c r="V15"/>
      <c r="W15"/>
      <c r="X15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/>
      <c r="AP15"/>
      <c r="AQ15"/>
    </row>
    <row r="16" spans="1:44" ht="12.75" customHeight="1" x14ac:dyDescent="0.3">
      <c r="A16"/>
      <c r="B16" s="944" t="s">
        <v>114</v>
      </c>
      <c r="C16" s="944"/>
      <c r="D16" s="491">
        <f>(D11-D13)+AO95</f>
        <v>861594639.96105957</v>
      </c>
      <c r="E16" s="491">
        <f ca="1">(E11-E13)+NPV(D4,F95:AN95)</f>
        <v>263817408.21916229</v>
      </c>
      <c r="F16" s="71"/>
      <c r="G16" s="945" t="s">
        <v>236</v>
      </c>
      <c r="H16" s="945"/>
      <c r="I16" s="945"/>
      <c r="J16" s="568">
        <v>6.8519390301394348E-3</v>
      </c>
      <c r="K16" s="939" t="s">
        <v>669</v>
      </c>
      <c r="M16" s="492"/>
      <c r="N16" s="819" t="s">
        <v>923</v>
      </c>
      <c r="O16" s="820">
        <f>AO62/AO53</f>
        <v>6.7920279596939248E-2</v>
      </c>
      <c r="P16" s="821" t="s">
        <v>924</v>
      </c>
      <c r="Q16" s="822">
        <v>154.95898</v>
      </c>
      <c r="R16" s="822">
        <v>150.30279999999999</v>
      </c>
      <c r="S16" s="820">
        <f>R16/Q16</f>
        <v>0.96995217702129943</v>
      </c>
      <c r="T16"/>
      <c r="U16"/>
      <c r="V16"/>
      <c r="W16"/>
      <c r="X16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/>
      <c r="AP16"/>
      <c r="AQ16"/>
    </row>
    <row r="17" spans="1:45" ht="14.4" x14ac:dyDescent="0.3">
      <c r="A17"/>
      <c r="B17" s="944" t="s">
        <v>354</v>
      </c>
      <c r="C17" s="944"/>
      <c r="D17" s="493">
        <f>D16/D11</f>
        <v>0.44208092957719897</v>
      </c>
      <c r="E17" s="493">
        <f ca="1">E16/E11</f>
        <v>0.44770930290475353</v>
      </c>
      <c r="F17" s="71"/>
      <c r="G17" s="945" t="s">
        <v>274</v>
      </c>
      <c r="H17" s="945"/>
      <c r="I17" s="945"/>
      <c r="J17" s="568">
        <v>5.0000000000000001E-3</v>
      </c>
      <c r="K17" s="940"/>
      <c r="L17" s="27"/>
      <c r="M17" s="843"/>
      <c r="N17" s="819" t="s">
        <v>925</v>
      </c>
      <c r="O17" s="820">
        <f>AO56/AO53</f>
        <v>0.21751557633220608</v>
      </c>
      <c r="P17" s="821" t="s">
        <v>926</v>
      </c>
      <c r="Q17" s="822">
        <v>1</v>
      </c>
      <c r="R17" s="822">
        <v>1.126749</v>
      </c>
      <c r="S17" s="820">
        <v>1.112223</v>
      </c>
      <c r="T17"/>
      <c r="U17"/>
      <c r="V17"/>
      <c r="W17"/>
      <c r="X17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/>
      <c r="AP17"/>
      <c r="AQ17"/>
    </row>
    <row r="18" spans="1:45" ht="14.4" x14ac:dyDescent="0.3">
      <c r="A18"/>
      <c r="B18" s="944" t="s">
        <v>351</v>
      </c>
      <c r="C18" s="944"/>
      <c r="D18" s="491">
        <f>D16+AO88</f>
        <v>668975979.20353889</v>
      </c>
      <c r="E18" s="491">
        <f ca="1">E16+NPV(D4,F88:AN88)</f>
        <v>206183078.70451146</v>
      </c>
      <c r="F18" s="71"/>
      <c r="G18" s="945" t="s">
        <v>150</v>
      </c>
      <c r="H18" s="945"/>
      <c r="I18" s="945"/>
      <c r="J18" s="568">
        <v>0.90123422468703007</v>
      </c>
      <c r="K18" s="941"/>
      <c r="M18" s="844"/>
      <c r="N18" s="819" t="s">
        <v>927</v>
      </c>
      <c r="O18" s="820">
        <f>1-O14-O15-O16-O17</f>
        <v>0.40987871839035395</v>
      </c>
      <c r="P18" s="821" t="s">
        <v>920</v>
      </c>
      <c r="Q18" s="822">
        <f>Q14</f>
        <v>1</v>
      </c>
      <c r="R18" s="822">
        <f>R14</f>
        <v>1.0935539999999999</v>
      </c>
      <c r="S18" s="820">
        <f>R18/Q18</f>
        <v>1.0935539999999999</v>
      </c>
      <c r="T18"/>
      <c r="U18"/>
      <c r="V18"/>
      <c r="W18"/>
      <c r="X18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/>
      <c r="AP18"/>
      <c r="AQ18"/>
    </row>
    <row r="19" spans="1:45" ht="14.4" x14ac:dyDescent="0.3">
      <c r="A19"/>
      <c r="B19" s="944" t="s">
        <v>355</v>
      </c>
      <c r="C19" s="944"/>
      <c r="D19" s="493">
        <f>D18/D11</f>
        <v>0.34324902806322433</v>
      </c>
      <c r="E19" s="493">
        <f ca="1">E18/E11</f>
        <v>0.34990140741913273</v>
      </c>
      <c r="F19" s="71"/>
      <c r="M19" s="3"/>
      <c r="N19" s="823" t="s">
        <v>5</v>
      </c>
      <c r="O19" s="824">
        <f>SUM(O14:O18)</f>
        <v>1</v>
      </c>
      <c r="P19" s="825"/>
      <c r="Q19" s="826" t="s">
        <v>928</v>
      </c>
      <c r="R19" s="827"/>
      <c r="S19" s="828">
        <f>ROUND(O14*S14+O15*S15+O16*S16+O17*S17+O18*S18,4)</f>
        <v>1.0973999999999999</v>
      </c>
      <c r="T19"/>
      <c r="U19"/>
      <c r="V19"/>
      <c r="W19"/>
      <c r="X19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/>
      <c r="AP19"/>
      <c r="AQ19"/>
    </row>
    <row r="20" spans="1:45" ht="14.4" x14ac:dyDescent="0.3">
      <c r="A20"/>
      <c r="B20"/>
      <c r="C20"/>
      <c r="D20"/>
      <c r="E20" s="71"/>
      <c r="F20"/>
      <c r="G20" s="128" t="s">
        <v>862</v>
      </c>
      <c r="H20" s="854">
        <f ca="1">D6</f>
        <v>0</v>
      </c>
      <c r="I20" s="128" t="s">
        <v>863</v>
      </c>
      <c r="J20" s="855">
        <f ca="1">'FCD Acionista'!D4</f>
        <v>0</v>
      </c>
      <c r="L20" s="2"/>
      <c r="M20" s="494"/>
      <c r="N20"/>
      <c r="O20"/>
      <c r="P20"/>
      <c r="Q20" s="2"/>
      <c r="R20"/>
      <c r="T20"/>
      <c r="U20"/>
      <c r="V20"/>
      <c r="W20"/>
      <c r="X20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/>
      <c r="AP20"/>
      <c r="AQ20"/>
    </row>
    <row r="21" spans="1:45" ht="15" thickBot="1" x14ac:dyDescent="0.35">
      <c r="A21"/>
      <c r="B21" s="112"/>
      <c r="C21" s="67"/>
      <c r="D21"/>
      <c r="E21"/>
      <c r="F21"/>
      <c r="G21"/>
      <c r="H21"/>
      <c r="I21"/>
      <c r="J21"/>
      <c r="K21"/>
      <c r="L21" s="71"/>
      <c r="M21" s="3"/>
      <c r="N21"/>
      <c r="O21"/>
      <c r="P21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/>
      <c r="AP21"/>
      <c r="AQ21"/>
    </row>
    <row r="22" spans="1:45" ht="15" thickBot="1" x14ac:dyDescent="0.35">
      <c r="A22"/>
      <c r="B22" s="495" t="s">
        <v>103</v>
      </c>
      <c r="C22" s="496"/>
      <c r="D22" s="496"/>
      <c r="E22" s="496"/>
      <c r="F22" s="496"/>
      <c r="G22" s="496"/>
      <c r="H22" s="496"/>
      <c r="I22" s="496"/>
      <c r="J22" s="496"/>
      <c r="K22" s="496"/>
      <c r="L22" s="496"/>
      <c r="M22" s="496"/>
      <c r="N22" s="496"/>
      <c r="O22" s="496"/>
      <c r="P22" s="496"/>
      <c r="Q22" s="496"/>
      <c r="R22" s="496"/>
      <c r="S22" s="496"/>
      <c r="T22" s="496"/>
      <c r="U22" s="496"/>
      <c r="V22" s="496"/>
      <c r="W22" s="496"/>
      <c r="X22" s="496"/>
      <c r="Y22" s="496"/>
      <c r="Z22" s="496"/>
      <c r="AA22" s="496"/>
      <c r="AB22" s="496"/>
      <c r="AC22" s="496"/>
      <c r="AD22" s="496"/>
      <c r="AE22" s="496"/>
      <c r="AF22" s="496"/>
      <c r="AG22" s="496"/>
      <c r="AH22" s="496"/>
      <c r="AI22" s="496"/>
      <c r="AJ22" s="496"/>
      <c r="AK22" s="496"/>
      <c r="AL22" s="496"/>
      <c r="AM22" s="496"/>
      <c r="AN22" s="496"/>
      <c r="AO22" s="497"/>
      <c r="AP22" s="68"/>
      <c r="AQ22" s="68"/>
      <c r="AR22" s="22"/>
    </row>
    <row r="23" spans="1:45" ht="15" thickBot="1" x14ac:dyDescent="0.35">
      <c r="A23"/>
      <c r="B23" s="498" t="str">
        <f>Cronograma!B1</f>
        <v>ANO</v>
      </c>
      <c r="C23" s="499"/>
      <c r="D23" s="499" t="s">
        <v>666</v>
      </c>
      <c r="E23" s="499">
        <v>0</v>
      </c>
      <c r="F23" s="499">
        <f>Cronograma!C1</f>
        <v>1</v>
      </c>
      <c r="G23" s="499">
        <f>Cronograma!D1</f>
        <v>2</v>
      </c>
      <c r="H23" s="499">
        <f>Cronograma!E1</f>
        <v>3</v>
      </c>
      <c r="I23" s="499">
        <f>Cronograma!F1</f>
        <v>4</v>
      </c>
      <c r="J23" s="499">
        <f>Cronograma!G1</f>
        <v>5</v>
      </c>
      <c r="K23" s="499">
        <f>Cronograma!H1</f>
        <v>6</v>
      </c>
      <c r="L23" s="499">
        <f>Cronograma!I1</f>
        <v>7</v>
      </c>
      <c r="M23" s="499">
        <f>Cronograma!J1</f>
        <v>8</v>
      </c>
      <c r="N23" s="499">
        <f>Cronograma!K1</f>
        <v>9</v>
      </c>
      <c r="O23" s="499">
        <f>Cronograma!L1</f>
        <v>10</v>
      </c>
      <c r="P23" s="499">
        <f>Cronograma!M1</f>
        <v>11</v>
      </c>
      <c r="Q23" s="499">
        <f>Cronograma!N1</f>
        <v>12</v>
      </c>
      <c r="R23" s="499">
        <f>Cronograma!O1</f>
        <v>13</v>
      </c>
      <c r="S23" s="499">
        <f>Cronograma!P1</f>
        <v>14</v>
      </c>
      <c r="T23" s="499">
        <f>Cronograma!Q1</f>
        <v>15</v>
      </c>
      <c r="U23" s="499">
        <f>Cronograma!R1</f>
        <v>16</v>
      </c>
      <c r="V23" s="499">
        <f>Cronograma!S1</f>
        <v>17</v>
      </c>
      <c r="W23" s="499">
        <f>Cronograma!T1</f>
        <v>18</v>
      </c>
      <c r="X23" s="499">
        <f>Cronograma!U1</f>
        <v>19</v>
      </c>
      <c r="Y23" s="499">
        <f>Cronograma!V1</f>
        <v>20</v>
      </c>
      <c r="Z23" s="499">
        <f>Cronograma!W1</f>
        <v>21</v>
      </c>
      <c r="AA23" s="499">
        <f>Cronograma!X1</f>
        <v>22</v>
      </c>
      <c r="AB23" s="499">
        <f>Cronograma!Y1</f>
        <v>23</v>
      </c>
      <c r="AC23" s="499">
        <f>Cronograma!Z1</f>
        <v>24</v>
      </c>
      <c r="AD23" s="499">
        <f>Cronograma!AA1</f>
        <v>25</v>
      </c>
      <c r="AE23" s="499">
        <f>Cronograma!AB1</f>
        <v>26</v>
      </c>
      <c r="AF23" s="499">
        <f>Cronograma!AC1</f>
        <v>27</v>
      </c>
      <c r="AG23" s="499">
        <f>Cronograma!AD1</f>
        <v>28</v>
      </c>
      <c r="AH23" s="499">
        <f>Cronograma!AE1</f>
        <v>29</v>
      </c>
      <c r="AI23" s="499">
        <f>Cronograma!AF1</f>
        <v>30</v>
      </c>
      <c r="AJ23" s="499">
        <f>Cronograma!AG1</f>
        <v>31</v>
      </c>
      <c r="AK23" s="499">
        <f>Cronograma!AH1</f>
        <v>32</v>
      </c>
      <c r="AL23" s="499">
        <f>Cronograma!AI1</f>
        <v>33</v>
      </c>
      <c r="AM23" s="499">
        <f>Cronograma!AJ1</f>
        <v>34</v>
      </c>
      <c r="AN23" s="499">
        <f>Cronograma!AK1</f>
        <v>35</v>
      </c>
      <c r="AO23" s="500"/>
      <c r="AP23" s="68"/>
      <c r="AQ23" s="68"/>
      <c r="AR23" s="22"/>
    </row>
    <row r="24" spans="1:45" ht="15" thickBot="1" x14ac:dyDescent="0.35">
      <c r="A24"/>
      <c r="B24" s="501"/>
      <c r="C24" s="502"/>
      <c r="D24" s="499">
        <v>2025</v>
      </c>
      <c r="E24" s="499">
        <v>2026</v>
      </c>
      <c r="F24" s="499">
        <f t="shared" ref="F24:AI24" si="0">E24+1</f>
        <v>2027</v>
      </c>
      <c r="G24" s="499">
        <f t="shared" si="0"/>
        <v>2028</v>
      </c>
      <c r="H24" s="499">
        <f t="shared" si="0"/>
        <v>2029</v>
      </c>
      <c r="I24" s="499">
        <f t="shared" si="0"/>
        <v>2030</v>
      </c>
      <c r="J24" s="499">
        <f t="shared" si="0"/>
        <v>2031</v>
      </c>
      <c r="K24" s="499">
        <f t="shared" si="0"/>
        <v>2032</v>
      </c>
      <c r="L24" s="499">
        <f t="shared" si="0"/>
        <v>2033</v>
      </c>
      <c r="M24" s="499">
        <f t="shared" si="0"/>
        <v>2034</v>
      </c>
      <c r="N24" s="499">
        <f t="shared" si="0"/>
        <v>2035</v>
      </c>
      <c r="O24" s="499">
        <f t="shared" si="0"/>
        <v>2036</v>
      </c>
      <c r="P24" s="499">
        <f t="shared" si="0"/>
        <v>2037</v>
      </c>
      <c r="Q24" s="499">
        <f t="shared" si="0"/>
        <v>2038</v>
      </c>
      <c r="R24" s="499">
        <f t="shared" si="0"/>
        <v>2039</v>
      </c>
      <c r="S24" s="499">
        <f t="shared" si="0"/>
        <v>2040</v>
      </c>
      <c r="T24" s="499">
        <f t="shared" si="0"/>
        <v>2041</v>
      </c>
      <c r="U24" s="499">
        <f t="shared" si="0"/>
        <v>2042</v>
      </c>
      <c r="V24" s="499">
        <f t="shared" si="0"/>
        <v>2043</v>
      </c>
      <c r="W24" s="499">
        <f t="shared" si="0"/>
        <v>2044</v>
      </c>
      <c r="X24" s="499">
        <f t="shared" si="0"/>
        <v>2045</v>
      </c>
      <c r="Y24" s="499">
        <f t="shared" si="0"/>
        <v>2046</v>
      </c>
      <c r="Z24" s="499">
        <f t="shared" si="0"/>
        <v>2047</v>
      </c>
      <c r="AA24" s="499">
        <f t="shared" si="0"/>
        <v>2048</v>
      </c>
      <c r="AB24" s="499">
        <f t="shared" si="0"/>
        <v>2049</v>
      </c>
      <c r="AC24" s="499">
        <f t="shared" si="0"/>
        <v>2050</v>
      </c>
      <c r="AD24" s="499">
        <f t="shared" si="0"/>
        <v>2051</v>
      </c>
      <c r="AE24" s="499">
        <f t="shared" si="0"/>
        <v>2052</v>
      </c>
      <c r="AF24" s="499">
        <f t="shared" si="0"/>
        <v>2053</v>
      </c>
      <c r="AG24" s="499">
        <f t="shared" si="0"/>
        <v>2054</v>
      </c>
      <c r="AH24" s="499">
        <f t="shared" si="0"/>
        <v>2055</v>
      </c>
      <c r="AI24" s="499">
        <f t="shared" si="0"/>
        <v>2056</v>
      </c>
      <c r="AJ24" s="499">
        <f t="shared" ref="AJ24" si="1">AI24+1</f>
        <v>2057</v>
      </c>
      <c r="AK24" s="499">
        <f t="shared" ref="AK24" si="2">AJ24+1</f>
        <v>2058</v>
      </c>
      <c r="AL24" s="499">
        <f t="shared" ref="AL24" si="3">AK24+1</f>
        <v>2059</v>
      </c>
      <c r="AM24" s="499">
        <f t="shared" ref="AM24" si="4">AL24+1</f>
        <v>2060</v>
      </c>
      <c r="AN24" s="499">
        <f t="shared" ref="AN24" si="5">AM24+1</f>
        <v>2061</v>
      </c>
      <c r="AO24" s="500" t="s">
        <v>23</v>
      </c>
      <c r="AP24"/>
      <c r="AQ24"/>
    </row>
    <row r="25" spans="1:45" ht="14.4" x14ac:dyDescent="0.3">
      <c r="A25"/>
      <c r="B25" s="503" t="s">
        <v>53</v>
      </c>
      <c r="C25" s="504"/>
      <c r="D25" s="504"/>
      <c r="E25" s="505"/>
      <c r="F25" s="505"/>
      <c r="G25" s="505"/>
      <c r="H25" s="505"/>
      <c r="I25" s="505"/>
      <c r="J25" s="505"/>
      <c r="K25" s="505"/>
      <c r="L25" s="505"/>
      <c r="M25" s="505"/>
      <c r="N25" s="505"/>
      <c r="O25" s="505"/>
      <c r="P25" s="505"/>
      <c r="Q25" s="505"/>
      <c r="R25" s="505"/>
      <c r="S25" s="505"/>
      <c r="T25" s="505"/>
      <c r="U25" s="505"/>
      <c r="V25" s="505"/>
      <c r="W25" s="505"/>
      <c r="X25" s="505"/>
      <c r="Y25" s="505"/>
      <c r="Z25" s="505"/>
      <c r="AA25" s="505"/>
      <c r="AB25" s="505"/>
      <c r="AC25" s="505"/>
      <c r="AD25" s="505"/>
      <c r="AE25" s="505"/>
      <c r="AF25" s="505"/>
      <c r="AG25" s="505"/>
      <c r="AH25" s="505"/>
      <c r="AI25" s="505"/>
      <c r="AJ25" s="506"/>
      <c r="AK25" s="506"/>
      <c r="AL25" s="506"/>
      <c r="AM25" s="506"/>
      <c r="AN25" s="506"/>
      <c r="AO25" s="507"/>
      <c r="AP25"/>
      <c r="AQ25"/>
    </row>
    <row r="26" spans="1:45" ht="14.4" x14ac:dyDescent="0.3">
      <c r="A26"/>
      <c r="B26" s="503"/>
      <c r="C26" s="504"/>
      <c r="D26" s="504"/>
      <c r="E26" s="505"/>
      <c r="F26" s="505"/>
      <c r="G26" s="505"/>
      <c r="H26" s="505"/>
      <c r="I26" s="505"/>
      <c r="J26" s="505"/>
      <c r="K26" s="505"/>
      <c r="L26" s="505"/>
      <c r="M26" s="505"/>
      <c r="N26" s="505"/>
      <c r="O26" s="505"/>
      <c r="P26" s="505"/>
      <c r="Q26" s="505"/>
      <c r="R26" s="505"/>
      <c r="S26" s="505"/>
      <c r="T26" s="505"/>
      <c r="U26" s="505"/>
      <c r="V26" s="505"/>
      <c r="W26" s="505"/>
      <c r="X26" s="505"/>
      <c r="Y26" s="505"/>
      <c r="Z26" s="505"/>
      <c r="AA26" s="505"/>
      <c r="AB26" s="505"/>
      <c r="AC26" s="505"/>
      <c r="AD26" s="505"/>
      <c r="AE26" s="505"/>
      <c r="AF26" s="505"/>
      <c r="AG26" s="505"/>
      <c r="AH26" s="505"/>
      <c r="AI26" s="505"/>
      <c r="AJ26" s="506"/>
      <c r="AK26" s="506"/>
      <c r="AL26" s="506"/>
      <c r="AM26" s="506"/>
      <c r="AN26" s="506"/>
      <c r="AO26" s="507"/>
      <c r="AP26"/>
      <c r="AQ26"/>
    </row>
    <row r="27" spans="1:45" ht="14.4" x14ac:dyDescent="0.3">
      <c r="A27"/>
      <c r="B27" s="471" t="s">
        <v>54</v>
      </c>
      <c r="C27" s="4"/>
      <c r="D27" s="4"/>
      <c r="E27" s="508"/>
      <c r="F27" s="508"/>
      <c r="G27" s="508"/>
      <c r="H27" s="508"/>
      <c r="I27" s="508"/>
      <c r="J27" s="508"/>
      <c r="K27" s="508"/>
      <c r="L27" s="508"/>
      <c r="M27" s="508"/>
      <c r="N27" s="508"/>
      <c r="O27" s="508"/>
      <c r="P27" s="508"/>
      <c r="Q27" s="508"/>
      <c r="R27" s="508"/>
      <c r="S27" s="508"/>
      <c r="T27" s="508"/>
      <c r="U27" s="508"/>
      <c r="V27" s="508"/>
      <c r="W27" s="508"/>
      <c r="X27" s="508"/>
      <c r="Y27" s="508"/>
      <c r="Z27" s="508"/>
      <c r="AA27" s="508"/>
      <c r="AB27" s="508"/>
      <c r="AC27" s="508"/>
      <c r="AD27" s="508"/>
      <c r="AE27" s="508"/>
      <c r="AF27" s="508"/>
      <c r="AG27" s="508"/>
      <c r="AH27" s="508"/>
      <c r="AI27" s="508"/>
      <c r="AJ27" s="509"/>
      <c r="AK27" s="509"/>
      <c r="AL27" s="509"/>
      <c r="AM27" s="509"/>
      <c r="AN27" s="509"/>
      <c r="AO27" s="510"/>
      <c r="AP27"/>
      <c r="AQ27"/>
    </row>
    <row r="28" spans="1:45" ht="14.4" x14ac:dyDescent="0.3">
      <c r="A28"/>
      <c r="B28" s="466" t="s">
        <v>55</v>
      </c>
      <c r="C28" s="4"/>
      <c r="D28" s="4"/>
      <c r="E28" s="101"/>
      <c r="F28" s="148">
        <f>$J$13*'Base Física'!F63</f>
        <v>22724367.119999997</v>
      </c>
      <c r="G28" s="148">
        <f>$J$13*'Base Física'!G63</f>
        <v>23980160.879999999</v>
      </c>
      <c r="H28" s="148">
        <f>$J$13*'Base Física'!H63</f>
        <v>24955276.32</v>
      </c>
      <c r="I28" s="148">
        <f>$J$13*'Base Física'!I63</f>
        <v>25503444.719999999</v>
      </c>
      <c r="J28" s="148">
        <f>$J$13*'Base Física'!J63</f>
        <v>26031292.559999999</v>
      </c>
      <c r="K28" s="148">
        <f>$J$13*'Base Física'!K63</f>
        <v>26524602</v>
      </c>
      <c r="L28" s="148">
        <f>$J$13*'Base Física'!L63</f>
        <v>26821819.439999998</v>
      </c>
      <c r="M28" s="148">
        <f>$J$13*'Base Física'!M63</f>
        <v>27065797.199999999</v>
      </c>
      <c r="N28" s="148">
        <f>$J$13*'Base Física'!N63</f>
        <v>27309868.559999999</v>
      </c>
      <c r="O28" s="148">
        <f>$J$13*'Base Física'!O63</f>
        <v>27538074.719999999</v>
      </c>
      <c r="P28" s="148">
        <f>$J$13*'Base Física'!P63</f>
        <v>27757763.279999997</v>
      </c>
      <c r="Q28" s="148">
        <f>$J$13*'Base Física'!Q63</f>
        <v>27970693.919999998</v>
      </c>
      <c r="R28" s="148">
        <f>$J$13*'Base Física'!R63</f>
        <v>28168564.319999997</v>
      </c>
      <c r="S28" s="148">
        <f>$J$13*'Base Física'!S63</f>
        <v>28363729.68</v>
      </c>
      <c r="T28" s="148">
        <f>$J$13*'Base Física'!T63</f>
        <v>28550892.239999998</v>
      </c>
      <c r="U28" s="148">
        <f>$J$13*'Base Física'!U63</f>
        <v>28727515.439999998</v>
      </c>
      <c r="V28" s="148">
        <f>$J$13*'Base Física'!V63</f>
        <v>28894797.359999999</v>
      </c>
      <c r="W28" s="148">
        <f>$J$13*'Base Física'!W63</f>
        <v>29062388.159999996</v>
      </c>
      <c r="X28" s="148">
        <f>$J$13*'Base Física'!X63</f>
        <v>29207056.319999997</v>
      </c>
      <c r="Y28" s="148">
        <f>$J$13*'Base Física'!Y63</f>
        <v>29353849.199999999</v>
      </c>
      <c r="Z28" s="148">
        <f>$J$13*'Base Física'!Z63</f>
        <v>29486761.199999999</v>
      </c>
      <c r="AA28" s="148">
        <f>$J$13*'Base Física'!AA63</f>
        <v>29615545.439999998</v>
      </c>
      <c r="AB28" s="148">
        <f>$J$13*'Base Física'!AB63</f>
        <v>29737019.52</v>
      </c>
      <c r="AC28" s="148">
        <f>$J$13*'Base Física'!AC63</f>
        <v>29853832.319999997</v>
      </c>
      <c r="AD28" s="148">
        <f>$J$13*'Base Física'!AD63</f>
        <v>29963877.84</v>
      </c>
      <c r="AE28" s="148">
        <f>$J$13*'Base Física'!AE63</f>
        <v>30077938.799999997</v>
      </c>
      <c r="AF28" s="148">
        <f>$J$13*'Base Física'!AF63</f>
        <v>30173860.079999998</v>
      </c>
      <c r="AG28" s="148">
        <f>$J$13*'Base Física'!AG63</f>
        <v>30276295.919999998</v>
      </c>
      <c r="AH28" s="148">
        <f>$J$13*'Base Física'!AH63</f>
        <v>30364308</v>
      </c>
      <c r="AI28" s="148">
        <f>$J$13*'Base Física'!AI63</f>
        <v>30451795.919999998</v>
      </c>
      <c r="AJ28" s="148">
        <f>$J$13*'Base Física'!AJ63</f>
        <v>30537393.119999997</v>
      </c>
      <c r="AK28" s="148">
        <f>$J$13*'Base Física'!AK63</f>
        <v>30610953.359999999</v>
      </c>
      <c r="AL28" s="148">
        <f>$J$13*'Base Física'!AL63</f>
        <v>30689792.639999997</v>
      </c>
      <c r="AM28" s="148">
        <f>$J$13*'Base Física'!AM63</f>
        <v>30763146.959999997</v>
      </c>
      <c r="AN28" s="148">
        <f>$J$13*'Base Física'!AN63</f>
        <v>30690878.399999999</v>
      </c>
      <c r="AO28" s="468">
        <f>+SUM(F28:AN28)</f>
        <v>997805352.95999992</v>
      </c>
      <c r="AP28" s="71"/>
      <c r="AQ28" s="71"/>
      <c r="AR28" s="23"/>
      <c r="AS28" s="23"/>
    </row>
    <row r="29" spans="1:45" ht="14.4" x14ac:dyDescent="0.3">
      <c r="A29"/>
      <c r="B29" s="466" t="s">
        <v>94</v>
      </c>
      <c r="C29" s="511">
        <v>0.02</v>
      </c>
      <c r="D29" s="4"/>
      <c r="E29" s="101"/>
      <c r="F29" s="148">
        <f t="shared" ref="F29" si="6">F28*$C29</f>
        <v>454487.34239999996</v>
      </c>
      <c r="G29" s="148">
        <f t="shared" ref="G29:AN29" si="7">G28*$C29</f>
        <v>479603.21759999997</v>
      </c>
      <c r="H29" s="148">
        <f t="shared" si="7"/>
        <v>499105.52640000003</v>
      </c>
      <c r="I29" s="148">
        <f t="shared" si="7"/>
        <v>510068.89439999999</v>
      </c>
      <c r="J29" s="148">
        <f t="shared" si="7"/>
        <v>520625.85119999998</v>
      </c>
      <c r="K29" s="148">
        <f t="shared" si="7"/>
        <v>530492.04</v>
      </c>
      <c r="L29" s="148">
        <f t="shared" si="7"/>
        <v>536436.38879999996</v>
      </c>
      <c r="M29" s="148">
        <f t="shared" si="7"/>
        <v>541315.94400000002</v>
      </c>
      <c r="N29" s="148">
        <f t="shared" si="7"/>
        <v>546197.37119999994</v>
      </c>
      <c r="O29" s="148">
        <f t="shared" si="7"/>
        <v>550761.49439999997</v>
      </c>
      <c r="P29" s="148">
        <f t="shared" si="7"/>
        <v>555155.26559999993</v>
      </c>
      <c r="Q29" s="148">
        <f t="shared" si="7"/>
        <v>559413.87839999993</v>
      </c>
      <c r="R29" s="148">
        <f t="shared" si="7"/>
        <v>563371.28639999998</v>
      </c>
      <c r="S29" s="148">
        <f t="shared" si="7"/>
        <v>567274.59360000002</v>
      </c>
      <c r="T29" s="148">
        <f t="shared" si="7"/>
        <v>571017.84479999996</v>
      </c>
      <c r="U29" s="148">
        <f t="shared" si="7"/>
        <v>574550.3088</v>
      </c>
      <c r="V29" s="148">
        <f t="shared" si="7"/>
        <v>577895.94720000005</v>
      </c>
      <c r="W29" s="148">
        <f t="shared" si="7"/>
        <v>581247.76319999993</v>
      </c>
      <c r="X29" s="148">
        <f t="shared" si="7"/>
        <v>584141.12639999995</v>
      </c>
      <c r="Y29" s="148">
        <f t="shared" si="7"/>
        <v>587076.98400000005</v>
      </c>
      <c r="Z29" s="148">
        <f t="shared" si="7"/>
        <v>589735.22400000005</v>
      </c>
      <c r="AA29" s="148">
        <f t="shared" si="7"/>
        <v>592310.90879999998</v>
      </c>
      <c r="AB29" s="148">
        <f t="shared" si="7"/>
        <v>594740.39040000003</v>
      </c>
      <c r="AC29" s="148">
        <f t="shared" si="7"/>
        <v>597076.64639999997</v>
      </c>
      <c r="AD29" s="148">
        <f t="shared" si="7"/>
        <v>599277.55680000002</v>
      </c>
      <c r="AE29" s="148">
        <f t="shared" si="7"/>
        <v>601558.77599999995</v>
      </c>
      <c r="AF29" s="148">
        <f t="shared" si="7"/>
        <v>603477.20160000003</v>
      </c>
      <c r="AG29" s="148">
        <f t="shared" si="7"/>
        <v>605525.91839999997</v>
      </c>
      <c r="AH29" s="148">
        <f t="shared" si="7"/>
        <v>607286.16</v>
      </c>
      <c r="AI29" s="148">
        <f t="shared" si="7"/>
        <v>609035.91839999997</v>
      </c>
      <c r="AJ29" s="148">
        <f t="shared" si="7"/>
        <v>610747.86239999998</v>
      </c>
      <c r="AK29" s="148">
        <f t="shared" si="7"/>
        <v>612219.06720000005</v>
      </c>
      <c r="AL29" s="148">
        <f t="shared" si="7"/>
        <v>613795.85279999999</v>
      </c>
      <c r="AM29" s="148">
        <f t="shared" si="7"/>
        <v>615262.93919999991</v>
      </c>
      <c r="AN29" s="148">
        <f t="shared" si="7"/>
        <v>613817.56799999997</v>
      </c>
      <c r="AO29" s="468">
        <f t="shared" ref="AO29:AO32" si="8">+SUM(F29:AN29)</f>
        <v>19956107.0592</v>
      </c>
      <c r="AP29" s="71"/>
      <c r="AQ29" s="71"/>
      <c r="AR29" s="23"/>
    </row>
    <row r="30" spans="1:45" ht="14.4" x14ac:dyDescent="0.3">
      <c r="A30"/>
      <c r="B30" s="466" t="s">
        <v>80</v>
      </c>
      <c r="C30" s="247"/>
      <c r="D30" s="4"/>
      <c r="E30" s="101"/>
      <c r="F30" s="148">
        <f>(F28+F29)*(1-'Base Física'!F44)</f>
        <v>21832163.018134557</v>
      </c>
      <c r="G30" s="148">
        <f>(G28+G29)*(1-'Base Física'!G44)</f>
        <v>23970568.815647997</v>
      </c>
      <c r="H30" s="148">
        <f>(H28+H29)*(1-'Base Física'!H44)</f>
        <v>24945294.209472001</v>
      </c>
      <c r="I30" s="148">
        <f>(I28+I29)*(1-'Base Física'!I44)</f>
        <v>25493243.342111997</v>
      </c>
      <c r="J30" s="148">
        <f>(J28+J29)*(1-'Base Física'!J44)</f>
        <v>26020880.042975999</v>
      </c>
      <c r="K30" s="148">
        <f>(K28+K29)*(1-'Base Física'!K44)</f>
        <v>26513992.159199998</v>
      </c>
      <c r="L30" s="148">
        <f>(L28+L29)*(1-'Base Física'!L44)</f>
        <v>26811090.712223995</v>
      </c>
      <c r="M30" s="148">
        <f>(M28+M29)*(1-'Base Física'!M44)</f>
        <v>27054970.881119996</v>
      </c>
      <c r="N30" s="148">
        <f>(N28+N29)*(1-'Base Física'!N44)</f>
        <v>27298944.612575997</v>
      </c>
      <c r="O30" s="148">
        <f>(O28+O29)*(1-'Base Física'!O44)</f>
        <v>27527059.490111995</v>
      </c>
      <c r="P30" s="148">
        <f>(P28+P29)*(1-'Base Física'!P44)</f>
        <v>27746660.174687997</v>
      </c>
      <c r="Q30" s="148">
        <f>(Q28+Q29)*(1-'Base Física'!Q44)</f>
        <v>27959505.642432</v>
      </c>
      <c r="R30" s="148">
        <f>(R28+R29)*(1-'Base Física'!R44)</f>
        <v>28157296.894271996</v>
      </c>
      <c r="S30" s="148">
        <f>(S28+S29)*(1-'Base Física'!S44)</f>
        <v>28352384.188128002</v>
      </c>
      <c r="T30" s="148">
        <f>(T28+T29)*(1-'Base Física'!T44)</f>
        <v>28539471.883103997</v>
      </c>
      <c r="U30" s="148">
        <f>(U28+U29)*(1-'Base Física'!U44)</f>
        <v>28716024.433823999</v>
      </c>
      <c r="V30" s="148">
        <f>(V28+V29)*(1-'Base Física'!V44)</f>
        <v>28883239.441055998</v>
      </c>
      <c r="W30" s="148">
        <f>(W28+W29)*(1-'Base Física'!W44)</f>
        <v>29050763.204735994</v>
      </c>
      <c r="X30" s="148">
        <f>(X28+X29)*(1-'Base Física'!X44)</f>
        <v>29195373.497471996</v>
      </c>
      <c r="Y30" s="148">
        <f>(Y28+Y29)*(1-'Base Física'!Y44)</f>
        <v>29342107.660319999</v>
      </c>
      <c r="Z30" s="148">
        <f>(Z28+Z29)*(1-'Base Física'!Z44)</f>
        <v>29474966.495519999</v>
      </c>
      <c r="AA30" s="148">
        <f>(AA28+AA29)*(1-'Base Física'!AA44)</f>
        <v>29603699.221823994</v>
      </c>
      <c r="AB30" s="148">
        <f>(AB28+AB29)*(1-'Base Física'!AB44)</f>
        <v>29725124.712191999</v>
      </c>
      <c r="AC30" s="148">
        <f>(AC28+AC29)*(1-'Base Física'!AC44)</f>
        <v>29841890.787071995</v>
      </c>
      <c r="AD30" s="148">
        <f>(AD28+AD29)*(1-'Base Física'!AD44)</f>
        <v>29951892.288863998</v>
      </c>
      <c r="AE30" s="148">
        <f>(AE28+AE29)*(1-'Base Física'!AE44)</f>
        <v>30065907.624479998</v>
      </c>
      <c r="AF30" s="148">
        <f>(AF28+AF29)*(1-'Base Física'!AF44)</f>
        <v>30161790.535967998</v>
      </c>
      <c r="AG30" s="148">
        <f>(AG28+AG29)*(1-'Base Física'!AG44)</f>
        <v>30264185.401632</v>
      </c>
      <c r="AH30" s="148">
        <f>(AH28+AH29)*(1-'Base Física'!AH44)</f>
        <v>30352162.276799999</v>
      </c>
      <c r="AI30" s="148">
        <f>(AI28+AI29)*(1-'Base Física'!AI44)</f>
        <v>30439615.201631997</v>
      </c>
      <c r="AJ30" s="148">
        <f>(AJ28+AJ29)*(1-'Base Física'!AJ44)</f>
        <v>30525178.162751995</v>
      </c>
      <c r="AK30" s="148">
        <f>(AK28+AK29)*(1-'Base Física'!AK44)</f>
        <v>30598708.978656001</v>
      </c>
      <c r="AL30" s="148">
        <f>(AL28+AL29)*(1-'Base Física'!AL44)</f>
        <v>30677516.722943995</v>
      </c>
      <c r="AM30" s="148">
        <f>(AM28+AM29)*(1-'Base Física'!AM44)</f>
        <v>30750841.701215997</v>
      </c>
      <c r="AN30" s="148">
        <f>(AN28+AN29)*(1-'Base Física'!AN44)</f>
        <v>30678602.048639998</v>
      </c>
      <c r="AO30" s="468">
        <f t="shared" si="8"/>
        <v>996523116.46379864</v>
      </c>
      <c r="AP30" s="71"/>
      <c r="AQ30" s="71"/>
      <c r="AR30" s="23"/>
      <c r="AS30" s="23"/>
    </row>
    <row r="31" spans="1:45" ht="14.4" x14ac:dyDescent="0.3">
      <c r="A31"/>
      <c r="B31" s="466" t="s">
        <v>136</v>
      </c>
      <c r="C31" s="511">
        <v>0.6</v>
      </c>
      <c r="D31" s="4"/>
      <c r="E31" s="101"/>
      <c r="F31" s="148">
        <f t="shared" ref="F31" si="9">IF(E31&lt;=0,(F28+F29-F30)*$C31,(E28+E29-E30)*(1-$C$31)+(F28+F29-F30)*$C31)</f>
        <v>808014.86655926402</v>
      </c>
      <c r="G31" s="148">
        <f t="shared" ref="G31" si="10">IF(F31&lt;=0,(G28+G29-G30)*$C31,(F28+F29-F30)*(1-$C$31)+(G28+G29-G30)*$C31)</f>
        <v>832193.74687737669</v>
      </c>
      <c r="H31" s="148">
        <f t="shared" ref="H31" si="11">IF(G31&lt;=0,(H28+H29-H30)*$C31,(G28+G29-G30)*(1-$C$31)+(H28+H29-H30)*$C31)</f>
        <v>501130.69493760017</v>
      </c>
      <c r="I31" s="148">
        <f t="shared" ref="I31" si="12">IF(H31&lt;=0,(I28+I29-I30)*$C31,(H28+H29-H30)*(1-$C$31)+(I28+I29-I30)*$C31)</f>
        <v>515797.21814400103</v>
      </c>
      <c r="J31" s="148">
        <f t="shared" ref="J31" si="13">IF(I31&lt;=0,(J28+J29-J30)*$C31,(I28+I29-I30)*(1-$C$31)+(J28+J29-J30)*$C31)</f>
        <v>526731.12984960002</v>
      </c>
      <c r="K31" s="148">
        <f t="shared" ref="K31" si="14">IF(J31&lt;=0,(K28+K29-K30)*$C31,(J28+J29-J30)*(1-$C$31)+(K28+K29-K30)*$C31)</f>
        <v>537076.47576960025</v>
      </c>
      <c r="L31" s="148">
        <f t="shared" ref="L31" si="15">IF(K31&lt;=0,(L28+L29-L30)*$C31,(K28+K29-K30)*(1-$C$31)+(L28+L29-L30)*$C31)</f>
        <v>544739.82226560125</v>
      </c>
      <c r="M31" s="148">
        <f t="shared" ref="M31" si="16">IF(L31&lt;=0,(M28+M29-M30)*$C31,(L28+L29-L30)*(1-$C$31)+(M28+M29-M30)*$C31)</f>
        <v>550151.4043584012</v>
      </c>
      <c r="N31" s="148">
        <f t="shared" ref="N31" si="17">IF(M31&lt;=0,(N28+N29-N30)*$C31,(M28+M29-M30)*(1-$C$31)+(N28+N29-N30)*$C31)</f>
        <v>555129.69632640108</v>
      </c>
      <c r="O31" s="148">
        <f t="shared" ref="O31" si="18">IF(N31&lt;=0,(O28+O29-O30)*$C31,(N28+N29-N30)*(1-$C$31)+(O28+O29-O30)*$C31)</f>
        <v>559914.56202240137</v>
      </c>
      <c r="P31" s="148">
        <f t="shared" ref="P31" si="19">IF(O31&lt;=0,(P28+P29-P30)*$C31,(O28+O29-O30)*(1-$C$31)+(P28+P29-P30)*$C31)</f>
        <v>564465.71226240101</v>
      </c>
      <c r="Q31" s="148">
        <f t="shared" ref="Q31" si="20">IF(P31&lt;=0,(Q28+Q29-Q30)*$C31,(P28+P29-P30)*(1-$C$31)+(Q28+Q29-Q30)*$C31)</f>
        <v>568864.64194559981</v>
      </c>
      <c r="R31" s="148">
        <f t="shared" ref="R31" si="21">IF(Q31&lt;=0,(R28+R29-R30)*$C31,(Q28+Q29-Q30)*(1-$C$31)+(R28+R29-R30)*$C31)</f>
        <v>573024.08966400102</v>
      </c>
      <c r="S31" s="148">
        <f t="shared" ref="S31" si="22">IF(R31&lt;=0,(S28+S29-S30)*$C31,(R28+R29-R30)*(1-$C$31)+(S28+S29-S30)*$C31)</f>
        <v>577027.53613440017</v>
      </c>
      <c r="T31" s="148">
        <f t="shared" ref="T31" si="23">IF(S31&lt;=0,(T28+T29-T30)*$C31,(S28+S29-S30)*(1-$C$31)+(T28+T29-T30)*$C31)</f>
        <v>580910.95520640013</v>
      </c>
      <c r="U31" s="148">
        <f t="shared" ref="U31" si="24">IF(T31&lt;=0,(U28+U29-U30)*$C31,(T28+T29-T30)*(1-$C$31)+(U28+U29-U30)*$C31)</f>
        <v>584600.06966400007</v>
      </c>
      <c r="V31" s="148">
        <f t="shared" ref="V31" si="25">IF(U31&lt;=0,(V28+V29-V30)*$C31,(U28+U29-U30)*(1-$C$31)+(V28+V29-V30)*$C31)</f>
        <v>588088.84567680059</v>
      </c>
      <c r="W31" s="148">
        <f t="shared" ref="W31" si="26">IF(V31&lt;=0,(W28+W29-W30)*$C31,(V28+V29-V30)*(1-$C$31)+(W28+W29-W30)*$C31)</f>
        <v>591505.17753600178</v>
      </c>
      <c r="X31" s="148">
        <f t="shared" ref="X31" si="27">IF(W31&lt;=0,(X28+X29-X30)*$C31,(W28+W29-W30)*(1-$C$31)+(X28+X29-X30)*$C31)</f>
        <v>594643.45674240217</v>
      </c>
      <c r="Y31" s="148">
        <f t="shared" ref="Y31" si="28">IF(X31&lt;=0,(Y28+Y29-Y30)*$C31,(X28+X29-X30)*(1-$C$31)+(Y28+Y29-Y30)*$C31)</f>
        <v>597620.69377920183</v>
      </c>
      <c r="Z31" s="148">
        <f t="shared" ref="Z31" si="29">IF(Y31&lt;=0,(Z28+Z29-Z30)*$C31,(Y28+Y29-Y30)*(1-$C$31)+(Z28+Z29-Z30)*$C31)</f>
        <v>600445.36656000023</v>
      </c>
      <c r="AA31" s="148">
        <f t="shared" ref="AA31" si="30">IF(Z31&lt;=0,(AA28+AA29-AA30)*$C31,(Z28+Z29-Z30)*(1-$C$31)+(AA28+AA29-AA30)*$C31)</f>
        <v>603106.24757760088</v>
      </c>
      <c r="AB31" s="148">
        <f t="shared" ref="AB31" si="31">IF(AA31&lt;=0,(AB28+AB29-AB30)*$C31,(AA28+AA29-AA30)*(1-$C$31)+(AB28+AB29-AB30)*$C31)</f>
        <v>605643.96971520106</v>
      </c>
      <c r="AC31" s="148">
        <f t="shared" ref="AC31" si="32">IF(AB31&lt;=0,(AC28+AC29-AC30)*$C31,(AB28+AB29-AB30)*(1-$C$31)+(AC28+AC29-AC30)*$C31)</f>
        <v>608064.98688000138</v>
      </c>
      <c r="AD31" s="148">
        <f t="shared" ref="AD31" si="33">IF(AC31&lt;=0,(AD28+AD29-AD30)*$C31,(AC28+AC29-AC30)*(1-$C$31)+(AD28+AD29-AD30)*$C31)</f>
        <v>610365.13649280218</v>
      </c>
      <c r="AE31" s="148">
        <f t="shared" ref="AE31" si="34">IF(AD31&lt;=0,(AE28+AE29-AE30)*$C31,(AD28+AD29-AD30)*(1-$C$31)+(AE28+AE29-AE30)*$C31)</f>
        <v>612659.21408640069</v>
      </c>
      <c r="AF31" s="148">
        <f t="shared" ref="AF31" si="35">IF(AE31&lt;=0,(AF28+AF29-AF30)*$C31,(AE28+AE29-AE30)*(1-$C$31)+(AF28+AF29-AF30)*$C31)</f>
        <v>614764.02798720007</v>
      </c>
      <c r="AG31" s="148">
        <f t="shared" ref="AG31" si="36">IF(AF31&lt;=0,(AG28+AG29-AG30)*$C31,(AF28+AF29-AF30)*(1-$C$31)+(AG28+AG29-AG30)*$C31)</f>
        <v>616800.56031359953</v>
      </c>
      <c r="AH31" s="148">
        <f t="shared" ref="AH31" si="37">IF(AG31&lt;=0,(AH28+AH29-AH30)*$C31,(AG28+AG29-AG30)*(1-$C$31)+(AH28+AH29-AH30)*$C31)</f>
        <v>618713.70462720026</v>
      </c>
      <c r="AI31" s="148">
        <f t="shared" ref="AI31" si="38">IF(AH31&lt;=0,(AI28+AI29-AI30)*$C31,(AH28+AH29-AH30)*(1-$C$31)+(AI28+AI29-AI30)*$C31)</f>
        <v>620502.73534080165</v>
      </c>
      <c r="AJ31" s="148">
        <f t="shared" ref="AJ31" si="39">IF(AI31&lt;=0,(AJ28+AJ29-AJ30)*$C31,(AI28+AI29-AI30)*(1-$C$31)+(AJ28+AJ29-AJ30)*$C31)</f>
        <v>622264.34649600158</v>
      </c>
      <c r="AK31" s="148">
        <f t="shared" ref="AK31" si="40">IF(AJ31&lt;=0,(AK28+AK29-AK30)*$C31,(AJ28+AJ29-AJ30)*(1-$C$31)+(AK28+AK29-AK30)*$C31)</f>
        <v>623863.19698560017</v>
      </c>
      <c r="AL31" s="148">
        <f t="shared" ref="AL31" si="41">IF(AK31&lt;=0,(AL28+AL29-AL30)*$C31,(AK28+AK29-AK30)*(1-$C$31)+(AL28+AL29-AL30)*$C31)</f>
        <v>625428.441331201</v>
      </c>
      <c r="AM31" s="148">
        <f t="shared" ref="AM31" si="42">IF(AL31&lt;=0,(AM28+AM29-AM30)*$C31,(AL28+AL29-AL30)*(1-$C$31)+(AM28+AM29-AM30)*$C31)</f>
        <v>626969.62673280016</v>
      </c>
      <c r="AN31" s="148">
        <f t="shared" ref="AN31" si="43">IF(AM31&lt;=0,(AN28+AN29-AN30)*$C31,(AM28+AM29-AM30)*(1-$C$31)+(AN28+AN29-AN30)*$C31)</f>
        <v>626683.63080959988</v>
      </c>
      <c r="AO31" s="468">
        <f t="shared" si="8"/>
        <v>20987905.987657461</v>
      </c>
      <c r="AP31" s="71"/>
      <c r="AQ31" s="71"/>
      <c r="AR31" s="23"/>
      <c r="AS31" s="23"/>
    </row>
    <row r="32" spans="1:45" ht="14.4" x14ac:dyDescent="0.3">
      <c r="A32"/>
      <c r="B32" s="466" t="s">
        <v>137</v>
      </c>
      <c r="C32" s="247"/>
      <c r="D32" s="4"/>
      <c r="E32" s="101"/>
      <c r="F32" s="148">
        <f>F31 -(F28+F29-F30)</f>
        <v>-538676.57770617609</v>
      </c>
      <c r="G32" s="148">
        <f t="shared" ref="G32:AN32" si="44">G31 -(G28+G29-G30)</f>
        <v>342998.46492537553</v>
      </c>
      <c r="H32" s="148">
        <f t="shared" si="44"/>
        <v>-7956.9419903993839</v>
      </c>
      <c r="I32" s="148">
        <f t="shared" si="44"/>
        <v>-4473.054144001042</v>
      </c>
      <c r="J32" s="148">
        <f t="shared" si="44"/>
        <v>-4307.238374398672</v>
      </c>
      <c r="K32" s="148">
        <f t="shared" si="44"/>
        <v>-4025.4050304010743</v>
      </c>
      <c r="L32" s="148">
        <f t="shared" si="44"/>
        <v>-2425.2943103997968</v>
      </c>
      <c r="M32" s="148">
        <f t="shared" si="44"/>
        <v>-1990.858521600021</v>
      </c>
      <c r="N32" s="148">
        <f t="shared" si="44"/>
        <v>-1991.6222975999117</v>
      </c>
      <c r="O32" s="148">
        <f t="shared" si="44"/>
        <v>-1862.1622656002874</v>
      </c>
      <c r="P32" s="148">
        <f t="shared" si="44"/>
        <v>-1792.6586495995289</v>
      </c>
      <c r="Q32" s="148">
        <f t="shared" si="44"/>
        <v>-1737.5140223994385</v>
      </c>
      <c r="R32" s="148">
        <f t="shared" si="44"/>
        <v>-1614.6224640011787</v>
      </c>
      <c r="S32" s="148">
        <f t="shared" si="44"/>
        <v>-1592.549337598728</v>
      </c>
      <c r="T32" s="148">
        <f t="shared" si="44"/>
        <v>-1527.2464896008605</v>
      </c>
      <c r="U32" s="148">
        <f t="shared" si="44"/>
        <v>-1441.2453119992279</v>
      </c>
      <c r="V32" s="148">
        <f t="shared" si="44"/>
        <v>-1365.0204672008986</v>
      </c>
      <c r="W32" s="148">
        <f t="shared" si="44"/>
        <v>-1367.540928000235</v>
      </c>
      <c r="X32" s="148">
        <f t="shared" si="44"/>
        <v>-1180.4921856001019</v>
      </c>
      <c r="Y32" s="148">
        <f t="shared" si="44"/>
        <v>-1197.8299007996684</v>
      </c>
      <c r="Z32" s="148">
        <f t="shared" si="44"/>
        <v>-1084.5619199990761</v>
      </c>
      <c r="AA32" s="148">
        <f t="shared" si="44"/>
        <v>-1050.8793984011281</v>
      </c>
      <c r="AB32" s="148">
        <f t="shared" si="44"/>
        <v>-991.22849279944785</v>
      </c>
      <c r="AC32" s="148">
        <f t="shared" si="44"/>
        <v>-953.19244800065644</v>
      </c>
      <c r="AD32" s="148">
        <f t="shared" si="44"/>
        <v>-897.97144320013467</v>
      </c>
      <c r="AE32" s="148">
        <f t="shared" si="44"/>
        <v>-930.73743359895889</v>
      </c>
      <c r="AF32" s="148">
        <f t="shared" si="44"/>
        <v>-782.7176448001992</v>
      </c>
      <c r="AG32" s="148">
        <f t="shared" si="44"/>
        <v>-835.8764543995494</v>
      </c>
      <c r="AH32" s="148">
        <f t="shared" si="44"/>
        <v>-718.17857280070893</v>
      </c>
      <c r="AI32" s="148">
        <f t="shared" si="44"/>
        <v>-713.90142720041331</v>
      </c>
      <c r="AJ32" s="148">
        <f t="shared" si="44"/>
        <v>-698.47315199975856</v>
      </c>
      <c r="AK32" s="148">
        <f t="shared" si="44"/>
        <v>-600.25155839917716</v>
      </c>
      <c r="AL32" s="148">
        <f t="shared" si="44"/>
        <v>-643.32852480118163</v>
      </c>
      <c r="AM32" s="148">
        <f t="shared" si="44"/>
        <v>-598.57125119864941</v>
      </c>
      <c r="AN32" s="148">
        <f t="shared" si="44"/>
        <v>589.71144959924277</v>
      </c>
      <c r="AO32" s="468">
        <f t="shared" si="8"/>
        <v>-250437.56774400041</v>
      </c>
      <c r="AP32" s="2"/>
      <c r="AQ32" s="71"/>
      <c r="AR32" s="23"/>
      <c r="AS32" s="28"/>
    </row>
    <row r="33" spans="1:45" ht="14.4" x14ac:dyDescent="0.3">
      <c r="A33"/>
      <c r="B33" s="466"/>
      <c r="C33" s="247"/>
      <c r="D33" s="4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  <c r="AB33" s="101"/>
      <c r="AC33" s="101"/>
      <c r="AD33" s="101"/>
      <c r="AE33" s="101"/>
      <c r="AF33" s="101"/>
      <c r="AG33" s="101"/>
      <c r="AH33" s="101"/>
      <c r="AI33" s="101"/>
      <c r="AJ33" s="512"/>
      <c r="AK33" s="512"/>
      <c r="AL33" s="512"/>
      <c r="AM33" s="512"/>
      <c r="AN33" s="512"/>
      <c r="AO33" s="510"/>
      <c r="AP33" s="71"/>
      <c r="AQ33" s="71"/>
      <c r="AR33" s="23"/>
    </row>
    <row r="34" spans="1:45" ht="14.4" x14ac:dyDescent="0.3">
      <c r="A34"/>
      <c r="B34" s="471" t="s">
        <v>56</v>
      </c>
      <c r="C34" s="247"/>
      <c r="D34" s="4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1"/>
      <c r="AE34" s="101"/>
      <c r="AF34" s="101"/>
      <c r="AG34" s="101"/>
      <c r="AH34" s="101"/>
      <c r="AI34" s="101"/>
      <c r="AJ34" s="512"/>
      <c r="AK34" s="512"/>
      <c r="AL34" s="512"/>
      <c r="AM34" s="512"/>
      <c r="AN34" s="512"/>
      <c r="AO34" s="510"/>
      <c r="AP34" s="71"/>
      <c r="AQ34" s="71"/>
      <c r="AR34" s="23"/>
    </row>
    <row r="35" spans="1:45" ht="14.4" x14ac:dyDescent="0.3">
      <c r="A35"/>
      <c r="B35" s="466" t="s">
        <v>57</v>
      </c>
      <c r="C35" s="247"/>
      <c r="D35" s="4"/>
      <c r="E35" s="101"/>
      <c r="F35" s="148">
        <f>$J$14*'Base Física'!F65</f>
        <v>0</v>
      </c>
      <c r="G35" s="148">
        <f>$J$14*'Base Física'!G65</f>
        <v>4824808.5599999996</v>
      </c>
      <c r="H35" s="148">
        <f>$J$14*'Base Física'!H65</f>
        <v>9981897.1199999992</v>
      </c>
      <c r="I35" s="148">
        <f>$J$14*'Base Física'!I65</f>
        <v>15301962</v>
      </c>
      <c r="J35" s="148">
        <f>$J$14*'Base Física'!J65</f>
        <v>20825035.919999998</v>
      </c>
      <c r="K35" s="148">
        <f>$J$14*'Base Física'!K65</f>
        <v>22546321.199999999</v>
      </c>
      <c r="L35" s="148">
        <f>$J$14*'Base Física'!L65</f>
        <v>24139524.239999998</v>
      </c>
      <c r="M35" s="148">
        <f>$J$14*'Base Física'!M65</f>
        <v>24900763.68</v>
      </c>
      <c r="N35" s="148">
        <f>$J$14*'Base Física'!N65</f>
        <v>25671129.119999997</v>
      </c>
      <c r="O35" s="148">
        <f>$J$14*'Base Física'!O65</f>
        <v>26436309.119999997</v>
      </c>
      <c r="P35" s="148">
        <f>$J$14*'Base Física'!P65</f>
        <v>27202602.959999997</v>
      </c>
      <c r="Q35" s="148">
        <f>$J$14*'Base Física'!Q65</f>
        <v>27970693.919999998</v>
      </c>
      <c r="R35" s="148">
        <f>$J$14*'Base Física'!R65</f>
        <v>28168564.319999997</v>
      </c>
      <c r="S35" s="148">
        <f>$J$14*'Base Física'!S65</f>
        <v>28363729.68</v>
      </c>
      <c r="T35" s="148">
        <f>$J$14*'Base Física'!T65</f>
        <v>28550892.239999998</v>
      </c>
      <c r="U35" s="148">
        <f>$J$14*'Base Física'!U65</f>
        <v>28727515.439999998</v>
      </c>
      <c r="V35" s="148">
        <f>$J$14*'Base Física'!V65</f>
        <v>28894797.359999999</v>
      </c>
      <c r="W35" s="148">
        <f>$J$14*'Base Física'!W65</f>
        <v>29062388.159999996</v>
      </c>
      <c r="X35" s="148">
        <f>$J$14*'Base Física'!X65</f>
        <v>29207056.319999997</v>
      </c>
      <c r="Y35" s="148">
        <f>$J$14*'Base Física'!Y65</f>
        <v>29353849.199999999</v>
      </c>
      <c r="Z35" s="148">
        <f>$J$14*'Base Física'!Z65</f>
        <v>29486761.199999999</v>
      </c>
      <c r="AA35" s="148">
        <f>$J$14*'Base Física'!AA65</f>
        <v>29615545.439999998</v>
      </c>
      <c r="AB35" s="148">
        <f>$J$14*'Base Física'!AB65</f>
        <v>29737019.52</v>
      </c>
      <c r="AC35" s="148">
        <f>$J$14*'Base Física'!AC65</f>
        <v>29853832.319999997</v>
      </c>
      <c r="AD35" s="148">
        <f>$J$14*'Base Física'!AD65</f>
        <v>29963877.84</v>
      </c>
      <c r="AE35" s="148">
        <f>$J$14*'Base Física'!AE65</f>
        <v>30077938.799999997</v>
      </c>
      <c r="AF35" s="148">
        <f>$J$14*'Base Física'!AF65</f>
        <v>30173860.079999998</v>
      </c>
      <c r="AG35" s="148">
        <f>$J$14*'Base Física'!AG65</f>
        <v>30276295.919999998</v>
      </c>
      <c r="AH35" s="148">
        <f>$J$14*'Base Física'!AH65</f>
        <v>30364308</v>
      </c>
      <c r="AI35" s="148">
        <f>$J$14*'Base Física'!AI65</f>
        <v>30451795.919999998</v>
      </c>
      <c r="AJ35" s="148">
        <f>$J$14*'Base Física'!AJ65</f>
        <v>30537393.119999997</v>
      </c>
      <c r="AK35" s="148">
        <f>$J$14*'Base Física'!AK65</f>
        <v>30610953.359999999</v>
      </c>
      <c r="AL35" s="148">
        <f>$J$14*'Base Física'!AL65</f>
        <v>30689792.639999997</v>
      </c>
      <c r="AM35" s="148">
        <f>$J$14*'Base Física'!AM65</f>
        <v>30763146.959999997</v>
      </c>
      <c r="AN35" s="148">
        <f>$J$14*'Base Física'!AN65</f>
        <v>30690878.399999999</v>
      </c>
      <c r="AO35" s="468">
        <f t="shared" ref="AO35:AO39" si="45">+SUM(F35:AN35)</f>
        <v>913423240.07999992</v>
      </c>
      <c r="AP35" s="71"/>
      <c r="AQ35" s="71"/>
      <c r="AR35" s="23"/>
      <c r="AS35" s="23"/>
    </row>
    <row r="36" spans="1:45" ht="14.4" x14ac:dyDescent="0.3">
      <c r="A36"/>
      <c r="B36" s="466" t="s">
        <v>95</v>
      </c>
      <c r="C36" s="511">
        <v>0.02</v>
      </c>
      <c r="D36" s="4"/>
      <c r="E36" s="101"/>
      <c r="F36" s="148">
        <f t="shared" ref="F36" si="46">F35*$C36</f>
        <v>0</v>
      </c>
      <c r="G36" s="148">
        <f t="shared" ref="G36:AN36" si="47">G35*$C36</f>
        <v>96496.171199999997</v>
      </c>
      <c r="H36" s="148">
        <f t="shared" si="47"/>
        <v>199637.9424</v>
      </c>
      <c r="I36" s="148">
        <f t="shared" si="47"/>
        <v>306039.24</v>
      </c>
      <c r="J36" s="148">
        <f t="shared" si="47"/>
        <v>416500.71839999995</v>
      </c>
      <c r="K36" s="148">
        <f t="shared" si="47"/>
        <v>450926.424</v>
      </c>
      <c r="L36" s="148">
        <f t="shared" si="47"/>
        <v>482790.48479999998</v>
      </c>
      <c r="M36" s="148">
        <f t="shared" si="47"/>
        <v>498015.27360000001</v>
      </c>
      <c r="N36" s="148">
        <f t="shared" si="47"/>
        <v>513422.58239999996</v>
      </c>
      <c r="O36" s="148">
        <f t="shared" si="47"/>
        <v>528726.18239999993</v>
      </c>
      <c r="P36" s="148">
        <f t="shared" si="47"/>
        <v>544052.0591999999</v>
      </c>
      <c r="Q36" s="148">
        <f t="shared" si="47"/>
        <v>559413.87839999993</v>
      </c>
      <c r="R36" s="148">
        <f t="shared" si="47"/>
        <v>563371.28639999998</v>
      </c>
      <c r="S36" s="148">
        <f t="shared" si="47"/>
        <v>567274.59360000002</v>
      </c>
      <c r="T36" s="148">
        <f t="shared" si="47"/>
        <v>571017.84479999996</v>
      </c>
      <c r="U36" s="148">
        <f t="shared" si="47"/>
        <v>574550.3088</v>
      </c>
      <c r="V36" s="148">
        <f t="shared" si="47"/>
        <v>577895.94720000005</v>
      </c>
      <c r="W36" s="148">
        <f t="shared" si="47"/>
        <v>581247.76319999993</v>
      </c>
      <c r="X36" s="148">
        <f t="shared" si="47"/>
        <v>584141.12639999995</v>
      </c>
      <c r="Y36" s="148">
        <f t="shared" si="47"/>
        <v>587076.98400000005</v>
      </c>
      <c r="Z36" s="148">
        <f t="shared" si="47"/>
        <v>589735.22400000005</v>
      </c>
      <c r="AA36" s="148">
        <f t="shared" si="47"/>
        <v>592310.90879999998</v>
      </c>
      <c r="AB36" s="148">
        <f t="shared" si="47"/>
        <v>594740.39040000003</v>
      </c>
      <c r="AC36" s="148">
        <f t="shared" si="47"/>
        <v>597076.64639999997</v>
      </c>
      <c r="AD36" s="148">
        <f t="shared" si="47"/>
        <v>599277.55680000002</v>
      </c>
      <c r="AE36" s="148">
        <f t="shared" si="47"/>
        <v>601558.77599999995</v>
      </c>
      <c r="AF36" s="148">
        <f t="shared" si="47"/>
        <v>603477.20160000003</v>
      </c>
      <c r="AG36" s="148">
        <f t="shared" si="47"/>
        <v>605525.91839999997</v>
      </c>
      <c r="AH36" s="148">
        <f t="shared" si="47"/>
        <v>607286.16</v>
      </c>
      <c r="AI36" s="148">
        <f t="shared" si="47"/>
        <v>609035.91839999997</v>
      </c>
      <c r="AJ36" s="148">
        <f t="shared" si="47"/>
        <v>610747.86239999998</v>
      </c>
      <c r="AK36" s="148">
        <f t="shared" si="47"/>
        <v>612219.06720000005</v>
      </c>
      <c r="AL36" s="148">
        <f t="shared" si="47"/>
        <v>613795.85279999999</v>
      </c>
      <c r="AM36" s="148">
        <f t="shared" si="47"/>
        <v>615262.93919999991</v>
      </c>
      <c r="AN36" s="148">
        <f t="shared" si="47"/>
        <v>613817.56799999997</v>
      </c>
      <c r="AO36" s="468">
        <f t="shared" si="45"/>
        <v>18268464.801599998</v>
      </c>
      <c r="AP36" s="71"/>
      <c r="AQ36" s="71"/>
      <c r="AR36" s="23"/>
    </row>
    <row r="37" spans="1:45" ht="14.4" x14ac:dyDescent="0.3">
      <c r="A37"/>
      <c r="B37" s="466" t="s">
        <v>81</v>
      </c>
      <c r="C37" s="247"/>
      <c r="D37" s="4"/>
      <c r="E37" s="101"/>
      <c r="F37" s="148">
        <f>(F35+F36)*(1-'Base Física'!F44)</f>
        <v>0</v>
      </c>
      <c r="G37" s="148">
        <f>(G35+G36)*(1-'Base Física'!G44)</f>
        <v>4822878.6365759997</v>
      </c>
      <c r="H37" s="148">
        <f>(H35+H36)*(1-'Base Física'!H44)</f>
        <v>9977904.3611519989</v>
      </c>
      <c r="I37" s="148">
        <f>(I35+I36)*(1-'Base Física'!I44)</f>
        <v>15295841.2152</v>
      </c>
      <c r="J37" s="148">
        <f>(J35+J36)*(1-'Base Física'!J44)</f>
        <v>20816705.905632</v>
      </c>
      <c r="K37" s="148">
        <f>(K35+K36)*(1-'Base Física'!K44)</f>
        <v>22537302.671519998</v>
      </c>
      <c r="L37" s="148">
        <f>(L35+L36)*(1-'Base Física'!L44)</f>
        <v>24129868.430303998</v>
      </c>
      <c r="M37" s="148">
        <f>(M35+M36)*(1-'Base Física'!M44)</f>
        <v>24890803.374527998</v>
      </c>
      <c r="N37" s="148">
        <f>(N35+N36)*(1-'Base Física'!N44)</f>
        <v>25660860.668351997</v>
      </c>
      <c r="O37" s="148">
        <f>(O35+O36)*(1-'Base Física'!O44)</f>
        <v>26425734.596351996</v>
      </c>
      <c r="P37" s="148">
        <f>(P35+P36)*(1-'Base Física'!P44)</f>
        <v>27191721.918815996</v>
      </c>
      <c r="Q37" s="148">
        <f>(Q35+Q36)*(1-'Base Física'!Q44)</f>
        <v>27959505.642432</v>
      </c>
      <c r="R37" s="148">
        <f>(R35+R36)*(1-'Base Física'!R44)</f>
        <v>28157296.894271996</v>
      </c>
      <c r="S37" s="148">
        <f>(S35+S36)*(1-'Base Física'!S44)</f>
        <v>28352384.188128002</v>
      </c>
      <c r="T37" s="148">
        <f>(T35+T36)*(1-'Base Física'!T44)</f>
        <v>28539471.883103997</v>
      </c>
      <c r="U37" s="148">
        <f>(U35+U36)*(1-'Base Física'!U44)</f>
        <v>28716024.433823999</v>
      </c>
      <c r="V37" s="148">
        <f>(V35+V36)*(1-'Base Física'!V44)</f>
        <v>28883239.441055998</v>
      </c>
      <c r="W37" s="148">
        <f>(W35+W36)*(1-'Base Física'!W44)</f>
        <v>29050763.204735994</v>
      </c>
      <c r="X37" s="148">
        <f>(X35+X36)*(1-'Base Física'!X44)</f>
        <v>29195373.497471996</v>
      </c>
      <c r="Y37" s="148">
        <f>(Y35+Y36)*(1-'Base Física'!Y44)</f>
        <v>29342107.660319999</v>
      </c>
      <c r="Z37" s="148">
        <f>(Z35+Z36)*(1-'Base Física'!Z44)</f>
        <v>29474966.495519999</v>
      </c>
      <c r="AA37" s="148">
        <f>(AA35+AA36)*(1-'Base Física'!AA44)</f>
        <v>29603699.221823994</v>
      </c>
      <c r="AB37" s="148">
        <f>(AB35+AB36)*(1-'Base Física'!AB44)</f>
        <v>29725124.712191999</v>
      </c>
      <c r="AC37" s="148">
        <f>(AC35+AC36)*(1-'Base Física'!AC44)</f>
        <v>29841890.787071995</v>
      </c>
      <c r="AD37" s="148">
        <f>(AD35+AD36)*(1-'Base Física'!AD44)</f>
        <v>29951892.288863998</v>
      </c>
      <c r="AE37" s="148">
        <f>(AE35+AE36)*(1-'Base Física'!AE44)</f>
        <v>30065907.624479998</v>
      </c>
      <c r="AF37" s="148">
        <f>(AF35+AF36)*(1-'Base Física'!AF44)</f>
        <v>30161790.535967998</v>
      </c>
      <c r="AG37" s="148">
        <f>(AG35+AG36)*(1-'Base Física'!AG44)</f>
        <v>30264185.401632</v>
      </c>
      <c r="AH37" s="148">
        <f>(AH35+AH36)*(1-'Base Física'!AH44)</f>
        <v>30352162.276799999</v>
      </c>
      <c r="AI37" s="148">
        <f>(AI35+AI36)*(1-'Base Física'!AI44)</f>
        <v>30439615.201631997</v>
      </c>
      <c r="AJ37" s="148">
        <f>(AJ35+AJ36)*(1-'Base Física'!AJ44)</f>
        <v>30525178.162751995</v>
      </c>
      <c r="AK37" s="148">
        <f>(AK35+AK36)*(1-'Base Física'!AK44)</f>
        <v>30598708.978656001</v>
      </c>
      <c r="AL37" s="148">
        <f>(AL35+AL36)*(1-'Base Física'!AL44)</f>
        <v>30677516.722943995</v>
      </c>
      <c r="AM37" s="148">
        <f>(AM35+AM36)*(1-'Base Física'!AM44)</f>
        <v>30750841.701215997</v>
      </c>
      <c r="AN37" s="148">
        <f>(AN35+AN36)*(1-'Base Física'!AN44)</f>
        <v>30678602.048639998</v>
      </c>
      <c r="AO37" s="468">
        <f t="shared" si="45"/>
        <v>913057870.78396809</v>
      </c>
      <c r="AP37" s="71"/>
      <c r="AQ37" s="71"/>
      <c r="AR37" s="23"/>
      <c r="AS37" s="23"/>
    </row>
    <row r="38" spans="1:45" ht="14.4" x14ac:dyDescent="0.3">
      <c r="A38"/>
      <c r="B38" s="466" t="s">
        <v>82</v>
      </c>
      <c r="C38" s="511">
        <f>C31</f>
        <v>0.6</v>
      </c>
      <c r="D38" s="4"/>
      <c r="E38" s="101"/>
      <c r="F38" s="148">
        <f t="shared" ref="F38" si="48">IF(E38&lt;=0,(F35+F36-F37)*$C38,(E35+E36-E37)*(1-$C$31)+(F35+F36-F37)*$C38)</f>
        <v>0</v>
      </c>
      <c r="G38" s="148">
        <f t="shared" ref="G38" si="49">IF(F38&lt;=0,(G35+G36-G37)*$C38,(F35+F36-F37)*(1-$C$31)+(G35+G36-G37)*$C38)</f>
        <v>59055.656774399802</v>
      </c>
      <c r="H38" s="148">
        <f t="shared" ref="H38" si="50">IF(G38&lt;=0,(H35+H36-H37)*$C38,(G35+G36-G37)*(1-$C$31)+(H35+H36-H37)*$C38)</f>
        <v>161548.85859839953</v>
      </c>
      <c r="I38" s="148">
        <f t="shared" ref="I38" si="51">IF(H38&lt;=0,(I35+I36-I37)*$C38,(H35+H36-H37)*(1-$C$31)+(I35+I36-I37)*$C38)</f>
        <v>268748.29537920019</v>
      </c>
      <c r="J38" s="148">
        <f t="shared" ref="J38" si="52">IF(I38&lt;=0,(J35+J36-J37)*$C38,(I35+I36-I37)*(1-$C$31)+(J35+J36-J37)*$C38)</f>
        <v>379762.44958079979</v>
      </c>
      <c r="K38" s="148">
        <f t="shared" ref="K38" si="53">IF(J38&lt;=0,(K35+K36-K37)*$C38,(J35+J36-J37)*(1-$C$31)+(K35+K36-K37)*$C38)</f>
        <v>445899.26459519938</v>
      </c>
      <c r="L38" s="148">
        <f t="shared" ref="L38" si="54">IF(K38&lt;=0,(L35+L36-L37)*$C38,(K35+K36-K37)*(1-$C$31)+(L35+L36-L37)*$C38)</f>
        <v>479445.75768959965</v>
      </c>
      <c r="M38" s="148">
        <f t="shared" ref="M38" si="55">IF(L38&lt;=0,(M35+M36-M37)*$C38,(L35+L36-L37)*(1-$C$31)+(M35+M36-M37)*$C38)</f>
        <v>501763.86524160136</v>
      </c>
      <c r="N38" s="148">
        <f t="shared" ref="N38" si="56">IF(M38&lt;=0,(N35+N36-N37)*$C38,(M35+M36-M37)*(1-$C$31)+(N35+N36-N37)*$C38)</f>
        <v>517404.85205760226</v>
      </c>
      <c r="O38" s="148">
        <f t="shared" ref="O38" si="57">IF(N38&lt;=0,(O35+O36-O37)*$C38,(N35+N36-N37)*(1-$C$31)+(O35+O36-O37)*$C38)</f>
        <v>533056.83724800125</v>
      </c>
      <c r="P38" s="148">
        <f t="shared" ref="P38" si="58">IF(O38&lt;=0,(P35+P36-P37)*$C38,(O35+O36-O37)*(1-$C$31)+(P35+P36-P37)*$C38)</f>
        <v>548680.14264960063</v>
      </c>
      <c r="Q38" s="148">
        <f t="shared" ref="Q38" si="59">IF(P38&lt;=0,(Q35+Q36-Q37)*$C38,(P35+P36-P37)*(1-$C$31)+(Q35+Q36-Q37)*$C38)</f>
        <v>564334.53373439983</v>
      </c>
      <c r="R38" s="148">
        <f t="shared" ref="R38" si="60">IF(Q38&lt;=0,(R35+R36-R37)*$C38,(Q35+Q36-Q37)*(1-$C$31)+(R35+R36-R37)*$C38)</f>
        <v>573024.08966400102</v>
      </c>
      <c r="S38" s="148">
        <f t="shared" ref="S38" si="61">IF(R38&lt;=0,(S35+S36-S37)*$C38,(R35+R36-R37)*(1-$C$31)+(S35+S36-S37)*$C38)</f>
        <v>577027.53613440017</v>
      </c>
      <c r="T38" s="148">
        <f t="shared" ref="T38" si="62">IF(S38&lt;=0,(T35+T36-T37)*$C38,(S35+S36-S37)*(1-$C$31)+(T35+T36-T37)*$C38)</f>
        <v>580910.95520640013</v>
      </c>
      <c r="U38" s="148">
        <f t="shared" ref="U38" si="63">IF(T38&lt;=0,(U35+U36-U37)*$C38,(T35+T36-T37)*(1-$C$31)+(U35+U36-U37)*$C38)</f>
        <v>584600.06966400007</v>
      </c>
      <c r="V38" s="148">
        <f t="shared" ref="V38" si="64">IF(U38&lt;=0,(V35+V36-V37)*$C38,(U35+U36-U37)*(1-$C$31)+(V35+V36-V37)*$C38)</f>
        <v>588088.84567680059</v>
      </c>
      <c r="W38" s="148">
        <f t="shared" ref="W38" si="65">IF(V38&lt;=0,(W35+W36-W37)*$C38,(V35+V36-V37)*(1-$C$31)+(W35+W36-W37)*$C38)</f>
        <v>591505.17753600178</v>
      </c>
      <c r="X38" s="148">
        <f t="shared" ref="X38" si="66">IF(W38&lt;=0,(X35+X36-X37)*$C38,(W35+W36-W37)*(1-$C$31)+(X35+X36-X37)*$C38)</f>
        <v>594643.45674240217</v>
      </c>
      <c r="Y38" s="148">
        <f t="shared" ref="Y38" si="67">IF(X38&lt;=0,(Y35+Y36-Y37)*$C38,(X35+X36-X37)*(1-$C$31)+(Y35+Y36-Y37)*$C38)</f>
        <v>597620.69377920183</v>
      </c>
      <c r="Z38" s="148">
        <f t="shared" ref="Z38" si="68">IF(Y38&lt;=0,(Z35+Z36-Z37)*$C38,(Y35+Y36-Y37)*(1-$C$31)+(Z35+Z36-Z37)*$C38)</f>
        <v>600445.36656000023</v>
      </c>
      <c r="AA38" s="148">
        <f t="shared" ref="AA38" si="69">IF(Z38&lt;=0,(AA35+AA36-AA37)*$C38,(Z35+Z36-Z37)*(1-$C$31)+(AA35+AA36-AA37)*$C38)</f>
        <v>603106.24757760088</v>
      </c>
      <c r="AB38" s="148">
        <f t="shared" ref="AB38" si="70">IF(AA38&lt;=0,(AB35+AB36-AB37)*$C38,(AA35+AA36-AA37)*(1-$C$31)+(AB35+AB36-AB37)*$C38)</f>
        <v>605643.96971520106</v>
      </c>
      <c r="AC38" s="148">
        <f t="shared" ref="AC38" si="71">IF(AB38&lt;=0,(AC35+AC36-AC37)*$C38,(AB35+AB36-AB37)*(1-$C$31)+(AC35+AC36-AC37)*$C38)</f>
        <v>608064.98688000138</v>
      </c>
      <c r="AD38" s="148">
        <f t="shared" ref="AD38" si="72">IF(AC38&lt;=0,(AD35+AD36-AD37)*$C38,(AC35+AC36-AC37)*(1-$C$31)+(AD35+AD36-AD37)*$C38)</f>
        <v>610365.13649280218</v>
      </c>
      <c r="AE38" s="148">
        <f t="shared" ref="AE38" si="73">IF(AD38&lt;=0,(AE35+AE36-AE37)*$C38,(AD35+AD36-AD37)*(1-$C$31)+(AE35+AE36-AE37)*$C38)</f>
        <v>612659.21408640069</v>
      </c>
      <c r="AF38" s="148">
        <f t="shared" ref="AF38" si="74">IF(AE38&lt;=0,(AF35+AF36-AF37)*$C38,(AE35+AE36-AE37)*(1-$C$31)+(AF35+AF36-AF37)*$C38)</f>
        <v>614764.02798720007</v>
      </c>
      <c r="AG38" s="148">
        <f t="shared" ref="AG38" si="75">IF(AF38&lt;=0,(AG35+AG36-AG37)*$C38,(AF35+AF36-AF37)*(1-$C$31)+(AG35+AG36-AG37)*$C38)</f>
        <v>616800.56031359953</v>
      </c>
      <c r="AH38" s="148">
        <f t="shared" ref="AH38" si="76">IF(AG38&lt;=0,(AH35+AH36-AH37)*$C38,(AG35+AG36-AG37)*(1-$C$31)+(AH35+AH36-AH37)*$C38)</f>
        <v>618713.70462720026</v>
      </c>
      <c r="AI38" s="148">
        <f t="shared" ref="AI38" si="77">IF(AH38&lt;=0,(AI35+AI36-AI37)*$C38,(AH35+AH36-AH37)*(1-$C$31)+(AI35+AI36-AI37)*$C38)</f>
        <v>620502.73534080165</v>
      </c>
      <c r="AJ38" s="148">
        <f t="shared" ref="AJ38" si="78">IF(AI38&lt;=0,(AJ35+AJ36-AJ37)*$C38,(AI35+AI36-AI37)*(1-$C$31)+(AJ35+AJ36-AJ37)*$C38)</f>
        <v>622264.34649600158</v>
      </c>
      <c r="AK38" s="148">
        <f t="shared" ref="AK38" si="79">IF(AJ38&lt;=0,(AK35+AK36-AK37)*$C38,(AJ35+AJ36-AJ37)*(1-$C$31)+(AK35+AK36-AK37)*$C38)</f>
        <v>623863.19698560017</v>
      </c>
      <c r="AL38" s="148">
        <f t="shared" ref="AL38" si="80">IF(AK38&lt;=0,(AL35+AL36-AL37)*$C38,(AK35+AK36-AK37)*(1-$C$31)+(AL35+AL36-AL37)*$C38)</f>
        <v>625428.441331201</v>
      </c>
      <c r="AM38" s="148">
        <f t="shared" ref="AM38" si="81">IF(AL38&lt;=0,(AM35+AM36-AM37)*$C38,(AL35+AL36-AL37)*(1-$C$31)+(AM35+AM36-AM37)*$C38)</f>
        <v>626969.62673280016</v>
      </c>
      <c r="AN38" s="148">
        <f t="shared" ref="AN38" si="82">IF(AM38&lt;=0,(AN35+AN36-AN37)*$C38,(AM35+AM36-AM37)*(1-$C$31)+(AN35+AN36-AN37)*$C38)</f>
        <v>626683.63080959988</v>
      </c>
      <c r="AO38" s="468">
        <f t="shared" si="45"/>
        <v>18383396.529888023</v>
      </c>
      <c r="AP38" s="71"/>
      <c r="AQ38" s="71"/>
      <c r="AR38" s="23"/>
      <c r="AS38" s="23"/>
    </row>
    <row r="39" spans="1:45" ht="14.4" x14ac:dyDescent="0.3">
      <c r="A39" s="66"/>
      <c r="B39" s="466" t="s">
        <v>138</v>
      </c>
      <c r="C39" s="4"/>
      <c r="D39" s="4"/>
      <c r="E39" s="101"/>
      <c r="F39" s="148">
        <f t="shared" ref="F39" si="83">F38 -(F35+F36-F37)</f>
        <v>0</v>
      </c>
      <c r="G39" s="148">
        <f t="shared" ref="G39:AN39" si="84">G38 -(G35+G36-G37)</f>
        <v>-39370.437849599868</v>
      </c>
      <c r="H39" s="148">
        <f t="shared" si="84"/>
        <v>-42081.842649599916</v>
      </c>
      <c r="I39" s="148">
        <f t="shared" si="84"/>
        <v>-43411.729420800519</v>
      </c>
      <c r="J39" s="148">
        <f t="shared" si="84"/>
        <v>-45068.283187199384</v>
      </c>
      <c r="K39" s="148">
        <f t="shared" si="84"/>
        <v>-14045.687884800136</v>
      </c>
      <c r="L39" s="148">
        <f t="shared" si="84"/>
        <v>-13000.536806400167</v>
      </c>
      <c r="M39" s="148">
        <f t="shared" si="84"/>
        <v>-6211.7138304009568</v>
      </c>
      <c r="N39" s="148">
        <f t="shared" si="84"/>
        <v>-6286.1819903999567</v>
      </c>
      <c r="O39" s="148">
        <f t="shared" si="84"/>
        <v>-6243.8687999993563</v>
      </c>
      <c r="P39" s="148">
        <f t="shared" si="84"/>
        <v>-6252.9577344000572</v>
      </c>
      <c r="Q39" s="148">
        <f t="shared" si="84"/>
        <v>-6267.6222335994244</v>
      </c>
      <c r="R39" s="148">
        <f t="shared" si="84"/>
        <v>-1614.6224640011787</v>
      </c>
      <c r="S39" s="148">
        <f t="shared" si="84"/>
        <v>-1592.549337598728</v>
      </c>
      <c r="T39" s="148">
        <f t="shared" si="84"/>
        <v>-1527.2464896008605</v>
      </c>
      <c r="U39" s="148">
        <f t="shared" si="84"/>
        <v>-1441.2453119992279</v>
      </c>
      <c r="V39" s="148">
        <f t="shared" si="84"/>
        <v>-1365.0204672008986</v>
      </c>
      <c r="W39" s="148">
        <f t="shared" si="84"/>
        <v>-1367.540928000235</v>
      </c>
      <c r="X39" s="148">
        <f t="shared" si="84"/>
        <v>-1180.4921856001019</v>
      </c>
      <c r="Y39" s="148">
        <f t="shared" si="84"/>
        <v>-1197.8299007996684</v>
      </c>
      <c r="Z39" s="148">
        <f t="shared" si="84"/>
        <v>-1084.5619199990761</v>
      </c>
      <c r="AA39" s="148">
        <f t="shared" si="84"/>
        <v>-1050.8793984011281</v>
      </c>
      <c r="AB39" s="148">
        <f t="shared" si="84"/>
        <v>-991.22849279944785</v>
      </c>
      <c r="AC39" s="148">
        <f t="shared" si="84"/>
        <v>-953.19244800065644</v>
      </c>
      <c r="AD39" s="148">
        <f t="shared" si="84"/>
        <v>-897.97144320013467</v>
      </c>
      <c r="AE39" s="148">
        <f t="shared" si="84"/>
        <v>-930.73743359895889</v>
      </c>
      <c r="AF39" s="148">
        <f t="shared" si="84"/>
        <v>-782.7176448001992</v>
      </c>
      <c r="AG39" s="148">
        <f t="shared" si="84"/>
        <v>-835.8764543995494</v>
      </c>
      <c r="AH39" s="148">
        <f t="shared" si="84"/>
        <v>-718.17857280070893</v>
      </c>
      <c r="AI39" s="148">
        <f t="shared" si="84"/>
        <v>-713.90142720041331</v>
      </c>
      <c r="AJ39" s="148">
        <f t="shared" si="84"/>
        <v>-698.47315199975856</v>
      </c>
      <c r="AK39" s="148">
        <f t="shared" si="84"/>
        <v>-600.25155839917716</v>
      </c>
      <c r="AL39" s="148">
        <f t="shared" si="84"/>
        <v>-643.32852480118163</v>
      </c>
      <c r="AM39" s="148">
        <f t="shared" si="84"/>
        <v>-598.57125119864941</v>
      </c>
      <c r="AN39" s="148">
        <f t="shared" si="84"/>
        <v>589.71144959924277</v>
      </c>
      <c r="AO39" s="468">
        <f t="shared" si="45"/>
        <v>-250437.56774400044</v>
      </c>
      <c r="AP39" s="71"/>
      <c r="AQ39" s="71"/>
      <c r="AR39" s="23"/>
      <c r="AS39" s="28"/>
    </row>
    <row r="40" spans="1:45" ht="14.4" x14ac:dyDescent="0.3">
      <c r="A40" s="66"/>
      <c r="B40" s="466"/>
      <c r="C40" s="4"/>
      <c r="D40" s="4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1"/>
      <c r="AE40" s="101"/>
      <c r="AF40" s="101"/>
      <c r="AG40" s="101"/>
      <c r="AH40" s="101"/>
      <c r="AI40" s="101"/>
      <c r="AJ40" s="512"/>
      <c r="AK40" s="512"/>
      <c r="AL40" s="512"/>
      <c r="AM40" s="512"/>
      <c r="AN40" s="512"/>
      <c r="AO40" s="510"/>
      <c r="AP40" s="71"/>
      <c r="AQ40" s="71"/>
      <c r="AR40" s="23"/>
    </row>
    <row r="41" spans="1:45" ht="14.4" x14ac:dyDescent="0.3">
      <c r="A41" s="66"/>
      <c r="B41" s="466"/>
      <c r="C41" s="4"/>
      <c r="D41" s="4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01"/>
      <c r="AF41" s="101"/>
      <c r="AG41" s="101"/>
      <c r="AH41" s="101"/>
      <c r="AI41" s="101"/>
      <c r="AJ41" s="512"/>
      <c r="AK41" s="512"/>
      <c r="AL41" s="512"/>
      <c r="AM41" s="512"/>
      <c r="AN41" s="512"/>
      <c r="AO41" s="510"/>
      <c r="AP41" s="71"/>
      <c r="AQ41" s="71"/>
      <c r="AR41" s="23"/>
    </row>
    <row r="42" spans="1:45" ht="14.4" x14ac:dyDescent="0.3">
      <c r="A42" s="66"/>
      <c r="B42" s="471" t="s">
        <v>139</v>
      </c>
      <c r="C42" s="513"/>
      <c r="D42" s="4"/>
      <c r="E42" s="101"/>
      <c r="F42" s="148">
        <f>F28+F29+F35+F36</f>
        <v>23178854.462399997</v>
      </c>
      <c r="G42" s="148">
        <f t="shared" ref="G42:AI42" si="85">G28+G29+G35+G36</f>
        <v>29381068.828799997</v>
      </c>
      <c r="H42" s="148">
        <f t="shared" si="85"/>
        <v>35635916.908799998</v>
      </c>
      <c r="I42" s="148">
        <f t="shared" si="85"/>
        <v>41621514.854400001</v>
      </c>
      <c r="J42" s="148">
        <f t="shared" si="85"/>
        <v>47793455.049599998</v>
      </c>
      <c r="K42" s="148">
        <f t="shared" si="85"/>
        <v>50052341.663999997</v>
      </c>
      <c r="L42" s="148">
        <f t="shared" si="85"/>
        <v>51980570.553599998</v>
      </c>
      <c r="M42" s="148">
        <f t="shared" si="85"/>
        <v>53005892.097599998</v>
      </c>
      <c r="N42" s="148">
        <f t="shared" si="85"/>
        <v>54040617.633599997</v>
      </c>
      <c r="O42" s="148">
        <f t="shared" si="85"/>
        <v>55053871.516800001</v>
      </c>
      <c r="P42" s="148">
        <f t="shared" si="85"/>
        <v>56059573.564799987</v>
      </c>
      <c r="Q42" s="148">
        <f t="shared" si="85"/>
        <v>57060215.596799999</v>
      </c>
      <c r="R42" s="148">
        <f t="shared" si="85"/>
        <v>57463871.212799989</v>
      </c>
      <c r="S42" s="148">
        <f t="shared" si="85"/>
        <v>57862008.547200002</v>
      </c>
      <c r="T42" s="148">
        <f t="shared" si="85"/>
        <v>58243820.169600002</v>
      </c>
      <c r="U42" s="148">
        <f t="shared" si="85"/>
        <v>58604131.497599989</v>
      </c>
      <c r="V42" s="148">
        <f t="shared" si="85"/>
        <v>58945386.614399999</v>
      </c>
      <c r="W42" s="148">
        <f t="shared" si="85"/>
        <v>59287271.846399993</v>
      </c>
      <c r="X42" s="148">
        <f t="shared" si="85"/>
        <v>59582394.892799996</v>
      </c>
      <c r="Y42" s="148">
        <f t="shared" si="85"/>
        <v>59881852.368000001</v>
      </c>
      <c r="Z42" s="148">
        <f t="shared" si="85"/>
        <v>60152992.847999997</v>
      </c>
      <c r="AA42" s="148">
        <f t="shared" si="85"/>
        <v>60415712.697599992</v>
      </c>
      <c r="AB42" s="148">
        <f t="shared" si="85"/>
        <v>60663519.820799999</v>
      </c>
      <c r="AC42" s="148">
        <f t="shared" si="85"/>
        <v>60901817.932799987</v>
      </c>
      <c r="AD42" s="148">
        <f t="shared" si="85"/>
        <v>61126310.7936</v>
      </c>
      <c r="AE42" s="148">
        <f t="shared" si="85"/>
        <v>61358995.151999995</v>
      </c>
      <c r="AF42" s="148">
        <f t="shared" si="85"/>
        <v>61554674.563199997</v>
      </c>
      <c r="AG42" s="148">
        <f t="shared" si="85"/>
        <v>61763643.67679999</v>
      </c>
      <c r="AH42" s="148">
        <f t="shared" si="85"/>
        <v>61943188.319999993</v>
      </c>
      <c r="AI42" s="148">
        <f t="shared" si="85"/>
        <v>62121663.67679999</v>
      </c>
      <c r="AJ42" s="148">
        <f t="shared" ref="AJ42:AN42" si="86">AJ28+AJ29+AJ35+AJ36</f>
        <v>62296281.964799993</v>
      </c>
      <c r="AK42" s="148">
        <f t="shared" si="86"/>
        <v>62446344.854400001</v>
      </c>
      <c r="AL42" s="148">
        <f t="shared" si="86"/>
        <v>62607176.985599995</v>
      </c>
      <c r="AM42" s="148">
        <f t="shared" si="86"/>
        <v>62756819.798399992</v>
      </c>
      <c r="AN42" s="148">
        <f t="shared" si="86"/>
        <v>62609391.936000004</v>
      </c>
      <c r="AO42" s="468">
        <f t="shared" ref="AO42:AO44" si="87">+SUM(F42:AN42)</f>
        <v>1949453164.9007998</v>
      </c>
      <c r="AP42" s="71"/>
      <c r="AQ42" s="71"/>
      <c r="AR42" s="23"/>
    </row>
    <row r="43" spans="1:45" ht="14.4" x14ac:dyDescent="0.3">
      <c r="A43" s="66"/>
      <c r="B43" s="471" t="s">
        <v>140</v>
      </c>
      <c r="C43" s="513"/>
      <c r="D43" s="4"/>
      <c r="E43" s="101"/>
      <c r="F43" s="148">
        <f>F30+F31+F37+F38</f>
        <v>22640177.88469382</v>
      </c>
      <c r="G43" s="148">
        <f t="shared" ref="G43:AI43" si="88">G30+G31+G37+G38</f>
        <v>29684696.855875775</v>
      </c>
      <c r="H43" s="148">
        <f t="shared" si="88"/>
        <v>35585878.124159999</v>
      </c>
      <c r="I43" s="148">
        <f t="shared" si="88"/>
        <v>41573630.070835195</v>
      </c>
      <c r="J43" s="148">
        <f t="shared" si="88"/>
        <v>47744079.528038397</v>
      </c>
      <c r="K43" s="148">
        <f t="shared" si="88"/>
        <v>50034270.571084797</v>
      </c>
      <c r="L43" s="148">
        <f t="shared" si="88"/>
        <v>51965144.722483195</v>
      </c>
      <c r="M43" s="148">
        <f t="shared" si="88"/>
        <v>52997689.525247999</v>
      </c>
      <c r="N43" s="148">
        <f t="shared" si="88"/>
        <v>54032339.829311997</v>
      </c>
      <c r="O43" s="148">
        <f t="shared" si="88"/>
        <v>55045765.485734388</v>
      </c>
      <c r="P43" s="148">
        <f t="shared" si="88"/>
        <v>56051527.948415987</v>
      </c>
      <c r="Q43" s="148">
        <f t="shared" si="88"/>
        <v>57052210.460544005</v>
      </c>
      <c r="R43" s="148">
        <f t="shared" si="88"/>
        <v>57460641.967871994</v>
      </c>
      <c r="S43" s="148">
        <f t="shared" si="88"/>
        <v>57858823.448524803</v>
      </c>
      <c r="T43" s="148">
        <f t="shared" si="88"/>
        <v>58240765.676620796</v>
      </c>
      <c r="U43" s="148">
        <f t="shared" si="88"/>
        <v>58601249.006976001</v>
      </c>
      <c r="V43" s="148">
        <f t="shared" si="88"/>
        <v>58942656.573465601</v>
      </c>
      <c r="W43" s="148">
        <f t="shared" si="88"/>
        <v>59284536.764543995</v>
      </c>
      <c r="X43" s="148">
        <f t="shared" si="88"/>
        <v>59580033.908428803</v>
      </c>
      <c r="Y43" s="148">
        <f t="shared" si="88"/>
        <v>59879456.708198398</v>
      </c>
      <c r="Z43" s="148">
        <f t="shared" si="88"/>
        <v>60150823.724160001</v>
      </c>
      <c r="AA43" s="148">
        <f t="shared" si="88"/>
        <v>60413610.938803189</v>
      </c>
      <c r="AB43" s="148">
        <f t="shared" si="88"/>
        <v>60661537.363814399</v>
      </c>
      <c r="AC43" s="148">
        <f t="shared" si="88"/>
        <v>60899911.547904</v>
      </c>
      <c r="AD43" s="148">
        <f t="shared" si="88"/>
        <v>61124514.850713603</v>
      </c>
      <c r="AE43" s="148">
        <f t="shared" si="88"/>
        <v>61357133.6771328</v>
      </c>
      <c r="AF43" s="148">
        <f t="shared" si="88"/>
        <v>61553109.12791039</v>
      </c>
      <c r="AG43" s="148">
        <f t="shared" si="88"/>
        <v>61761971.923891202</v>
      </c>
      <c r="AH43" s="148">
        <f t="shared" si="88"/>
        <v>61941751.9628544</v>
      </c>
      <c r="AI43" s="148">
        <f t="shared" si="88"/>
        <v>62120235.873945594</v>
      </c>
      <c r="AJ43" s="148">
        <f t="shared" ref="AJ43:AN43" si="89">AJ30+AJ31+AJ37+AJ38</f>
        <v>62294885.018495992</v>
      </c>
      <c r="AK43" s="148">
        <f t="shared" si="89"/>
        <v>62445144.351283208</v>
      </c>
      <c r="AL43" s="148">
        <f t="shared" si="89"/>
        <v>62605890.328550391</v>
      </c>
      <c r="AM43" s="148">
        <f t="shared" si="89"/>
        <v>62755622.655897588</v>
      </c>
      <c r="AN43" s="148">
        <f t="shared" si="89"/>
        <v>62610571.358899198</v>
      </c>
      <c r="AO43" s="468">
        <f t="shared" si="87"/>
        <v>1948952289.765312</v>
      </c>
      <c r="AP43" s="71"/>
      <c r="AQ43" s="71"/>
      <c r="AR43" s="23"/>
    </row>
    <row r="44" spans="1:45" ht="14.4" x14ac:dyDescent="0.3">
      <c r="A44" s="66"/>
      <c r="B44" s="471" t="s">
        <v>99</v>
      </c>
      <c r="C44" s="513"/>
      <c r="D44" s="4"/>
      <c r="E44" s="101"/>
      <c r="F44" s="148">
        <f>F43-(F28+F29+F35+F36)</f>
        <v>-538676.57770617679</v>
      </c>
      <c r="G44" s="148">
        <f t="shared" ref="G44:AI44" si="90">G43-(G28+G29+G35+G36)</f>
        <v>303628.02707577869</v>
      </c>
      <c r="H44" s="148">
        <f t="shared" si="90"/>
        <v>-50038.78463999927</v>
      </c>
      <c r="I44" s="148">
        <f t="shared" si="90"/>
        <v>-47884.783564805984</v>
      </c>
      <c r="J44" s="148">
        <f t="shared" si="90"/>
        <v>-49375.521561600268</v>
      </c>
      <c r="K44" s="148">
        <f t="shared" si="90"/>
        <v>-18071.092915199697</v>
      </c>
      <c r="L44" s="148">
        <f t="shared" si="90"/>
        <v>-15425.83111680299</v>
      </c>
      <c r="M44" s="148">
        <f t="shared" si="90"/>
        <v>-8202.5723519995809</v>
      </c>
      <c r="N44" s="148">
        <f t="shared" si="90"/>
        <v>-8277.8042879998684</v>
      </c>
      <c r="O44" s="148">
        <f t="shared" si="90"/>
        <v>-8106.0310656130314</v>
      </c>
      <c r="P44" s="148">
        <f t="shared" si="90"/>
        <v>-8045.6163839995861</v>
      </c>
      <c r="Q44" s="148">
        <f t="shared" si="90"/>
        <v>-8005.1362559944391</v>
      </c>
      <c r="R44" s="148">
        <f t="shared" si="90"/>
        <v>-3229.2449279949069</v>
      </c>
      <c r="S44" s="148">
        <f t="shared" si="90"/>
        <v>-3185.098675198853</v>
      </c>
      <c r="T44" s="148">
        <f t="shared" si="90"/>
        <v>-3054.4929792061448</v>
      </c>
      <c r="U44" s="148">
        <f t="shared" si="90"/>
        <v>-2882.4906239882112</v>
      </c>
      <c r="V44" s="148">
        <f t="shared" si="90"/>
        <v>-2730.0409343987703</v>
      </c>
      <c r="W44" s="148">
        <f t="shared" si="90"/>
        <v>-2735.0818559974432</v>
      </c>
      <c r="X44" s="148">
        <f t="shared" si="90"/>
        <v>-2360.9843711927533</v>
      </c>
      <c r="Y44" s="148">
        <f t="shared" si="90"/>
        <v>-2395.6598016023636</v>
      </c>
      <c r="Z44" s="148">
        <f t="shared" si="90"/>
        <v>-2169.1238399967551</v>
      </c>
      <c r="AA44" s="148">
        <f t="shared" si="90"/>
        <v>-2101.7587968036532</v>
      </c>
      <c r="AB44" s="148">
        <f t="shared" si="90"/>
        <v>-1982.4569856002927</v>
      </c>
      <c r="AC44" s="148">
        <f t="shared" si="90"/>
        <v>-1906.3848959878087</v>
      </c>
      <c r="AD44" s="148">
        <f t="shared" si="90"/>
        <v>-1795.9428863972425</v>
      </c>
      <c r="AE44" s="148">
        <f t="shared" si="90"/>
        <v>-1861.474867194891</v>
      </c>
      <c r="AF44" s="148">
        <f t="shared" si="90"/>
        <v>-1565.435289606452</v>
      </c>
      <c r="AG44" s="148">
        <f t="shared" si="90"/>
        <v>-1671.7529087886214</v>
      </c>
      <c r="AH44" s="148">
        <f t="shared" si="90"/>
        <v>-1436.3571455925703</v>
      </c>
      <c r="AI44" s="148">
        <f t="shared" si="90"/>
        <v>-1427.8028543964028</v>
      </c>
      <c r="AJ44" s="148">
        <f t="shared" ref="AJ44:AN44" si="91">AJ43-(AJ28+AJ29+AJ35+AJ36)</f>
        <v>-1396.9463040009141</v>
      </c>
      <c r="AK44" s="148">
        <f t="shared" si="91"/>
        <v>-1200.5031167939305</v>
      </c>
      <c r="AL44" s="148">
        <f t="shared" si="91"/>
        <v>-1286.6570496037602</v>
      </c>
      <c r="AM44" s="148">
        <f t="shared" si="91"/>
        <v>-1197.1425024047494</v>
      </c>
      <c r="AN44" s="148">
        <f t="shared" si="91"/>
        <v>1179.4228991940618</v>
      </c>
      <c r="AO44" s="468">
        <f t="shared" si="87"/>
        <v>-500875.13548796624</v>
      </c>
      <c r="AP44" s="71"/>
      <c r="AQ44" s="71"/>
      <c r="AR44" s="23"/>
      <c r="AS44" s="28"/>
    </row>
    <row r="45" spans="1:45" ht="14.4" x14ac:dyDescent="0.3">
      <c r="A45" s="66"/>
      <c r="B45" s="466"/>
      <c r="C45" s="4"/>
      <c r="D45" s="4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1"/>
      <c r="AF45" s="101"/>
      <c r="AG45" s="101"/>
      <c r="AH45" s="101"/>
      <c r="AI45" s="101"/>
      <c r="AJ45" s="512"/>
      <c r="AK45" s="512"/>
      <c r="AL45" s="512"/>
      <c r="AM45" s="512"/>
      <c r="AN45" s="512"/>
      <c r="AO45" s="510"/>
      <c r="AP45" s="71"/>
      <c r="AQ45" s="71"/>
      <c r="AR45" s="23"/>
      <c r="AS45" s="28"/>
    </row>
    <row r="46" spans="1:45" ht="14.4" x14ac:dyDescent="0.3">
      <c r="A46" s="66"/>
      <c r="B46" s="471" t="s">
        <v>58</v>
      </c>
      <c r="C46" s="513"/>
      <c r="D46" s="4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1"/>
      <c r="AF46" s="101"/>
      <c r="AG46" s="101"/>
      <c r="AH46" s="101"/>
      <c r="AI46" s="101"/>
      <c r="AJ46" s="512"/>
      <c r="AK46" s="512"/>
      <c r="AL46" s="512"/>
      <c r="AM46" s="512"/>
      <c r="AN46" s="512"/>
      <c r="AO46" s="510"/>
      <c r="AP46" s="71"/>
      <c r="AQ46" s="71"/>
      <c r="AR46" s="23"/>
      <c r="AS46" s="28"/>
    </row>
    <row r="47" spans="1:45" ht="14.4" x14ac:dyDescent="0.3">
      <c r="A47" s="66"/>
      <c r="B47" s="471"/>
      <c r="C47" s="4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1"/>
      <c r="AF47" s="101"/>
      <c r="AG47" s="101"/>
      <c r="AH47" s="101"/>
      <c r="AI47" s="101"/>
      <c r="AJ47" s="512"/>
      <c r="AK47" s="512"/>
      <c r="AL47" s="512"/>
      <c r="AM47" s="512"/>
      <c r="AN47" s="512"/>
      <c r="AO47" s="510"/>
      <c r="AP47" s="71"/>
      <c r="AQ47" s="71"/>
      <c r="AR47" s="23"/>
      <c r="AS47" s="28"/>
    </row>
    <row r="48" spans="1:45" ht="14.4" x14ac:dyDescent="0.3">
      <c r="A48" s="66"/>
      <c r="B48" s="471" t="s">
        <v>74</v>
      </c>
      <c r="C48" s="513"/>
      <c r="D48" s="101"/>
      <c r="E48" s="101"/>
      <c r="F48" s="148">
        <f>F50+F51</f>
        <v>-5505672.3399999999</v>
      </c>
      <c r="G48" s="148">
        <f>G50+G51</f>
        <v>-48726036.25</v>
      </c>
      <c r="H48" s="148">
        <f t="shared" ref="H48:AN48" si="92">H50+H51</f>
        <v>-44724540.510000013</v>
      </c>
      <c r="I48" s="148">
        <f t="shared" si="92"/>
        <v>-44243119.199999996</v>
      </c>
      <c r="J48" s="148">
        <f t="shared" si="92"/>
        <v>-44934562.119999997</v>
      </c>
      <c r="K48" s="148">
        <f t="shared" si="92"/>
        <v>-14554383.759999996</v>
      </c>
      <c r="L48" s="148">
        <f t="shared" si="92"/>
        <v>-14585830.98</v>
      </c>
      <c r="M48" s="148">
        <f t="shared" si="92"/>
        <v>-8292899.1599999983</v>
      </c>
      <c r="N48" s="148">
        <f t="shared" si="92"/>
        <v>-8206486.6199999992</v>
      </c>
      <c r="O48" s="148">
        <f t="shared" si="92"/>
        <v>-8117050.9000000004</v>
      </c>
      <c r="P48" s="148">
        <f t="shared" si="92"/>
        <v>-8031918.790000001</v>
      </c>
      <c r="Q48" s="148">
        <f t="shared" si="92"/>
        <v>-7938361.6199999992</v>
      </c>
      <c r="R48" s="148">
        <f t="shared" si="92"/>
        <v>-3477782.3499999996</v>
      </c>
      <c r="S48" s="148">
        <f t="shared" si="92"/>
        <v>-3330833.8000000007</v>
      </c>
      <c r="T48" s="148">
        <f t="shared" si="92"/>
        <v>-3193681.8199999994</v>
      </c>
      <c r="U48" s="148">
        <f t="shared" si="92"/>
        <v>-3056529.8399999994</v>
      </c>
      <c r="V48" s="148">
        <f t="shared" si="92"/>
        <v>-2919377.86</v>
      </c>
      <c r="W48" s="148">
        <f t="shared" si="92"/>
        <v>-2792022.4499999993</v>
      </c>
      <c r="X48" s="148">
        <f t="shared" si="92"/>
        <v>-2673183.1799999997</v>
      </c>
      <c r="Y48" s="148">
        <f t="shared" si="92"/>
        <v>-2547108.1999999993</v>
      </c>
      <c r="Z48" s="148">
        <f t="shared" si="92"/>
        <v>-2429549.36</v>
      </c>
      <c r="AA48" s="148">
        <f t="shared" si="92"/>
        <v>-2321787.09</v>
      </c>
      <c r="AB48" s="148">
        <f t="shared" si="92"/>
        <v>-2222540.96</v>
      </c>
      <c r="AC48" s="148">
        <f t="shared" si="92"/>
        <v>-2116059.12</v>
      </c>
      <c r="AD48" s="148">
        <f t="shared" si="92"/>
        <v>-2018093.4199999997</v>
      </c>
      <c r="AE48" s="148">
        <f t="shared" si="92"/>
        <v>-1920127.7200000002</v>
      </c>
      <c r="AF48" s="148">
        <f t="shared" si="92"/>
        <v>-1831958.5900000003</v>
      </c>
      <c r="AG48" s="148">
        <f t="shared" si="92"/>
        <v>-1743789.4600000002</v>
      </c>
      <c r="AH48" s="148">
        <f t="shared" si="92"/>
        <v>-1655620.3300000003</v>
      </c>
      <c r="AI48" s="148">
        <f t="shared" si="92"/>
        <v>-1577247.77</v>
      </c>
      <c r="AJ48" s="148">
        <f t="shared" si="92"/>
        <v>-1507391.35</v>
      </c>
      <c r="AK48" s="148">
        <f t="shared" si="92"/>
        <v>-1430299.2200000002</v>
      </c>
      <c r="AL48" s="148">
        <f t="shared" si="92"/>
        <v>-1361723.23</v>
      </c>
      <c r="AM48" s="148">
        <f t="shared" si="92"/>
        <v>-1322536.9500000002</v>
      </c>
      <c r="AN48" s="148">
        <f t="shared" si="92"/>
        <v>1302943.81</v>
      </c>
      <c r="AO48" s="468">
        <f t="shared" ref="AO48:AO76" si="93">+SUM(F48:AN48)</f>
        <v>-306007162.50999999</v>
      </c>
      <c r="AP48" s="71"/>
      <c r="AQ48" s="71"/>
      <c r="AR48" s="23"/>
      <c r="AS48" s="28"/>
    </row>
    <row r="49" spans="1:50" ht="14.4" x14ac:dyDescent="0.3">
      <c r="A49" s="66"/>
      <c r="B49" s="471"/>
      <c r="C49" s="4"/>
      <c r="D49" s="4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512"/>
      <c r="AK49" s="512"/>
      <c r="AL49" s="512"/>
      <c r="AM49" s="512"/>
      <c r="AN49" s="512"/>
      <c r="AO49" s="510"/>
      <c r="AP49" s="71"/>
      <c r="AQ49" s="71"/>
      <c r="AR49" s="23"/>
      <c r="AS49" s="28"/>
    </row>
    <row r="50" spans="1:50" ht="14.4" x14ac:dyDescent="0.3">
      <c r="A50" s="66"/>
      <c r="B50" s="466" t="s">
        <v>59</v>
      </c>
      <c r="C50" s="4"/>
      <c r="D50" s="4"/>
      <c r="E50" s="101"/>
      <c r="F50" s="148">
        <f>-Cronograma!C44</f>
        <v>-2787413.2199999997</v>
      </c>
      <c r="G50" s="148">
        <f>-Cronograma!D44</f>
        <v>-8692409.1699999999</v>
      </c>
      <c r="H50" s="148">
        <f>-Cronograma!E44</f>
        <v>-3817518.2700000005</v>
      </c>
      <c r="I50" s="148">
        <f>-Cronograma!F44</f>
        <v>-2509663.86</v>
      </c>
      <c r="J50" s="148">
        <f>-Cronograma!G44</f>
        <v>-2420387.2800000003</v>
      </c>
      <c r="K50" s="148">
        <f>-Cronograma!H44</f>
        <v>-2331110.6999999997</v>
      </c>
      <c r="L50" s="148">
        <f>-Cronograma!I44</f>
        <v>-2246793.9300000006</v>
      </c>
      <c r="M50" s="148">
        <f>-Cronograma!J44</f>
        <v>-2157517.3499999996</v>
      </c>
      <c r="N50" s="148">
        <f>-Cronograma!K44</f>
        <v>-2077504.19</v>
      </c>
      <c r="O50" s="148">
        <f>-Cronograma!L44</f>
        <v>-1993843.6199999999</v>
      </c>
      <c r="P50" s="148">
        <f>-Cronograma!M44</f>
        <v>-1914486.6599999997</v>
      </c>
      <c r="Q50" s="148">
        <f>-Cronograma!N44</f>
        <v>-1835129.7000000002</v>
      </c>
      <c r="R50" s="148">
        <f>-Cronograma!O44</f>
        <v>-1760732.5499999998</v>
      </c>
      <c r="S50" s="148">
        <f>-Cronograma!P44</f>
        <v>-1686335.4000000001</v>
      </c>
      <c r="T50" s="148">
        <f>-Cronograma!Q44</f>
        <v>-1616898.0599999998</v>
      </c>
      <c r="U50" s="148">
        <f>-Cronograma!R44</f>
        <v>-1547460.7199999997</v>
      </c>
      <c r="V50" s="148">
        <f>-Cronograma!S44</f>
        <v>-1478023.38</v>
      </c>
      <c r="W50" s="148">
        <f>-Cronograma!T44</f>
        <v>-1413545.8499999999</v>
      </c>
      <c r="X50" s="148">
        <f>-Cronograma!U44</f>
        <v>-1353371.93</v>
      </c>
      <c r="Y50" s="148">
        <f>-Cronograma!V44</f>
        <v>-1289550.5999999999</v>
      </c>
      <c r="Z50" s="148">
        <f>-Cronograma!W44</f>
        <v>-1230032.8799999999</v>
      </c>
      <c r="AA50" s="148">
        <f>-Cronograma!X44</f>
        <v>-1175474.9699999997</v>
      </c>
      <c r="AB50" s="148">
        <f>-Cronograma!Y44</f>
        <v>-1125220.67</v>
      </c>
      <c r="AC50" s="148">
        <f>-Cronograma!Z44</f>
        <v>-1071318.96</v>
      </c>
      <c r="AD50" s="148">
        <f>-Cronograma!AA44</f>
        <v>-1021720.8599999999</v>
      </c>
      <c r="AE50" s="148">
        <f>-Cronograma!AB44</f>
        <v>-972122.76000000013</v>
      </c>
      <c r="AF50" s="148">
        <f>-Cronograma!AC44</f>
        <v>-927484.47000000009</v>
      </c>
      <c r="AG50" s="148">
        <f>-Cronograma!AD44</f>
        <v>-882846.17999999993</v>
      </c>
      <c r="AH50" s="148">
        <f>-Cronograma!AE44</f>
        <v>-838207.89000000013</v>
      </c>
      <c r="AI50" s="148">
        <f>-Cronograma!AF44</f>
        <v>-798529.40999999992</v>
      </c>
      <c r="AJ50" s="148">
        <f>-Cronograma!AG44</f>
        <v>-763154.53999999992</v>
      </c>
      <c r="AK50" s="148">
        <f>-Cronograma!AH44</f>
        <v>-724132.26000000013</v>
      </c>
      <c r="AL50" s="148">
        <f>-Cronograma!AI44</f>
        <v>-689413.59000000008</v>
      </c>
      <c r="AM50" s="148">
        <f>-Cronograma!AJ44</f>
        <v>-669574.35000000009</v>
      </c>
      <c r="AN50" s="148">
        <f>-Cronograma!AK44</f>
        <v>659654.7300000001</v>
      </c>
      <c r="AO50" s="468">
        <f t="shared" si="93"/>
        <v>-59159275.500000007</v>
      </c>
      <c r="AP50" s="71"/>
      <c r="AQ50" s="71"/>
      <c r="AR50" s="23"/>
      <c r="AS50" s="28"/>
    </row>
    <row r="51" spans="1:50" ht="14.4" x14ac:dyDescent="0.3">
      <c r="A51" s="66"/>
      <c r="B51" s="466" t="s">
        <v>60</v>
      </c>
      <c r="C51" s="4"/>
      <c r="D51" s="4"/>
      <c r="E51" s="101"/>
      <c r="F51" s="148">
        <f>-Cronograma!C45</f>
        <v>-2718259.1200000006</v>
      </c>
      <c r="G51" s="148">
        <f>-Cronograma!D45</f>
        <v>-40033627.079999998</v>
      </c>
      <c r="H51" s="148">
        <f>-Cronograma!E45</f>
        <v>-40907022.24000001</v>
      </c>
      <c r="I51" s="148">
        <f>-Cronograma!F45</f>
        <v>-41733455.339999996</v>
      </c>
      <c r="J51" s="148">
        <f>-Cronograma!G45</f>
        <v>-42514174.839999996</v>
      </c>
      <c r="K51" s="148">
        <f>-Cronograma!H45</f>
        <v>-12223273.059999997</v>
      </c>
      <c r="L51" s="148">
        <f>-Cronograma!I45</f>
        <v>-12339037.050000001</v>
      </c>
      <c r="M51" s="148">
        <f>-Cronograma!J45</f>
        <v>-6135381.8099999987</v>
      </c>
      <c r="N51" s="148">
        <f>-Cronograma!K45</f>
        <v>-6128982.4299999997</v>
      </c>
      <c r="O51" s="148">
        <f>-Cronograma!L45</f>
        <v>-6123207.2800000003</v>
      </c>
      <c r="P51" s="148">
        <f>-Cronograma!M45</f>
        <v>-6117432.1300000008</v>
      </c>
      <c r="Q51" s="148">
        <f>-Cronograma!N45</f>
        <v>-6103231.919999999</v>
      </c>
      <c r="R51" s="148">
        <f>-Cronograma!O45</f>
        <v>-1717049.7999999998</v>
      </c>
      <c r="S51" s="148">
        <f>-Cronograma!P45</f>
        <v>-1644498.4000000004</v>
      </c>
      <c r="T51" s="148">
        <f>-Cronograma!Q45</f>
        <v>-1576783.7599999998</v>
      </c>
      <c r="U51" s="148">
        <f>-Cronograma!R45</f>
        <v>-1509069.1199999996</v>
      </c>
      <c r="V51" s="148">
        <f>-Cronograma!S45</f>
        <v>-1441354.48</v>
      </c>
      <c r="W51" s="148">
        <f>-Cronograma!T45</f>
        <v>-1378476.5999999996</v>
      </c>
      <c r="X51" s="148">
        <f>-Cronograma!U45</f>
        <v>-1319811.25</v>
      </c>
      <c r="Y51" s="148">
        <f>-Cronograma!V45</f>
        <v>-1257557.5999999996</v>
      </c>
      <c r="Z51" s="148">
        <f>-Cronograma!W45</f>
        <v>-1199516.48</v>
      </c>
      <c r="AA51" s="148">
        <f>-Cronograma!X45</f>
        <v>-1146312.1199999999</v>
      </c>
      <c r="AB51" s="148">
        <f>-Cronograma!Y45</f>
        <v>-1097320.2899999998</v>
      </c>
      <c r="AC51" s="148">
        <f>-Cronograma!Z45</f>
        <v>-1044740.1599999999</v>
      </c>
      <c r="AD51" s="148">
        <f>-Cronograma!AA45</f>
        <v>-996372.55999999982</v>
      </c>
      <c r="AE51" s="148">
        <f>-Cronograma!AB45</f>
        <v>-948004.96</v>
      </c>
      <c r="AF51" s="148">
        <f>-Cronograma!AC45</f>
        <v>-904474.12000000011</v>
      </c>
      <c r="AG51" s="148">
        <f>-Cronograma!AD45</f>
        <v>-860943.28000000026</v>
      </c>
      <c r="AH51" s="148">
        <f>-Cronograma!AE45</f>
        <v>-817412.44000000018</v>
      </c>
      <c r="AI51" s="148">
        <f>-Cronograma!AF45</f>
        <v>-778718.36</v>
      </c>
      <c r="AJ51" s="148">
        <f>-Cronograma!AG45</f>
        <v>-744236.81000000017</v>
      </c>
      <c r="AK51" s="148">
        <f>-Cronograma!AH45</f>
        <v>-706166.96</v>
      </c>
      <c r="AL51" s="148">
        <f>-Cronograma!AI45</f>
        <v>-672309.64</v>
      </c>
      <c r="AM51" s="148">
        <f>-Cronograma!AJ45</f>
        <v>-652962.60000000009</v>
      </c>
      <c r="AN51" s="148">
        <f>-Cronograma!AK45</f>
        <v>643289.07999999996</v>
      </c>
      <c r="AO51" s="468">
        <f t="shared" si="93"/>
        <v>-246847887.00999999</v>
      </c>
      <c r="AP51" s="71"/>
      <c r="AQ51" s="71"/>
      <c r="AR51" s="23"/>
      <c r="AS51" s="28"/>
    </row>
    <row r="52" spans="1:50" ht="14.4" x14ac:dyDescent="0.3">
      <c r="A52" s="66"/>
      <c r="B52" s="471"/>
      <c r="C52" s="4"/>
      <c r="D52" s="4"/>
      <c r="E52" s="101"/>
      <c r="F52" s="514"/>
      <c r="G52" s="514"/>
      <c r="H52" s="514"/>
      <c r="I52" s="514"/>
      <c r="J52" s="514"/>
      <c r="K52" s="514"/>
      <c r="L52" s="514"/>
      <c r="M52" s="514"/>
      <c r="N52" s="514"/>
      <c r="O52" s="514"/>
      <c r="P52" s="514"/>
      <c r="Q52" s="514"/>
      <c r="R52" s="514"/>
      <c r="S52" s="514"/>
      <c r="T52" s="514"/>
      <c r="U52" s="514"/>
      <c r="V52" s="514"/>
      <c r="W52" s="514"/>
      <c r="X52" s="514"/>
      <c r="Y52" s="514"/>
      <c r="Z52" s="514"/>
      <c r="AA52" s="514"/>
      <c r="AB52" s="514"/>
      <c r="AC52" s="514"/>
      <c r="AD52" s="514"/>
      <c r="AE52" s="514"/>
      <c r="AF52" s="514"/>
      <c r="AG52" s="514"/>
      <c r="AH52" s="514"/>
      <c r="AI52" s="514"/>
      <c r="AJ52" s="514"/>
      <c r="AK52" s="514"/>
      <c r="AL52" s="514"/>
      <c r="AM52" s="514"/>
      <c r="AN52" s="514"/>
      <c r="AO52" s="510"/>
      <c r="AP52" s="71"/>
      <c r="AQ52" s="71"/>
      <c r="AR52" s="23"/>
      <c r="AS52" s="28"/>
    </row>
    <row r="53" spans="1:50" ht="14.4" x14ac:dyDescent="0.3">
      <c r="A53" s="66"/>
      <c r="B53" s="471" t="s">
        <v>75</v>
      </c>
      <c r="C53" s="513"/>
      <c r="D53" s="4"/>
      <c r="E53" s="101"/>
      <c r="F53" s="148">
        <f t="shared" ref="F53:AN53" si="94">SUM(F55:F67)+F69+F76</f>
        <v>-13082228.973065957</v>
      </c>
      <c r="G53" s="148">
        <f t="shared" si="94"/>
        <v>-14743163.625139661</v>
      </c>
      <c r="H53" s="148">
        <f t="shared" si="94"/>
        <v>-16699675.207905024</v>
      </c>
      <c r="I53" s="148">
        <f t="shared" si="94"/>
        <v>-18812997.83297069</v>
      </c>
      <c r="J53" s="148">
        <f t="shared" si="94"/>
        <v>-20368173.564362563</v>
      </c>
      <c r="K53" s="148">
        <f t="shared" si="94"/>
        <v>-21957396.792474598</v>
      </c>
      <c r="L53" s="148">
        <f t="shared" si="94"/>
        <v>-23248218.505083952</v>
      </c>
      <c r="M53" s="148">
        <f t="shared" si="94"/>
        <v>-23994785.852122385</v>
      </c>
      <c r="N53" s="148">
        <f t="shared" si="94"/>
        <v>-24934670.096764773</v>
      </c>
      <c r="O53" s="148">
        <f t="shared" si="94"/>
        <v>-26674412.752657592</v>
      </c>
      <c r="P53" s="148">
        <f t="shared" si="94"/>
        <v>-26411291.782013685</v>
      </c>
      <c r="Q53" s="148">
        <f t="shared" si="94"/>
        <v>-26594472.246979397</v>
      </c>
      <c r="R53" s="148">
        <f t="shared" si="94"/>
        <v>-26664186.839639973</v>
      </c>
      <c r="S53" s="148">
        <f t="shared" si="94"/>
        <v>-26967058.377500109</v>
      </c>
      <c r="T53" s="148">
        <f t="shared" si="94"/>
        <v>-27270168.634962089</v>
      </c>
      <c r="U53" s="148">
        <f t="shared" si="94"/>
        <v>-26829261.199459188</v>
      </c>
      <c r="V53" s="148">
        <f t="shared" si="94"/>
        <v>-27998306.82608325</v>
      </c>
      <c r="W53" s="148">
        <f t="shared" si="94"/>
        <v>-27798121.135002825</v>
      </c>
      <c r="X53" s="148">
        <f t="shared" si="94"/>
        <v>-28253868.392820481</v>
      </c>
      <c r="Y53" s="148">
        <f t="shared" si="94"/>
        <v>-28531841.673667077</v>
      </c>
      <c r="Z53" s="148">
        <f t="shared" si="94"/>
        <v>-28456514.523721587</v>
      </c>
      <c r="AA53" s="148">
        <f t="shared" si="94"/>
        <v>-28731533.27335149</v>
      </c>
      <c r="AB53" s="148">
        <f t="shared" si="94"/>
        <v>-28759751.163848285</v>
      </c>
      <c r="AC53" s="148">
        <f t="shared" si="94"/>
        <v>-29035067.977229677</v>
      </c>
      <c r="AD53" s="148">
        <f t="shared" si="94"/>
        <v>-29253459.978319973</v>
      </c>
      <c r="AE53" s="148">
        <f t="shared" si="94"/>
        <v>-29321971.22347356</v>
      </c>
      <c r="AF53" s="148">
        <f t="shared" si="94"/>
        <v>-29677779.993808083</v>
      </c>
      <c r="AG53" s="148">
        <f t="shared" si="94"/>
        <v>-29595171.980458871</v>
      </c>
      <c r="AH53" s="148">
        <f t="shared" si="94"/>
        <v>-30197161.274178106</v>
      </c>
      <c r="AI53" s="148">
        <f t="shared" si="94"/>
        <v>-30481144.019230511</v>
      </c>
      <c r="AJ53" s="148">
        <f t="shared" si="94"/>
        <v>-30767435.722832765</v>
      </c>
      <c r="AK53" s="148">
        <f t="shared" si="94"/>
        <v>-31053660.92390158</v>
      </c>
      <c r="AL53" s="148">
        <f t="shared" si="94"/>
        <v>-31344603.928201757</v>
      </c>
      <c r="AM53" s="148">
        <f t="shared" si="94"/>
        <v>-31574219.802195039</v>
      </c>
      <c r="AN53" s="148">
        <f t="shared" si="94"/>
        <v>-31799072.127418779</v>
      </c>
      <c r="AO53" s="468">
        <f t="shared" si="93"/>
        <v>-927882848.22284544</v>
      </c>
      <c r="AP53" s="71"/>
      <c r="AQ53" s="71"/>
      <c r="AR53" s="23"/>
      <c r="AS53" s="28"/>
      <c r="AU53" s="23"/>
    </row>
    <row r="54" spans="1:50" ht="14.4" x14ac:dyDescent="0.3">
      <c r="A54" s="66"/>
      <c r="B54" s="471"/>
      <c r="C54" s="515"/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  <c r="AB54" s="101"/>
      <c r="AC54" s="101"/>
      <c r="AD54" s="101"/>
      <c r="AE54" s="101"/>
      <c r="AF54" s="101"/>
      <c r="AG54" s="101"/>
      <c r="AH54" s="101"/>
      <c r="AI54" s="101"/>
      <c r="AJ54" s="512"/>
      <c r="AK54" s="512"/>
      <c r="AL54" s="512"/>
      <c r="AM54" s="512"/>
      <c r="AN54" s="512"/>
      <c r="AO54" s="516"/>
      <c r="AP54" s="71"/>
      <c r="AQ54" s="71"/>
      <c r="AR54" s="23"/>
      <c r="AS54" s="28"/>
    </row>
    <row r="55" spans="1:50" ht="14.4" x14ac:dyDescent="0.3">
      <c r="A55" s="66"/>
      <c r="B55" s="466" t="s">
        <v>88</v>
      </c>
      <c r="C55" s="513"/>
      <c r="D55" s="4"/>
      <c r="E55" s="101"/>
      <c r="F55" s="148">
        <f>-'Mão de Obra'!D17</f>
        <v>-3834602.12</v>
      </c>
      <c r="G55" s="148">
        <f>-'Mão de Obra'!E17</f>
        <v>-4219075.8</v>
      </c>
      <c r="H55" s="148">
        <f>-'Mão de Obra'!F17</f>
        <v>-4339617.83</v>
      </c>
      <c r="I55" s="148">
        <f>-'Mão de Obra'!G17</f>
        <v>-4317171.3100000005</v>
      </c>
      <c r="J55" s="148">
        <f>-'Mão de Obra'!H17</f>
        <v>-4391676.6100000003</v>
      </c>
      <c r="K55" s="148">
        <f>-'Mão de Obra'!I17</f>
        <v>-4543942.91</v>
      </c>
      <c r="L55" s="148">
        <f>-'Mão de Obra'!J17</f>
        <v>-4593489.7300000004</v>
      </c>
      <c r="M55" s="148">
        <f>-'Mão de Obra'!K17</f>
        <v>-4841414.3100000005</v>
      </c>
      <c r="N55" s="148">
        <f>-'Mão de Obra'!L17</f>
        <v>-4957690.1500000004</v>
      </c>
      <c r="O55" s="148">
        <f>-'Mão de Obra'!M17</f>
        <v>-4957690.1500000004</v>
      </c>
      <c r="P55" s="148">
        <f>-'Mão de Obra'!N17</f>
        <v>-4957690.1500000004</v>
      </c>
      <c r="Q55" s="148">
        <f>-'Mão de Obra'!O17</f>
        <v>-4957690.1500000004</v>
      </c>
      <c r="R55" s="148">
        <f>-'Mão de Obra'!P17</f>
        <v>-5067564.4800000004</v>
      </c>
      <c r="S55" s="148">
        <f>-'Mão de Obra'!Q17</f>
        <v>-5067564.4800000004</v>
      </c>
      <c r="T55" s="148">
        <f>-'Mão de Obra'!R17</f>
        <v>-5067564.4800000004</v>
      </c>
      <c r="U55" s="148">
        <f>-'Mão de Obra'!S17</f>
        <v>-5067564.4800000004</v>
      </c>
      <c r="V55" s="148">
        <f>-'Mão de Obra'!T17</f>
        <v>-5858570.3700000001</v>
      </c>
      <c r="W55" s="148">
        <f>-'Mão de Obra'!U17</f>
        <v>-5858570.3700000001</v>
      </c>
      <c r="X55" s="148">
        <f>-'Mão de Obra'!V17</f>
        <v>-6017033.7199999997</v>
      </c>
      <c r="Y55" s="148">
        <f>-'Mão de Obra'!W17</f>
        <v>-6017033.7199999997</v>
      </c>
      <c r="Z55" s="148">
        <f>-'Mão de Obra'!X17</f>
        <v>-6017033.7199999997</v>
      </c>
      <c r="AA55" s="148">
        <f>-'Mão de Obra'!Y17</f>
        <v>-6017033.7199999997</v>
      </c>
      <c r="AB55" s="148">
        <f>-'Mão de Obra'!Z17</f>
        <v>-6110916.9800000004</v>
      </c>
      <c r="AC55" s="148">
        <f>-'Mão de Obra'!AA17</f>
        <v>-6110916.9800000004</v>
      </c>
      <c r="AD55" s="148">
        <f>-'Mão de Obra'!AB17</f>
        <v>-6110916.9800000004</v>
      </c>
      <c r="AE55" s="148">
        <f>-'Mão de Obra'!AC17</f>
        <v>-6110916.9800000004</v>
      </c>
      <c r="AF55" s="148">
        <f>-'Mão de Obra'!AD17</f>
        <v>-6110916.9800000004</v>
      </c>
      <c r="AG55" s="148">
        <f>-'Mão de Obra'!AE17</f>
        <v>-6110916.9800000004</v>
      </c>
      <c r="AH55" s="148">
        <f>-'Mão de Obra'!AF17</f>
        <v>-6392234.6199999992</v>
      </c>
      <c r="AI55" s="148">
        <f>-'Mão de Obra'!AG17</f>
        <v>-6392234.6199999992</v>
      </c>
      <c r="AJ55" s="148">
        <f>-'Mão de Obra'!AH17</f>
        <v>-6392234.6199999992</v>
      </c>
      <c r="AK55" s="148">
        <f>-'Mão de Obra'!AI17</f>
        <v>-6392234.6199999992</v>
      </c>
      <c r="AL55" s="148">
        <f>-'Mão de Obra'!AJ17</f>
        <v>-6392234.6199999992</v>
      </c>
      <c r="AM55" s="148">
        <f>-'Mão de Obra'!AK17</f>
        <v>-6392234.6199999992</v>
      </c>
      <c r="AN55" s="148">
        <f>-'Mão de Obra'!AL17</f>
        <v>-6392234.6199999992</v>
      </c>
      <c r="AO55" s="468">
        <f t="shared" si="93"/>
        <v>-192378428.98000005</v>
      </c>
      <c r="AP55" s="71"/>
      <c r="AQ55" s="71"/>
      <c r="AR55" s="23"/>
      <c r="AS55" s="28"/>
      <c r="AU55" s="23"/>
      <c r="AW55" s="23"/>
      <c r="AX55" s="23"/>
    </row>
    <row r="56" spans="1:50" ht="14.4" x14ac:dyDescent="0.3">
      <c r="A56" s="66"/>
      <c r="B56" s="466" t="s">
        <v>79</v>
      </c>
      <c r="C56" s="513"/>
      <c r="D56" s="4"/>
      <c r="E56" s="101"/>
      <c r="F56" s="148">
        <f>-'Manut Rede'!D63</f>
        <v>-1129195.6193772724</v>
      </c>
      <c r="G56" s="148">
        <f>-'Manut Rede'!E63</f>
        <v>-1277418.4209978471</v>
      </c>
      <c r="H56" s="148">
        <f>-'Manut Rede'!F63</f>
        <v>-2159277.4336276217</v>
      </c>
      <c r="I56" s="148">
        <f>-'Manut Rede'!G63</f>
        <v>-2710227.0722951214</v>
      </c>
      <c r="J56" s="148">
        <f>-'Manut Rede'!H63</f>
        <v>-3301014.5995351803</v>
      </c>
      <c r="K56" s="148">
        <f>-'Manut Rede'!I63</f>
        <v>-3549880.55880713</v>
      </c>
      <c r="L56" s="148">
        <f>-'Manut Rede'!J63</f>
        <v>-3811253.288730335</v>
      </c>
      <c r="M56" s="148">
        <f>-'Manut Rede'!K63</f>
        <v>-4002490.9577160431</v>
      </c>
      <c r="N56" s="148">
        <f>-'Manut Rede'!L63</f>
        <v>-4201257.5525459908</v>
      </c>
      <c r="O56" s="148">
        <f>-'Manut Rede'!M63</f>
        <v>-4406800.6782614635</v>
      </c>
      <c r="P56" s="148">
        <f>-'Manut Rede'!N63</f>
        <v>-4619415.7839006875</v>
      </c>
      <c r="Q56" s="148">
        <f>-'Manut Rede'!O63</f>
        <v>-4839757.7914307266</v>
      </c>
      <c r="R56" s="148">
        <f>-'Manut Rede'!P63</f>
        <v>-5000829.4463471211</v>
      </c>
      <c r="S56" s="148">
        <f>-'Manut Rede'!Q63</f>
        <v>-5165016.5619795928</v>
      </c>
      <c r="T56" s="148">
        <f>-'Manut Rede'!R63</f>
        <v>-5332263.7536311019</v>
      </c>
      <c r="U56" s="148">
        <f>-'Manut Rede'!S63</f>
        <v>-5502579.0014831331</v>
      </c>
      <c r="V56" s="148">
        <f>-'Manut Rede'!T63</f>
        <v>-5675677.0263194246</v>
      </c>
      <c r="W56" s="148">
        <f>-'Manut Rede'!U63</f>
        <v>-5851908.2937834356</v>
      </c>
      <c r="X56" s="148">
        <f>-'Manut Rede'!V63</f>
        <v>-6030689.956593547</v>
      </c>
      <c r="Y56" s="148">
        <f>-'Manut Rede'!W63</f>
        <v>-6213105.2991157323</v>
      </c>
      <c r="Z56" s="148">
        <f>-'Manut Rede'!X63</f>
        <v>-6398087.8697595373</v>
      </c>
      <c r="AA56" s="148">
        <f>-'Manut Rede'!Y63</f>
        <v>-6586203.6827559015</v>
      </c>
      <c r="AB56" s="148">
        <f>-'Manut Rede'!Z63</f>
        <v>-6777216.7207017923</v>
      </c>
      <c r="AC56" s="148">
        <f>-'Manut Rede'!AA63</f>
        <v>-6971411.6773864115</v>
      </c>
      <c r="AD56" s="148">
        <f>-'Manut Rede'!AB63</f>
        <v>-7168472.7199492687</v>
      </c>
      <c r="AE56" s="148">
        <f>-'Manut Rede'!AC63</f>
        <v>-7369463.4169151634</v>
      </c>
      <c r="AF56" s="148">
        <f>-'Manut Rede'!AD63</f>
        <v>-7572788.6714730971</v>
      </c>
      <c r="AG56" s="148">
        <f>-'Manut Rede'!AE63</f>
        <v>-7779778.4870091053</v>
      </c>
      <c r="AH56" s="148">
        <f>-'Manut Rede'!AF63</f>
        <v>-7989791.5184839265</v>
      </c>
      <c r="AI56" s="148">
        <f>-'Manut Rede'!AG63</f>
        <v>-8203299.6321225585</v>
      </c>
      <c r="AJ56" s="148">
        <f>-'Manut Rede'!AH63</f>
        <v>-8420206.4631002508</v>
      </c>
      <c r="AK56" s="148">
        <f>-'Manut Rede'!AI63</f>
        <v>-8640354.1388069671</v>
      </c>
      <c r="AL56" s="148">
        <f>-'Manut Rede'!AJ63</f>
        <v>-8864085.0698777921</v>
      </c>
      <c r="AM56" s="148">
        <f>-'Manut Rede'!AK63</f>
        <v>-9043203.8702285048</v>
      </c>
      <c r="AN56" s="148">
        <f>-'Manut Rede'!AL63</f>
        <v>-9264549.4649123307</v>
      </c>
      <c r="AO56" s="468">
        <f t="shared" si="93"/>
        <v>-201828972.49996114</v>
      </c>
      <c r="AP56" s="71"/>
      <c r="AQ56" s="71"/>
      <c r="AR56" s="23"/>
      <c r="AS56" s="28"/>
      <c r="AU56" s="23"/>
      <c r="AW56" s="23"/>
      <c r="AX56" s="23"/>
    </row>
    <row r="57" spans="1:50" ht="14.4" x14ac:dyDescent="0.3">
      <c r="A57" s="66"/>
      <c r="B57" s="466" t="s">
        <v>78</v>
      </c>
      <c r="C57" s="513"/>
      <c r="D57" s="4"/>
      <c r="E57" s="101"/>
      <c r="F57" s="148">
        <f>-Veículos!D16</f>
        <v>-335617.06676505599</v>
      </c>
      <c r="G57" s="148">
        <f>-Veículos!E16</f>
        <v>-335617.06676505599</v>
      </c>
      <c r="H57" s="148">
        <f>-Veículos!F16</f>
        <v>-335617.06676505599</v>
      </c>
      <c r="I57" s="148">
        <f>-Veículos!G16</f>
        <v>-335617.06676505599</v>
      </c>
      <c r="J57" s="148">
        <f>-Veículos!H16</f>
        <v>-342527.45527816797</v>
      </c>
      <c r="K57" s="148">
        <f>-Veículos!I16</f>
        <v>-378089.83790985594</v>
      </c>
      <c r="L57" s="148">
        <f>-Veículos!J16</f>
        <v>-378089.83790985594</v>
      </c>
      <c r="M57" s="148">
        <f>-Veículos!K16</f>
        <v>-378089.83790985594</v>
      </c>
      <c r="N57" s="148">
        <f>-Veículos!L16</f>
        <v>-378089.83790985594</v>
      </c>
      <c r="O57" s="148">
        <f>-Veículos!M16</f>
        <v>-420562.609054656</v>
      </c>
      <c r="P57" s="148">
        <f>-Veículos!N16</f>
        <v>-420562.609054656</v>
      </c>
      <c r="Q57" s="148">
        <f>-Veículos!O16</f>
        <v>-420562.609054656</v>
      </c>
      <c r="R57" s="148">
        <f>-Veículos!P16</f>
        <v>-420562.609054656</v>
      </c>
      <c r="S57" s="148">
        <f>-Veículos!Q16</f>
        <v>-420562.609054656</v>
      </c>
      <c r="T57" s="148">
        <f>-Veículos!R16</f>
        <v>-420562.609054656</v>
      </c>
      <c r="U57" s="148">
        <f>-Veículos!S16</f>
        <v>-420562.609054656</v>
      </c>
      <c r="V57" s="148">
        <f>-Veículos!T16</f>
        <v>-420562.609054656</v>
      </c>
      <c r="W57" s="148">
        <f>-Veículos!U16</f>
        <v>-486590.56972257601</v>
      </c>
      <c r="X57" s="148">
        <f>-Veículos!V16</f>
        <v>-486590.56972257601</v>
      </c>
      <c r="Y57" s="148">
        <f>-Veículos!W16</f>
        <v>-486590.56972257601</v>
      </c>
      <c r="Z57" s="148">
        <f>-Veículos!X16</f>
        <v>-486590.56972257601</v>
      </c>
      <c r="AA57" s="148">
        <f>-Veículos!Y16</f>
        <v>-486590.56972257601</v>
      </c>
      <c r="AB57" s="148">
        <f>-Veículos!Z16</f>
        <v>-486590.56972257601</v>
      </c>
      <c r="AC57" s="148">
        <f>-Veículos!AA16</f>
        <v>-486590.56972257601</v>
      </c>
      <c r="AD57" s="148">
        <f>-Veículos!AB16</f>
        <v>-486590.56972257601</v>
      </c>
      <c r="AE57" s="148">
        <f>-Veículos!AC16</f>
        <v>-486590.56972257601</v>
      </c>
      <c r="AF57" s="148">
        <f>-Veículos!AD16</f>
        <v>-493500.95823568798</v>
      </c>
      <c r="AG57" s="148">
        <f>-Veículos!AE16</f>
        <v>-493500.95823568798</v>
      </c>
      <c r="AH57" s="148">
        <f>-Veículos!AF16</f>
        <v>-493500.95823568798</v>
      </c>
      <c r="AI57" s="148">
        <f>-Veículos!AG16</f>
        <v>-493500.95823568798</v>
      </c>
      <c r="AJ57" s="148">
        <f>-Veículos!AH16</f>
        <v>-493500.95823568798</v>
      </c>
      <c r="AK57" s="148">
        <f>-Veículos!AI16</f>
        <v>-493500.95823568798</v>
      </c>
      <c r="AL57" s="148">
        <f>-Veículos!AJ16</f>
        <v>-493500.95823568798</v>
      </c>
      <c r="AM57" s="148">
        <f>-Veículos!AK16</f>
        <v>-493500.95823568798</v>
      </c>
      <c r="AN57" s="148">
        <f>-Veículos!AL16</f>
        <v>-493500.95823568798</v>
      </c>
      <c r="AO57" s="468">
        <f t="shared" si="93"/>
        <v>-15382679.698039442</v>
      </c>
      <c r="AP57" s="71"/>
      <c r="AQ57" s="71"/>
      <c r="AR57" s="23"/>
      <c r="AS57" s="28"/>
    </row>
    <row r="58" spans="1:50" ht="14.4" x14ac:dyDescent="0.3">
      <c r="A58" s="66"/>
      <c r="B58" s="466" t="s">
        <v>475</v>
      </c>
      <c r="C58" s="513"/>
      <c r="D58" s="4"/>
      <c r="E58" s="101"/>
      <c r="F58" s="148">
        <f>-'Energia Eletrica'!E35</f>
        <v>-422294.52875672496</v>
      </c>
      <c r="G58" s="148">
        <f>-'Energia Eletrica'!F35</f>
        <v>-478810.10943729995</v>
      </c>
      <c r="H58" s="148">
        <f>-'Energia Eletrica'!G35</f>
        <v>-539763.47102415003</v>
      </c>
      <c r="I58" s="148">
        <f>-'Energia Eletrica'!H35</f>
        <v>-602715.30348269991</v>
      </c>
      <c r="J58" s="148">
        <f>-'Energia Eletrica'!I35</f>
        <v>-674689.64414142491</v>
      </c>
      <c r="K58" s="148">
        <f>-'Energia Eletrica'!J35</f>
        <v>-697951.25730246247</v>
      </c>
      <c r="L58" s="148">
        <f>-'Energia Eletrica'!K35</f>
        <v>-721830.04529152508</v>
      </c>
      <c r="M58" s="148">
        <f>-'Energia Eletrica'!L35</f>
        <v>-746649.29016138753</v>
      </c>
      <c r="N58" s="148">
        <f>-'Energia Eletrica'!M35</f>
        <v>-853126.64263446245</v>
      </c>
      <c r="O58" s="148">
        <f>-'Energia Eletrica'!N35</f>
        <v>-964791.20259070001</v>
      </c>
      <c r="P58" s="148">
        <f>-'Energia Eletrica'!O35</f>
        <v>-989757.39384818752</v>
      </c>
      <c r="Q58" s="148">
        <f>-'Energia Eletrica'!P35</f>
        <v>-1015179.1189073124</v>
      </c>
      <c r="R58" s="148">
        <f>-'Energia Eletrica'!Q35</f>
        <v>-1028639.4080137624</v>
      </c>
      <c r="S58" s="148">
        <f>-'Energia Eletrica'!R35</f>
        <v>-1042114.391758975</v>
      </c>
      <c r="T58" s="148">
        <f>-'Energia Eletrica'!S35</f>
        <v>-1055530.5969491375</v>
      </c>
      <c r="U58" s="148">
        <f>-'Energia Eletrica'!T35</f>
        <v>-1060732.4990710625</v>
      </c>
      <c r="V58" s="148">
        <f>-'Energia Eletrica'!U35</f>
        <v>-1065640.5084177374</v>
      </c>
      <c r="W58" s="148">
        <f>-'Energia Eletrica'!V35</f>
        <v>-1070519.1284868876</v>
      </c>
      <c r="X58" s="148">
        <f>-'Energia Eletrica'!W35</f>
        <v>-1076970.0749036248</v>
      </c>
      <c r="Y58" s="148">
        <f>-'Energia Eletrica'!X35</f>
        <v>-1083435.715959125</v>
      </c>
      <c r="Z58" s="148">
        <f>-'Energia Eletrica'!Y35</f>
        <v>-1089445.8232129873</v>
      </c>
      <c r="AA58" s="148">
        <f>-'Energia Eletrica'!Z35</f>
        <v>-1095176.7323303625</v>
      </c>
      <c r="AB58" s="148">
        <f>-'Energia Eletrica'!AA35</f>
        <v>-1100687.2218662999</v>
      </c>
      <c r="AC58" s="148">
        <f>-'Energia Eletrica'!AB35</f>
        <v>-1105991.9864595626</v>
      </c>
      <c r="AD58" s="148">
        <f>-'Energia Eletrica'!AC35</f>
        <v>-1111061.6368326249</v>
      </c>
      <c r="AE58" s="148">
        <f>-'Energia Eletrica'!AD35</f>
        <v>-1116204.7603994999</v>
      </c>
      <c r="AF58" s="148">
        <f>-'Energia Eletrica'!AE35</f>
        <v>-1120642.5413057748</v>
      </c>
      <c r="AG58" s="148">
        <f>-'Energia Eletrica'!AF35</f>
        <v>-1125330.1310710125</v>
      </c>
      <c r="AH58" s="148">
        <f>-'Energia Eletrica'!AG35</f>
        <v>-1129429.9352857498</v>
      </c>
      <c r="AI58" s="148">
        <f>-'Energia Eletrica'!AH35</f>
        <v>-1133559.1287780125</v>
      </c>
      <c r="AJ58" s="148">
        <f>-'Energia Eletrica'!AI35</f>
        <v>-1137497.2919663624</v>
      </c>
      <c r="AK58" s="148">
        <f>-'Energia Eletrica'!AJ35</f>
        <v>-1141097.4784631748</v>
      </c>
      <c r="AL58" s="148">
        <f>-'Energia Eletrica'!AK35</f>
        <v>-1144697.6649599874</v>
      </c>
      <c r="AM58" s="148">
        <f>-'Energia Eletrica'!AL35</f>
        <v>-1147181.05891085</v>
      </c>
      <c r="AN58" s="148">
        <f>-'Energia Eletrica'!AM35</f>
        <v>-1145814.4575059374</v>
      </c>
      <c r="AO58" s="468">
        <f t="shared" si="93"/>
        <v>-34034958.180486836</v>
      </c>
      <c r="AP58" s="71"/>
      <c r="AQ58" s="71"/>
      <c r="AR58" s="23"/>
      <c r="AS58" s="28"/>
    </row>
    <row r="59" spans="1:50" ht="14.4" x14ac:dyDescent="0.3">
      <c r="A59" s="66"/>
      <c r="B59" s="466" t="s">
        <v>341</v>
      </c>
      <c r="C59" s="513"/>
      <c r="D59" s="4"/>
      <c r="E59" s="101"/>
      <c r="F59" s="148">
        <f>-'Reposição de Ativos'!D17</f>
        <v>-418383.99805672531</v>
      </c>
      <c r="G59" s="148">
        <f>-'Reposição de Ativos'!E17</f>
        <v>-540071.51998069626</v>
      </c>
      <c r="H59" s="148">
        <f>-'Reposição de Ativos'!F17</f>
        <v>-649710.07691659383</v>
      </c>
      <c r="I59" s="148">
        <f>-'Reposição de Ativos'!G17</f>
        <v>-1385222.615145881</v>
      </c>
      <c r="J59" s="148">
        <f>-'Reposição de Ativos'!H17</f>
        <v>-1371310.1622745439</v>
      </c>
      <c r="K59" s="148">
        <f>-'Reposição de Ativos'!I17</f>
        <v>-2190655.1762115252</v>
      </c>
      <c r="L59" s="148">
        <f>-'Reposição de Ativos'!J17</f>
        <v>-2831453.5814875234</v>
      </c>
      <c r="M59" s="148">
        <f>-'Reposição de Ativos'!K17</f>
        <v>-2918344.6165586072</v>
      </c>
      <c r="N59" s="148">
        <f>-'Reposição de Ativos'!L17</f>
        <v>-2972056.2883158349</v>
      </c>
      <c r="O59" s="148">
        <f>-'Reposição de Ativos'!M17</f>
        <v>-3627813.8398676575</v>
      </c>
      <c r="P59" s="148">
        <f>-'Reposição de Ativos'!N17</f>
        <v>-3411720.4503168762</v>
      </c>
      <c r="Q59" s="148">
        <f>-'Reposição de Ativos'!O17</f>
        <v>-3193319.1726480997</v>
      </c>
      <c r="R59" s="148">
        <f>-'Reposição de Ativos'!P17</f>
        <v>-2929683.4875813406</v>
      </c>
      <c r="S59" s="148">
        <f>-'Reposição de Ativos'!Q17</f>
        <v>-2956488.2355611734</v>
      </c>
      <c r="T59" s="148">
        <f>-'Reposição de Ativos'!R17</f>
        <v>-2981799.3197491416</v>
      </c>
      <c r="U59" s="148">
        <f>-'Reposição de Ativos'!S17</f>
        <v>-2385659.5890152515</v>
      </c>
      <c r="V59" s="148">
        <f>-'Reposição de Ativos'!T17</f>
        <v>-2404178.4918915122</v>
      </c>
      <c r="W59" s="148">
        <f>-'Reposição de Ativos'!U17</f>
        <v>-1802978.5168795332</v>
      </c>
      <c r="X59" s="148">
        <f>-'Reposição de Ativos'!V17</f>
        <v>-1815849.4156759668</v>
      </c>
      <c r="Y59" s="148">
        <f>-'Reposição de Ativos'!W17</f>
        <v>-1827884.8979994147</v>
      </c>
      <c r="Z59" s="148">
        <f>-'Reposição de Ativos'!X17</f>
        <v>-1532601.9224167783</v>
      </c>
      <c r="AA59" s="148">
        <f>-'Reposição de Ativos'!Y17</f>
        <v>-1542080.7618141428</v>
      </c>
      <c r="AB59" s="148">
        <f>-'Reposição de Ativos'!Z17</f>
        <v>-1241151.995317942</v>
      </c>
      <c r="AC59" s="148">
        <f>-'Reposição de Ativos'!AA17</f>
        <v>-1248187.094672858</v>
      </c>
      <c r="AD59" s="148">
        <f>-'Reposição de Ativos'!AB17</f>
        <v>-1204714.8408044719</v>
      </c>
      <c r="AE59" s="148">
        <f>-'Reposição de Ativos'!AC17</f>
        <v>-897684.75285396713</v>
      </c>
      <c r="AF59" s="148">
        <f>-'Reposição de Ativos'!AD17</f>
        <v>-902510.03639791149</v>
      </c>
      <c r="AG59" s="148">
        <f>-'Reposição de Ativos'!AE17</f>
        <v>-588840.32445375074</v>
      </c>
      <c r="AH59" s="148">
        <f>-'Reposição de Ativos'!AF17</f>
        <v>-593354.38458209834</v>
      </c>
      <c r="AI59" s="148">
        <f>-'Reposição de Ativos'!AG17</f>
        <v>-597719.55418063432</v>
      </c>
      <c r="AJ59" s="148">
        <f>-'Reposição de Ativos'!AH17</f>
        <v>-601927.05975898926</v>
      </c>
      <c r="AK59" s="148">
        <f>-'Reposição de Ativos'!AI17</f>
        <v>-605964.57675001153</v>
      </c>
      <c r="AL59" s="148">
        <f>-'Reposição de Ativos'!AJ17</f>
        <v>-609855.25941271323</v>
      </c>
      <c r="AM59" s="148">
        <f>-'Reposição de Ativos'!AK17</f>
        <v>-610344.74058626359</v>
      </c>
      <c r="AN59" s="148">
        <f>-'Reposição de Ativos'!AL17</f>
        <v>-613366.90708917403</v>
      </c>
      <c r="AO59" s="468">
        <f t="shared" si="93"/>
        <v>-58004887.663225606</v>
      </c>
      <c r="AP59" s="71"/>
      <c r="AQ59" s="71"/>
      <c r="AR59" s="23"/>
      <c r="AS59" s="28"/>
    </row>
    <row r="60" spans="1:50" ht="14.4" x14ac:dyDescent="0.3">
      <c r="A60" s="66"/>
      <c r="B60" s="466" t="s">
        <v>342</v>
      </c>
      <c r="C60" s="513"/>
      <c r="D60" s="4"/>
      <c r="E60" s="101"/>
      <c r="F60" s="148">
        <f>-Veículos!D17</f>
        <v>-783095.00661120005</v>
      </c>
      <c r="G60" s="148">
        <f>-Veículos!E17</f>
        <v>-783095.00661120005</v>
      </c>
      <c r="H60" s="148">
        <f>-Veículos!F17</f>
        <v>-783095.00661120005</v>
      </c>
      <c r="I60" s="148">
        <f>-Veículos!G17</f>
        <v>-783095.00661120005</v>
      </c>
      <c r="J60" s="148">
        <f>-Veículos!H17</f>
        <v>-846302.97588480008</v>
      </c>
      <c r="K60" s="148">
        <f>-Veículos!I17</f>
        <v>-926416.272</v>
      </c>
      <c r="L60" s="148">
        <f>-Veículos!J17</f>
        <v>-926416.272</v>
      </c>
      <c r="M60" s="148">
        <f>-Veículos!K17</f>
        <v>-926416.272</v>
      </c>
      <c r="N60" s="148">
        <f>-Veículos!L17</f>
        <v>-926416.272</v>
      </c>
      <c r="O60" s="148">
        <f>-Veículos!M17</f>
        <v>-1069737.5373887997</v>
      </c>
      <c r="P60" s="148">
        <f>-Veículos!N17</f>
        <v>-1069737.5373887997</v>
      </c>
      <c r="Q60" s="148">
        <f>-Veículos!O17</f>
        <v>-1069737.5373887997</v>
      </c>
      <c r="R60" s="148">
        <f>-Veículos!P17</f>
        <v>-1069737.5373887997</v>
      </c>
      <c r="S60" s="148">
        <f>-Veículos!Q17</f>
        <v>-1069737.5373887997</v>
      </c>
      <c r="T60" s="148">
        <f>-Veículos!R17</f>
        <v>-1069737.5373887997</v>
      </c>
      <c r="U60" s="148">
        <f>-Veículos!S17</f>
        <v>-1069737.5373887997</v>
      </c>
      <c r="V60" s="148">
        <f>-Veículos!T17</f>
        <v>-1069737.5373887997</v>
      </c>
      <c r="W60" s="148">
        <f>-Veículos!U17</f>
        <v>-1215594.8712384</v>
      </c>
      <c r="X60" s="148">
        <f>-Veículos!V17</f>
        <v>-1215594.8712384</v>
      </c>
      <c r="Y60" s="148">
        <f>-Veículos!W17</f>
        <v>-1215594.8712384</v>
      </c>
      <c r="Z60" s="148">
        <f>-Veículos!X17</f>
        <v>-1215594.8712384</v>
      </c>
      <c r="AA60" s="148">
        <f>-Veículos!Y17</f>
        <v>-1215594.8712384</v>
      </c>
      <c r="AB60" s="148">
        <f>-Veículos!Z17</f>
        <v>-1215594.8712384</v>
      </c>
      <c r="AC60" s="148">
        <f>-Veículos!AA17</f>
        <v>-1215594.8712384</v>
      </c>
      <c r="AD60" s="148">
        <f>-Veículos!AB17</f>
        <v>-1215594.8712384</v>
      </c>
      <c r="AE60" s="148">
        <f>-Veículos!AC17</f>
        <v>-1215594.8712384</v>
      </c>
      <c r="AF60" s="148">
        <f>-Veículos!AD17</f>
        <v>-1278802.8405119998</v>
      </c>
      <c r="AG60" s="148">
        <f>-Veículos!AE17</f>
        <v>-1278802.8405119998</v>
      </c>
      <c r="AH60" s="148">
        <f>-Veículos!AF17</f>
        <v>-1278802.8405119998</v>
      </c>
      <c r="AI60" s="148">
        <f>-Veículos!AG17</f>
        <v>-1278802.8405119998</v>
      </c>
      <c r="AJ60" s="148">
        <f>-Veículos!AH17</f>
        <v>-1278802.8405119998</v>
      </c>
      <c r="AK60" s="148">
        <f>-Veículos!AI17</f>
        <v>-1278802.8405119998</v>
      </c>
      <c r="AL60" s="148">
        <f>-Veículos!AJ17</f>
        <v>-1278802.8405119998</v>
      </c>
      <c r="AM60" s="148">
        <f>-Veículos!AK17</f>
        <v>-1278802.8405119998</v>
      </c>
      <c r="AN60" s="148">
        <f>-Veículos!AL17</f>
        <v>-1278802.8405119998</v>
      </c>
      <c r="AO60" s="468">
        <f t="shared" si="93"/>
        <v>-38691827.79519359</v>
      </c>
      <c r="AP60" s="71"/>
      <c r="AQ60" s="71"/>
      <c r="AR60" s="23"/>
      <c r="AS60" s="28"/>
    </row>
    <row r="61" spans="1:50" ht="14.4" x14ac:dyDescent="0.3">
      <c r="A61" s="66"/>
      <c r="B61" s="466" t="s">
        <v>343</v>
      </c>
      <c r="C61" s="513"/>
      <c r="D61" s="4"/>
      <c r="E61" s="101"/>
      <c r="F61" s="148">
        <f>-'Energia Eletrica'!E22</f>
        <v>-1129513.8469931073</v>
      </c>
      <c r="G61" s="148">
        <f>-'Energia Eletrica'!F22</f>
        <v>-1271818.83051878</v>
      </c>
      <c r="H61" s="148">
        <f>-'Energia Eletrica'!G22</f>
        <v>-1450021.6256075257</v>
      </c>
      <c r="I61" s="148">
        <f>-'Energia Eletrica'!H22</f>
        <v>-1618847.5525525848</v>
      </c>
      <c r="J61" s="148">
        <f>-'Energia Eletrica'!I22</f>
        <v>-1809396.5516508892</v>
      </c>
      <c r="K61" s="148">
        <f>-'Energia Eletrica'!J22</f>
        <v>-1866798.4614759223</v>
      </c>
      <c r="L61" s="148">
        <f>-'Energia Eletrica'!K22</f>
        <v>-1924656.9952804148</v>
      </c>
      <c r="M61" s="148">
        <f>-'Energia Eletrica'!L22</f>
        <v>-1987324.6941984422</v>
      </c>
      <c r="N61" s="148">
        <f>-'Energia Eletrica'!M22</f>
        <v>-2264653.126306308</v>
      </c>
      <c r="O61" s="148">
        <f>-'Energia Eletrica'!N22</f>
        <v>-2558917.8219914939</v>
      </c>
      <c r="P61" s="148">
        <f>-'Energia Eletrica'!O22</f>
        <v>-2624741.8847452099</v>
      </c>
      <c r="Q61" s="148">
        <f>-'Energia Eletrica'!P22</f>
        <v>-2691767.8316223156</v>
      </c>
      <c r="R61" s="148">
        <f>-'Energia Eletrica'!Q22</f>
        <v>-2727240.3290749332</v>
      </c>
      <c r="S61" s="148">
        <f>-'Energia Eletrica'!R22</f>
        <v>-2762792.7800858552</v>
      </c>
      <c r="T61" s="148">
        <f>-'Energia Eletrica'!S22</f>
        <v>-2798165.6271602167</v>
      </c>
      <c r="U61" s="148">
        <f>-'Energia Eletrica'!T22</f>
        <v>-2811866.3999880189</v>
      </c>
      <c r="V61" s="148">
        <f>-'Energia Eletrica'!U22</f>
        <v>-2824811.4608697472</v>
      </c>
      <c r="W61" s="148">
        <f>-'Energia Eletrica'!V22</f>
        <v>-2837679.6823006608</v>
      </c>
      <c r="X61" s="148">
        <f>-'Energia Eletrica'!W22</f>
        <v>-2854756.4438512456</v>
      </c>
      <c r="Y61" s="148">
        <f>-'Energia Eletrica'!X22</f>
        <v>-2871876.8706641803</v>
      </c>
      <c r="Z61" s="148">
        <f>-'Energia Eletrica'!Y22</f>
        <v>-2887771.2195686628</v>
      </c>
      <c r="AA61" s="148">
        <f>-'Energia Eletrica'!Z22</f>
        <v>-2902960.3358554617</v>
      </c>
      <c r="AB61" s="148">
        <f>-'Energia Eletrica'!AA22</f>
        <v>-2917546.3931454304</v>
      </c>
      <c r="AC61" s="148">
        <f>-'Energia Eletrica'!AB22</f>
        <v>-2931594.5844520861</v>
      </c>
      <c r="AD61" s="148">
        <f>-'Energia Eletrica'!AC22</f>
        <v>-2945023.9463942195</v>
      </c>
      <c r="AE61" s="148">
        <f>-'Energia Eletrica'!AD22</f>
        <v>-2958638.2595278192</v>
      </c>
      <c r="AF61" s="148">
        <f>-'Energia Eletrica'!AE22</f>
        <v>-2970386.8960926235</v>
      </c>
      <c r="AG61" s="148">
        <f>-'Energia Eletrica'!AF22</f>
        <v>-2982777.4208632656</v>
      </c>
      <c r="AH61" s="148">
        <f>-'Energia Eletrica'!AG22</f>
        <v>-2993652.6079670601</v>
      </c>
      <c r="AI61" s="148">
        <f>-'Energia Eletrica'!AH22</f>
        <v>-3004597.5506619513</v>
      </c>
      <c r="AJ61" s="148">
        <f>-'Energia Eletrica'!AI22</f>
        <v>-3015020.4376579612</v>
      </c>
      <c r="AK61" s="148">
        <f>-'Energia Eletrica'!AJ22</f>
        <v>-3024548.0074754534</v>
      </c>
      <c r="AL61" s="148">
        <f>-'Energia Eletrica'!AK22</f>
        <v>-3034071.9387790719</v>
      </c>
      <c r="AM61" s="148">
        <f>-'Energia Eletrica'!AL22</f>
        <v>-3040667.8256778065</v>
      </c>
      <c r="AN61" s="148">
        <f>-'Energia Eletrica'!AM22</f>
        <v>-3037045.371356355</v>
      </c>
      <c r="AO61" s="468">
        <f t="shared" si="93"/>
        <v>-90333951.612413079</v>
      </c>
      <c r="AP61" s="71"/>
      <c r="AQ61" s="71"/>
      <c r="AR61" s="23"/>
      <c r="AS61" s="28"/>
      <c r="AU61" s="23"/>
      <c r="AW61" s="23"/>
      <c r="AX61" s="23"/>
    </row>
    <row r="62" spans="1:50" ht="14.4" x14ac:dyDescent="0.3">
      <c r="A62" s="66"/>
      <c r="B62" s="466" t="s">
        <v>344</v>
      </c>
      <c r="C62" s="513"/>
      <c r="D62" s="4"/>
      <c r="E62" s="101"/>
      <c r="F62" s="148">
        <f>-'Produto Químico'!E27</f>
        <v>-1377653.6087</v>
      </c>
      <c r="G62" s="148">
        <f>-'Produto Químico'!F27</f>
        <v>-1463078.2891000004</v>
      </c>
      <c r="H62" s="148">
        <f>-'Produto Químico'!G27</f>
        <v>-1543559.7234000002</v>
      </c>
      <c r="I62" s="148">
        <f>-'Produto Químico'!H27</f>
        <v>-1611884.5812000001</v>
      </c>
      <c r="J62" s="148">
        <f>-'Produto Químico'!I27</f>
        <v>-1689260.6338</v>
      </c>
      <c r="K62" s="148">
        <f>-'Produto Químico'!J27</f>
        <v>-1697507.6029000001</v>
      </c>
      <c r="L62" s="148">
        <f>-'Produto Químico'!K27</f>
        <v>-1702256.5537999999</v>
      </c>
      <c r="M62" s="148">
        <f>-'Produto Químico'!L27</f>
        <v>-1720541.1166999999</v>
      </c>
      <c r="N62" s="148">
        <f>-'Produto Químico'!M27</f>
        <v>-1739199.1623</v>
      </c>
      <c r="O62" s="148">
        <f>-'Produto Químico'!N27</f>
        <v>-1757038.2299000002</v>
      </c>
      <c r="P62" s="148">
        <f>-'Produto Químico'!O27</f>
        <v>-1774825.3942</v>
      </c>
      <c r="Q62" s="148">
        <f>-'Produto Químico'!P27</f>
        <v>-1792527.7408</v>
      </c>
      <c r="R62" s="148">
        <f>-'Produto Químico'!Q27</f>
        <v>-1798623.1034000001</v>
      </c>
      <c r="S62" s="148">
        <f>-'Produto Químico'!R27</f>
        <v>-1804709.4219000002</v>
      </c>
      <c r="T62" s="148">
        <f>-'Produto Químico'!S27</f>
        <v>-1810415.889</v>
      </c>
      <c r="U62" s="148">
        <f>-'Produto Químico'!T27</f>
        <v>-1815677.1373999999</v>
      </c>
      <c r="V62" s="148">
        <f>-'Produto Químico'!U27</f>
        <v>-1820509.8781000001</v>
      </c>
      <c r="W62" s="148">
        <f>-'Produto Químico'!V27</f>
        <v>-1825271.6414000001</v>
      </c>
      <c r="X62" s="148">
        <f>-'Produto Químico'!W27</f>
        <v>-1835257.0778999999</v>
      </c>
      <c r="Y62" s="148">
        <f>-'Produto Químico'!X27</f>
        <v>-1845419.7506000001</v>
      </c>
      <c r="Z62" s="148">
        <f>-'Produto Químico'!Y27</f>
        <v>-1854836.7242999999</v>
      </c>
      <c r="AA62" s="148">
        <f>-'Produto Químico'!Z27</f>
        <v>-1863714.5178</v>
      </c>
      <c r="AB62" s="148">
        <f>-'Produto Químico'!AA27</f>
        <v>-1872196.3075999999</v>
      </c>
      <c r="AC62" s="148">
        <f>-'Produto Químico'!AB27</f>
        <v>-1880477.5010000002</v>
      </c>
      <c r="AD62" s="148">
        <f>-'Produto Químico'!AC27</f>
        <v>-1888188.2127999999</v>
      </c>
      <c r="AE62" s="148">
        <f>-'Produto Químico'!AD27</f>
        <v>-1896275.9180000001</v>
      </c>
      <c r="AF62" s="148">
        <f>-'Produto Químico'!AE27</f>
        <v>-1903053.4646999997</v>
      </c>
      <c r="AG62" s="148">
        <f>-'Produto Químico'!AF27</f>
        <v>-1910326.0660000001</v>
      </c>
      <c r="AH62" s="148">
        <f>-'Produto Químico'!AG27</f>
        <v>-1916548.5439000002</v>
      </c>
      <c r="AI62" s="148">
        <f>-'Produto Químico'!AH27</f>
        <v>-1922908.6458000001</v>
      </c>
      <c r="AJ62" s="148">
        <f>-'Produto Químico'!AI27</f>
        <v>-1928934.8772</v>
      </c>
      <c r="AK62" s="148">
        <f>-'Produto Químico'!AJ27</f>
        <v>-1934310.5863999999</v>
      </c>
      <c r="AL62" s="148">
        <f>-'Produto Químico'!AK27</f>
        <v>-1939834.5552999999</v>
      </c>
      <c r="AM62" s="148">
        <f>-'Produto Químico'!AL27</f>
        <v>-1944374.1214000001</v>
      </c>
      <c r="AN62" s="148">
        <f>-'Produto Químico'!AM27</f>
        <v>-1940865.9058000001</v>
      </c>
      <c r="AO62" s="468">
        <f t="shared" si="93"/>
        <v>-63022062.484500006</v>
      </c>
      <c r="AP62" s="71"/>
      <c r="AQ62" s="71"/>
      <c r="AR62" s="23"/>
      <c r="AS62" s="28"/>
      <c r="AU62" s="44"/>
      <c r="AW62" s="23"/>
      <c r="AX62" s="23"/>
    </row>
    <row r="63" spans="1:50" ht="14.4" x14ac:dyDescent="0.3">
      <c r="A63" s="66"/>
      <c r="B63" s="466" t="s">
        <v>345</v>
      </c>
      <c r="C63" s="513"/>
      <c r="D63" s="4"/>
      <c r="E63" s="101"/>
      <c r="F63" s="148">
        <f>-F42*0.0300343386711128</f>
        <v>-696161.56493215577</v>
      </c>
      <c r="G63" s="148">
        <f>-G42*0.0300343386711128</f>
        <v>-882440.97172345466</v>
      </c>
      <c r="H63" s="148">
        <f t="shared" ref="H63:AN63" si="95">-H42*0.0300343386711128</f>
        <v>-1070301.1972945344</v>
      </c>
      <c r="I63" s="148">
        <f t="shared" si="95"/>
        <v>-1250074.673141802</v>
      </c>
      <c r="J63" s="148">
        <f t="shared" si="95"/>
        <v>-1435444.8152222927</v>
      </c>
      <c r="K63" s="148">
        <f t="shared" si="95"/>
        <v>-1503288.9808188255</v>
      </c>
      <c r="L63" s="148">
        <f t="shared" si="95"/>
        <v>-1561202.0603244959</v>
      </c>
      <c r="M63" s="148">
        <f t="shared" si="95"/>
        <v>-1591996.9148237801</v>
      </c>
      <c r="N63" s="148">
        <f t="shared" si="95"/>
        <v>-1623074.2120036527</v>
      </c>
      <c r="O63" s="148">
        <f t="shared" si="95"/>
        <v>-1653506.6222915018</v>
      </c>
      <c r="P63" s="148">
        <f t="shared" si="95"/>
        <v>-1683712.2182033651</v>
      </c>
      <c r="Q63" s="148">
        <f t="shared" si="95"/>
        <v>-1713765.8398810041</v>
      </c>
      <c r="R63" s="148">
        <f t="shared" si="95"/>
        <v>-1725889.3693584444</v>
      </c>
      <c r="S63" s="148">
        <f t="shared" si="95"/>
        <v>-1737847.1608974284</v>
      </c>
      <c r="T63" s="148">
        <f t="shared" si="95"/>
        <v>-1749314.6204731571</v>
      </c>
      <c r="U63" s="148">
        <f t="shared" si="95"/>
        <v>-1760136.3329253471</v>
      </c>
      <c r="V63" s="148">
        <f t="shared" si="95"/>
        <v>-1770385.7046765687</v>
      </c>
      <c r="W63" s="148">
        <f t="shared" si="95"/>
        <v>-1780654.0015211087</v>
      </c>
      <c r="X63" s="148">
        <f t="shared" si="95"/>
        <v>-1789517.8270463368</v>
      </c>
      <c r="Y63" s="148">
        <f t="shared" si="95"/>
        <v>-1798511.8342740901</v>
      </c>
      <c r="Z63" s="148">
        <f t="shared" si="95"/>
        <v>-1806655.3592778582</v>
      </c>
      <c r="AA63" s="148">
        <f t="shared" si="95"/>
        <v>-1814545.9762163681</v>
      </c>
      <c r="AB63" s="148">
        <f t="shared" si="95"/>
        <v>-1821988.6992796713</v>
      </c>
      <c r="AC63" s="148">
        <f t="shared" si="95"/>
        <v>-1829145.8254801657</v>
      </c>
      <c r="AD63" s="148">
        <f t="shared" si="95"/>
        <v>-1835888.3200906804</v>
      </c>
      <c r="AE63" s="148">
        <f t="shared" si="95"/>
        <v>-1842876.8409143363</v>
      </c>
      <c r="AF63" s="148">
        <f t="shared" si="95"/>
        <v>-1848753.9426212811</v>
      </c>
      <c r="AG63" s="148">
        <f t="shared" si="95"/>
        <v>-1855030.1917509455</v>
      </c>
      <c r="AH63" s="148">
        <f t="shared" si="95"/>
        <v>-1860422.6963713986</v>
      </c>
      <c r="AI63" s="148">
        <f t="shared" si="95"/>
        <v>-1865783.0856819774</v>
      </c>
      <c r="AJ63" s="148">
        <f t="shared" si="95"/>
        <v>-1871027.6304819393</v>
      </c>
      <c r="AK63" s="148">
        <f t="shared" si="95"/>
        <v>-1875534.6701301518</v>
      </c>
      <c r="AL63" s="148">
        <f t="shared" si="95"/>
        <v>-1880365.1568278093</v>
      </c>
      <c r="AM63" s="148">
        <f t="shared" si="95"/>
        <v>-1884859.5797471423</v>
      </c>
      <c r="AN63" s="148">
        <f t="shared" si="95"/>
        <v>-1880431.681398263</v>
      </c>
      <c r="AO63" s="468">
        <f t="shared" si="93"/>
        <v>-58550536.578103326</v>
      </c>
      <c r="AP63" s="71"/>
      <c r="AQ63" s="71"/>
      <c r="AR63" s="23"/>
      <c r="AS63" s="28"/>
    </row>
    <row r="64" spans="1:50" ht="14.4" x14ac:dyDescent="0.3">
      <c r="A64" s="66"/>
      <c r="B64" s="466" t="s">
        <v>346</v>
      </c>
      <c r="C64" s="513"/>
      <c r="D64" s="4"/>
      <c r="E64" s="101"/>
      <c r="F64" s="148">
        <f>-'Legal e Regulação'!E10</f>
        <v>-218321.63018134556</v>
      </c>
      <c r="G64" s="148">
        <f>-'Legal e Regulação'!F10</f>
        <v>-287934.47452223999</v>
      </c>
      <c r="H64" s="148">
        <f>-'Legal e Regulação'!G10</f>
        <v>-349231.98570624</v>
      </c>
      <c r="I64" s="148">
        <f>-'Legal e Regulação'!H10</f>
        <v>-407890.84557311999</v>
      </c>
      <c r="J64" s="148">
        <f>-'Legal e Regulação'!I10</f>
        <v>-468375.85948608001</v>
      </c>
      <c r="K64" s="148">
        <f>-'Legal e Regulação'!J10</f>
        <v>-490512.94830719999</v>
      </c>
      <c r="L64" s="148">
        <f>-'Legal e Regulação'!K10</f>
        <v>-509409.59142527991</v>
      </c>
      <c r="M64" s="148">
        <f>-'Legal e Regulação'!L10</f>
        <v>-519457.74255647999</v>
      </c>
      <c r="N64" s="148">
        <f>-'Legal e Regulação'!M10</f>
        <v>-529598.05280927988</v>
      </c>
      <c r="O64" s="148">
        <f>-'Legal e Regulação'!N10</f>
        <v>-539527.94086463982</v>
      </c>
      <c r="P64" s="148">
        <f>-'Legal e Regulação'!O10</f>
        <v>-549383.82093504001</v>
      </c>
      <c r="Q64" s="148">
        <f>-'Legal e Regulação'!P10</f>
        <v>-559190.11284864007</v>
      </c>
      <c r="R64" s="148">
        <f>-'Legal e Regulação'!Q10</f>
        <v>-563145.93788543995</v>
      </c>
      <c r="S64" s="148">
        <f>-'Legal e Regulação'!R10</f>
        <v>-567047.68376256002</v>
      </c>
      <c r="T64" s="148">
        <f>-'Legal e Regulação'!S10</f>
        <v>-570789.43766207993</v>
      </c>
      <c r="U64" s="148">
        <f>-'Legal e Regulação'!T10</f>
        <v>-574320.48867648002</v>
      </c>
      <c r="V64" s="148">
        <f>-'Legal e Regulação'!U10</f>
        <v>-577664.78882111993</v>
      </c>
      <c r="W64" s="148">
        <f>-'Legal e Regulação'!V10</f>
        <v>-581015.2640947199</v>
      </c>
      <c r="X64" s="148">
        <f>-'Legal e Regulação'!W10</f>
        <v>-583907.46994943998</v>
      </c>
      <c r="Y64" s="148">
        <f>-'Legal e Regulação'!X10</f>
        <v>-586842.15320639999</v>
      </c>
      <c r="Z64" s="148">
        <f>-'Legal e Regulação'!Y10</f>
        <v>-589499.32991039997</v>
      </c>
      <c r="AA64" s="148">
        <f>-'Legal e Regulação'!Z10</f>
        <v>-592073.98443647986</v>
      </c>
      <c r="AB64" s="148">
        <f>-'Legal e Regulação'!AA10</f>
        <v>-594502.49424383999</v>
      </c>
      <c r="AC64" s="148">
        <f>-'Legal e Regulação'!AB10</f>
        <v>-596837.81574143993</v>
      </c>
      <c r="AD64" s="148">
        <f>-'Legal e Regulação'!AC10</f>
        <v>-599037.84577727993</v>
      </c>
      <c r="AE64" s="148">
        <f>-'Legal e Regulação'!AD10</f>
        <v>-601318.1524896</v>
      </c>
      <c r="AF64" s="148">
        <f>-'Legal e Regulação'!AE10</f>
        <v>-603235.81071936002</v>
      </c>
      <c r="AG64" s="148">
        <f>-'Legal e Regulação'!AF10</f>
        <v>-605283.70803264005</v>
      </c>
      <c r="AH64" s="148">
        <f>-'Legal e Regulação'!AG10</f>
        <v>-607043.245536</v>
      </c>
      <c r="AI64" s="148">
        <f>-'Legal e Regulação'!AH10</f>
        <v>-608792.30403263995</v>
      </c>
      <c r="AJ64" s="148">
        <f>-'Legal e Regulação'!AI10</f>
        <v>-610503.56325503986</v>
      </c>
      <c r="AK64" s="148">
        <f>-'Legal e Regulação'!AJ10</f>
        <v>-611974.17957312008</v>
      </c>
      <c r="AL64" s="148">
        <f>-'Legal e Regulação'!AK10</f>
        <v>-613550.33445887989</v>
      </c>
      <c r="AM64" s="148">
        <f>-'Legal e Regulação'!AL10</f>
        <v>-615016.83402432001</v>
      </c>
      <c r="AN64" s="148">
        <f>-'Legal e Regulação'!AM10</f>
        <v>-613572.04097279999</v>
      </c>
      <c r="AO64" s="468">
        <f t="shared" si="93"/>
        <v>-19095809.872477666</v>
      </c>
      <c r="AP64" s="71"/>
      <c r="AQ64" s="71"/>
      <c r="AR64" s="23"/>
      <c r="AS64" s="28"/>
    </row>
    <row r="65" spans="1:45" ht="14.4" x14ac:dyDescent="0.3">
      <c r="A65" s="66"/>
      <c r="B65" s="466" t="s">
        <v>347</v>
      </c>
      <c r="C65" s="511">
        <v>0.12099750998280041</v>
      </c>
      <c r="D65" s="4"/>
      <c r="E65"/>
      <c r="F65" s="148">
        <f t="shared" ref="F65:AN65" si="96">(F55+F56+F57+F58+F59+F60+F61+F62+F63+F64+F66)*$C$65</f>
        <v>-1275370.6280921299</v>
      </c>
      <c r="G65" s="148">
        <f t="shared" si="96"/>
        <v>-1421350.0599742439</v>
      </c>
      <c r="H65" s="148">
        <f t="shared" si="96"/>
        <v>-1626088.277077693</v>
      </c>
      <c r="I65" s="148">
        <f t="shared" si="96"/>
        <v>-1845344.3123069834</v>
      </c>
      <c r="J65" s="148">
        <f t="shared" si="96"/>
        <v>-2004824.4055511791</v>
      </c>
      <c r="K65" s="148">
        <f t="shared" si="96"/>
        <v>-2188278.1251114635</v>
      </c>
      <c r="L65" s="148">
        <f t="shared" si="96"/>
        <v>-2323266.1892217905</v>
      </c>
      <c r="M65" s="148">
        <f t="shared" si="96"/>
        <v>-2404967.6287356578</v>
      </c>
      <c r="N65" s="148">
        <f t="shared" si="96"/>
        <v>-2503586.9255912555</v>
      </c>
      <c r="O65" s="148">
        <f t="shared" si="96"/>
        <v>-2686746.0600624573</v>
      </c>
      <c r="P65" s="148">
        <f t="shared" si="96"/>
        <v>-2704612.0536642987</v>
      </c>
      <c r="Q65" s="148">
        <f t="shared" si="96"/>
        <v>-2723297.4666651208</v>
      </c>
      <c r="R65" s="148">
        <f t="shared" si="96"/>
        <v>-2732890.3999461755</v>
      </c>
      <c r="S65" s="148">
        <f t="shared" si="96"/>
        <v>-2764690.2573280851</v>
      </c>
      <c r="T65" s="148">
        <f t="shared" si="96"/>
        <v>-2796521.5604518959</v>
      </c>
      <c r="U65" s="148">
        <f t="shared" si="96"/>
        <v>-2749746.4494520132</v>
      </c>
      <c r="V65" s="148">
        <f t="shared" si="96"/>
        <v>-2873112.3570604362</v>
      </c>
      <c r="W65" s="148">
        <f t="shared" si="96"/>
        <v>-2851782.7624372635</v>
      </c>
      <c r="X65" s="148">
        <f t="shared" si="96"/>
        <v>-2899795.7843833123</v>
      </c>
      <c r="Y65" s="148">
        <f t="shared" si="96"/>
        <v>-2929024.2956725699</v>
      </c>
      <c r="Z65" s="148">
        <f t="shared" si="96"/>
        <v>-2920934.2891944647</v>
      </c>
      <c r="AA65" s="148">
        <f t="shared" si="96"/>
        <v>-2949866.7621213086</v>
      </c>
      <c r="AB65" s="148">
        <f t="shared" si="96"/>
        <v>-2952725.2023766604</v>
      </c>
      <c r="AC65" s="148">
        <f t="shared" si="96"/>
        <v>-2981706.1249340852</v>
      </c>
      <c r="AD65" s="148">
        <f t="shared" si="96"/>
        <v>-3004676.8363729222</v>
      </c>
      <c r="AE65" s="148">
        <f t="shared" si="96"/>
        <v>-2996353.303382955</v>
      </c>
      <c r="AF65" s="148">
        <f t="shared" si="96"/>
        <v>-3033860.3305200846</v>
      </c>
      <c r="AG65" s="148">
        <f t="shared" si="96"/>
        <v>-3025029.5809258288</v>
      </c>
      <c r="AH65" s="148">
        <f t="shared" si="96"/>
        <v>-3088562.760481209</v>
      </c>
      <c r="AI65" s="148">
        <f t="shared" si="96"/>
        <v>-3118486.9033284518</v>
      </c>
      <c r="AJ65" s="148">
        <f t="shared" si="96"/>
        <v>-3148653.0008292622</v>
      </c>
      <c r="AK65" s="148">
        <f t="shared" si="96"/>
        <v>-3178833.8212104142</v>
      </c>
      <c r="AL65" s="148">
        <f t="shared" si="96"/>
        <v>-3209500.7745006518</v>
      </c>
      <c r="AM65" s="148">
        <f t="shared" si="96"/>
        <v>-3233678.5170601867</v>
      </c>
      <c r="AN65" s="148">
        <f t="shared" si="96"/>
        <v>-3259028.4772349573</v>
      </c>
      <c r="AO65" s="468">
        <f t="shared" si="93"/>
        <v>-94407192.683259457</v>
      </c>
      <c r="AP65" s="71"/>
      <c r="AQ65" s="71"/>
      <c r="AR65" s="23"/>
      <c r="AS65" s="28"/>
    </row>
    <row r="66" spans="1:45" ht="14.4" x14ac:dyDescent="0.3">
      <c r="A66" s="66"/>
      <c r="B66" s="466" t="s">
        <v>348</v>
      </c>
      <c r="C66" s="513"/>
      <c r="D66" s="4"/>
      <c r="E66" s="101"/>
      <c r="F66" s="148">
        <f>-'Recursos Hidricos'!E10</f>
        <v>-195631.04304628604</v>
      </c>
      <c r="G66" s="148">
        <f>-'Recursos Hidricos'!F10</f>
        <v>-207575.95702143182</v>
      </c>
      <c r="H66" s="148">
        <f>-'Recursos Hidricos'!G10</f>
        <v>-218827.23160272726</v>
      </c>
      <c r="I66" s="148">
        <f>-'Recursos Hidricos'!H10</f>
        <v>-228347.26076626772</v>
      </c>
      <c r="J66" s="148">
        <f>-'Recursos Hidricos'!I10</f>
        <v>-239138.40338001557</v>
      </c>
      <c r="K66" s="148">
        <f>-'Recursos Hidricos'!J10</f>
        <v>-240271.3484633996</v>
      </c>
      <c r="L66" s="148">
        <f>-'Recursos Hidricos'!K10</f>
        <v>-240884.19166781227</v>
      </c>
      <c r="M66" s="148">
        <f>-'Recursos Hidricos'!L10</f>
        <v>-243448.79904609278</v>
      </c>
      <c r="N66" s="148">
        <f>-'Recursos Hidricos'!M10</f>
        <v>-246065.53872797306</v>
      </c>
      <c r="O66" s="148">
        <f>-'Recursos Hidricos'!N10</f>
        <v>-248583.2092707298</v>
      </c>
      <c r="P66" s="148">
        <f>-'Recursos Hidricos'!O10</f>
        <v>-251078.47713276581</v>
      </c>
      <c r="Q66" s="148">
        <f>-'Recursos Hidricos'!P10</f>
        <v>-253555.89389936137</v>
      </c>
      <c r="R66" s="148">
        <f>-'Recursos Hidricos'!Q10</f>
        <v>-254420.16223408229</v>
      </c>
      <c r="S66" s="148">
        <f>-'Recursos Hidricos'!R10</f>
        <v>-255269.15500454573</v>
      </c>
      <c r="T66" s="148">
        <f>-'Recursos Hidricos'!S10</f>
        <v>-256080.18089291564</v>
      </c>
      <c r="U66" s="148">
        <f>-'Recursos Hidricos'!T10</f>
        <v>-256808.85639199612</v>
      </c>
      <c r="V66" s="148">
        <f>-'Recursos Hidricos'!U10</f>
        <v>-257480.49275651621</v>
      </c>
      <c r="W66" s="148">
        <f>-'Recursos Hidricos'!V10</f>
        <v>-258155.25972359488</v>
      </c>
      <c r="X66" s="148">
        <f>-'Recursos Hidricos'!W10</f>
        <v>-259580.17235056366</v>
      </c>
      <c r="Y66" s="148">
        <f>-'Recursos Hidricos'!X10</f>
        <v>-261014.83203088859</v>
      </c>
      <c r="Z66" s="148">
        <f>-'Recursos Hidricos'!Y10</f>
        <v>-262332.17182525905</v>
      </c>
      <c r="AA66" s="148">
        <f>-'Recursos Hidricos'!Z10</f>
        <v>-263590.69625666703</v>
      </c>
      <c r="AB66" s="148">
        <f>-'Recursos Hidricos'!AA10</f>
        <v>-264797.55464443075</v>
      </c>
      <c r="AC66" s="148">
        <f>-'Recursos Hidricos'!AB10</f>
        <v>-265957.58721094584</v>
      </c>
      <c r="AD66" s="148">
        <f>-'Recursos Hidricos'!AC10</f>
        <v>-267061.04690285609</v>
      </c>
      <c r="AE66" s="148">
        <f>-'Recursos Hidricos'!AD10</f>
        <v>-268195.52398323681</v>
      </c>
      <c r="AF66" s="148">
        <f>-'Recursos Hidricos'!AE10</f>
        <v>-269149.71388081089</v>
      </c>
      <c r="AG66" s="148">
        <f>-'Recursos Hidricos'!AF10</f>
        <v>-270171.84451476281</v>
      </c>
      <c r="AH66" s="148">
        <f>-'Recursos Hidricos'!AG10</f>
        <v>-271056.00660758658</v>
      </c>
      <c r="AI66" s="148">
        <f>-'Recursos Hidricos'!AH10</f>
        <v>-271951.0925050829</v>
      </c>
      <c r="AJ66" s="148">
        <f>-'Recursos Hidricos'!AI10</f>
        <v>-272805.39175789739</v>
      </c>
      <c r="AK66" s="148">
        <f>-'Recursos Hidricos'!AJ10</f>
        <v>-273572.47819617193</v>
      </c>
      <c r="AL66" s="148">
        <f>-'Recursos Hidricos'!AK10</f>
        <v>-274347.24682228523</v>
      </c>
      <c r="AM66" s="148">
        <f>-'Recursos Hidricos'!AL10</f>
        <v>-274979.36210486002</v>
      </c>
      <c r="AN66" s="148">
        <f>-'Recursos Hidricos'!AM10</f>
        <v>-274489.67813727353</v>
      </c>
      <c r="AO66" s="468">
        <f t="shared" si="93"/>
        <v>-8916673.8607600927</v>
      </c>
      <c r="AP66" s="71"/>
      <c r="AQ66" s="71"/>
      <c r="AR66" s="23"/>
      <c r="AS66" s="28"/>
    </row>
    <row r="67" spans="1:45" ht="14.4" x14ac:dyDescent="0.3">
      <c r="A67" s="66"/>
      <c r="B67" s="466" t="s">
        <v>349</v>
      </c>
      <c r="C67" s="513"/>
      <c r="D67" s="4"/>
      <c r="E67" s="101"/>
      <c r="F67" s="148" cm="1">
        <f t="array" ref="F67">SUM(F55:F66*2%)</f>
        <v>-236316.81323024008</v>
      </c>
      <c r="G67" s="148" cm="1">
        <f t="array" ref="G67">SUM(G55:G66*2%)</f>
        <v>-263365.73013304506</v>
      </c>
      <c r="H67" s="148" cm="1">
        <f t="array" ref="H67">SUM(H55:H66*2%)</f>
        <v>-301302.21851266688</v>
      </c>
      <c r="I67" s="148" cm="1">
        <f t="array" ref="I67">SUM(I55:I66*2%)</f>
        <v>-341928.75199681433</v>
      </c>
      <c r="J67" s="148" cm="1">
        <f t="array" ref="J67">SUM(J55:J66*2%)</f>
        <v>-371479.24232409149</v>
      </c>
      <c r="K67" s="148" cm="1">
        <f t="array" ref="K67">SUM(K55:K66*2%)</f>
        <v>-405471.86958615569</v>
      </c>
      <c r="L67" s="148" cm="1">
        <f t="array" ref="L67">SUM(L55:L66*2%)</f>
        <v>-430484.16674278065</v>
      </c>
      <c r="M67" s="148" cm="1">
        <f t="array" ref="M67">SUM(M55:M66*2%)</f>
        <v>-445622.84360812703</v>
      </c>
      <c r="N67" s="148" cm="1">
        <f t="array" ref="N67">SUM(N55:N66*2%)</f>
        <v>-463896.27522289229</v>
      </c>
      <c r="O67" s="148" cm="1">
        <f t="array" ref="O67">SUM(O55:O66*2%)</f>
        <v>-497834.31803088199</v>
      </c>
      <c r="P67" s="148" cm="1">
        <f t="array" ref="P67">SUM(P55:P66*2%)</f>
        <v>-501144.75546779769</v>
      </c>
      <c r="Q67" s="148" cm="1">
        <f t="array" ref="Q67">SUM(Q55:Q66*2%)</f>
        <v>-504607.02530292072</v>
      </c>
      <c r="R67" s="148" cm="1">
        <f t="array" ref="R67">SUM(R55:R66*2%)</f>
        <v>-506384.5254056952</v>
      </c>
      <c r="S67" s="148" cm="1">
        <f t="array" ref="S67">SUM(S55:S66*2%)</f>
        <v>-512276.80549443344</v>
      </c>
      <c r="T67" s="148" cm="1">
        <f t="array" ref="T67">SUM(T55:T66*2%)</f>
        <v>-518174.91224826209</v>
      </c>
      <c r="U67" s="148" cm="1">
        <f t="array" ref="U67">SUM(U55:U66*2%)</f>
        <v>-509507.8276169353</v>
      </c>
      <c r="V67" s="148" cm="1">
        <f t="array" ref="V67">SUM(V55:V66*2%)</f>
        <v>-532366.62450713036</v>
      </c>
      <c r="W67" s="148" cm="1">
        <f t="array" ref="W67">SUM(W55:W66*2%)</f>
        <v>-528414.4072317637</v>
      </c>
      <c r="X67" s="148" cm="1">
        <f t="array" ref="X67">SUM(X55:X66*2%)</f>
        <v>-537310.86767230032</v>
      </c>
      <c r="Y67" s="148" cm="1">
        <f t="array" ref="Y67">SUM(Y55:Y66*2%)</f>
        <v>-542726.6962096676</v>
      </c>
      <c r="Z67" s="148" cm="1">
        <f t="array" ref="Z67">SUM(Z55:Z66*2%)</f>
        <v>-541227.67740853853</v>
      </c>
      <c r="AA67" s="148" cm="1">
        <f t="array" ref="AA67">SUM(AA55:AA66*2%)</f>
        <v>-546588.65221095341</v>
      </c>
      <c r="AB67" s="148" cm="1">
        <f t="array" ref="AB67">SUM(AB55:AB66*2%)</f>
        <v>-547118.30020274082</v>
      </c>
      <c r="AC67" s="148" cm="1">
        <f t="array" ref="AC67">SUM(AC55:AC66*2%)</f>
        <v>-552488.25236597063</v>
      </c>
      <c r="AD67" s="148" cm="1">
        <f t="array" ref="AD67">SUM(AD55:AD66*2%)</f>
        <v>-556744.55653770606</v>
      </c>
      <c r="AE67" s="148" cm="1">
        <f t="array" ref="AE67">SUM(AE55:AE66*2%)</f>
        <v>-555202.26698855101</v>
      </c>
      <c r="AF67" s="148" cm="1">
        <f t="array" ref="AF67">SUM(AF55:AF66*2%)</f>
        <v>-562152.04372917267</v>
      </c>
      <c r="AG67" s="148" cm="1">
        <f t="array" ref="AG67">SUM(AG55:AG66*2%)</f>
        <v>-560515.77066737984</v>
      </c>
      <c r="AH67" s="148" cm="1">
        <f t="array" ref="AH67">SUM(AH55:AH66*2%)</f>
        <v>-572288.00235925429</v>
      </c>
      <c r="AI67" s="148" cm="1">
        <f t="array" ref="AI67">SUM(AI55:AI66*2%)</f>
        <v>-577832.72631677985</v>
      </c>
      <c r="AJ67" s="148" cm="1">
        <f t="array" ref="AJ67">SUM(AJ55:AJ66*2%)</f>
        <v>-583422.28269510763</v>
      </c>
      <c r="AK67" s="148" cm="1">
        <f t="array" ref="AK67">SUM(AK55:AK66*2%)</f>
        <v>-589014.56711506308</v>
      </c>
      <c r="AL67" s="148" cm="1">
        <f t="array" ref="AL67">SUM(AL55:AL66*2%)</f>
        <v>-594696.92839373753</v>
      </c>
      <c r="AM67" s="148" cm="1">
        <f t="array" ref="AM67">SUM(AM55:AM66*2%)</f>
        <v>-599176.88656975236</v>
      </c>
      <c r="AN67" s="148" cm="1">
        <f t="array" ref="AN67">SUM(AN55:AN66*2%)</f>
        <v>-603874.04806309554</v>
      </c>
      <c r="AO67" s="468">
        <f t="shared" si="93"/>
        <v>-17492959.638168406</v>
      </c>
      <c r="AP67" s="71"/>
      <c r="AQ67" s="71"/>
      <c r="AR67" s="23"/>
      <c r="AS67" s="28"/>
    </row>
    <row r="68" spans="1:45" ht="14.4" x14ac:dyDescent="0.3">
      <c r="A68" s="66"/>
      <c r="B68" s="466"/>
      <c r="C68" s="4"/>
      <c r="D68" s="4"/>
      <c r="E68" s="101"/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1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512"/>
      <c r="AK68" s="512"/>
      <c r="AL68" s="512"/>
      <c r="AM68" s="512"/>
      <c r="AN68" s="512"/>
      <c r="AO68" s="510"/>
      <c r="AP68" s="71"/>
      <c r="AQ68" s="71"/>
      <c r="AR68" s="23"/>
      <c r="AS68" s="28"/>
    </row>
    <row r="69" spans="1:45" ht="14.4" x14ac:dyDescent="0.3">
      <c r="A69" s="66"/>
      <c r="B69" s="466" t="s">
        <v>350</v>
      </c>
      <c r="C69" s="513"/>
      <c r="D69" s="4"/>
      <c r="E69" s="101"/>
      <c r="F69" s="148">
        <f>F71+F72+F73+F74</f>
        <v>-874942.37982627703</v>
      </c>
      <c r="G69" s="148">
        <f t="shared" ref="G69:AI69" si="97">G71+G72+G73+G74</f>
        <v>-1108113.6553697337</v>
      </c>
      <c r="H69" s="148">
        <f t="shared" si="97"/>
        <v>-1089429.7965182979</v>
      </c>
      <c r="I69" s="148">
        <f t="shared" si="97"/>
        <v>-1089771.5026262272</v>
      </c>
      <c r="J69" s="148">
        <f t="shared" si="97"/>
        <v>-1095592.6838576482</v>
      </c>
      <c r="K69" s="148">
        <f t="shared" si="97"/>
        <v>-935499.67221008264</v>
      </c>
      <c r="L69" s="148">
        <f t="shared" si="97"/>
        <v>-937463.99787130556</v>
      </c>
      <c r="M69" s="148">
        <f t="shared" si="97"/>
        <v>-904883.89074265235</v>
      </c>
      <c r="N69" s="148">
        <f t="shared" si="97"/>
        <v>-905733.7622310454</v>
      </c>
      <c r="O69" s="148">
        <f t="shared" si="97"/>
        <v>-907692.30410700152</v>
      </c>
      <c r="P69" s="148">
        <f t="shared" si="97"/>
        <v>-468847.60110729159</v>
      </c>
      <c r="Q69" s="148">
        <f t="shared" si="97"/>
        <v>-468595.68892011209</v>
      </c>
      <c r="R69" s="148">
        <f t="shared" si="97"/>
        <v>-444859.22855299211</v>
      </c>
      <c r="S69" s="148">
        <f t="shared" si="97"/>
        <v>-444496.16665910423</v>
      </c>
      <c r="T69" s="148">
        <f t="shared" si="97"/>
        <v>-444185.93481588317</v>
      </c>
      <c r="U69" s="148">
        <f t="shared" si="97"/>
        <v>-442829.80570967688</v>
      </c>
      <c r="V69" s="148">
        <f t="shared" si="97"/>
        <v>-443737.48710376793</v>
      </c>
      <c r="W69" s="148">
        <f t="shared" si="97"/>
        <v>-442772.33484215848</v>
      </c>
      <c r="X69" s="148">
        <f t="shared" si="97"/>
        <v>-442775.38177897251</v>
      </c>
      <c r="Y69" s="148">
        <f t="shared" si="97"/>
        <v>-442489.78045158373</v>
      </c>
      <c r="Z69" s="148">
        <f t="shared" si="97"/>
        <v>-441753.19911551225</v>
      </c>
      <c r="AA69" s="148">
        <f t="shared" si="97"/>
        <v>-441561.6318496241</v>
      </c>
      <c r="AB69" s="148">
        <f t="shared" si="97"/>
        <v>-441068.69801711838</v>
      </c>
      <c r="AC69" s="148">
        <f t="shared" si="97"/>
        <v>-440884.62569805555</v>
      </c>
      <c r="AD69" s="148">
        <f t="shared" si="97"/>
        <v>-440666.14589301957</v>
      </c>
      <c r="AE69" s="148">
        <f t="shared" si="97"/>
        <v>-586240.26803763374</v>
      </c>
      <c r="AF69" s="148">
        <f t="shared" si="97"/>
        <v>-586267.61276032426</v>
      </c>
      <c r="AG69" s="148">
        <f t="shared" si="97"/>
        <v>-585678.41041880311</v>
      </c>
      <c r="AH69" s="148">
        <f t="shared" si="97"/>
        <v>-586052.04598663317</v>
      </c>
      <c r="AI69" s="148">
        <f t="shared" si="97"/>
        <v>-586030.9083285752</v>
      </c>
      <c r="AJ69" s="148">
        <f t="shared" ref="AJ69:AN69" si="98">AJ71+AJ72+AJ73+AJ74</f>
        <v>-586058.55134599016</v>
      </c>
      <c r="AK69" s="148">
        <f t="shared" si="98"/>
        <v>-586047.67921011825</v>
      </c>
      <c r="AL69" s="148">
        <f t="shared" si="98"/>
        <v>-586088.83666231739</v>
      </c>
      <c r="AM69" s="148">
        <f t="shared" si="98"/>
        <v>-586200.88690102065</v>
      </c>
      <c r="AN69" s="148">
        <f t="shared" si="98"/>
        <v>-572491.85860753455</v>
      </c>
      <c r="AO69" s="468">
        <f t="shared" si="93"/>
        <v>-22387804.414134096</v>
      </c>
      <c r="AP69" s="71"/>
      <c r="AQ69" s="71"/>
      <c r="AR69" s="23"/>
      <c r="AS69" s="28"/>
    </row>
    <row r="70" spans="1:45" ht="14.4" x14ac:dyDescent="0.3">
      <c r="A70" s="66"/>
      <c r="B70" s="466"/>
      <c r="C70" s="4"/>
      <c r="D70" s="4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1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101"/>
      <c r="AO70" s="510"/>
      <c r="AP70" s="71"/>
      <c r="AQ70" s="71"/>
      <c r="AR70" s="23"/>
      <c r="AS70" s="28"/>
    </row>
    <row r="71" spans="1:45" ht="14.4" x14ac:dyDescent="0.3">
      <c r="A71" s="66"/>
      <c r="B71" s="466" t="s">
        <v>476</v>
      </c>
      <c r="C71" s="518"/>
      <c r="D71"/>
      <c r="E71" s="101"/>
      <c r="F71" s="148">
        <f>'Seguros e Garantias'!$I$4*F48</f>
        <v>-29455.347019000001</v>
      </c>
      <c r="G71" s="148">
        <f>'Seguros e Garantias'!$I$4*G48</f>
        <v>-260684.29393750004</v>
      </c>
      <c r="H71" s="148">
        <f>'Seguros e Garantias'!$I$4*H48</f>
        <v>-239276.2917285001</v>
      </c>
      <c r="I71" s="148">
        <f>'Seguros e Garantias'!$I$4*I48</f>
        <v>-236700.68772000002</v>
      </c>
      <c r="J71" s="148">
        <f>'Seguros e Garantias'!$I$4*J48</f>
        <v>-240399.90734200002</v>
      </c>
      <c r="K71" s="148">
        <f>'Seguros e Garantias'!$I$4*K48</f>
        <v>-77865.95311599999</v>
      </c>
      <c r="L71" s="148">
        <f>'Seguros e Garantias'!$I$4*L48</f>
        <v>-78034.195743000004</v>
      </c>
      <c r="M71" s="148">
        <f>'Seguros e Garantias'!$I$4*M48</f>
        <v>-44367.010505999999</v>
      </c>
      <c r="N71" s="148">
        <f>'Seguros e Garantias'!$I$4*N48</f>
        <v>-43904.703416999997</v>
      </c>
      <c r="O71" s="148">
        <f>'Seguros e Garantias'!$I$4*O48</f>
        <v>-43426.222315000006</v>
      </c>
      <c r="P71" s="148">
        <f>'Seguros e Garantias'!$I$4*P48</f>
        <v>-42970.765526500007</v>
      </c>
      <c r="Q71" s="148">
        <f>'Seguros e Garantias'!$I$4*Q48</f>
        <v>-42470.234666999997</v>
      </c>
      <c r="R71" s="148">
        <f>'Seguros e Garantias'!$I$4*R48</f>
        <v>-18606.135572499999</v>
      </c>
      <c r="S71" s="148">
        <f>'Seguros e Garantias'!$I$4*S48</f>
        <v>-17819.960830000007</v>
      </c>
      <c r="T71" s="148">
        <f>'Seguros e Garantias'!$I$4*T48</f>
        <v>-17086.197736999999</v>
      </c>
      <c r="U71" s="148">
        <f>'Seguros e Garantias'!$I$4*U48</f>
        <v>-16352.434643999999</v>
      </c>
      <c r="V71" s="148">
        <f>'Seguros e Garantias'!$I$4*V48</f>
        <v>-15618.671551000001</v>
      </c>
      <c r="W71" s="148">
        <f>'Seguros e Garantias'!$I$4*W48</f>
        <v>-14937.320107499998</v>
      </c>
      <c r="X71" s="148">
        <f>'Seguros e Garantias'!$I$4*X48</f>
        <v>-14301.530013</v>
      </c>
      <c r="Y71" s="148">
        <f>'Seguros e Garantias'!$I$4*Y48</f>
        <v>-13627.028869999998</v>
      </c>
      <c r="Z71" s="148">
        <f>'Seguros e Garantias'!$I$4*Z48</f>
        <v>-12998.089076</v>
      </c>
      <c r="AA71" s="148">
        <f>'Seguros e Garantias'!$I$4*AA48</f>
        <v>-12421.5609315</v>
      </c>
      <c r="AB71" s="148">
        <f>'Seguros e Garantias'!$I$4*AB48</f>
        <v>-11890.594136000002</v>
      </c>
      <c r="AC71" s="148">
        <f>'Seguros e Garantias'!$I$4*AC48</f>
        <v>-11320.916292000002</v>
      </c>
      <c r="AD71" s="148">
        <f>'Seguros e Garantias'!$I$4*AD48</f>
        <v>-10796.799797</v>
      </c>
      <c r="AE71" s="148">
        <f>'Seguros e Garantias'!$I$4*AE48</f>
        <v>-10272.683302000003</v>
      </c>
      <c r="AF71" s="148">
        <f>'Seguros e Garantias'!$I$4*AF48</f>
        <v>-9800.9784565000027</v>
      </c>
      <c r="AG71" s="148">
        <f>'Seguros e Garantias'!$I$4*AG48</f>
        <v>-9329.2736110000023</v>
      </c>
      <c r="AH71" s="148">
        <f>'Seguros e Garantias'!$I$4*AH48</f>
        <v>-8857.568765500002</v>
      </c>
      <c r="AI71" s="148">
        <f>'Seguros e Garantias'!$I$4*AI48</f>
        <v>-8438.2755695000014</v>
      </c>
      <c r="AJ71" s="148">
        <f>'Seguros e Garantias'!$I$4*AJ48</f>
        <v>-8064.5437225000014</v>
      </c>
      <c r="AK71" s="148">
        <f>'Seguros e Garantias'!$I$4*AK48</f>
        <v>-7652.100827000002</v>
      </c>
      <c r="AL71" s="148">
        <f>'Seguros e Garantias'!$I$4*AL48</f>
        <v>-7285.2192805000004</v>
      </c>
      <c r="AM71" s="148">
        <f>'Seguros e Garantias'!$I$4*AM48</f>
        <v>-7075.572682500002</v>
      </c>
      <c r="AN71" s="148">
        <f>'Seguros e Garantias'!$I$4*AN48</f>
        <v>6970.7493835000014</v>
      </c>
      <c r="AO71" s="468">
        <f>+SUM(F71:AN71)</f>
        <v>-1637138.3194285</v>
      </c>
      <c r="AP71" s="71"/>
      <c r="AQ71" s="71"/>
      <c r="AR71" s="23"/>
      <c r="AS71" s="28"/>
    </row>
    <row r="72" spans="1:45" ht="14.4" x14ac:dyDescent="0.3">
      <c r="A72" s="66"/>
      <c r="B72" s="466" t="s">
        <v>477</v>
      </c>
      <c r="C72" s="518"/>
      <c r="D72" s="4"/>
      <c r="E72" s="101"/>
      <c r="F72" s="148">
        <f>-'Seguros e Garantias'!D32</f>
        <v>-731044.93683779996</v>
      </c>
      <c r="G72" s="148">
        <f>-'Seguros e Garantias'!E32</f>
        <v>-731044.93683779996</v>
      </c>
      <c r="H72" s="148">
        <f>-'Seguros e Garantias'!F32</f>
        <v>-731044.93683779996</v>
      </c>
      <c r="I72" s="148">
        <f>-'Seguros e Garantias'!G32</f>
        <v>-731044.93683779996</v>
      </c>
      <c r="J72" s="148">
        <f>-'Seguros e Garantias'!H32</f>
        <v>-731044.93683779996</v>
      </c>
      <c r="K72" s="148">
        <f>-'Seguros e Garantias'!I32</f>
        <v>-731044.93683779996</v>
      </c>
      <c r="L72" s="148">
        <f>-'Seguros e Garantias'!J32</f>
        <v>-731044.93683779996</v>
      </c>
      <c r="M72" s="148">
        <f>-'Seguros e Garantias'!K32</f>
        <v>-731044.93683779996</v>
      </c>
      <c r="N72" s="148">
        <f>-'Seguros e Garantias'!L32</f>
        <v>-731044.93683779996</v>
      </c>
      <c r="O72" s="148">
        <f>-'Seguros e Garantias'!M32</f>
        <v>-731044.93683779996</v>
      </c>
      <c r="P72" s="148">
        <f>-'Seguros e Garantias'!N32</f>
        <v>-292417.97473511996</v>
      </c>
      <c r="Q72" s="148">
        <f>-'Seguros e Garantias'!O32</f>
        <v>-292417.97473511996</v>
      </c>
      <c r="R72" s="148">
        <f>-'Seguros e Garantias'!P32</f>
        <v>-292417.97473511996</v>
      </c>
      <c r="S72" s="148">
        <f>-'Seguros e Garantias'!Q32</f>
        <v>-292417.97473511996</v>
      </c>
      <c r="T72" s="148">
        <f>-'Seguros e Garantias'!R32</f>
        <v>-292417.97473511996</v>
      </c>
      <c r="U72" s="148">
        <f>-'Seguros e Garantias'!S32</f>
        <v>-292417.97473511996</v>
      </c>
      <c r="V72" s="148">
        <f>-'Seguros e Garantias'!T32</f>
        <v>-292417.97473511996</v>
      </c>
      <c r="W72" s="148">
        <f>-'Seguros e Garantias'!U32</f>
        <v>-292417.97473511996</v>
      </c>
      <c r="X72" s="148">
        <f>-'Seguros e Garantias'!V32</f>
        <v>-292417.97473511996</v>
      </c>
      <c r="Y72" s="148">
        <f>-'Seguros e Garantias'!W32</f>
        <v>-292417.97473511996</v>
      </c>
      <c r="Z72" s="148">
        <f>-'Seguros e Garantias'!X32</f>
        <v>-292417.97473511996</v>
      </c>
      <c r="AA72" s="148">
        <f>-'Seguros e Garantias'!Y32</f>
        <v>-292417.97473511996</v>
      </c>
      <c r="AB72" s="148">
        <f>-'Seguros e Garantias'!Z32</f>
        <v>-292417.97473511996</v>
      </c>
      <c r="AC72" s="148">
        <f>-'Seguros e Garantias'!AA32</f>
        <v>-292417.97473511996</v>
      </c>
      <c r="AD72" s="148">
        <f>-'Seguros e Garantias'!AB32</f>
        <v>-292417.97473511996</v>
      </c>
      <c r="AE72" s="148">
        <f>-'Seguros e Garantias'!AC32</f>
        <v>-438626.96210267988</v>
      </c>
      <c r="AF72" s="148">
        <f>-'Seguros e Garantias'!AD32</f>
        <v>-438626.96210267988</v>
      </c>
      <c r="AG72" s="148">
        <f>-'Seguros e Garantias'!AE32</f>
        <v>-438626.96210267988</v>
      </c>
      <c r="AH72" s="148">
        <f>-'Seguros e Garantias'!AF32</f>
        <v>-438626.96210267988</v>
      </c>
      <c r="AI72" s="148">
        <f>-'Seguros e Garantias'!AG32</f>
        <v>-438626.96210267988</v>
      </c>
      <c r="AJ72" s="148">
        <f>-'Seguros e Garantias'!AH32</f>
        <v>-438626.96210267988</v>
      </c>
      <c r="AK72" s="148">
        <f>-'Seguros e Garantias'!AI32</f>
        <v>-438626.96210267988</v>
      </c>
      <c r="AL72" s="148">
        <f>-'Seguros e Garantias'!AJ32</f>
        <v>-438626.96210267988</v>
      </c>
      <c r="AM72" s="148">
        <f>-'Seguros e Garantias'!AK32</f>
        <v>-438626.96210267988</v>
      </c>
      <c r="AN72" s="148">
        <f>-'Seguros e Garantias'!AL32</f>
        <v>-438626.96210267988</v>
      </c>
      <c r="AO72" s="468">
        <f t="shared" si="93"/>
        <v>-16082988.610431598</v>
      </c>
      <c r="AP72" s="71"/>
      <c r="AQ72" s="71"/>
      <c r="AR72" s="23"/>
      <c r="AS72" s="28"/>
    </row>
    <row r="73" spans="1:45" ht="14.4" x14ac:dyDescent="0.3">
      <c r="A73" s="66"/>
      <c r="B73" s="466" t="s">
        <v>478</v>
      </c>
      <c r="C73" s="518"/>
      <c r="D73" s="4"/>
      <c r="E73" s="101"/>
      <c r="F73" s="148">
        <f>-'Seguros e Garantias'!D26</f>
        <v>-97472.658245039987</v>
      </c>
      <c r="G73" s="148">
        <f>-'Seguros e Garantias'!E26</f>
        <v>-97472.658245039987</v>
      </c>
      <c r="H73" s="148">
        <f>-'Seguros e Garantias'!F26</f>
        <v>-97472.658245039987</v>
      </c>
      <c r="I73" s="148">
        <f>-'Seguros e Garantias'!G26</f>
        <v>-97472.658245039987</v>
      </c>
      <c r="J73" s="148">
        <f>-'Seguros e Garantias'!H26</f>
        <v>-97472.658245039987</v>
      </c>
      <c r="K73" s="148">
        <f>-'Seguros e Garantias'!I26</f>
        <v>-97472.658245039987</v>
      </c>
      <c r="L73" s="148">
        <f>-'Seguros e Garantias'!J26</f>
        <v>-97472.658245039987</v>
      </c>
      <c r="M73" s="148">
        <f>-'Seguros e Garantias'!K26</f>
        <v>-97472.658245039987</v>
      </c>
      <c r="N73" s="148">
        <f>-'Seguros e Garantias'!L26</f>
        <v>-97472.658245039987</v>
      </c>
      <c r="O73" s="148">
        <f>-'Seguros e Garantias'!M26</f>
        <v>-97472.658245039987</v>
      </c>
      <c r="P73" s="148">
        <f>-'Seguros e Garantias'!N26</f>
        <v>-97472.658245039987</v>
      </c>
      <c r="Q73" s="148">
        <f>-'Seguros e Garantias'!O26</f>
        <v>-97472.658245039987</v>
      </c>
      <c r="R73" s="148">
        <f>-'Seguros e Garantias'!P26</f>
        <v>-97472.658245039987</v>
      </c>
      <c r="S73" s="148">
        <f>-'Seguros e Garantias'!Q26</f>
        <v>-97472.658245039987</v>
      </c>
      <c r="T73" s="148">
        <f>-'Seguros e Garantias'!R26</f>
        <v>-97472.658245039987</v>
      </c>
      <c r="U73" s="148">
        <f>-'Seguros e Garantias'!S26</f>
        <v>-97472.658245039987</v>
      </c>
      <c r="V73" s="148">
        <f>-'Seguros e Garantias'!T26</f>
        <v>-97472.658245039987</v>
      </c>
      <c r="W73" s="148">
        <f>-'Seguros e Garantias'!U26</f>
        <v>-97472.658245039987</v>
      </c>
      <c r="X73" s="148">
        <f>-'Seguros e Garantias'!V26</f>
        <v>-97472.658245039987</v>
      </c>
      <c r="Y73" s="148">
        <f>-'Seguros e Garantias'!W26</f>
        <v>-97472.658245039987</v>
      </c>
      <c r="Z73" s="148">
        <f>-'Seguros e Garantias'!X26</f>
        <v>-97472.658245039987</v>
      </c>
      <c r="AA73" s="148">
        <f>-'Seguros e Garantias'!Y26</f>
        <v>-97472.658245039987</v>
      </c>
      <c r="AB73" s="148">
        <f>-'Seguros e Garantias'!Z26</f>
        <v>-97472.658245039987</v>
      </c>
      <c r="AC73" s="148">
        <f>-'Seguros e Garantias'!AA26</f>
        <v>-97472.658245039987</v>
      </c>
      <c r="AD73" s="148">
        <f>-'Seguros e Garantias'!AB26</f>
        <v>-97472.658245039987</v>
      </c>
      <c r="AE73" s="148">
        <f>-'Seguros e Garantias'!AC26</f>
        <v>-97472.658245039987</v>
      </c>
      <c r="AF73" s="148">
        <f>-'Seguros e Garantias'!AD26</f>
        <v>-97472.658245039987</v>
      </c>
      <c r="AG73" s="148">
        <f>-'Seguros e Garantias'!AE26</f>
        <v>-97472.658245039987</v>
      </c>
      <c r="AH73" s="148">
        <f>-'Seguros e Garantias'!AF26</f>
        <v>-97472.658245039987</v>
      </c>
      <c r="AI73" s="148">
        <f>-'Seguros e Garantias'!AG26</f>
        <v>-97472.658245039987</v>
      </c>
      <c r="AJ73" s="148">
        <f>-'Seguros e Garantias'!AH26</f>
        <v>-97472.658245039987</v>
      </c>
      <c r="AK73" s="148">
        <f>-'Seguros e Garantias'!AI26</f>
        <v>-97472.658245039987</v>
      </c>
      <c r="AL73" s="148">
        <f>-'Seguros e Garantias'!AJ26</f>
        <v>-97472.658245039987</v>
      </c>
      <c r="AM73" s="148">
        <f>-'Seguros e Garantias'!AK26</f>
        <v>-97472.658245039987</v>
      </c>
      <c r="AN73" s="148">
        <f>-'Seguros e Garantias'!AL26</f>
        <v>-97472.658245039987</v>
      </c>
      <c r="AO73" s="468">
        <f t="shared" si="93"/>
        <v>-3411543.0385764022</v>
      </c>
      <c r="AP73" s="71"/>
      <c r="AQ73" s="71"/>
      <c r="AR73" s="23"/>
      <c r="AS73" s="28"/>
    </row>
    <row r="74" spans="1:45" ht="14.4" x14ac:dyDescent="0.3">
      <c r="A74" s="66"/>
      <c r="B74" s="466" t="s">
        <v>479</v>
      </c>
      <c r="C74" s="518"/>
      <c r="D74" s="4"/>
      <c r="E74" s="101"/>
      <c r="F74" s="148">
        <f>(F55+F56+F57+F58+F59+F60+F61+F62+F63+F64+F65+F66+F67)*'Seguros e Garantias'!$I$6</f>
        <v>-16969.437724437084</v>
      </c>
      <c r="G74" s="148">
        <f>(G55+G56+G57+G58+G59+G60+G61+G62+G63+G64+G65+G66+G67)*'Seguros e Garantias'!$I$6</f>
        <v>-18911.766349393696</v>
      </c>
      <c r="H74" s="148">
        <f>(H55+H56+H57+H58+H59+H60+H61+H62+H63+H64+H65+H66+H67)*'Seguros e Garantias'!$I$6</f>
        <v>-21635.909706957584</v>
      </c>
      <c r="I74" s="148">
        <f>(I55+I56+I57+I58+I59+I60+I61+I62+I63+I64+I65+I66+I67)*'Seguros e Garantias'!$I$6</f>
        <v>-24553.219823387248</v>
      </c>
      <c r="J74" s="148">
        <f>(J55+J56+J57+J58+J59+J60+J61+J62+J63+J64+J65+J66+J67)*'Seguros e Garantias'!$I$6</f>
        <v>-26675.181432808364</v>
      </c>
      <c r="K74" s="148">
        <f>(K55+K56+K57+K58+K59+K60+K61+K62+K63+K64+K65+K66+K67)*'Seguros e Garantias'!$I$6</f>
        <v>-29116.124011242679</v>
      </c>
      <c r="L74" s="148">
        <f>(L55+L56+L57+L58+L59+L60+L61+L62+L63+L64+L65+L66+L67)*'Seguros e Garantias'!$I$6</f>
        <v>-30912.207045465606</v>
      </c>
      <c r="M74" s="148">
        <f>(M55+M56+M57+M58+M59+M60+M61+M62+M63+M64+M65+M66+M67)*'Seguros e Garantias'!$I$6</f>
        <v>-31999.285153812383</v>
      </c>
      <c r="N74" s="148">
        <f>(N55+N56+N57+N58+N59+N60+N61+N62+N63+N64+N65+N66+N67)*'Seguros e Garantias'!$I$6</f>
        <v>-33311.463731205455</v>
      </c>
      <c r="O74" s="148">
        <f>(O55+O56+O57+O58+O59+O60+O61+O62+O63+O64+O65+O66+O67)*'Seguros e Garantias'!$I$6</f>
        <v>-35748.486709161582</v>
      </c>
      <c r="P74" s="148">
        <f>(P55+P56+P57+P58+P59+P60+P61+P62+P63+P64+P65+P66+P67)*'Seguros e Garantias'!$I$6</f>
        <v>-35986.20260063163</v>
      </c>
      <c r="Q74" s="148">
        <f>(Q55+Q56+Q57+Q58+Q59+Q60+Q61+Q62+Q63+Q64+Q65+Q66+Q67)*'Seguros e Garantias'!$I$6</f>
        <v>-36234.821272952133</v>
      </c>
      <c r="R74" s="148">
        <f>(R55+R56+R57+R58+R59+R60+R61+R62+R63+R64+R65+R66+R67)*'Seguros e Garantias'!$I$6</f>
        <v>-36362.460000332161</v>
      </c>
      <c r="S74" s="148">
        <f>(S55+S56+S57+S58+S59+S60+S61+S62+S63+S64+S65+S66+S67)*'Seguros e Garantias'!$I$6</f>
        <v>-36785.572848944284</v>
      </c>
      <c r="T74" s="148">
        <f>(T55+T56+T57+T58+T59+T60+T61+T62+T63+T64+T65+T66+T67)*'Seguros e Garantias'!$I$6</f>
        <v>-37209.104098723205</v>
      </c>
      <c r="U74" s="148">
        <f>(U55+U56+U57+U58+U59+U60+U61+U62+U63+U64+U65+U66+U67)*'Seguros e Garantias'!$I$6</f>
        <v>-36586.738085516881</v>
      </c>
      <c r="V74" s="148">
        <f>(V55+V56+V57+V58+V59+V60+V61+V62+V63+V64+V65+V66+V67)*'Seguros e Garantias'!$I$6</f>
        <v>-38228.182572608021</v>
      </c>
      <c r="W74" s="148">
        <f>(W55+W56+W57+W58+W59+W60+W61+W62+W63+W64+W65+W66+W67)*'Seguros e Garantias'!$I$6</f>
        <v>-37944.381754498492</v>
      </c>
      <c r="X74" s="148">
        <f>(X55+X56+X57+X58+X59+X60+X61+X62+X63+X64+X65+X66+X67)*'Seguros e Garantias'!$I$6</f>
        <v>-38583.21878581254</v>
      </c>
      <c r="Y74" s="148">
        <f>(Y55+Y56+Y57+Y58+Y59+Y60+Y61+Y62+Y63+Y64+Y65+Y66+Y67)*'Seguros e Garantias'!$I$6</f>
        <v>-38972.118601423812</v>
      </c>
      <c r="Z74" s="148">
        <f>(Z55+Z56+Z57+Z58+Z59+Z60+Z61+Z62+Z63+Z64+Z65+Z66+Z67)*'Seguros e Garantias'!$I$6</f>
        <v>-38864.477059352343</v>
      </c>
      <c r="AA74" s="148">
        <f>(AA55+AA56+AA57+AA58+AA59+AA60+AA61+AA62+AA63+AA64+AA65+AA66+AA67)*'Seguros e Garantias'!$I$6</f>
        <v>-39249.437937964147</v>
      </c>
      <c r="AB74" s="148">
        <f>(AB55+AB56+AB57+AB58+AB59+AB60+AB61+AB62+AB63+AB64+AB65+AB66+AB67)*'Seguros e Garantias'!$I$6</f>
        <v>-39287.470900958426</v>
      </c>
      <c r="AC74" s="148">
        <f>(AC55+AC56+AC57+AC58+AC59+AC60+AC61+AC62+AC63+AC64+AC65+AC66+AC67)*'Seguros e Garantias'!$I$6</f>
        <v>-39673.076425895619</v>
      </c>
      <c r="AD74" s="148">
        <f>(AD55+AD56+AD57+AD58+AD59+AD60+AD61+AD62+AD63+AD64+AD65+AD66+AD67)*'Seguros e Garantias'!$I$6</f>
        <v>-39978.713115859602</v>
      </c>
      <c r="AE74" s="148">
        <f>(AE55+AE56+AE57+AE58+AE59+AE60+AE61+AE62+AE63+AE64+AE65+AE66+AE67)*'Seguros e Garantias'!$I$6</f>
        <v>-39867.964387913875</v>
      </c>
      <c r="AF74" s="148">
        <f>(AF55+AF56+AF57+AF58+AF59+AF60+AF61+AF62+AF63+AF64+AF65+AF66+AF67)*'Seguros e Garantias'!$I$6</f>
        <v>-40367.013956104427</v>
      </c>
      <c r="AG74" s="148">
        <f>(AG55+AG56+AG57+AG58+AG59+AG60+AG61+AG62+AG63+AG64+AG65+AG66+AG67)*'Seguros e Garantias'!$I$6</f>
        <v>-40249.516460083229</v>
      </c>
      <c r="AH74" s="148">
        <f>(AH55+AH56+AH57+AH58+AH59+AH60+AH61+AH62+AH63+AH64+AH65+AH66+AH67)*'Seguros e Garantias'!$I$6</f>
        <v>-41094.856873413344</v>
      </c>
      <c r="AI74" s="148">
        <f>(AI55+AI56+AI57+AI58+AI59+AI60+AI61+AI62+AI63+AI64+AI65+AI66+AI67)*'Seguros e Garantias'!$I$6</f>
        <v>-41493.012411355347</v>
      </c>
      <c r="AJ74" s="148">
        <f>(AJ55+AJ56+AJ57+AJ58+AJ59+AJ60+AJ61+AJ62+AJ63+AJ64+AJ65+AJ66+AJ67)*'Seguros e Garantias'!$I$6</f>
        <v>-41894.387275770299</v>
      </c>
      <c r="AK74" s="148">
        <f>(AK55+AK56+AK57+AK58+AK59+AK60+AK61+AK62+AK63+AK64+AK65+AK66+AK67)*'Seguros e Garantias'!$I$6</f>
        <v>-42295.958035398449</v>
      </c>
      <c r="AL74" s="148">
        <f>(AL55+AL56+AL57+AL58+AL59+AL60+AL61+AL62+AL63+AL64+AL65+AL66+AL67)*'Seguros e Garantias'!$I$6</f>
        <v>-42703.997034097512</v>
      </c>
      <c r="AM74" s="148">
        <f>(AM55+AM56+AM57+AM58+AM59+AM60+AM61+AM62+AM63+AM64+AM65+AM66+AM67)*'Seguros e Garantias'!$I$6</f>
        <v>-43025.69387080078</v>
      </c>
      <c r="AN74" s="148">
        <f>(AN55+AN56+AN57+AN58+AN59+AN60+AN61+AN62+AN63+AN64+AN65+AN66+AN67)*'Seguros e Garantias'!$I$6</f>
        <v>-43362.987643314766</v>
      </c>
      <c r="AO74" s="468">
        <f t="shared" si="93"/>
        <v>-1256134.4456975968</v>
      </c>
      <c r="AP74" s="71"/>
      <c r="AQ74" s="71"/>
      <c r="AR74" s="23"/>
      <c r="AS74" s="28"/>
    </row>
    <row r="75" spans="1:45" ht="14.4" x14ac:dyDescent="0.3">
      <c r="A75" s="66"/>
      <c r="B75" s="466"/>
      <c r="C75" s="4"/>
      <c r="D75" s="4"/>
      <c r="E75" s="101"/>
      <c r="F75" s="101"/>
      <c r="G75" s="101"/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1"/>
      <c r="Z75" s="101"/>
      <c r="AA75" s="101"/>
      <c r="AB75" s="101"/>
      <c r="AC75" s="101"/>
      <c r="AD75" s="101"/>
      <c r="AE75" s="101"/>
      <c r="AF75" s="101"/>
      <c r="AG75" s="101"/>
      <c r="AH75" s="101"/>
      <c r="AI75" s="101"/>
      <c r="AJ75" s="101"/>
      <c r="AK75" s="101"/>
      <c r="AL75" s="101"/>
      <c r="AM75" s="101"/>
      <c r="AN75" s="101"/>
      <c r="AO75" s="510"/>
      <c r="AP75" s="71"/>
      <c r="AQ75" s="71"/>
      <c r="AR75" s="23"/>
      <c r="AS75" s="28"/>
    </row>
    <row r="76" spans="1:45" ht="14.4" x14ac:dyDescent="0.3">
      <c r="A76" s="66"/>
      <c r="B76" s="466" t="s">
        <v>480</v>
      </c>
      <c r="C76" s="513"/>
      <c r="D76" s="4"/>
      <c r="E76" s="101"/>
      <c r="F76" s="148">
        <f>-F43*$J$16</f>
        <v>-155129.11849743326</v>
      </c>
      <c r="G76" s="148">
        <f t="shared" ref="G76:AN76" si="99">-G43*$J$16</f>
        <v>-203397.7329846326</v>
      </c>
      <c r="H76" s="148">
        <f t="shared" si="99"/>
        <v>-243832.26724071699</v>
      </c>
      <c r="I76" s="148">
        <f t="shared" si="99"/>
        <v>-284859.97850693413</v>
      </c>
      <c r="J76" s="148">
        <f t="shared" si="99"/>
        <v>-327139.52197624749</v>
      </c>
      <c r="K76" s="148">
        <f t="shared" si="99"/>
        <v>-342831.77137057285</v>
      </c>
      <c r="L76" s="148">
        <f t="shared" si="99"/>
        <v>-356062.00333082688</v>
      </c>
      <c r="M76" s="148">
        <f t="shared" si="99"/>
        <v>-363136.93736525864</v>
      </c>
      <c r="N76" s="148">
        <f t="shared" si="99"/>
        <v>-370226.29816622043</v>
      </c>
      <c r="O76" s="148">
        <f t="shared" si="99"/>
        <v>-377170.22897560569</v>
      </c>
      <c r="P76" s="148">
        <f t="shared" si="99"/>
        <v>-384061.65204870288</v>
      </c>
      <c r="Q76" s="148">
        <f t="shared" si="99"/>
        <v>-390918.26761033083</v>
      </c>
      <c r="R76" s="148">
        <f t="shared" si="99"/>
        <v>-393716.81539653015</v>
      </c>
      <c r="S76" s="148">
        <f t="shared" si="99"/>
        <v>-396445.13062489382</v>
      </c>
      <c r="T76" s="148">
        <f t="shared" si="99"/>
        <v>-399062.1754848432</v>
      </c>
      <c r="U76" s="148">
        <f t="shared" si="99"/>
        <v>-401532.18528581865</v>
      </c>
      <c r="V76" s="148">
        <f t="shared" si="99"/>
        <v>-403871.48911583365</v>
      </c>
      <c r="W76" s="148">
        <f t="shared" si="99"/>
        <v>-406214.03134071524</v>
      </c>
      <c r="X76" s="148">
        <f t="shared" si="99"/>
        <v>-408238.7597541943</v>
      </c>
      <c r="Y76" s="148">
        <f t="shared" si="99"/>
        <v>-410290.3865224492</v>
      </c>
      <c r="Z76" s="148">
        <f t="shared" si="99"/>
        <v>-412149.77677060897</v>
      </c>
      <c r="AA76" s="148">
        <f t="shared" si="99"/>
        <v>-413950.37874324428</v>
      </c>
      <c r="AB76" s="148">
        <f t="shared" si="99"/>
        <v>-415649.15549138153</v>
      </c>
      <c r="AC76" s="148">
        <f t="shared" si="99"/>
        <v>-417282.48086712271</v>
      </c>
      <c r="AD76" s="148">
        <f t="shared" si="99"/>
        <v>-418821.44900394202</v>
      </c>
      <c r="AE76" s="148">
        <f t="shared" si="99"/>
        <v>-420415.339019829</v>
      </c>
      <c r="AF76" s="148">
        <f t="shared" si="99"/>
        <v>-421758.15085996111</v>
      </c>
      <c r="AG76" s="148">
        <f t="shared" si="99"/>
        <v>-423189.26600368606</v>
      </c>
      <c r="AH76" s="148">
        <f t="shared" si="99"/>
        <v>-424421.10786949802</v>
      </c>
      <c r="AI76" s="148">
        <f t="shared" si="99"/>
        <v>-425644.06874615571</v>
      </c>
      <c r="AJ76" s="148">
        <f t="shared" si="99"/>
        <v>-426840.75403628103</v>
      </c>
      <c r="AK76" s="148">
        <f t="shared" si="99"/>
        <v>-427870.32182324847</v>
      </c>
      <c r="AL76" s="148">
        <f t="shared" si="99"/>
        <v>-428971.74345882336</v>
      </c>
      <c r="AM76" s="148">
        <f t="shared" si="99"/>
        <v>-429997.70023664727</v>
      </c>
      <c r="AN76" s="148">
        <f t="shared" si="99"/>
        <v>-429003.81759337167</v>
      </c>
      <c r="AO76" s="468">
        <f t="shared" si="93"/>
        <v>-13354102.262122564</v>
      </c>
      <c r="AP76" s="71"/>
      <c r="AQ76" s="71"/>
      <c r="AR76" s="23"/>
      <c r="AS76" s="28"/>
    </row>
    <row r="77" spans="1:45" ht="14.4" x14ac:dyDescent="0.3">
      <c r="A77" s="517"/>
      <c r="B77" s="466"/>
      <c r="C77" s="4"/>
      <c r="D77" s="4"/>
      <c r="E77" s="101"/>
      <c r="F77" s="148">
        <f t="shared" ref="F77:AN77" si="100">F48+F53</f>
        <v>-18587901.313065957</v>
      </c>
      <c r="G77" s="148">
        <f t="shared" si="100"/>
        <v>-63469199.875139661</v>
      </c>
      <c r="H77" s="148">
        <f t="shared" si="100"/>
        <v>-61424215.717905037</v>
      </c>
      <c r="I77" s="148">
        <f t="shared" si="100"/>
        <v>-63056117.032970682</v>
      </c>
      <c r="J77" s="148">
        <f t="shared" si="100"/>
        <v>-65302735.684362561</v>
      </c>
      <c r="K77" s="148">
        <f t="shared" si="100"/>
        <v>-36511780.552474596</v>
      </c>
      <c r="L77" s="148">
        <f t="shared" si="100"/>
        <v>-37834049.485083953</v>
      </c>
      <c r="M77" s="148">
        <f t="shared" si="100"/>
        <v>-32287685.012122385</v>
      </c>
      <c r="N77" s="148">
        <f t="shared" si="100"/>
        <v>-33141156.71676477</v>
      </c>
      <c r="O77" s="148">
        <f t="shared" si="100"/>
        <v>-34791463.652657591</v>
      </c>
      <c r="P77" s="148">
        <f t="shared" si="100"/>
        <v>-34443210.572013684</v>
      </c>
      <c r="Q77" s="148">
        <f t="shared" si="100"/>
        <v>-34532833.866979398</v>
      </c>
      <c r="R77" s="148">
        <f t="shared" si="100"/>
        <v>-30141969.189639971</v>
      </c>
      <c r="S77" s="148">
        <f t="shared" si="100"/>
        <v>-30297892.17750011</v>
      </c>
      <c r="T77" s="148">
        <f t="shared" si="100"/>
        <v>-30463850.45496209</v>
      </c>
      <c r="U77" s="148">
        <f t="shared" si="100"/>
        <v>-29885791.039459188</v>
      </c>
      <c r="V77" s="148">
        <f t="shared" si="100"/>
        <v>-30917684.68608325</v>
      </c>
      <c r="W77" s="148">
        <f t="shared" si="100"/>
        <v>-30590143.585002825</v>
      </c>
      <c r="X77" s="148">
        <f t="shared" si="100"/>
        <v>-30927051.572820481</v>
      </c>
      <c r="Y77" s="148">
        <f t="shared" si="100"/>
        <v>-31078949.873667076</v>
      </c>
      <c r="Z77" s="148">
        <f t="shared" si="100"/>
        <v>-30886063.883721586</v>
      </c>
      <c r="AA77" s="148">
        <f t="shared" si="100"/>
        <v>-31053320.36335149</v>
      </c>
      <c r="AB77" s="148">
        <f t="shared" si="100"/>
        <v>-30982292.123848286</v>
      </c>
      <c r="AC77" s="148">
        <f t="shared" si="100"/>
        <v>-31151127.097229678</v>
      </c>
      <c r="AD77" s="148">
        <f t="shared" si="100"/>
        <v>-31271553.398319971</v>
      </c>
      <c r="AE77" s="148">
        <f t="shared" si="100"/>
        <v>-31242098.943473559</v>
      </c>
      <c r="AF77" s="148">
        <f t="shared" si="100"/>
        <v>-31509738.583808083</v>
      </c>
      <c r="AG77" s="148">
        <f t="shared" si="100"/>
        <v>-31338961.440458871</v>
      </c>
      <c r="AH77" s="148">
        <f t="shared" si="100"/>
        <v>-31852781.604178108</v>
      </c>
      <c r="AI77" s="148">
        <f t="shared" si="100"/>
        <v>-32058391.789230511</v>
      </c>
      <c r="AJ77" s="148">
        <f t="shared" si="100"/>
        <v>-32274827.072832767</v>
      </c>
      <c r="AK77" s="148">
        <f t="shared" si="100"/>
        <v>-32483960.143901579</v>
      </c>
      <c r="AL77" s="148">
        <f t="shared" si="100"/>
        <v>-32706327.158201758</v>
      </c>
      <c r="AM77" s="148">
        <f t="shared" si="100"/>
        <v>-32896756.752195038</v>
      </c>
      <c r="AN77" s="148">
        <f t="shared" si="100"/>
        <v>-30496128.31741878</v>
      </c>
      <c r="AO77" s="468">
        <f>+SUM(F77:AN77)</f>
        <v>-1233890010.7328453</v>
      </c>
      <c r="AP77" s="71"/>
      <c r="AQ77" s="71"/>
      <c r="AR77" s="23"/>
      <c r="AS77" s="28"/>
    </row>
    <row r="78" spans="1:45" ht="14.4" x14ac:dyDescent="0.3">
      <c r="A78" s="66"/>
      <c r="B78" s="471" t="s">
        <v>61</v>
      </c>
      <c r="C78" s="4"/>
      <c r="D78" s="4"/>
      <c r="E78" s="101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 s="71"/>
      <c r="AQ78" s="71"/>
      <c r="AR78" s="23"/>
      <c r="AS78" s="28"/>
    </row>
    <row r="79" spans="1:45" ht="14.4" x14ac:dyDescent="0.3">
      <c r="A79" s="66"/>
      <c r="B79" s="471"/>
      <c r="C79" s="518"/>
      <c r="D79" s="4"/>
      <c r="E79" s="101"/>
      <c r="F79" s="101"/>
      <c r="G79" s="101"/>
      <c r="H79" s="101"/>
      <c r="I79" s="101"/>
      <c r="J79" s="101"/>
      <c r="K79" s="101"/>
      <c r="L79" s="101"/>
      <c r="M79" s="101"/>
      <c r="N79" s="101"/>
      <c r="O79" s="101"/>
      <c r="P79" s="101"/>
      <c r="Q79" s="101"/>
      <c r="R79" s="101"/>
      <c r="S79" s="101"/>
      <c r="T79" s="101"/>
      <c r="U79" s="101"/>
      <c r="V79" s="101"/>
      <c r="W79" s="101"/>
      <c r="X79" s="101"/>
      <c r="Y79" s="101"/>
      <c r="Z79" s="101"/>
      <c r="AA79" s="101"/>
      <c r="AB79" s="101"/>
      <c r="AC79" s="101"/>
      <c r="AD79" s="101"/>
      <c r="AE79" s="101"/>
      <c r="AF79" s="101"/>
      <c r="AG79" s="101"/>
      <c r="AH79" s="101"/>
      <c r="AI79" s="101"/>
      <c r="AJ79" s="512"/>
      <c r="AK79" s="512"/>
      <c r="AL79" s="512"/>
      <c r="AM79" s="512"/>
      <c r="AN79" s="512"/>
      <c r="AO79" s="510"/>
      <c r="AP79"/>
      <c r="AQ79"/>
      <c r="AR79" s="23"/>
      <c r="AS79" s="28"/>
    </row>
    <row r="80" spans="1:45" ht="14.4" x14ac:dyDescent="0.3">
      <c r="A80" s="66"/>
      <c r="B80" s="471" t="s">
        <v>62</v>
      </c>
      <c r="C80" s="513"/>
      <c r="D80" s="4"/>
      <c r="E80" s="101"/>
      <c r="F80" s="101"/>
      <c r="G80" s="101"/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101"/>
      <c r="Y80" s="101"/>
      <c r="Z80" s="101"/>
      <c r="AA80" s="101"/>
      <c r="AB80" s="101"/>
      <c r="AC80" s="101"/>
      <c r="AD80" s="101"/>
      <c r="AE80" s="101"/>
      <c r="AF80" s="101"/>
      <c r="AG80" s="101"/>
      <c r="AH80" s="101"/>
      <c r="AI80" s="101"/>
      <c r="AJ80" s="512"/>
      <c r="AK80" s="512"/>
      <c r="AL80" s="512"/>
      <c r="AM80" s="512"/>
      <c r="AN80" s="512"/>
      <c r="AO80" s="510"/>
      <c r="AP80"/>
      <c r="AQ80"/>
      <c r="AR80" s="23"/>
      <c r="AS80" s="28"/>
    </row>
    <row r="81" spans="1:45" ht="14.4" x14ac:dyDescent="0.3">
      <c r="A81" s="66"/>
      <c r="B81" s="466" t="s">
        <v>141</v>
      </c>
      <c r="C81" s="515"/>
      <c r="D81" s="4"/>
      <c r="E81" s="101"/>
      <c r="F81" s="148">
        <f t="shared" ref="F81:AI81" si="101">F42</f>
        <v>23178854.462399997</v>
      </c>
      <c r="G81" s="148">
        <f t="shared" si="101"/>
        <v>29381068.828799997</v>
      </c>
      <c r="H81" s="148">
        <f t="shared" si="101"/>
        <v>35635916.908799998</v>
      </c>
      <c r="I81" s="148">
        <f t="shared" si="101"/>
        <v>41621514.854400001</v>
      </c>
      <c r="J81" s="148">
        <f t="shared" si="101"/>
        <v>47793455.049599998</v>
      </c>
      <c r="K81" s="148">
        <f t="shared" si="101"/>
        <v>50052341.663999997</v>
      </c>
      <c r="L81" s="148">
        <f t="shared" si="101"/>
        <v>51980570.553599998</v>
      </c>
      <c r="M81" s="148">
        <f t="shared" si="101"/>
        <v>53005892.097599998</v>
      </c>
      <c r="N81" s="148">
        <f t="shared" si="101"/>
        <v>54040617.633599997</v>
      </c>
      <c r="O81" s="148">
        <f t="shared" si="101"/>
        <v>55053871.516800001</v>
      </c>
      <c r="P81" s="148">
        <f t="shared" si="101"/>
        <v>56059573.564799987</v>
      </c>
      <c r="Q81" s="148">
        <f t="shared" si="101"/>
        <v>57060215.596799999</v>
      </c>
      <c r="R81" s="148">
        <f t="shared" si="101"/>
        <v>57463871.212799989</v>
      </c>
      <c r="S81" s="148">
        <f t="shared" si="101"/>
        <v>57862008.547200002</v>
      </c>
      <c r="T81" s="148">
        <f t="shared" si="101"/>
        <v>58243820.169600002</v>
      </c>
      <c r="U81" s="148">
        <f t="shared" si="101"/>
        <v>58604131.497599989</v>
      </c>
      <c r="V81" s="148">
        <f t="shared" si="101"/>
        <v>58945386.614399999</v>
      </c>
      <c r="W81" s="148">
        <f t="shared" si="101"/>
        <v>59287271.846399993</v>
      </c>
      <c r="X81" s="148">
        <f t="shared" si="101"/>
        <v>59582394.892799996</v>
      </c>
      <c r="Y81" s="148">
        <f t="shared" si="101"/>
        <v>59881852.368000001</v>
      </c>
      <c r="Z81" s="148">
        <f t="shared" si="101"/>
        <v>60152992.847999997</v>
      </c>
      <c r="AA81" s="148">
        <f t="shared" si="101"/>
        <v>60415712.697599992</v>
      </c>
      <c r="AB81" s="148">
        <f t="shared" si="101"/>
        <v>60663519.820799999</v>
      </c>
      <c r="AC81" s="148">
        <f t="shared" si="101"/>
        <v>60901817.932799987</v>
      </c>
      <c r="AD81" s="148">
        <f t="shared" si="101"/>
        <v>61126310.7936</v>
      </c>
      <c r="AE81" s="148">
        <f t="shared" si="101"/>
        <v>61358995.151999995</v>
      </c>
      <c r="AF81" s="148">
        <f t="shared" si="101"/>
        <v>61554674.563199997</v>
      </c>
      <c r="AG81" s="148">
        <f t="shared" si="101"/>
        <v>61763643.67679999</v>
      </c>
      <c r="AH81" s="148">
        <f t="shared" si="101"/>
        <v>61943188.319999993</v>
      </c>
      <c r="AI81" s="148">
        <f t="shared" si="101"/>
        <v>62121663.67679999</v>
      </c>
      <c r="AJ81" s="148">
        <f t="shared" ref="AJ81:AN81" si="102">AJ42</f>
        <v>62296281.964799993</v>
      </c>
      <c r="AK81" s="148">
        <f t="shared" si="102"/>
        <v>62446344.854400001</v>
      </c>
      <c r="AL81" s="148">
        <f t="shared" si="102"/>
        <v>62607176.985599995</v>
      </c>
      <c r="AM81" s="148">
        <f t="shared" si="102"/>
        <v>62756819.798399992</v>
      </c>
      <c r="AN81" s="148">
        <f t="shared" si="102"/>
        <v>62609391.936000004</v>
      </c>
      <c r="AO81" s="468">
        <f t="shared" ref="AO81:AO83" si="103">+SUM(F81:AN81)</f>
        <v>1949453164.9007998</v>
      </c>
      <c r="AP81"/>
      <c r="AQ81"/>
      <c r="AR81" s="23"/>
      <c r="AS81" s="28"/>
    </row>
    <row r="82" spans="1:45" ht="14.4" x14ac:dyDescent="0.3">
      <c r="A82" s="66"/>
      <c r="B82" s="466" t="s">
        <v>142</v>
      </c>
      <c r="C82" s="515"/>
      <c r="D82" s="4"/>
      <c r="E82" s="101"/>
      <c r="F82" s="148">
        <f t="shared" ref="F82:AI82" si="104">F43</f>
        <v>22640177.88469382</v>
      </c>
      <c r="G82" s="148">
        <f t="shared" si="104"/>
        <v>29684696.855875775</v>
      </c>
      <c r="H82" s="148">
        <f t="shared" si="104"/>
        <v>35585878.124159999</v>
      </c>
      <c r="I82" s="148">
        <f t="shared" si="104"/>
        <v>41573630.070835195</v>
      </c>
      <c r="J82" s="148">
        <f t="shared" si="104"/>
        <v>47744079.528038397</v>
      </c>
      <c r="K82" s="148">
        <f t="shared" si="104"/>
        <v>50034270.571084797</v>
      </c>
      <c r="L82" s="148">
        <f t="shared" si="104"/>
        <v>51965144.722483195</v>
      </c>
      <c r="M82" s="148">
        <f t="shared" si="104"/>
        <v>52997689.525247999</v>
      </c>
      <c r="N82" s="148">
        <f t="shared" si="104"/>
        <v>54032339.829311997</v>
      </c>
      <c r="O82" s="148">
        <f t="shared" si="104"/>
        <v>55045765.485734388</v>
      </c>
      <c r="P82" s="148">
        <f t="shared" si="104"/>
        <v>56051527.948415987</v>
      </c>
      <c r="Q82" s="148">
        <f t="shared" si="104"/>
        <v>57052210.460544005</v>
      </c>
      <c r="R82" s="148">
        <f t="shared" si="104"/>
        <v>57460641.967871994</v>
      </c>
      <c r="S82" s="148">
        <f t="shared" si="104"/>
        <v>57858823.448524803</v>
      </c>
      <c r="T82" s="148">
        <f t="shared" si="104"/>
        <v>58240765.676620796</v>
      </c>
      <c r="U82" s="148">
        <f t="shared" si="104"/>
        <v>58601249.006976001</v>
      </c>
      <c r="V82" s="148">
        <f t="shared" si="104"/>
        <v>58942656.573465601</v>
      </c>
      <c r="W82" s="148">
        <f t="shared" si="104"/>
        <v>59284536.764543995</v>
      </c>
      <c r="X82" s="148">
        <f t="shared" si="104"/>
        <v>59580033.908428803</v>
      </c>
      <c r="Y82" s="148">
        <f t="shared" si="104"/>
        <v>59879456.708198398</v>
      </c>
      <c r="Z82" s="148">
        <f t="shared" si="104"/>
        <v>60150823.724160001</v>
      </c>
      <c r="AA82" s="148">
        <f t="shared" si="104"/>
        <v>60413610.938803189</v>
      </c>
      <c r="AB82" s="148">
        <f t="shared" si="104"/>
        <v>60661537.363814399</v>
      </c>
      <c r="AC82" s="148">
        <f t="shared" si="104"/>
        <v>60899911.547904</v>
      </c>
      <c r="AD82" s="148">
        <f t="shared" si="104"/>
        <v>61124514.850713603</v>
      </c>
      <c r="AE82" s="148">
        <f t="shared" si="104"/>
        <v>61357133.6771328</v>
      </c>
      <c r="AF82" s="148">
        <f t="shared" si="104"/>
        <v>61553109.12791039</v>
      </c>
      <c r="AG82" s="148">
        <f t="shared" si="104"/>
        <v>61761971.923891202</v>
      </c>
      <c r="AH82" s="148">
        <f t="shared" si="104"/>
        <v>61941751.9628544</v>
      </c>
      <c r="AI82" s="148">
        <f t="shared" si="104"/>
        <v>62120235.873945594</v>
      </c>
      <c r="AJ82" s="148">
        <f t="shared" ref="AJ82:AN82" si="105">AJ43</f>
        <v>62294885.018495992</v>
      </c>
      <c r="AK82" s="148">
        <f t="shared" si="105"/>
        <v>62445144.351283208</v>
      </c>
      <c r="AL82" s="148">
        <f t="shared" si="105"/>
        <v>62605890.328550391</v>
      </c>
      <c r="AM82" s="148">
        <f t="shared" si="105"/>
        <v>62755622.655897588</v>
      </c>
      <c r="AN82" s="148">
        <f t="shared" si="105"/>
        <v>62610571.358899198</v>
      </c>
      <c r="AO82" s="468">
        <f t="shared" si="103"/>
        <v>1948952289.765312</v>
      </c>
      <c r="AP82" s="519"/>
      <c r="AQ82"/>
      <c r="AR82" s="23"/>
      <c r="AS82" s="28"/>
    </row>
    <row r="83" spans="1:45" ht="14.4" x14ac:dyDescent="0.3">
      <c r="A83" s="66"/>
      <c r="B83" s="466" t="s">
        <v>143</v>
      </c>
      <c r="C83" s="520"/>
      <c r="D83" s="4"/>
      <c r="E83" s="101"/>
      <c r="F83" s="148">
        <f>F82-F81</f>
        <v>-538676.57770617679</v>
      </c>
      <c r="G83" s="148">
        <f>G82-G81</f>
        <v>303628.02707577869</v>
      </c>
      <c r="H83" s="148">
        <f t="shared" ref="H83:AI83" si="106">H82-H81</f>
        <v>-50038.78463999927</v>
      </c>
      <c r="I83" s="148">
        <f t="shared" si="106"/>
        <v>-47884.783564805984</v>
      </c>
      <c r="J83" s="148">
        <f t="shared" si="106"/>
        <v>-49375.521561600268</v>
      </c>
      <c r="K83" s="148">
        <f t="shared" si="106"/>
        <v>-18071.092915199697</v>
      </c>
      <c r="L83" s="148">
        <f t="shared" si="106"/>
        <v>-15425.83111680299</v>
      </c>
      <c r="M83" s="148">
        <f t="shared" si="106"/>
        <v>-8202.5723519995809</v>
      </c>
      <c r="N83" s="148">
        <f t="shared" si="106"/>
        <v>-8277.8042879998684</v>
      </c>
      <c r="O83" s="148">
        <f t="shared" si="106"/>
        <v>-8106.0310656130314</v>
      </c>
      <c r="P83" s="148">
        <f t="shared" si="106"/>
        <v>-8045.6163839995861</v>
      </c>
      <c r="Q83" s="148">
        <f t="shared" si="106"/>
        <v>-8005.1362559944391</v>
      </c>
      <c r="R83" s="148">
        <f t="shared" si="106"/>
        <v>-3229.2449279949069</v>
      </c>
      <c r="S83" s="148">
        <f t="shared" si="106"/>
        <v>-3185.098675198853</v>
      </c>
      <c r="T83" s="148">
        <f t="shared" si="106"/>
        <v>-3054.4929792061448</v>
      </c>
      <c r="U83" s="148">
        <f t="shared" si="106"/>
        <v>-2882.4906239882112</v>
      </c>
      <c r="V83" s="148">
        <f t="shared" si="106"/>
        <v>-2730.0409343987703</v>
      </c>
      <c r="W83" s="148">
        <f t="shared" si="106"/>
        <v>-2735.0818559974432</v>
      </c>
      <c r="X83" s="148">
        <f t="shared" si="106"/>
        <v>-2360.9843711927533</v>
      </c>
      <c r="Y83" s="148">
        <f t="shared" si="106"/>
        <v>-2395.6598016023636</v>
      </c>
      <c r="Z83" s="148">
        <f t="shared" si="106"/>
        <v>-2169.1238399967551</v>
      </c>
      <c r="AA83" s="148">
        <f t="shared" si="106"/>
        <v>-2101.7587968036532</v>
      </c>
      <c r="AB83" s="148">
        <f t="shared" si="106"/>
        <v>-1982.4569856002927</v>
      </c>
      <c r="AC83" s="148">
        <f t="shared" si="106"/>
        <v>-1906.3848959878087</v>
      </c>
      <c r="AD83" s="148">
        <f t="shared" si="106"/>
        <v>-1795.9428863972425</v>
      </c>
      <c r="AE83" s="148">
        <f t="shared" si="106"/>
        <v>-1861.474867194891</v>
      </c>
      <c r="AF83" s="148">
        <f t="shared" si="106"/>
        <v>-1565.435289606452</v>
      </c>
      <c r="AG83" s="148">
        <f t="shared" si="106"/>
        <v>-1671.7529087886214</v>
      </c>
      <c r="AH83" s="148">
        <f t="shared" si="106"/>
        <v>-1436.3571455925703</v>
      </c>
      <c r="AI83" s="148">
        <f t="shared" si="106"/>
        <v>-1427.8028543964028</v>
      </c>
      <c r="AJ83" s="148">
        <f t="shared" ref="AJ83:AN83" si="107">AJ82-AJ81</f>
        <v>-1396.9463040009141</v>
      </c>
      <c r="AK83" s="148">
        <f t="shared" si="107"/>
        <v>-1200.5031167939305</v>
      </c>
      <c r="AL83" s="148">
        <f t="shared" si="107"/>
        <v>-1286.6570496037602</v>
      </c>
      <c r="AM83" s="148">
        <f t="shared" si="107"/>
        <v>-1197.1425024047494</v>
      </c>
      <c r="AN83" s="148">
        <f t="shared" si="107"/>
        <v>1179.4228991940618</v>
      </c>
      <c r="AO83" s="468">
        <f t="shared" si="103"/>
        <v>-500875.13548796624</v>
      </c>
      <c r="AP83" s="519"/>
      <c r="AQ83"/>
      <c r="AR83" s="23"/>
      <c r="AS83" s="28"/>
    </row>
    <row r="84" spans="1:45" ht="14.4" x14ac:dyDescent="0.3">
      <c r="A84" s="66"/>
      <c r="B84" s="466"/>
      <c r="C84" s="515"/>
      <c r="D84" s="4"/>
      <c r="E84" s="101"/>
      <c r="F84" s="101"/>
      <c r="G84" s="101"/>
      <c r="H84" s="101"/>
      <c r="I84" s="101"/>
      <c r="J84" s="101"/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101"/>
      <c r="Y84" s="101"/>
      <c r="Z84" s="101"/>
      <c r="AA84" s="101"/>
      <c r="AB84" s="101"/>
      <c r="AC84" s="101"/>
      <c r="AD84" s="101"/>
      <c r="AE84" s="101"/>
      <c r="AF84" s="101"/>
      <c r="AG84" s="101"/>
      <c r="AH84" s="101"/>
      <c r="AI84" s="101"/>
      <c r="AJ84" s="101"/>
      <c r="AK84" s="101"/>
      <c r="AL84" s="101"/>
      <c r="AM84" s="101"/>
      <c r="AN84" s="101"/>
      <c r="AO84" s="510"/>
      <c r="AP84" s="521"/>
      <c r="AQ84"/>
      <c r="AR84" s="23"/>
      <c r="AS84" s="28"/>
    </row>
    <row r="85" spans="1:45" ht="14.4" x14ac:dyDescent="0.3">
      <c r="A85" s="66"/>
      <c r="B85" s="466" t="s">
        <v>212</v>
      </c>
      <c r="C85" s="520"/>
      <c r="D85" s="522"/>
      <c r="E85" s="101"/>
      <c r="F85" s="148">
        <f>F82+F96+F97+F98</f>
        <v>20545748.118755203</v>
      </c>
      <c r="G85" s="148">
        <f>G82+G96+G97+G98</f>
        <v>27149860.399682209</v>
      </c>
      <c r="H85" s="148">
        <f t="shared" ref="H85:AH85" si="108">H82+H96+H97+H98</f>
        <v>32591928.337235626</v>
      </c>
      <c r="I85" s="148">
        <f t="shared" si="108"/>
        <v>38149414.965587117</v>
      </c>
      <c r="J85" s="148">
        <f t="shared" si="108"/>
        <v>43874633.598489374</v>
      </c>
      <c r="K85" s="148">
        <f t="shared" si="108"/>
        <v>45982503.650867686</v>
      </c>
      <c r="L85" s="148">
        <f t="shared" si="108"/>
        <v>47763871.32584773</v>
      </c>
      <c r="M85" s="148">
        <f t="shared" si="108"/>
        <v>48709911.831410751</v>
      </c>
      <c r="N85" s="148">
        <f t="shared" si="108"/>
        <v>49677973.740256973</v>
      </c>
      <c r="O85" s="148">
        <f t="shared" si="108"/>
        <v>50629554.730015002</v>
      </c>
      <c r="P85" s="148">
        <f t="shared" si="108"/>
        <v>51555013.618124135</v>
      </c>
      <c r="Q85" s="148">
        <f t="shared" si="108"/>
        <v>52476400.795313135</v>
      </c>
      <c r="R85" s="148">
        <f t="shared" si="108"/>
        <v>52840989.814825676</v>
      </c>
      <c r="S85" s="148">
        <f t="shared" si="108"/>
        <v>53197360.37870577</v>
      </c>
      <c r="T85" s="148">
        <f t="shared" si="108"/>
        <v>53539217.46128951</v>
      </c>
      <c r="U85" s="148">
        <f t="shared" si="108"/>
        <v>53859926.775637291</v>
      </c>
      <c r="V85" s="148">
        <f t="shared" si="108"/>
        <v>54153994.500767551</v>
      </c>
      <c r="W85" s="148">
        <f t="shared" si="108"/>
        <v>54457443.190677732</v>
      </c>
      <c r="X85" s="148">
        <f t="shared" si="108"/>
        <v>54718425.778768562</v>
      </c>
      <c r="Y85" s="148">
        <f t="shared" si="108"/>
        <v>54985126.97461544</v>
      </c>
      <c r="Z85" s="148">
        <f t="shared" si="108"/>
        <v>55226647.750087038</v>
      </c>
      <c r="AA85" s="148">
        <f t="shared" si="108"/>
        <v>55460747.570368923</v>
      </c>
      <c r="AB85" s="148">
        <f t="shared" si="108"/>
        <v>55680726.516929694</v>
      </c>
      <c r="AC85" s="148">
        <f t="shared" si="108"/>
        <v>55893651.902537666</v>
      </c>
      <c r="AD85" s="148">
        <f t="shared" si="108"/>
        <v>56094709.5076579</v>
      </c>
      <c r="AE85" s="148">
        <f t="shared" si="108"/>
        <v>56303812.096529923</v>
      </c>
      <c r="AF85" s="148">
        <f t="shared" si="108"/>
        <v>56480476.738515288</v>
      </c>
      <c r="AG85" s="148">
        <f t="shared" si="108"/>
        <v>56670174.312537163</v>
      </c>
      <c r="AH85" s="148">
        <f t="shared" si="108"/>
        <v>56831570.257059842</v>
      </c>
      <c r="AI85" s="148">
        <f>AI82+AI96+AI97+AI98</f>
        <v>56997357.608370885</v>
      </c>
      <c r="AJ85" s="148">
        <f t="shared" ref="AJ85:AN85" si="109">AJ82+AJ96+AJ97+AJ98</f>
        <v>57162847.270827703</v>
      </c>
      <c r="AK85" s="148">
        <f t="shared" si="109"/>
        <v>57310820.819354564</v>
      </c>
      <c r="AL85" s="148">
        <f t="shared" si="109"/>
        <v>57476397.891012125</v>
      </c>
      <c r="AM85" s="148">
        <f t="shared" si="109"/>
        <v>57650077.551353589</v>
      </c>
      <c r="AN85" s="148">
        <f t="shared" si="109"/>
        <v>57378170.403890125</v>
      </c>
      <c r="AO85" s="468">
        <f t="shared" ref="AO85:AO88" si="110">+SUM(F85:AN85)</f>
        <v>1789477488.1839051</v>
      </c>
      <c r="AP85" s="521"/>
      <c r="AQ85"/>
      <c r="AR85" s="23"/>
      <c r="AS85" s="28"/>
    </row>
    <row r="86" spans="1:45" ht="14.4" x14ac:dyDescent="0.3">
      <c r="A86" s="66"/>
      <c r="B86" s="466" t="s">
        <v>275</v>
      </c>
      <c r="C86" s="520"/>
      <c r="D86" s="4"/>
      <c r="E86" s="101"/>
      <c r="F86" s="148">
        <f t="shared" ref="F86:AI86" si="111">F53</f>
        <v>-13082228.973065957</v>
      </c>
      <c r="G86" s="148">
        <f t="shared" si="111"/>
        <v>-14743163.625139661</v>
      </c>
      <c r="H86" s="148">
        <f t="shared" si="111"/>
        <v>-16699675.207905024</v>
      </c>
      <c r="I86" s="148">
        <f t="shared" si="111"/>
        <v>-18812997.83297069</v>
      </c>
      <c r="J86" s="148">
        <f t="shared" si="111"/>
        <v>-20368173.564362563</v>
      </c>
      <c r="K86" s="148">
        <f t="shared" si="111"/>
        <v>-21957396.792474598</v>
      </c>
      <c r="L86" s="148">
        <f t="shared" si="111"/>
        <v>-23248218.505083952</v>
      </c>
      <c r="M86" s="148">
        <f t="shared" si="111"/>
        <v>-23994785.852122385</v>
      </c>
      <c r="N86" s="148">
        <f t="shared" si="111"/>
        <v>-24934670.096764773</v>
      </c>
      <c r="O86" s="148">
        <f t="shared" si="111"/>
        <v>-26674412.752657592</v>
      </c>
      <c r="P86" s="148">
        <f t="shared" si="111"/>
        <v>-26411291.782013685</v>
      </c>
      <c r="Q86" s="148">
        <f t="shared" si="111"/>
        <v>-26594472.246979397</v>
      </c>
      <c r="R86" s="148">
        <f t="shared" si="111"/>
        <v>-26664186.839639973</v>
      </c>
      <c r="S86" s="148">
        <f t="shared" si="111"/>
        <v>-26967058.377500109</v>
      </c>
      <c r="T86" s="148">
        <f t="shared" si="111"/>
        <v>-27270168.634962089</v>
      </c>
      <c r="U86" s="148">
        <f t="shared" si="111"/>
        <v>-26829261.199459188</v>
      </c>
      <c r="V86" s="148">
        <f t="shared" si="111"/>
        <v>-27998306.82608325</v>
      </c>
      <c r="W86" s="148">
        <f t="shared" si="111"/>
        <v>-27798121.135002825</v>
      </c>
      <c r="X86" s="148">
        <f t="shared" si="111"/>
        <v>-28253868.392820481</v>
      </c>
      <c r="Y86" s="148">
        <f t="shared" si="111"/>
        <v>-28531841.673667077</v>
      </c>
      <c r="Z86" s="148">
        <f t="shared" si="111"/>
        <v>-28456514.523721587</v>
      </c>
      <c r="AA86" s="148">
        <f t="shared" si="111"/>
        <v>-28731533.27335149</v>
      </c>
      <c r="AB86" s="148">
        <f t="shared" si="111"/>
        <v>-28759751.163848285</v>
      </c>
      <c r="AC86" s="148">
        <f t="shared" si="111"/>
        <v>-29035067.977229677</v>
      </c>
      <c r="AD86" s="148">
        <f t="shared" si="111"/>
        <v>-29253459.978319973</v>
      </c>
      <c r="AE86" s="148">
        <f t="shared" si="111"/>
        <v>-29321971.22347356</v>
      </c>
      <c r="AF86" s="148">
        <f t="shared" si="111"/>
        <v>-29677779.993808083</v>
      </c>
      <c r="AG86" s="148">
        <f t="shared" si="111"/>
        <v>-29595171.980458871</v>
      </c>
      <c r="AH86" s="148">
        <f t="shared" si="111"/>
        <v>-30197161.274178106</v>
      </c>
      <c r="AI86" s="148">
        <f t="shared" si="111"/>
        <v>-30481144.019230511</v>
      </c>
      <c r="AJ86" s="148">
        <f t="shared" ref="AJ86:AN86" si="112">AJ53</f>
        <v>-30767435.722832765</v>
      </c>
      <c r="AK86" s="148">
        <f t="shared" si="112"/>
        <v>-31053660.92390158</v>
      </c>
      <c r="AL86" s="148">
        <f t="shared" si="112"/>
        <v>-31344603.928201757</v>
      </c>
      <c r="AM86" s="148">
        <f t="shared" si="112"/>
        <v>-31574219.802195039</v>
      </c>
      <c r="AN86" s="148">
        <f t="shared" si="112"/>
        <v>-31799072.127418779</v>
      </c>
      <c r="AO86" s="468">
        <f t="shared" si="110"/>
        <v>-927882848.22284544</v>
      </c>
      <c r="AP86" s="519"/>
      <c r="AQ86"/>
      <c r="AR86" s="23"/>
      <c r="AS86" s="28"/>
    </row>
    <row r="87" spans="1:45" ht="14.4" x14ac:dyDescent="0.3">
      <c r="A87" s="66"/>
      <c r="B87" s="466" t="s">
        <v>276</v>
      </c>
      <c r="C87" s="520"/>
      <c r="D87" s="4"/>
      <c r="E87" s="101"/>
      <c r="F87" s="148">
        <f t="shared" ref="F87:AI87" si="113">F48</f>
        <v>-5505672.3399999999</v>
      </c>
      <c r="G87" s="148">
        <f t="shared" si="113"/>
        <v>-48726036.25</v>
      </c>
      <c r="H87" s="148">
        <f t="shared" si="113"/>
        <v>-44724540.510000013</v>
      </c>
      <c r="I87" s="148">
        <f t="shared" si="113"/>
        <v>-44243119.199999996</v>
      </c>
      <c r="J87" s="148">
        <f t="shared" si="113"/>
        <v>-44934562.119999997</v>
      </c>
      <c r="K87" s="148">
        <f t="shared" si="113"/>
        <v>-14554383.759999996</v>
      </c>
      <c r="L87" s="148">
        <f t="shared" si="113"/>
        <v>-14585830.98</v>
      </c>
      <c r="M87" s="148">
        <f t="shared" si="113"/>
        <v>-8292899.1599999983</v>
      </c>
      <c r="N87" s="148">
        <f t="shared" si="113"/>
        <v>-8206486.6199999992</v>
      </c>
      <c r="O87" s="148">
        <f t="shared" si="113"/>
        <v>-8117050.9000000004</v>
      </c>
      <c r="P87" s="148">
        <f t="shared" si="113"/>
        <v>-8031918.790000001</v>
      </c>
      <c r="Q87" s="148">
        <f t="shared" si="113"/>
        <v>-7938361.6199999992</v>
      </c>
      <c r="R87" s="148">
        <f t="shared" si="113"/>
        <v>-3477782.3499999996</v>
      </c>
      <c r="S87" s="148">
        <f t="shared" si="113"/>
        <v>-3330833.8000000007</v>
      </c>
      <c r="T87" s="148">
        <f t="shared" si="113"/>
        <v>-3193681.8199999994</v>
      </c>
      <c r="U87" s="148">
        <f t="shared" si="113"/>
        <v>-3056529.8399999994</v>
      </c>
      <c r="V87" s="148">
        <f t="shared" si="113"/>
        <v>-2919377.86</v>
      </c>
      <c r="W87" s="148">
        <f t="shared" si="113"/>
        <v>-2792022.4499999993</v>
      </c>
      <c r="X87" s="148">
        <f t="shared" si="113"/>
        <v>-2673183.1799999997</v>
      </c>
      <c r="Y87" s="148">
        <f t="shared" si="113"/>
        <v>-2547108.1999999993</v>
      </c>
      <c r="Z87" s="148">
        <f t="shared" si="113"/>
        <v>-2429549.36</v>
      </c>
      <c r="AA87" s="148">
        <f t="shared" si="113"/>
        <v>-2321787.09</v>
      </c>
      <c r="AB87" s="148">
        <f t="shared" si="113"/>
        <v>-2222540.96</v>
      </c>
      <c r="AC87" s="148">
        <f t="shared" si="113"/>
        <v>-2116059.12</v>
      </c>
      <c r="AD87" s="148">
        <f t="shared" si="113"/>
        <v>-2018093.4199999997</v>
      </c>
      <c r="AE87" s="148">
        <f t="shared" si="113"/>
        <v>-1920127.7200000002</v>
      </c>
      <c r="AF87" s="148">
        <f t="shared" si="113"/>
        <v>-1831958.5900000003</v>
      </c>
      <c r="AG87" s="148">
        <f t="shared" si="113"/>
        <v>-1743789.4600000002</v>
      </c>
      <c r="AH87" s="148">
        <f t="shared" si="113"/>
        <v>-1655620.3300000003</v>
      </c>
      <c r="AI87" s="148">
        <f t="shared" si="113"/>
        <v>-1577247.77</v>
      </c>
      <c r="AJ87" s="148">
        <f t="shared" ref="AJ87:AN87" si="114">AJ48</f>
        <v>-1507391.35</v>
      </c>
      <c r="AK87" s="148">
        <f t="shared" si="114"/>
        <v>-1430299.2200000002</v>
      </c>
      <c r="AL87" s="148">
        <f t="shared" si="114"/>
        <v>-1361723.23</v>
      </c>
      <c r="AM87" s="148">
        <f t="shared" si="114"/>
        <v>-1322536.9500000002</v>
      </c>
      <c r="AN87" s="148">
        <f t="shared" si="114"/>
        <v>1302943.81</v>
      </c>
      <c r="AO87" s="468">
        <f t="shared" si="110"/>
        <v>-306007162.50999999</v>
      </c>
      <c r="AP87" s="519"/>
      <c r="AQ87"/>
      <c r="AR87" s="23"/>
      <c r="AS87" s="28"/>
    </row>
    <row r="88" spans="1:45" ht="14.4" x14ac:dyDescent="0.3">
      <c r="A88"/>
      <c r="B88" s="523" t="s">
        <v>277</v>
      </c>
      <c r="C88" s="520"/>
      <c r="D88" s="524"/>
      <c r="E88" s="525"/>
      <c r="F88" s="258">
        <f>-'Depreciação '!H79</f>
        <v>-149132.46492226014</v>
      </c>
      <c r="G88" s="258">
        <f>-'Depreciação '!I79</f>
        <v>-1524326.7612307845</v>
      </c>
      <c r="H88" s="258">
        <f>-'Depreciação '!J79</f>
        <v>-2775533.3663560683</v>
      </c>
      <c r="I88" s="258">
        <f>-'Depreciação '!K79</f>
        <v>-4017517.7211169745</v>
      </c>
      <c r="J88" s="258">
        <f>-'Depreciação '!L79</f>
        <v>-5282144.6618240997</v>
      </c>
      <c r="K88" s="258">
        <f>-'Depreciação '!M79</f>
        <v>-5572261.6301037995</v>
      </c>
      <c r="L88" s="258">
        <f>-'Depreciação '!N79</f>
        <v>-5869779.0522408867</v>
      </c>
      <c r="M88" s="258">
        <f>-'Depreciação '!O79</f>
        <v>-5957443.4997496475</v>
      </c>
      <c r="N88" s="258">
        <f>-'Depreciação '!P79</f>
        <v>-6049649.7088295063</v>
      </c>
      <c r="O88" s="258">
        <f>-'Depreciação '!Q79</f>
        <v>-6146709.1538300691</v>
      </c>
      <c r="P88" s="258">
        <f>-'Depreciação '!R79</f>
        <v>-6249261.7443768792</v>
      </c>
      <c r="Q88" s="258">
        <f>-'Depreciação '!S79</f>
        <v>-6357513.827900365</v>
      </c>
      <c r="R88" s="258">
        <f>-'Depreciação '!T79</f>
        <v>-6288620.0542620653</v>
      </c>
      <c r="S88" s="258">
        <f>-'Depreciação '!U79</f>
        <v>-6222243.0827301461</v>
      </c>
      <c r="T88" s="258">
        <f>-'Depreciação '!V79</f>
        <v>-6158766.3472432978</v>
      </c>
      <c r="U88" s="258">
        <f>-'Depreciação '!W79</f>
        <v>-6098157.3326022215</v>
      </c>
      <c r="V88" s="258">
        <f>-'Depreciação '!X79</f>
        <v>-6040394.9748000083</v>
      </c>
      <c r="W88" s="258">
        <f>-'Depreciação '!Y79</f>
        <v>-5985997.4233172415</v>
      </c>
      <c r="X88" s="258">
        <f>-'Depreciação '!Z79</f>
        <v>-5935500.9591584606</v>
      </c>
      <c r="Y88" s="258">
        <f>-'Depreciação '!AA79</f>
        <v>-5888594.4170613149</v>
      </c>
      <c r="Z88" s="258">
        <f>-'Depreciação '!AB79</f>
        <v>-5845955.917289516</v>
      </c>
      <c r="AA88" s="258">
        <f>-'Depreciação '!AC79</f>
        <v>-5808500.3403763436</v>
      </c>
      <c r="AB88" s="258">
        <f>-'Depreciação '!AD79</f>
        <v>-5777260.898171124</v>
      </c>
      <c r="AC88" s="258">
        <f>-'Depreciação '!AE79</f>
        <v>-5752269.7180397324</v>
      </c>
      <c r="AD88" s="258">
        <f>-'Depreciação '!AF79</f>
        <v>-5735007.4939338667</v>
      </c>
      <c r="AE88" s="258">
        <f>-'Depreciação '!AG79</f>
        <v>-5726589.6289216103</v>
      </c>
      <c r="AF88" s="258">
        <f>-'Depreciação '!AH79</f>
        <v>-5729604.4283730006</v>
      </c>
      <c r="AG88" s="258">
        <f>-'Depreciação '!AI79</f>
        <v>-5746452.2810367169</v>
      </c>
      <c r="AH88" s="258">
        <f>-'Depreciação '!AJ79</f>
        <v>-5780646.8319195351</v>
      </c>
      <c r="AI88" s="258">
        <f>-'Depreciação '!AK79</f>
        <v>-5839151.1693264414</v>
      </c>
      <c r="AJ88" s="258">
        <f>-'Depreciação '!AL79</f>
        <v>-5932975.3036970459</v>
      </c>
      <c r="AK88" s="258">
        <f>-'Depreciação '!AM79</f>
        <v>-6077826.1919778232</v>
      </c>
      <c r="AL88" s="258">
        <f>-'Depreciação '!AN79</f>
        <v>-6310854.0437788954</v>
      </c>
      <c r="AM88" s="258">
        <f>-'Depreciação '!AO79</f>
        <v>-6736350.2596897548</v>
      </c>
      <c r="AN88" s="258">
        <f>-'Depreciação '!AP79</f>
        <v>-5249668.0673330976</v>
      </c>
      <c r="AO88" s="468">
        <f t="shared" si="110"/>
        <v>-192618660.75752062</v>
      </c>
      <c r="AP88" s="521"/>
      <c r="AQ88"/>
      <c r="AR88" s="23"/>
      <c r="AS88" s="28"/>
    </row>
    <row r="89" spans="1:45" ht="14.4" x14ac:dyDescent="0.3">
      <c r="A89" s="66"/>
      <c r="B89" s="466"/>
      <c r="C89" s="526"/>
      <c r="D89" s="4"/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1"/>
      <c r="Z89" s="101"/>
      <c r="AA89" s="101"/>
      <c r="AB89" s="101"/>
      <c r="AC89" s="101"/>
      <c r="AD89" s="101"/>
      <c r="AE89" s="101"/>
      <c r="AF89" s="101"/>
      <c r="AG89" s="101"/>
      <c r="AH89" s="101"/>
      <c r="AI89" s="101"/>
      <c r="AJ89" s="101"/>
      <c r="AK89" s="101"/>
      <c r="AL89" s="101"/>
      <c r="AM89" s="101"/>
      <c r="AN89" s="101"/>
      <c r="AO89" s="510"/>
      <c r="AP89" s="521"/>
      <c r="AQ89"/>
      <c r="AR89" s="23"/>
      <c r="AS89" s="28"/>
    </row>
    <row r="90" spans="1:45" ht="14.4" x14ac:dyDescent="0.3">
      <c r="A90" s="66"/>
      <c r="B90" s="523" t="s">
        <v>278</v>
      </c>
      <c r="C90" s="520"/>
      <c r="D90" s="4"/>
      <c r="E90" s="101"/>
      <c r="F90" s="148">
        <f>SUM(F82,F86:F87)</f>
        <v>4052276.5716278628</v>
      </c>
      <c r="G90" s="148">
        <f t="shared" ref="G90:AH90" si="115">SUM(G82,G86:G87)</f>
        <v>-33784503.019263886</v>
      </c>
      <c r="H90" s="148">
        <f t="shared" si="115"/>
        <v>-25838337.593745038</v>
      </c>
      <c r="I90" s="148">
        <f t="shared" si="115"/>
        <v>-21482486.96213549</v>
      </c>
      <c r="J90" s="148">
        <f t="shared" si="115"/>
        <v>-17558656.156324163</v>
      </c>
      <c r="K90" s="148">
        <f t="shared" si="115"/>
        <v>13522490.018610204</v>
      </c>
      <c r="L90" s="148">
        <f t="shared" si="115"/>
        <v>14131095.237399243</v>
      </c>
      <c r="M90" s="148">
        <f t="shared" si="115"/>
        <v>20710004.513125613</v>
      </c>
      <c r="N90" s="148">
        <f t="shared" si="115"/>
        <v>20891183.112547226</v>
      </c>
      <c r="O90" s="148">
        <f t="shared" si="115"/>
        <v>20254301.833076797</v>
      </c>
      <c r="P90" s="148">
        <f t="shared" si="115"/>
        <v>21608317.376402304</v>
      </c>
      <c r="Q90" s="148">
        <f t="shared" si="115"/>
        <v>22519376.593564607</v>
      </c>
      <c r="R90" s="148">
        <f t="shared" si="115"/>
        <v>27318672.778232023</v>
      </c>
      <c r="S90" s="148">
        <f t="shared" si="115"/>
        <v>27560931.271024693</v>
      </c>
      <c r="T90" s="148">
        <f t="shared" si="115"/>
        <v>27776915.221658707</v>
      </c>
      <c r="U90" s="148">
        <f t="shared" si="115"/>
        <v>28715457.967516813</v>
      </c>
      <c r="V90" s="148">
        <f t="shared" si="115"/>
        <v>28024971.887382351</v>
      </c>
      <c r="W90" s="148">
        <f t="shared" si="115"/>
        <v>28694393.179541171</v>
      </c>
      <c r="X90" s="148">
        <f t="shared" si="115"/>
        <v>28652982.335608322</v>
      </c>
      <c r="Y90" s="148">
        <f t="shared" si="115"/>
        <v>28800506.834531322</v>
      </c>
      <c r="Z90" s="148">
        <f t="shared" si="115"/>
        <v>29264759.840438414</v>
      </c>
      <c r="AA90" s="148">
        <f t="shared" si="115"/>
        <v>29360290.575451698</v>
      </c>
      <c r="AB90" s="148">
        <f t="shared" si="115"/>
        <v>29679245.239966113</v>
      </c>
      <c r="AC90" s="148">
        <f t="shared" si="115"/>
        <v>29748784.450674322</v>
      </c>
      <c r="AD90" s="148">
        <f t="shared" si="115"/>
        <v>29852961.452393632</v>
      </c>
      <c r="AE90" s="148">
        <f t="shared" si="115"/>
        <v>30115034.733659241</v>
      </c>
      <c r="AF90" s="148">
        <f t="shared" si="115"/>
        <v>30043370.544102307</v>
      </c>
      <c r="AG90" s="148">
        <f t="shared" si="115"/>
        <v>30423010.48343233</v>
      </c>
      <c r="AH90" s="148">
        <f t="shared" si="115"/>
        <v>30088970.358676292</v>
      </c>
      <c r="AI90" s="148">
        <f>SUM(AI82,AI86:AI87)</f>
        <v>30061844.084715083</v>
      </c>
      <c r="AJ90" s="148">
        <f t="shared" ref="AJ90:AN90" si="116">SUM(AJ82,AJ86:AJ87)</f>
        <v>30020057.945663225</v>
      </c>
      <c r="AK90" s="148">
        <f t="shared" si="116"/>
        <v>29961184.207381628</v>
      </c>
      <c r="AL90" s="148">
        <f t="shared" si="116"/>
        <v>29899563.170348633</v>
      </c>
      <c r="AM90" s="148">
        <f t="shared" si="116"/>
        <v>29858865.90370255</v>
      </c>
      <c r="AN90" s="148">
        <f t="shared" si="116"/>
        <v>32114443.041480418</v>
      </c>
      <c r="AO90" s="468">
        <f t="shared" ref="AO90:AO91" si="117">+SUM(F90:AN90)</f>
        <v>715062279.03246653</v>
      </c>
      <c r="AP90" s="521"/>
      <c r="AQ90"/>
      <c r="AR90" s="23"/>
      <c r="AS90" s="28"/>
    </row>
    <row r="91" spans="1:45" ht="14.4" x14ac:dyDescent="0.3">
      <c r="A91" s="66"/>
      <c r="B91" s="466" t="s">
        <v>279</v>
      </c>
      <c r="C91" s="520"/>
      <c r="D91" s="4"/>
      <c r="E91" s="101"/>
      <c r="F91" s="148">
        <f>F90+F95</f>
        <v>1957846.8056892459</v>
      </c>
      <c r="G91" s="148">
        <f t="shared" ref="G91:AH91" si="118">G90+G95</f>
        <v>-36319339.475457452</v>
      </c>
      <c r="H91" s="148">
        <f t="shared" si="118"/>
        <v>-28832287.380669408</v>
      </c>
      <c r="I91" s="148">
        <f t="shared" si="118"/>
        <v>-24906702.067383569</v>
      </c>
      <c r="J91" s="148">
        <f t="shared" si="118"/>
        <v>-21428102.085873183</v>
      </c>
      <c r="K91" s="148">
        <f t="shared" si="118"/>
        <v>9470723.0983930938</v>
      </c>
      <c r="L91" s="148">
        <f t="shared" si="118"/>
        <v>9929821.8407637831</v>
      </c>
      <c r="M91" s="148">
        <f t="shared" si="118"/>
        <v>16422226.819288366</v>
      </c>
      <c r="N91" s="148">
        <f t="shared" si="118"/>
        <v>16536817.023492206</v>
      </c>
      <c r="O91" s="148">
        <f t="shared" si="118"/>
        <v>15838091.07735741</v>
      </c>
      <c r="P91" s="148">
        <f t="shared" si="118"/>
        <v>17111803.046110455</v>
      </c>
      <c r="Q91" s="148">
        <f t="shared" si="118"/>
        <v>17943566.928333744</v>
      </c>
      <c r="R91" s="148">
        <f t="shared" si="118"/>
        <v>22699020.625185709</v>
      </c>
      <c r="S91" s="148">
        <f t="shared" si="118"/>
        <v>22899468.201205656</v>
      </c>
      <c r="T91" s="148">
        <f t="shared" si="118"/>
        <v>23075367.006327413</v>
      </c>
      <c r="U91" s="148">
        <f t="shared" si="118"/>
        <v>23974135.736178108</v>
      </c>
      <c r="V91" s="148">
        <f t="shared" si="118"/>
        <v>23236309.814684302</v>
      </c>
      <c r="W91" s="148">
        <f t="shared" si="118"/>
        <v>23867299.605674911</v>
      </c>
      <c r="X91" s="148">
        <f t="shared" si="118"/>
        <v>23791374.205948085</v>
      </c>
      <c r="Y91" s="148">
        <f t="shared" si="118"/>
        <v>23906177.10094836</v>
      </c>
      <c r="Z91" s="148">
        <f t="shared" si="118"/>
        <v>24340583.866365455</v>
      </c>
      <c r="AA91" s="148">
        <f t="shared" si="118"/>
        <v>24407427.207017437</v>
      </c>
      <c r="AB91" s="148">
        <f t="shared" si="118"/>
        <v>24698434.393081404</v>
      </c>
      <c r="AC91" s="148">
        <f t="shared" si="118"/>
        <v>24742524.805307992</v>
      </c>
      <c r="AD91" s="148">
        <f t="shared" si="118"/>
        <v>24823156.109337926</v>
      </c>
      <c r="AE91" s="148">
        <f t="shared" si="118"/>
        <v>25061713.153056368</v>
      </c>
      <c r="AF91" s="148">
        <f t="shared" si="118"/>
        <v>24970738.154707205</v>
      </c>
      <c r="AG91" s="148">
        <f t="shared" si="118"/>
        <v>25331212.872078292</v>
      </c>
      <c r="AH91" s="148">
        <f t="shared" si="118"/>
        <v>24978788.652881738</v>
      </c>
      <c r="AI91" s="148">
        <f>AI90+AI95</f>
        <v>24938965.819140375</v>
      </c>
      <c r="AJ91" s="148">
        <f t="shared" ref="AJ91:AN91" si="119">AJ90+AJ95</f>
        <v>24888020.197994936</v>
      </c>
      <c r="AK91" s="148">
        <f t="shared" si="119"/>
        <v>24826860.675452985</v>
      </c>
      <c r="AL91" s="148">
        <f t="shared" si="119"/>
        <v>24770070.732810363</v>
      </c>
      <c r="AM91" s="148">
        <f t="shared" si="119"/>
        <v>24753320.799158551</v>
      </c>
      <c r="AN91" s="148">
        <f t="shared" si="119"/>
        <v>26882042.086471345</v>
      </c>
      <c r="AO91" s="468">
        <f t="shared" si="117"/>
        <v>555587477.4510597</v>
      </c>
      <c r="AP91" s="521"/>
      <c r="AQ91"/>
      <c r="AR91" s="23"/>
      <c r="AS91" s="28"/>
    </row>
    <row r="92" spans="1:45" ht="14.4" x14ac:dyDescent="0.3">
      <c r="A92" s="66"/>
      <c r="B92" s="466"/>
      <c r="C92" s="526"/>
      <c r="D92" s="4"/>
      <c r="E92" s="101"/>
      <c r="F92" s="101"/>
      <c r="G92" s="101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1"/>
      <c r="X92" s="101"/>
      <c r="Y92" s="101"/>
      <c r="Z92" s="101"/>
      <c r="AA92" s="101"/>
      <c r="AB92" s="101"/>
      <c r="AC92" s="101"/>
      <c r="AD92" s="101"/>
      <c r="AE92" s="101"/>
      <c r="AF92" s="101"/>
      <c r="AG92" s="101"/>
      <c r="AH92" s="101"/>
      <c r="AI92" s="101"/>
      <c r="AJ92" s="101"/>
      <c r="AK92" s="101"/>
      <c r="AL92" s="101"/>
      <c r="AM92" s="101"/>
      <c r="AN92" s="101"/>
      <c r="AO92" s="510"/>
      <c r="AP92" s="521"/>
      <c r="AQ92"/>
      <c r="AR92" s="23"/>
      <c r="AS92" s="28"/>
    </row>
    <row r="93" spans="1:45" ht="14.4" x14ac:dyDescent="0.3">
      <c r="A93" s="66"/>
      <c r="B93" s="466" t="s">
        <v>280</v>
      </c>
      <c r="C93" s="520"/>
      <c r="D93" s="4"/>
      <c r="E93" s="101"/>
      <c r="F93" s="148">
        <f>F95+F100</f>
        <v>-4521321.2373993918</v>
      </c>
      <c r="G93" s="148">
        <f t="shared" ref="G93:AI93" si="120">G95+G100</f>
        <v>-6174842.2607195657</v>
      </c>
      <c r="H93" s="148">
        <f t="shared" si="120"/>
        <v>-7393634.506335713</v>
      </c>
      <c r="I93" s="148">
        <f t="shared" si="120"/>
        <v>-8572640.9051578939</v>
      </c>
      <c r="J93" s="148">
        <f t="shared" si="120"/>
        <v>-10005713.156131944</v>
      </c>
      <c r="K93" s="148">
        <f t="shared" si="120"/>
        <v>-10265734.297835469</v>
      </c>
      <c r="L93" s="148">
        <f t="shared" si="120"/>
        <v>-10480870.477933245</v>
      </c>
      <c r="M93" s="148">
        <f t="shared" si="120"/>
        <v>-10605389.736880412</v>
      </c>
      <c r="N93" s="148">
        <f t="shared" si="120"/>
        <v>-10650208.426840337</v>
      </c>
      <c r="O93" s="148">
        <f t="shared" si="120"/>
        <v>-10411077.915718682</v>
      </c>
      <c r="P93" s="148">
        <f t="shared" si="120"/>
        <v>-10860630.761481263</v>
      </c>
      <c r="Q93" s="148">
        <f t="shared" si="120"/>
        <v>-11154110.670178212</v>
      </c>
      <c r="R93" s="148">
        <f t="shared" si="120"/>
        <v>-11321634.346160352</v>
      </c>
      <c r="S93" s="148">
        <f t="shared" si="120"/>
        <v>-11404203.102100711</v>
      </c>
      <c r="T93" s="148">
        <f t="shared" si="120"/>
        <v>-11479044.258219894</v>
      </c>
      <c r="U93" s="148">
        <f t="shared" si="120"/>
        <v>-11798375.034154508</v>
      </c>
      <c r="V93" s="148">
        <f t="shared" si="120"/>
        <v>-11567861.590658709</v>
      </c>
      <c r="W93" s="148">
        <f t="shared" si="120"/>
        <v>-11796023.948867867</v>
      </c>
      <c r="X93" s="148">
        <f t="shared" si="120"/>
        <v>-11781487.314768709</v>
      </c>
      <c r="Y93" s="148">
        <f t="shared" si="120"/>
        <v>-11826324.634104557</v>
      </c>
      <c r="Z93" s="148">
        <f t="shared" si="120"/>
        <v>-11978396.259158779</v>
      </c>
      <c r="AA93" s="148">
        <f t="shared" si="120"/>
        <v>-12005906.113692235</v>
      </c>
      <c r="AB93" s="148">
        <f t="shared" si="120"/>
        <v>-12109673.761554204</v>
      </c>
      <c r="AC93" s="148">
        <f t="shared" si="120"/>
        <v>-12122406.475837536</v>
      </c>
      <c r="AD93" s="148">
        <f t="shared" si="120"/>
        <v>-12145927.635093085</v>
      </c>
      <c r="AE93" s="148">
        <f t="shared" si="120"/>
        <v>-12220107.003608692</v>
      </c>
      <c r="AF93" s="148">
        <f t="shared" si="120"/>
        <v>-12177483.776948731</v>
      </c>
      <c r="AG93" s="148">
        <f t="shared" si="120"/>
        <v>-12283504.628708174</v>
      </c>
      <c r="AH93" s="148">
        <f t="shared" si="120"/>
        <v>-12140460.837121703</v>
      </c>
      <c r="AI93" s="148">
        <f t="shared" si="120"/>
        <v>-12093079.488311445</v>
      </c>
      <c r="AJ93" s="148">
        <f t="shared" ref="AJ93:AN93" si="121">AJ95+AJ100</f>
        <v>-12029266.070729572</v>
      </c>
      <c r="AK93" s="148">
        <f t="shared" si="121"/>
        <v>-11935296.991110196</v>
      </c>
      <c r="AL93" s="148">
        <f t="shared" si="121"/>
        <v>-11808612.010008968</v>
      </c>
      <c r="AM93" s="148">
        <f t="shared" si="121"/>
        <v>-11620977.650963388</v>
      </c>
      <c r="AN93" s="148">
        <f t="shared" si="121"/>
        <v>-12084407.226116078</v>
      </c>
      <c r="AO93" s="468">
        <f t="shared" ref="AO93" si="122">+SUM(F93:AN93)</f>
        <v>-384826634.51061022</v>
      </c>
      <c r="AP93" s="519"/>
      <c r="AQ93"/>
      <c r="AS93" s="28"/>
    </row>
    <row r="94" spans="1:45" ht="14.4" x14ac:dyDescent="0.3">
      <c r="A94" s="66"/>
      <c r="B94" s="466"/>
      <c r="C94" s="520"/>
      <c r="D94" s="4"/>
      <c r="E94" s="101"/>
      <c r="F94" s="101"/>
      <c r="G94" s="101"/>
      <c r="H94" s="101"/>
      <c r="I94" s="101"/>
      <c r="J94" s="101"/>
      <c r="K94" s="101"/>
      <c r="L94" s="101"/>
      <c r="M94" s="101"/>
      <c r="N94" s="101"/>
      <c r="O94" s="101"/>
      <c r="P94" s="101"/>
      <c r="Q94" s="101"/>
      <c r="R94" s="101"/>
      <c r="S94" s="101"/>
      <c r="T94" s="101"/>
      <c r="U94" s="101"/>
      <c r="V94" s="101"/>
      <c r="W94" s="101"/>
      <c r="X94" s="101"/>
      <c r="Y94" s="101"/>
      <c r="Z94" s="101"/>
      <c r="AA94" s="101"/>
      <c r="AB94" s="101"/>
      <c r="AC94" s="101"/>
      <c r="AD94" s="101"/>
      <c r="AE94" s="101"/>
      <c r="AF94" s="101"/>
      <c r="AG94" s="101"/>
      <c r="AH94" s="101"/>
      <c r="AI94" s="101"/>
      <c r="AJ94" s="101"/>
      <c r="AK94" s="101"/>
      <c r="AL94" s="101"/>
      <c r="AM94" s="101"/>
      <c r="AN94" s="101"/>
      <c r="AO94" s="510"/>
      <c r="AP94" s="14"/>
      <c r="AQ94"/>
      <c r="AS94" s="28"/>
    </row>
    <row r="95" spans="1:45" ht="14.4" x14ac:dyDescent="0.3">
      <c r="A95" s="66"/>
      <c r="B95" s="466" t="s">
        <v>281</v>
      </c>
      <c r="C95" s="526"/>
      <c r="D95" s="4"/>
      <c r="E95" s="101"/>
      <c r="F95" s="148">
        <f>SUM(F96:F98)</f>
        <v>-2094429.7659386168</v>
      </c>
      <c r="G95" s="148">
        <f t="shared" ref="G95:AI95" si="123">SUM(G96:G98)</f>
        <v>-2534836.4561935677</v>
      </c>
      <c r="H95" s="148">
        <f t="shared" si="123"/>
        <v>-2993949.7869243692</v>
      </c>
      <c r="I95" s="148">
        <f t="shared" si="123"/>
        <v>-3424215.1052480801</v>
      </c>
      <c r="J95" s="148">
        <f t="shared" si="123"/>
        <v>-3869445.9295490207</v>
      </c>
      <c r="K95" s="148">
        <f t="shared" si="123"/>
        <v>-4051766.9202171089</v>
      </c>
      <c r="L95" s="148">
        <f t="shared" si="123"/>
        <v>-4201273.3966354597</v>
      </c>
      <c r="M95" s="148">
        <f t="shared" si="123"/>
        <v>-4287777.6938372487</v>
      </c>
      <c r="N95" s="148">
        <f t="shared" si="123"/>
        <v>-4354366.0890550204</v>
      </c>
      <c r="O95" s="148">
        <f t="shared" si="123"/>
        <v>-4416210.7557193879</v>
      </c>
      <c r="P95" s="148">
        <f t="shared" si="123"/>
        <v>-4496514.3302918477</v>
      </c>
      <c r="Q95" s="148">
        <f t="shared" si="123"/>
        <v>-4575809.6652308637</v>
      </c>
      <c r="R95" s="148">
        <f t="shared" si="123"/>
        <v>-4619652.1530463127</v>
      </c>
      <c r="S95" s="148">
        <f t="shared" si="123"/>
        <v>-4661463.0698190387</v>
      </c>
      <c r="T95" s="148">
        <f t="shared" si="123"/>
        <v>-4701548.2153312946</v>
      </c>
      <c r="U95" s="148">
        <f t="shared" si="123"/>
        <v>-4741322.2313387077</v>
      </c>
      <c r="V95" s="148">
        <f t="shared" si="123"/>
        <v>-4788662.0726980492</v>
      </c>
      <c r="W95" s="148">
        <f t="shared" si="123"/>
        <v>-4827093.5738662593</v>
      </c>
      <c r="X95" s="148">
        <f t="shared" si="123"/>
        <v>-4861608.1296602385</v>
      </c>
      <c r="Y95" s="148">
        <f t="shared" si="123"/>
        <v>-4894329.7335829614</v>
      </c>
      <c r="Z95" s="148">
        <f t="shared" si="123"/>
        <v>-4924175.9740729593</v>
      </c>
      <c r="AA95" s="148">
        <f t="shared" si="123"/>
        <v>-4952863.3684342634</v>
      </c>
      <c r="AB95" s="148">
        <f t="shared" si="123"/>
        <v>-4980810.846884707</v>
      </c>
      <c r="AC95" s="148">
        <f t="shared" si="123"/>
        <v>-5006259.6453663278</v>
      </c>
      <c r="AD95" s="148">
        <f t="shared" si="123"/>
        <v>-5029805.3430557055</v>
      </c>
      <c r="AE95" s="148">
        <f t="shared" si="123"/>
        <v>-5053321.580602874</v>
      </c>
      <c r="AF95" s="148">
        <f t="shared" si="123"/>
        <v>-5072632.3893951038</v>
      </c>
      <c r="AG95" s="148">
        <f t="shared" si="123"/>
        <v>-5091797.61135404</v>
      </c>
      <c r="AH95" s="148">
        <f t="shared" si="123"/>
        <v>-5110181.7057945533</v>
      </c>
      <c r="AI95" s="148">
        <f t="shared" si="123"/>
        <v>-5122878.2655747086</v>
      </c>
      <c r="AJ95" s="148">
        <f t="shared" ref="AJ95:AN95" si="124">SUM(AJ96:AJ98)</f>
        <v>-5132037.7476682886</v>
      </c>
      <c r="AK95" s="148">
        <f t="shared" si="124"/>
        <v>-5134323.5319286417</v>
      </c>
      <c r="AL95" s="148">
        <f t="shared" si="124"/>
        <v>-5129492.4375382699</v>
      </c>
      <c r="AM95" s="148">
        <f t="shared" si="124"/>
        <v>-5105545.1045440007</v>
      </c>
      <c r="AN95" s="148">
        <f t="shared" si="124"/>
        <v>-5232400.955009074</v>
      </c>
      <c r="AO95" s="468">
        <f t="shared" ref="AO95:AO98" si="125">+SUM(F95:AN95)</f>
        <v>-159474801.58140698</v>
      </c>
      <c r="AP95" s="519"/>
      <c r="AQ95"/>
      <c r="AS95" s="28"/>
    </row>
    <row r="96" spans="1:45" ht="14.4" x14ac:dyDescent="0.3">
      <c r="A96"/>
      <c r="B96" s="466" t="s">
        <v>282</v>
      </c>
      <c r="C96" s="527">
        <v>0.03</v>
      </c>
      <c r="D96" s="4"/>
      <c r="E96" s="101"/>
      <c r="F96" s="148">
        <f t="shared" ref="F96:AN96" si="126">(F55+F56+F57+F58)*$C$96*0.4</f>
        <v>-68660.512018788635</v>
      </c>
      <c r="G96" s="148">
        <f t="shared" si="126"/>
        <v>-75731.056766402427</v>
      </c>
      <c r="H96" s="148">
        <f t="shared" si="126"/>
        <v>-88491.309617001942</v>
      </c>
      <c r="I96" s="148">
        <f t="shared" si="126"/>
        <v>-95588.769030514537</v>
      </c>
      <c r="J96" s="148">
        <f t="shared" si="126"/>
        <v>-104518.89970745728</v>
      </c>
      <c r="K96" s="148">
        <f t="shared" si="126"/>
        <v>-110038.37476823339</v>
      </c>
      <c r="L96" s="148">
        <f t="shared" si="126"/>
        <v>-114055.9548231806</v>
      </c>
      <c r="M96" s="148">
        <f t="shared" si="126"/>
        <v>-119623.73274944744</v>
      </c>
      <c r="N96" s="148">
        <f t="shared" si="126"/>
        <v>-124681.97019708373</v>
      </c>
      <c r="O96" s="148">
        <f t="shared" si="126"/>
        <v>-128998.13567888185</v>
      </c>
      <c r="P96" s="148">
        <f t="shared" si="126"/>
        <v>-131849.11124164239</v>
      </c>
      <c r="Q96" s="148">
        <f t="shared" si="126"/>
        <v>-134798.27603271234</v>
      </c>
      <c r="R96" s="148">
        <f t="shared" si="126"/>
        <v>-138211.15132098651</v>
      </c>
      <c r="S96" s="148">
        <f t="shared" si="126"/>
        <v>-140343.09651351869</v>
      </c>
      <c r="T96" s="148">
        <f t="shared" si="126"/>
        <v>-142511.05727561875</v>
      </c>
      <c r="U96" s="148">
        <f t="shared" si="126"/>
        <v>-144617.26307530623</v>
      </c>
      <c r="V96" s="148">
        <f t="shared" si="126"/>
        <v>-156245.4061655018</v>
      </c>
      <c r="W96" s="148">
        <f t="shared" si="126"/>
        <v>-159211.06034391478</v>
      </c>
      <c r="X96" s="148">
        <f t="shared" si="126"/>
        <v>-163335.41185463697</v>
      </c>
      <c r="Y96" s="148">
        <f t="shared" si="126"/>
        <v>-165601.98365756919</v>
      </c>
      <c r="Z96" s="148">
        <f t="shared" si="126"/>
        <v>-167893.89579234121</v>
      </c>
      <c r="AA96" s="148">
        <f t="shared" si="126"/>
        <v>-170220.05645770609</v>
      </c>
      <c r="AB96" s="148">
        <f t="shared" si="126"/>
        <v>-173704.93790748803</v>
      </c>
      <c r="AC96" s="148">
        <f t="shared" si="126"/>
        <v>-176098.9345628226</v>
      </c>
      <c r="AD96" s="148">
        <f t="shared" si="126"/>
        <v>-178524.50287805364</v>
      </c>
      <c r="AE96" s="148">
        <f t="shared" si="126"/>
        <v>-180998.10872444688</v>
      </c>
      <c r="AF96" s="148">
        <f t="shared" si="126"/>
        <v>-183574.18981217474</v>
      </c>
      <c r="AG96" s="148">
        <f t="shared" si="126"/>
        <v>-186114.31867578966</v>
      </c>
      <c r="AH96" s="148">
        <f t="shared" si="126"/>
        <v>-192059.48438406439</v>
      </c>
      <c r="AI96" s="148">
        <f t="shared" si="126"/>
        <v>-194671.13206963512</v>
      </c>
      <c r="AJ96" s="148">
        <f t="shared" si="126"/>
        <v>-197321.27199962761</v>
      </c>
      <c r="AK96" s="148">
        <f t="shared" si="126"/>
        <v>-200006.24634606997</v>
      </c>
      <c r="AL96" s="148">
        <f t="shared" si="126"/>
        <v>-202734.21975688162</v>
      </c>
      <c r="AM96" s="148">
        <f t="shared" si="126"/>
        <v>-204913.44608850052</v>
      </c>
      <c r="AN96" s="148">
        <f t="shared" si="126"/>
        <v>-207553.19400784746</v>
      </c>
      <c r="AO96" s="468">
        <f t="shared" si="125"/>
        <v>-5323500.4723018492</v>
      </c>
      <c r="AP96" s="521"/>
      <c r="AQ96"/>
      <c r="AR96" s="23"/>
      <c r="AS96" s="28"/>
    </row>
    <row r="97" spans="1:45" ht="14.4" x14ac:dyDescent="0.3">
      <c r="A97"/>
      <c r="B97" s="466" t="s">
        <v>283</v>
      </c>
      <c r="C97" s="527">
        <v>1.6500000000000001E-2</v>
      </c>
      <c r="D97" s="4"/>
      <c r="E97" s="101"/>
      <c r="F97" s="148">
        <f t="shared" ref="F97:AN97" si="127">-(F42+F61+F88)*$C$97</f>
        <v>-361353.43448299641</v>
      </c>
      <c r="G97" s="148">
        <f t="shared" si="127"/>
        <v>-438651.23341133218</v>
      </c>
      <c r="H97" s="148">
        <f t="shared" si="127"/>
        <v>-518270.97162780067</v>
      </c>
      <c r="I97" s="148">
        <f t="shared" si="127"/>
        <v>-593754.96808205231</v>
      </c>
      <c r="J97" s="148">
        <f t="shared" si="127"/>
        <v>-671581.57829606265</v>
      </c>
      <c r="K97" s="148">
        <f t="shared" si="127"/>
        <v>-703119.14594493457</v>
      </c>
      <c r="L97" s="148">
        <f t="shared" si="127"/>
        <v>-729071.21935029852</v>
      </c>
      <c r="M97" s="148">
        <f t="shared" si="127"/>
        <v>-743508.54441025655</v>
      </c>
      <c r="N97" s="148">
        <f t="shared" si="127"/>
        <v>-754484.19417465897</v>
      </c>
      <c r="O97" s="148">
        <f t="shared" si="127"/>
        <v>-764746.03492614429</v>
      </c>
      <c r="P97" s="148">
        <f t="shared" si="127"/>
        <v>-778561.90393868543</v>
      </c>
      <c r="Q97" s="148">
        <f t="shared" si="127"/>
        <v>-792180.40996507579</v>
      </c>
      <c r="R97" s="148">
        <f t="shared" si="127"/>
        <v>-799392.17868613941</v>
      </c>
      <c r="S97" s="148">
        <f t="shared" si="127"/>
        <v>-806470.0492923361</v>
      </c>
      <c r="T97" s="148">
        <f t="shared" si="127"/>
        <v>-813233.65522074222</v>
      </c>
      <c r="U97" s="148">
        <f t="shared" si="127"/>
        <v>-819952.77812266082</v>
      </c>
      <c r="V97" s="148">
        <f t="shared" si="127"/>
        <v>-826322.9729490492</v>
      </c>
      <c r="W97" s="148">
        <f t="shared" si="127"/>
        <v>-832649.31322290469</v>
      </c>
      <c r="X97" s="148">
        <f t="shared" si="127"/>
        <v>-838070.26858153986</v>
      </c>
      <c r="Y97" s="148">
        <f t="shared" si="127"/>
        <v>-843502.78782452946</v>
      </c>
      <c r="Z97" s="148">
        <f t="shared" si="127"/>
        <v>-848417.88423384004</v>
      </c>
      <c r="AA97" s="148">
        <f t="shared" si="127"/>
        <v>-853120.15835257515</v>
      </c>
      <c r="AB97" s="148">
        <f t="shared" si="127"/>
        <v>-857483.75673647691</v>
      </c>
      <c r="AC97" s="148">
        <f t="shared" si="127"/>
        <v>-861596.23490008479</v>
      </c>
      <c r="AD97" s="148">
        <f t="shared" si="127"/>
        <v>-865363.60932898661</v>
      </c>
      <c r="AE97" s="148">
        <f t="shared" si="127"/>
        <v>-869117.15984858433</v>
      </c>
      <c r="AF97" s="148">
        <f t="shared" si="127"/>
        <v>-872102.27343911713</v>
      </c>
      <c r="AG97" s="148">
        <f t="shared" si="127"/>
        <v>-875067.83058585017</v>
      </c>
      <c r="AH97" s="148">
        <f t="shared" si="127"/>
        <v>-877286.666521871</v>
      </c>
      <c r="AI97" s="148">
        <f t="shared" si="127"/>
        <v>-879085.59678739146</v>
      </c>
      <c r="AJ97" s="148">
        <f t="shared" si="127"/>
        <v>-880246.72268684232</v>
      </c>
      <c r="AK97" s="148">
        <f t="shared" si="127"/>
        <v>-880175.51580662106</v>
      </c>
      <c r="AL97" s="148">
        <f t="shared" si="127"/>
        <v>-878827.14155019354</v>
      </c>
      <c r="AM97" s="148">
        <f t="shared" si="127"/>
        <v>-874166.7282650352</v>
      </c>
      <c r="AN97" s="148">
        <f t="shared" si="127"/>
        <v>-896324.19520562422</v>
      </c>
      <c r="AO97" s="468">
        <f t="shared" si="125"/>
        <v>-27497259.116759293</v>
      </c>
      <c r="AP97" s="521"/>
      <c r="AQ97"/>
      <c r="AR97" s="23"/>
      <c r="AS97" s="28"/>
    </row>
    <row r="98" spans="1:45" ht="14.4" x14ac:dyDescent="0.3">
      <c r="A98"/>
      <c r="B98" s="466" t="s">
        <v>284</v>
      </c>
      <c r="C98" s="527">
        <v>7.5999999999999998E-2</v>
      </c>
      <c r="D98" s="4"/>
      <c r="E98" s="101"/>
      <c r="F98" s="148">
        <f t="shared" ref="F98:AN98" si="128">-(F42+F61+F88)*$C$98</f>
        <v>-1664415.8194368319</v>
      </c>
      <c r="G98" s="148">
        <f t="shared" si="128"/>
        <v>-2020454.1660158329</v>
      </c>
      <c r="H98" s="148">
        <f t="shared" si="128"/>
        <v>-2387187.5056795664</v>
      </c>
      <c r="I98" s="148">
        <f t="shared" si="128"/>
        <v>-2734871.3681355133</v>
      </c>
      <c r="J98" s="148">
        <f t="shared" si="128"/>
        <v>-3093345.4515455007</v>
      </c>
      <c r="K98" s="148">
        <f t="shared" si="128"/>
        <v>-3238609.3995039407</v>
      </c>
      <c r="L98" s="148">
        <f t="shared" si="128"/>
        <v>-3358146.2224619808</v>
      </c>
      <c r="M98" s="148">
        <f t="shared" si="128"/>
        <v>-3424645.4166775448</v>
      </c>
      <c r="N98" s="148">
        <f t="shared" si="128"/>
        <v>-3475199.9246832775</v>
      </c>
      <c r="O98" s="148">
        <f t="shared" si="128"/>
        <v>-3522466.5851143613</v>
      </c>
      <c r="P98" s="148">
        <f t="shared" si="128"/>
        <v>-3586103.3151115202</v>
      </c>
      <c r="Q98" s="148">
        <f t="shared" si="128"/>
        <v>-3648830.9792330759</v>
      </c>
      <c r="R98" s="148">
        <f t="shared" si="128"/>
        <v>-3682048.8230391871</v>
      </c>
      <c r="S98" s="148">
        <f t="shared" si="128"/>
        <v>-3714649.9240131844</v>
      </c>
      <c r="T98" s="148">
        <f t="shared" si="128"/>
        <v>-3745803.5028349333</v>
      </c>
      <c r="U98" s="148">
        <f t="shared" si="128"/>
        <v>-3776752.1901407405</v>
      </c>
      <c r="V98" s="148">
        <f t="shared" si="128"/>
        <v>-3806093.6935834987</v>
      </c>
      <c r="W98" s="148">
        <f t="shared" si="128"/>
        <v>-3835233.2002994395</v>
      </c>
      <c r="X98" s="148">
        <f t="shared" si="128"/>
        <v>-3860202.4492240618</v>
      </c>
      <c r="Y98" s="148">
        <f t="shared" si="128"/>
        <v>-3885224.9621008625</v>
      </c>
      <c r="Z98" s="148">
        <f t="shared" si="128"/>
        <v>-3907864.1940467781</v>
      </c>
      <c r="AA98" s="148">
        <f t="shared" si="128"/>
        <v>-3929523.1536239823</v>
      </c>
      <c r="AB98" s="148">
        <f t="shared" si="128"/>
        <v>-3949622.1522407415</v>
      </c>
      <c r="AC98" s="148">
        <f t="shared" si="128"/>
        <v>-3968564.4759034207</v>
      </c>
      <c r="AD98" s="148">
        <f t="shared" si="128"/>
        <v>-3985917.2308486653</v>
      </c>
      <c r="AE98" s="148">
        <f t="shared" si="128"/>
        <v>-4003206.3120298428</v>
      </c>
      <c r="AF98" s="148">
        <f t="shared" si="128"/>
        <v>-4016955.926143812</v>
      </c>
      <c r="AG98" s="148">
        <f t="shared" si="128"/>
        <v>-4030615.4620924005</v>
      </c>
      <c r="AH98" s="148">
        <f t="shared" si="128"/>
        <v>-4040835.5548886177</v>
      </c>
      <c r="AI98" s="148">
        <f t="shared" si="128"/>
        <v>-4049121.5367176817</v>
      </c>
      <c r="AJ98" s="148">
        <f t="shared" si="128"/>
        <v>-4054469.7529818187</v>
      </c>
      <c r="AK98" s="148">
        <f t="shared" si="128"/>
        <v>-4054141.7697759513</v>
      </c>
      <c r="AL98" s="148">
        <f t="shared" si="128"/>
        <v>-4047931.0762311942</v>
      </c>
      <c r="AM98" s="148">
        <f t="shared" si="128"/>
        <v>-4026464.9301904649</v>
      </c>
      <c r="AN98" s="148">
        <f t="shared" si="128"/>
        <v>-4128523.5657956023</v>
      </c>
      <c r="AO98" s="468">
        <f t="shared" si="125"/>
        <v>-126654041.99234582</v>
      </c>
      <c r="AP98" s="521"/>
      <c r="AQ98"/>
      <c r="AR98" s="23"/>
      <c r="AS98" s="28"/>
    </row>
    <row r="99" spans="1:45" ht="14.4" x14ac:dyDescent="0.3">
      <c r="A99" s="66"/>
      <c r="B99" s="466"/>
      <c r="C99" s="526"/>
      <c r="D99" s="4"/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101"/>
      <c r="Y99" s="101"/>
      <c r="Z99" s="101"/>
      <c r="AA99" s="101"/>
      <c r="AB99" s="101"/>
      <c r="AC99" s="101"/>
      <c r="AD99" s="101"/>
      <c r="AE99" s="101"/>
      <c r="AF99" s="101"/>
      <c r="AG99" s="101"/>
      <c r="AH99" s="101"/>
      <c r="AI99" s="101"/>
      <c r="AJ99" s="101"/>
      <c r="AK99" s="101"/>
      <c r="AL99" s="101"/>
      <c r="AM99" s="101"/>
      <c r="AN99" s="101"/>
      <c r="AO99" s="510"/>
      <c r="AP99" s="521"/>
      <c r="AQ99"/>
      <c r="AR99" s="23"/>
      <c r="AS99" s="28"/>
    </row>
    <row r="100" spans="1:45" ht="14.4" x14ac:dyDescent="0.3">
      <c r="A100" s="66"/>
      <c r="B100" s="466" t="s">
        <v>285</v>
      </c>
      <c r="C100" s="526"/>
      <c r="D100" s="4"/>
      <c r="E100" s="101"/>
      <c r="F100" s="148">
        <f>SUM(F102:F103)</f>
        <v>-2426891.4714607745</v>
      </c>
      <c r="G100" s="148">
        <f t="shared" ref="G100:AI100" si="129">SUM(G102:G103)</f>
        <v>-3640005.8045259984</v>
      </c>
      <c r="H100" s="148">
        <f t="shared" si="129"/>
        <v>-4399684.7194113433</v>
      </c>
      <c r="I100" s="148">
        <f t="shared" si="129"/>
        <v>-5148425.7999098133</v>
      </c>
      <c r="J100" s="148">
        <f t="shared" si="129"/>
        <v>-6136267.226582923</v>
      </c>
      <c r="K100" s="148">
        <f t="shared" si="129"/>
        <v>-6213967.3776183594</v>
      </c>
      <c r="L100" s="148">
        <f t="shared" si="129"/>
        <v>-6279597.081297785</v>
      </c>
      <c r="M100" s="148">
        <f t="shared" si="129"/>
        <v>-6317612.0430431636</v>
      </c>
      <c r="N100" s="148">
        <f t="shared" si="129"/>
        <v>-6295842.3377853166</v>
      </c>
      <c r="O100" s="148">
        <f t="shared" si="129"/>
        <v>-5994867.1599992942</v>
      </c>
      <c r="P100" s="148">
        <f t="shared" si="129"/>
        <v>-6364116.431189415</v>
      </c>
      <c r="Q100" s="148">
        <f t="shared" si="129"/>
        <v>-6578301.0049473494</v>
      </c>
      <c r="R100" s="148">
        <f t="shared" si="129"/>
        <v>-6701982.1931140386</v>
      </c>
      <c r="S100" s="148">
        <f t="shared" si="129"/>
        <v>-6742740.0322816726</v>
      </c>
      <c r="T100" s="148">
        <f t="shared" si="129"/>
        <v>-6777496.0428885994</v>
      </c>
      <c r="U100" s="148">
        <f t="shared" si="129"/>
        <v>-7057052.8028158015</v>
      </c>
      <c r="V100" s="148">
        <f t="shared" si="129"/>
        <v>-6779199.5179606592</v>
      </c>
      <c r="W100" s="148">
        <f t="shared" si="129"/>
        <v>-6968930.3750016075</v>
      </c>
      <c r="X100" s="148">
        <f t="shared" si="129"/>
        <v>-6919879.1851084717</v>
      </c>
      <c r="Y100" s="148">
        <f t="shared" si="129"/>
        <v>-6931994.900521595</v>
      </c>
      <c r="Z100" s="148">
        <f t="shared" si="129"/>
        <v>-7054220.2850858197</v>
      </c>
      <c r="AA100" s="148">
        <f t="shared" si="129"/>
        <v>-7053042.7452579718</v>
      </c>
      <c r="AB100" s="148">
        <f t="shared" si="129"/>
        <v>-7128862.9146694969</v>
      </c>
      <c r="AC100" s="148">
        <f t="shared" si="129"/>
        <v>-7116146.8304712083</v>
      </c>
      <c r="AD100" s="148">
        <f t="shared" si="129"/>
        <v>-7116122.292037379</v>
      </c>
      <c r="AE100" s="148">
        <f t="shared" si="129"/>
        <v>-7166785.4230058175</v>
      </c>
      <c r="AF100" s="148">
        <f t="shared" si="129"/>
        <v>-7104851.3875536285</v>
      </c>
      <c r="AG100" s="148">
        <f t="shared" si="129"/>
        <v>-7191707.0173541345</v>
      </c>
      <c r="AH100" s="148">
        <f t="shared" si="129"/>
        <v>-7030279.1313271495</v>
      </c>
      <c r="AI100" s="148">
        <f t="shared" si="129"/>
        <v>-6970201.2227367368</v>
      </c>
      <c r="AJ100" s="148">
        <f t="shared" ref="AJ100:AN100" si="130">SUM(AJ102:AJ103)</f>
        <v>-6897228.3230612837</v>
      </c>
      <c r="AK100" s="148">
        <f t="shared" si="130"/>
        <v>-6800973.4591815546</v>
      </c>
      <c r="AL100" s="148">
        <f t="shared" si="130"/>
        <v>-6679119.5724706985</v>
      </c>
      <c r="AM100" s="148">
        <f t="shared" si="130"/>
        <v>-6515432.5464193886</v>
      </c>
      <c r="AN100" s="148">
        <f t="shared" si="130"/>
        <v>-6852006.271107004</v>
      </c>
      <c r="AO100" s="468">
        <f t="shared" ref="AO100:AO103" si="131">+SUM(F100:AN100)</f>
        <v>-225351832.92920324</v>
      </c>
      <c r="AP100" s="519"/>
      <c r="AQ100"/>
      <c r="AR100" s="23"/>
      <c r="AS100" s="28"/>
    </row>
    <row r="101" spans="1:45" ht="14.4" x14ac:dyDescent="0.3">
      <c r="A101" s="66"/>
      <c r="B101" s="466" t="s">
        <v>286</v>
      </c>
      <c r="C101" s="520"/>
      <c r="D101" s="4"/>
      <c r="E101" s="101"/>
      <c r="F101" s="148">
        <f t="shared" ref="F101:AI101" si="132">F43+F53+F88+F95</f>
        <v>7314386.6807669848</v>
      </c>
      <c r="G101" s="148">
        <f t="shared" si="132"/>
        <v>10882370.013311761</v>
      </c>
      <c r="H101" s="148">
        <f t="shared" si="132"/>
        <v>13116719.762974538</v>
      </c>
      <c r="I101" s="148">
        <f t="shared" si="132"/>
        <v>15318899.41149945</v>
      </c>
      <c r="J101" s="148">
        <f t="shared" si="132"/>
        <v>18224315.372302715</v>
      </c>
      <c r="K101" s="148">
        <f t="shared" si="132"/>
        <v>18452845.228289291</v>
      </c>
      <c r="L101" s="148">
        <f t="shared" si="132"/>
        <v>18645873.768522896</v>
      </c>
      <c r="M101" s="148">
        <f t="shared" si="132"/>
        <v>18757682.479538716</v>
      </c>
      <c r="N101" s="148">
        <f t="shared" si="132"/>
        <v>18693653.934662696</v>
      </c>
      <c r="O101" s="148">
        <f t="shared" si="132"/>
        <v>17808432.823527336</v>
      </c>
      <c r="P101" s="148">
        <f t="shared" si="132"/>
        <v>18894460.091733575</v>
      </c>
      <c r="Q101" s="148">
        <f t="shared" si="132"/>
        <v>19524414.72043338</v>
      </c>
      <c r="R101" s="148">
        <f t="shared" si="132"/>
        <v>19888182.920923643</v>
      </c>
      <c r="S101" s="148">
        <f t="shared" si="132"/>
        <v>20008058.918475509</v>
      </c>
      <c r="T101" s="148">
        <f t="shared" si="132"/>
        <v>20110282.479084115</v>
      </c>
      <c r="U101" s="148">
        <f t="shared" si="132"/>
        <v>20932508.243575886</v>
      </c>
      <c r="V101" s="148">
        <f t="shared" si="132"/>
        <v>20115292.699884292</v>
      </c>
      <c r="W101" s="148">
        <f t="shared" si="132"/>
        <v>20673324.632357668</v>
      </c>
      <c r="X101" s="148">
        <f t="shared" si="132"/>
        <v>20529056.426789623</v>
      </c>
      <c r="Y101" s="148">
        <f t="shared" si="132"/>
        <v>20564690.883887045</v>
      </c>
      <c r="Z101" s="148">
        <f t="shared" si="132"/>
        <v>20924177.30907594</v>
      </c>
      <c r="AA101" s="148">
        <f t="shared" si="132"/>
        <v>20920713.956641093</v>
      </c>
      <c r="AB101" s="148">
        <f t="shared" si="132"/>
        <v>21143714.454910286</v>
      </c>
      <c r="AC101" s="148">
        <f t="shared" si="132"/>
        <v>21106314.20726826</v>
      </c>
      <c r="AD101" s="148">
        <f t="shared" si="132"/>
        <v>21106242.035404056</v>
      </c>
      <c r="AE101" s="148">
        <f t="shared" si="132"/>
        <v>21255251.244134758</v>
      </c>
      <c r="AF101" s="148">
        <f t="shared" si="132"/>
        <v>21073092.316334203</v>
      </c>
      <c r="AG101" s="148">
        <f t="shared" si="132"/>
        <v>21328550.051041573</v>
      </c>
      <c r="AH101" s="148">
        <f t="shared" si="132"/>
        <v>20853762.150962204</v>
      </c>
      <c r="AI101" s="148">
        <f t="shared" si="132"/>
        <v>20677062.419813931</v>
      </c>
      <c r="AJ101" s="148">
        <f t="shared" ref="AJ101:AN101" si="133">AJ43+AJ53+AJ88+AJ95</f>
        <v>20462436.244297892</v>
      </c>
      <c r="AK101" s="148">
        <f t="shared" si="133"/>
        <v>20179333.703475162</v>
      </c>
      <c r="AL101" s="148">
        <f t="shared" si="133"/>
        <v>19820939.919031467</v>
      </c>
      <c r="AM101" s="148">
        <f t="shared" si="133"/>
        <v>19339507.489468791</v>
      </c>
      <c r="AN101" s="148">
        <f t="shared" si="133"/>
        <v>20329430.209138248</v>
      </c>
      <c r="AO101" s="468">
        <f t="shared" si="131"/>
        <v>668975979.20353889</v>
      </c>
      <c r="AP101" s="521"/>
      <c r="AQ101" s="71"/>
      <c r="AR101" s="23"/>
      <c r="AS101" s="28"/>
    </row>
    <row r="102" spans="1:45" ht="14.4" x14ac:dyDescent="0.3">
      <c r="A102"/>
      <c r="B102" s="466" t="s">
        <v>287</v>
      </c>
      <c r="C102" s="527">
        <v>0.09</v>
      </c>
      <c r="D102" s="4"/>
      <c r="E102" s="101"/>
      <c r="F102" s="148">
        <f t="shared" ref="F102:AN102" si="134">-IF(F101&lt;=0,0,F101*$C$102)</f>
        <v>-658294.80126902857</v>
      </c>
      <c r="G102" s="148">
        <f t="shared" si="134"/>
        <v>-979413.30119805841</v>
      </c>
      <c r="H102" s="148">
        <f t="shared" si="134"/>
        <v>-1180504.7786677084</v>
      </c>
      <c r="I102" s="148">
        <f t="shared" si="134"/>
        <v>-1378700.9470349504</v>
      </c>
      <c r="J102" s="148">
        <f t="shared" si="134"/>
        <v>-1640188.3835072443</v>
      </c>
      <c r="K102" s="148">
        <f t="shared" si="134"/>
        <v>-1660756.0705460361</v>
      </c>
      <c r="L102" s="148">
        <f t="shared" si="134"/>
        <v>-1678128.6391670606</v>
      </c>
      <c r="M102" s="148">
        <f t="shared" si="134"/>
        <v>-1688191.4231584845</v>
      </c>
      <c r="N102" s="148">
        <f t="shared" si="134"/>
        <v>-1682428.8541196426</v>
      </c>
      <c r="O102" s="148">
        <f t="shared" si="134"/>
        <v>-1602758.9541174602</v>
      </c>
      <c r="P102" s="148">
        <f t="shared" si="134"/>
        <v>-1700501.4082560216</v>
      </c>
      <c r="Q102" s="148">
        <f t="shared" si="134"/>
        <v>-1757197.3248390041</v>
      </c>
      <c r="R102" s="148">
        <f t="shared" si="134"/>
        <v>-1789936.4628831279</v>
      </c>
      <c r="S102" s="148">
        <f t="shared" si="134"/>
        <v>-1800725.3026627956</v>
      </c>
      <c r="T102" s="148">
        <f t="shared" si="134"/>
        <v>-1809925.4231175703</v>
      </c>
      <c r="U102" s="148">
        <f t="shared" si="134"/>
        <v>-1883925.7419218298</v>
      </c>
      <c r="V102" s="148">
        <f t="shared" si="134"/>
        <v>-1810376.3429895863</v>
      </c>
      <c r="W102" s="148">
        <f t="shared" si="134"/>
        <v>-1860599.21691219</v>
      </c>
      <c r="X102" s="148">
        <f t="shared" si="134"/>
        <v>-1847615.078411066</v>
      </c>
      <c r="Y102" s="148">
        <f t="shared" si="134"/>
        <v>-1850822.179549834</v>
      </c>
      <c r="Z102" s="148">
        <f t="shared" si="134"/>
        <v>-1883175.9578168346</v>
      </c>
      <c r="AA102" s="148">
        <f t="shared" si="134"/>
        <v>-1882864.2560976984</v>
      </c>
      <c r="AB102" s="148">
        <f t="shared" si="134"/>
        <v>-1902934.3009419257</v>
      </c>
      <c r="AC102" s="148">
        <f t="shared" si="134"/>
        <v>-1899568.2786541434</v>
      </c>
      <c r="AD102" s="148">
        <f t="shared" si="134"/>
        <v>-1899561.7831863649</v>
      </c>
      <c r="AE102" s="148">
        <f t="shared" si="134"/>
        <v>-1912972.611972128</v>
      </c>
      <c r="AF102" s="148">
        <f t="shared" si="134"/>
        <v>-1896578.3084700783</v>
      </c>
      <c r="AG102" s="148">
        <f t="shared" si="134"/>
        <v>-1919569.5045937416</v>
      </c>
      <c r="AH102" s="148">
        <f t="shared" si="134"/>
        <v>-1876838.5935865983</v>
      </c>
      <c r="AI102" s="148">
        <f t="shared" si="134"/>
        <v>-1860935.6177832538</v>
      </c>
      <c r="AJ102" s="148">
        <f t="shared" si="134"/>
        <v>-1841619.2619868102</v>
      </c>
      <c r="AK102" s="148">
        <f t="shared" si="134"/>
        <v>-1816140.0333127645</v>
      </c>
      <c r="AL102" s="148">
        <f t="shared" si="134"/>
        <v>-1783884.5927128319</v>
      </c>
      <c r="AM102" s="148">
        <f t="shared" si="134"/>
        <v>-1740555.6740521912</v>
      </c>
      <c r="AN102" s="148">
        <f t="shared" si="134"/>
        <v>-1829648.7188224422</v>
      </c>
      <c r="AO102" s="468">
        <f t="shared" si="131"/>
        <v>-60207838.128318526</v>
      </c>
      <c r="AP102" s="521"/>
      <c r="AQ102"/>
      <c r="AR102" s="23"/>
      <c r="AS102" s="28"/>
    </row>
    <row r="103" spans="1:45" ht="14.4" x14ac:dyDescent="0.3">
      <c r="A103"/>
      <c r="B103" s="466" t="s">
        <v>288</v>
      </c>
      <c r="C103" s="527">
        <v>0.15</v>
      </c>
      <c r="D103" s="4"/>
      <c r="E103" s="101"/>
      <c r="F103" s="148">
        <f t="shared" ref="F103:AN103" si="135">-IF(F101&lt;=0,0,IF(F101&lt;=240000,((F101)*$C$103),((F101-240000)*$C$104)))</f>
        <v>-1768596.6701917462</v>
      </c>
      <c r="G103" s="148">
        <f t="shared" si="135"/>
        <v>-2660592.5033279401</v>
      </c>
      <c r="H103" s="148">
        <f t="shared" si="135"/>
        <v>-3219179.9407436345</v>
      </c>
      <c r="I103" s="148">
        <f t="shared" si="135"/>
        <v>-3769724.8528748625</v>
      </c>
      <c r="J103" s="148">
        <f t="shared" si="135"/>
        <v>-4496078.8430756787</v>
      </c>
      <c r="K103" s="148">
        <f t="shared" si="135"/>
        <v>-4553211.3070723228</v>
      </c>
      <c r="L103" s="148">
        <f t="shared" si="135"/>
        <v>-4601468.442130724</v>
      </c>
      <c r="M103" s="148">
        <f t="shared" si="135"/>
        <v>-4629420.6198846791</v>
      </c>
      <c r="N103" s="148">
        <f t="shared" si="135"/>
        <v>-4613413.483665674</v>
      </c>
      <c r="O103" s="148">
        <f t="shared" si="135"/>
        <v>-4392108.205881834</v>
      </c>
      <c r="P103" s="148">
        <f t="shared" si="135"/>
        <v>-4663615.0229333937</v>
      </c>
      <c r="Q103" s="148">
        <f t="shared" si="135"/>
        <v>-4821103.6801083451</v>
      </c>
      <c r="R103" s="148">
        <f t="shared" si="135"/>
        <v>-4912045.7302309107</v>
      </c>
      <c r="S103" s="148">
        <f t="shared" si="135"/>
        <v>-4942014.7296188772</v>
      </c>
      <c r="T103" s="148">
        <f t="shared" si="135"/>
        <v>-4967570.6197710289</v>
      </c>
      <c r="U103" s="148">
        <f t="shared" si="135"/>
        <v>-5173127.0608939715</v>
      </c>
      <c r="V103" s="148">
        <f t="shared" si="135"/>
        <v>-4968823.1749710729</v>
      </c>
      <c r="W103" s="148">
        <f t="shared" si="135"/>
        <v>-5108331.158089417</v>
      </c>
      <c r="X103" s="148">
        <f t="shared" si="135"/>
        <v>-5072264.1066974057</v>
      </c>
      <c r="Y103" s="148">
        <f t="shared" si="135"/>
        <v>-5081172.7209717613</v>
      </c>
      <c r="Z103" s="148">
        <f t="shared" si="135"/>
        <v>-5171044.3272689851</v>
      </c>
      <c r="AA103" s="148">
        <f t="shared" si="135"/>
        <v>-5170178.4891602732</v>
      </c>
      <c r="AB103" s="148">
        <f t="shared" si="135"/>
        <v>-5225928.6137275714</v>
      </c>
      <c r="AC103" s="148">
        <f t="shared" si="135"/>
        <v>-5216578.5518170651</v>
      </c>
      <c r="AD103" s="148">
        <f t="shared" si="135"/>
        <v>-5216560.5088510141</v>
      </c>
      <c r="AE103" s="148">
        <f t="shared" si="135"/>
        <v>-5253812.8110336894</v>
      </c>
      <c r="AF103" s="148">
        <f t="shared" si="135"/>
        <v>-5208273.0790835507</v>
      </c>
      <c r="AG103" s="148">
        <f t="shared" si="135"/>
        <v>-5272137.5127603933</v>
      </c>
      <c r="AH103" s="148">
        <f t="shared" si="135"/>
        <v>-5153440.5377405509</v>
      </c>
      <c r="AI103" s="148">
        <f t="shared" si="135"/>
        <v>-5109265.6049534827</v>
      </c>
      <c r="AJ103" s="148">
        <f t="shared" si="135"/>
        <v>-5055609.061074473</v>
      </c>
      <c r="AK103" s="148">
        <f t="shared" si="135"/>
        <v>-4984833.4258687906</v>
      </c>
      <c r="AL103" s="148">
        <f t="shared" si="135"/>
        <v>-4895234.9797578668</v>
      </c>
      <c r="AM103" s="148">
        <f t="shared" si="135"/>
        <v>-4774876.8723671976</v>
      </c>
      <c r="AN103" s="148">
        <f t="shared" si="135"/>
        <v>-5022357.552284562</v>
      </c>
      <c r="AO103" s="468">
        <f t="shared" si="131"/>
        <v>-165143994.80088472</v>
      </c>
      <c r="AP103" s="521"/>
      <c r="AQ103"/>
      <c r="AR103" s="23"/>
      <c r="AS103" s="28"/>
    </row>
    <row r="104" spans="1:45" ht="14.4" x14ac:dyDescent="0.3">
      <c r="A104"/>
      <c r="B104" s="466"/>
      <c r="C104" s="527">
        <v>0.25</v>
      </c>
      <c r="D104" s="4"/>
      <c r="E104" s="101"/>
      <c r="F104" s="101"/>
      <c r="G104" s="101"/>
      <c r="H104" s="101"/>
      <c r="I104" s="101"/>
      <c r="J104" s="101"/>
      <c r="K104" s="101"/>
      <c r="L104" s="101"/>
      <c r="M104" s="101"/>
      <c r="N104" s="101"/>
      <c r="O104" s="101"/>
      <c r="P104" s="101"/>
      <c r="Q104" s="101"/>
      <c r="R104" s="101"/>
      <c r="S104" s="101"/>
      <c r="T104" s="101"/>
      <c r="U104" s="101"/>
      <c r="V104" s="101"/>
      <c r="W104" s="101"/>
      <c r="X104" s="101"/>
      <c r="Y104" s="101"/>
      <c r="Z104" s="101"/>
      <c r="AA104" s="101"/>
      <c r="AB104" s="101"/>
      <c r="AC104" s="101"/>
      <c r="AD104" s="101"/>
      <c r="AE104" s="101"/>
      <c r="AF104" s="101"/>
      <c r="AG104" s="101"/>
      <c r="AH104" s="101"/>
      <c r="AI104" s="101"/>
      <c r="AJ104" s="101"/>
      <c r="AK104" s="101"/>
      <c r="AL104" s="101"/>
      <c r="AM104" s="101"/>
      <c r="AN104" s="101"/>
      <c r="AO104" s="510"/>
      <c r="AP104" s="521"/>
      <c r="AQ104"/>
      <c r="AR104" s="23"/>
      <c r="AS104" s="28"/>
    </row>
    <row r="105" spans="1:45" ht="14.4" x14ac:dyDescent="0.3">
      <c r="A105" s="66"/>
      <c r="B105" s="466" t="s">
        <v>289</v>
      </c>
      <c r="C105" s="4"/>
      <c r="D105" s="4"/>
      <c r="E105" s="101"/>
      <c r="F105" s="148">
        <f>IF(F107&lt;0,-F107,0)</f>
        <v>469044.66577152908</v>
      </c>
      <c r="G105" s="148">
        <f t="shared" ref="G105:AI105" si="136">IF(G107&lt;0,-G107,0)</f>
        <v>39959345.279983453</v>
      </c>
      <c r="H105" s="148">
        <f>IF(H107&lt;0,-H107,0)</f>
        <v>33231972.100080751</v>
      </c>
      <c r="I105" s="148">
        <f t="shared" si="136"/>
        <v>30055127.867293384</v>
      </c>
      <c r="J105" s="148">
        <f t="shared" si="136"/>
        <v>27564369.312456109</v>
      </c>
      <c r="K105" s="148">
        <f t="shared" si="136"/>
        <v>0</v>
      </c>
      <c r="L105" s="148">
        <f t="shared" si="136"/>
        <v>0</v>
      </c>
      <c r="M105" s="148">
        <f t="shared" si="136"/>
        <v>0</v>
      </c>
      <c r="N105" s="148">
        <f t="shared" si="136"/>
        <v>0</v>
      </c>
      <c r="O105" s="148">
        <f t="shared" si="136"/>
        <v>0</v>
      </c>
      <c r="P105" s="148">
        <f t="shared" si="136"/>
        <v>0</v>
      </c>
      <c r="Q105" s="148">
        <f t="shared" si="136"/>
        <v>0</v>
      </c>
      <c r="R105" s="148">
        <f t="shared" si="136"/>
        <v>0</v>
      </c>
      <c r="S105" s="148">
        <f t="shared" si="136"/>
        <v>0</v>
      </c>
      <c r="T105" s="148">
        <f t="shared" si="136"/>
        <v>0</v>
      </c>
      <c r="U105" s="148">
        <f t="shared" si="136"/>
        <v>0</v>
      </c>
      <c r="V105" s="148">
        <f t="shared" si="136"/>
        <v>0</v>
      </c>
      <c r="W105" s="148">
        <f t="shared" si="136"/>
        <v>0</v>
      </c>
      <c r="X105" s="148">
        <f t="shared" si="136"/>
        <v>0</v>
      </c>
      <c r="Y105" s="148">
        <f t="shared" si="136"/>
        <v>0</v>
      </c>
      <c r="Z105" s="148">
        <f t="shared" si="136"/>
        <v>0</v>
      </c>
      <c r="AA105" s="148">
        <f t="shared" si="136"/>
        <v>0</v>
      </c>
      <c r="AB105" s="148">
        <f t="shared" si="136"/>
        <v>0</v>
      </c>
      <c r="AC105" s="148">
        <f t="shared" si="136"/>
        <v>0</v>
      </c>
      <c r="AD105" s="148">
        <f t="shared" si="136"/>
        <v>0</v>
      </c>
      <c r="AE105" s="148">
        <f t="shared" si="136"/>
        <v>0</v>
      </c>
      <c r="AF105" s="148">
        <f t="shared" si="136"/>
        <v>0</v>
      </c>
      <c r="AG105" s="148">
        <f t="shared" si="136"/>
        <v>0</v>
      </c>
      <c r="AH105" s="148">
        <f t="shared" si="136"/>
        <v>0</v>
      </c>
      <c r="AI105" s="148">
        <f t="shared" si="136"/>
        <v>0</v>
      </c>
      <c r="AJ105" s="148">
        <f t="shared" ref="AJ105:AN105" si="137">IF(AJ107&lt;0,-AJ107,0)</f>
        <v>0</v>
      </c>
      <c r="AK105" s="148">
        <f t="shared" si="137"/>
        <v>0</v>
      </c>
      <c r="AL105" s="148">
        <f t="shared" si="137"/>
        <v>0</v>
      </c>
      <c r="AM105" s="148">
        <f t="shared" si="137"/>
        <v>0</v>
      </c>
      <c r="AN105" s="148">
        <f t="shared" si="137"/>
        <v>0</v>
      </c>
      <c r="AO105" s="468">
        <f t="shared" ref="AO105" si="138">+SUM(F105:AN105)</f>
        <v>131279859.22558522</v>
      </c>
      <c r="AP105" s="519"/>
      <c r="AQ105"/>
      <c r="AR105" s="23"/>
      <c r="AS105" s="28"/>
    </row>
    <row r="106" spans="1:45" ht="14.4" x14ac:dyDescent="0.3">
      <c r="A106" s="66"/>
      <c r="B106" s="528"/>
      <c r="C106" s="529"/>
      <c r="D106"/>
      <c r="E106" s="71"/>
      <c r="F106" s="71"/>
      <c r="G106" s="71"/>
      <c r="H106" s="71"/>
      <c r="I106" s="71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1"/>
      <c r="AD106" s="71"/>
      <c r="AE106" s="71"/>
      <c r="AF106" s="71"/>
      <c r="AG106" s="71"/>
      <c r="AH106" s="71"/>
      <c r="AI106" s="71"/>
      <c r="AJ106" s="71"/>
      <c r="AK106" s="71"/>
      <c r="AL106" s="71"/>
      <c r="AM106" s="71"/>
      <c r="AN106" s="71"/>
      <c r="AO106" s="530"/>
      <c r="AP106" s="71"/>
      <c r="AQ106" s="71"/>
      <c r="AR106" s="23"/>
      <c r="AS106" s="28"/>
    </row>
    <row r="107" spans="1:45" ht="14.4" x14ac:dyDescent="0.3">
      <c r="A107" s="66"/>
      <c r="B107" s="531" t="s">
        <v>24</v>
      </c>
      <c r="C107" s="532"/>
      <c r="D107" s="533">
        <f>MATCH(0,F107:AN107,1)+1</f>
        <v>6</v>
      </c>
      <c r="E107" s="531"/>
      <c r="F107" s="534">
        <f>F43+F48+F53+F93</f>
        <v>-469044.66577152908</v>
      </c>
      <c r="G107" s="534">
        <f t="shared" ref="G107:AN107" si="139">G43+G48+G53+G93</f>
        <v>-39959345.279983453</v>
      </c>
      <c r="H107" s="534">
        <f t="shared" si="139"/>
        <v>-33231972.100080751</v>
      </c>
      <c r="I107" s="534">
        <f t="shared" si="139"/>
        <v>-30055127.867293384</v>
      </c>
      <c r="J107" s="534">
        <f t="shared" si="139"/>
        <v>-27564369.312456109</v>
      </c>
      <c r="K107" s="534">
        <f t="shared" si="139"/>
        <v>3256755.7207747325</v>
      </c>
      <c r="L107" s="534">
        <f t="shared" si="139"/>
        <v>3650224.7594660018</v>
      </c>
      <c r="M107" s="534">
        <f t="shared" si="139"/>
        <v>10104614.776245205</v>
      </c>
      <c r="N107" s="534">
        <f t="shared" si="139"/>
        <v>10240974.685706889</v>
      </c>
      <c r="O107" s="534">
        <f t="shared" si="139"/>
        <v>9843223.9173581153</v>
      </c>
      <c r="P107" s="534">
        <f t="shared" si="139"/>
        <v>10747686.614921041</v>
      </c>
      <c r="Q107" s="534">
        <f t="shared" si="139"/>
        <v>11365265.923386399</v>
      </c>
      <c r="R107" s="534">
        <f t="shared" si="139"/>
        <v>15997038.432071667</v>
      </c>
      <c r="S107" s="534">
        <f t="shared" si="139"/>
        <v>16156728.168923985</v>
      </c>
      <c r="T107" s="534">
        <f t="shared" si="139"/>
        <v>16297870.963438813</v>
      </c>
      <c r="U107" s="534">
        <f t="shared" si="139"/>
        <v>16917082.933362309</v>
      </c>
      <c r="V107" s="534">
        <f t="shared" si="139"/>
        <v>16457110.296723641</v>
      </c>
      <c r="W107" s="534">
        <f t="shared" si="139"/>
        <v>16898369.230673298</v>
      </c>
      <c r="X107" s="534">
        <f t="shared" si="139"/>
        <v>16871495.020839613</v>
      </c>
      <c r="Y107" s="534">
        <f t="shared" si="139"/>
        <v>16974182.200426761</v>
      </c>
      <c r="Z107" s="534">
        <f t="shared" si="139"/>
        <v>17286363.581279635</v>
      </c>
      <c r="AA107" s="534">
        <f t="shared" si="139"/>
        <v>17354384.461759467</v>
      </c>
      <c r="AB107" s="534">
        <f t="shared" si="139"/>
        <v>17569571.478411909</v>
      </c>
      <c r="AC107" s="534">
        <f t="shared" si="139"/>
        <v>17626377.974836789</v>
      </c>
      <c r="AD107" s="534">
        <f t="shared" si="139"/>
        <v>17707033.817300543</v>
      </c>
      <c r="AE107" s="534">
        <f t="shared" si="139"/>
        <v>17894927.730050549</v>
      </c>
      <c r="AF107" s="534">
        <f t="shared" si="139"/>
        <v>17865886.767153572</v>
      </c>
      <c r="AG107" s="534">
        <f t="shared" si="139"/>
        <v>18139505.854724154</v>
      </c>
      <c r="AH107" s="534">
        <f t="shared" si="139"/>
        <v>17948509.521554593</v>
      </c>
      <c r="AI107" s="534">
        <f t="shared" si="139"/>
        <v>17968764.596403636</v>
      </c>
      <c r="AJ107" s="534">
        <f t="shared" si="139"/>
        <v>17990791.874933653</v>
      </c>
      <c r="AK107" s="534">
        <f t="shared" si="139"/>
        <v>18025887.21627143</v>
      </c>
      <c r="AL107" s="534">
        <f t="shared" si="139"/>
        <v>18090951.160339668</v>
      </c>
      <c r="AM107" s="534">
        <f t="shared" si="139"/>
        <v>18237888.252739158</v>
      </c>
      <c r="AN107" s="534">
        <f t="shared" si="139"/>
        <v>20030035.815364346</v>
      </c>
      <c r="AO107" s="534">
        <f>+SUM(F107:AN107)</f>
        <v>330235644.52185637</v>
      </c>
      <c r="AP107" s="71"/>
      <c r="AQ107" s="2"/>
      <c r="AR107" s="23"/>
      <c r="AS107" s="28"/>
    </row>
    <row r="108" spans="1:45" ht="14.4" x14ac:dyDescent="0.3">
      <c r="A108" s="66"/>
      <c r="B108" s="535" t="s">
        <v>25</v>
      </c>
      <c r="C108" s="535"/>
      <c r="D108" s="536">
        <f>MATCH(0,F108:AN108,1)+1</f>
        <v>17</v>
      </c>
      <c r="E108" s="535"/>
      <c r="F108" s="537">
        <f>F107</f>
        <v>-469044.66577152908</v>
      </c>
      <c r="G108" s="537">
        <f>F108+G107</f>
        <v>-40428389.945754983</v>
      </c>
      <c r="H108" s="537">
        <f t="shared" ref="H108:AI108" si="140">G108+H107</f>
        <v>-73660362.045835733</v>
      </c>
      <c r="I108" s="537">
        <f t="shared" si="140"/>
        <v>-103715489.91312912</v>
      </c>
      <c r="J108" s="537">
        <f>I108+J107</f>
        <v>-131279859.22558522</v>
      </c>
      <c r="K108" s="537">
        <f>J108+K107</f>
        <v>-128023103.50481048</v>
      </c>
      <c r="L108" s="537">
        <f t="shared" si="140"/>
        <v>-124372878.74534447</v>
      </c>
      <c r="M108" s="537">
        <f t="shared" si="140"/>
        <v>-114268263.96909927</v>
      </c>
      <c r="N108" s="537">
        <f t="shared" si="140"/>
        <v>-104027289.28339238</v>
      </c>
      <c r="O108" s="537">
        <f t="shared" si="140"/>
        <v>-94184065.366034269</v>
      </c>
      <c r="P108" s="537">
        <f t="shared" si="140"/>
        <v>-83436378.751113236</v>
      </c>
      <c r="Q108" s="537">
        <f t="shared" si="140"/>
        <v>-72071112.827726841</v>
      </c>
      <c r="R108" s="537">
        <f t="shared" si="140"/>
        <v>-56074074.39565517</v>
      </c>
      <c r="S108" s="537">
        <f t="shared" si="140"/>
        <v>-39917346.226731181</v>
      </c>
      <c r="T108" s="537">
        <f t="shared" si="140"/>
        <v>-23619475.263292369</v>
      </c>
      <c r="U108" s="537">
        <f t="shared" si="140"/>
        <v>-6702392.3299300596</v>
      </c>
      <c r="V108" s="537">
        <f t="shared" si="140"/>
        <v>9754717.9667935818</v>
      </c>
      <c r="W108" s="537">
        <f t="shared" si="140"/>
        <v>26653087.19746688</v>
      </c>
      <c r="X108" s="537">
        <f t="shared" si="140"/>
        <v>43524582.218306497</v>
      </c>
      <c r="Y108" s="537">
        <f t="shared" si="140"/>
        <v>60498764.418733254</v>
      </c>
      <c r="Z108" s="537">
        <f t="shared" si="140"/>
        <v>77785128.00001289</v>
      </c>
      <c r="AA108" s="537">
        <f t="shared" si="140"/>
        <v>95139512.461772352</v>
      </c>
      <c r="AB108" s="537">
        <f t="shared" si="140"/>
        <v>112709083.94018427</v>
      </c>
      <c r="AC108" s="537">
        <f t="shared" si="140"/>
        <v>130335461.91502106</v>
      </c>
      <c r="AD108" s="537">
        <f t="shared" si="140"/>
        <v>148042495.73232162</v>
      </c>
      <c r="AE108" s="537">
        <f t="shared" si="140"/>
        <v>165937423.46237218</v>
      </c>
      <c r="AF108" s="537">
        <f t="shared" si="140"/>
        <v>183803310.22952574</v>
      </c>
      <c r="AG108" s="537">
        <f t="shared" si="140"/>
        <v>201942816.08424991</v>
      </c>
      <c r="AH108" s="537">
        <f t="shared" si="140"/>
        <v>219891325.6058045</v>
      </c>
      <c r="AI108" s="537">
        <f t="shared" si="140"/>
        <v>237860090.20220813</v>
      </c>
      <c r="AJ108" s="537">
        <f t="shared" ref="AJ108" si="141">AI108+AJ107</f>
        <v>255850882.07714179</v>
      </c>
      <c r="AK108" s="537">
        <f t="shared" ref="AK108" si="142">AJ108+AK107</f>
        <v>273876769.29341322</v>
      </c>
      <c r="AL108" s="537">
        <f t="shared" ref="AL108" si="143">AK108+AL107</f>
        <v>291967720.45375288</v>
      </c>
      <c r="AM108" s="537">
        <f t="shared" ref="AM108" si="144">AL108+AM107</f>
        <v>310205608.70649201</v>
      </c>
      <c r="AN108" s="537">
        <f t="shared" ref="AN108" si="145">AM108+AN107</f>
        <v>330235644.52185637</v>
      </c>
      <c r="AO108" s="538"/>
      <c r="AP108" s="71"/>
      <c r="AQ108" s="2"/>
      <c r="AR108" s="23"/>
      <c r="AS108" s="28"/>
    </row>
    <row r="109" spans="1:45" ht="14.4" x14ac:dyDescent="0.3">
      <c r="A109" s="66"/>
      <c r="B109" s="535" t="s">
        <v>111</v>
      </c>
      <c r="C109" s="535"/>
      <c r="D109" s="536">
        <f ca="1">MATCH(0,F109:AN109,1)+1</f>
        <v>6</v>
      </c>
      <c r="E109" s="535"/>
      <c r="F109" s="537">
        <f ca="1">F107/(1+$D$4)^Cronograma!C1</f>
        <v>-435205.16849991528</v>
      </c>
      <c r="G109" s="537">
        <f ca="1">G107/(1+$D$4)^Cronograma!D1</f>
        <v>-34401553.1236917</v>
      </c>
      <c r="H109" s="537">
        <f ca="1">H107/(1+$D$4)^Cronograma!E1</f>
        <v>-26545789.356856022</v>
      </c>
      <c r="I109" s="537">
        <f ca="1">I107/(1+$D$4)^Cronograma!F1</f>
        <v>-22276038.120610312</v>
      </c>
      <c r="J109" s="537">
        <f ca="1">J107/(1+$D$4)^Cronograma!G1</f>
        <v>-18956025.121844161</v>
      </c>
      <c r="K109" s="537">
        <f ca="1">K107/(1+$D$4)^Cronograma!H1</f>
        <v>2078089.4777743502</v>
      </c>
      <c r="L109" s="537">
        <f ca="1">L107/(1+$D$4)^Cronograma!I1</f>
        <v>2161118.1381006506</v>
      </c>
      <c r="M109" s="537">
        <f ca="1">M107/(1+$D$4)^Cronograma!J1</f>
        <v>5550837.4052696358</v>
      </c>
      <c r="N109" s="537">
        <f ca="1">N107/(1+$D$4)^Cronograma!K1</f>
        <v>5219872.3257552534</v>
      </c>
      <c r="O109" s="537">
        <f ca="1">O107/(1+$D$4)^Cronograma!L1</f>
        <v>4655172.6840102319</v>
      </c>
      <c r="P109" s="537">
        <f ca="1">P107/(1+$D$4)^Cronograma!M1</f>
        <v>4716211.455403002</v>
      </c>
      <c r="Q109" s="537">
        <f ca="1">Q107/(1+$D$4)^Cronograma!N1</f>
        <v>4627407.2115758257</v>
      </c>
      <c r="R109" s="537">
        <f ca="1">R107/(1+$D$4)^Cronograma!O1</f>
        <v>6043347.2378189256</v>
      </c>
      <c r="S109" s="537">
        <f ca="1">S107/(1+$D$4)^Cronograma!P1</f>
        <v>5663321.5654356629</v>
      </c>
      <c r="T109" s="537">
        <f ca="1">T107/(1+$D$4)^Cronograma!Q1</f>
        <v>5300642.5887391111</v>
      </c>
      <c r="U109" s="537">
        <f ca="1">U107/(1+$D$4)^Cronograma!R1</f>
        <v>5105084.8896047287</v>
      </c>
      <c r="V109" s="537">
        <f ca="1">V107/(1+$D$4)^Cronograma!S1</f>
        <v>4607983.4719716301</v>
      </c>
      <c r="W109" s="537">
        <f ca="1">W107/(1+$D$4)^Cronograma!T1</f>
        <v>4390176.404060008</v>
      </c>
      <c r="X109" s="537">
        <f ca="1">X107/(1+$D$4)^Cronograma!U1</f>
        <v>4066966.4258480626</v>
      </c>
      <c r="Y109" s="537">
        <f ca="1">Y107/(1+$D$4)^Cronograma!V1</f>
        <v>3796520.2594741778</v>
      </c>
      <c r="Z109" s="537">
        <f ca="1">Z107/(1+$D$4)^Cronograma!W1</f>
        <v>3587404.4993626559</v>
      </c>
      <c r="AA109" s="537">
        <f ca="1">AA107/(1+$D$4)^Cronograma!X1</f>
        <v>3341686.9511463754</v>
      </c>
      <c r="AB109" s="537">
        <f ca="1">AB107/(1+$D$4)^Cronograma!Y1</f>
        <v>3139045.1380463718</v>
      </c>
      <c r="AC109" s="537">
        <f ca="1">AC107/(1+$D$4)^Cronograma!Z1</f>
        <v>2921993.9567362634</v>
      </c>
      <c r="AD109" s="537">
        <f ca="1">AD107/(1+$D$4)^Cronograma!AA1</f>
        <v>2723591.0253832573</v>
      </c>
      <c r="AE109" s="537">
        <f ca="1">AE107/(1+$D$4)^Cronograma!AB1</f>
        <v>2553911.6525584743</v>
      </c>
      <c r="AF109" s="537">
        <f ca="1">AF107/(1+$D$4)^Cronograma!AC1</f>
        <v>2365812.6034065546</v>
      </c>
      <c r="AG109" s="537">
        <f ca="1">AG107/(1+$D$4)^Cronograma!AD1</f>
        <v>2228748.4757232531</v>
      </c>
      <c r="AH109" s="537">
        <f ca="1">AH107/(1+$D$4)^Cronograma!AE1</f>
        <v>2046180.0212911412</v>
      </c>
      <c r="AI109" s="537">
        <f ca="1">AI107/(1+$D$4)^Cronograma!AF1</f>
        <v>1900699.7274296405</v>
      </c>
      <c r="AJ109" s="537">
        <f ca="1">AJ107/(1+$D$4)^Cronograma!AG1</f>
        <v>1765734.5539311187</v>
      </c>
      <c r="AK109" s="537">
        <f ca="1">AK107/(1+$D$4)^Cronograma!AH1</f>
        <v>1641540.6015663405</v>
      </c>
      <c r="AL109" s="537">
        <f ca="1">AL107/(1+$D$4)^Cronograma!AI1</f>
        <v>1528608.3366375784</v>
      </c>
      <c r="AM109" s="537">
        <f ca="1">AM107/(1+$D$4)^Cronograma!AJ1</f>
        <v>1429845.8397123429</v>
      </c>
      <c r="AN109" s="537">
        <f ca="1">AN107/(1+$D$4)^Cronograma!AK1</f>
        <v>1457055.9699933657</v>
      </c>
      <c r="AO109" s="534">
        <f ca="1">+SUM(F109:AN109)</f>
        <v>2.263885922729969E-3</v>
      </c>
      <c r="AP109" s="539"/>
      <c r="AQ109" s="539"/>
      <c r="AR109" s="34"/>
      <c r="AS109" s="28"/>
    </row>
    <row r="110" spans="1:45" ht="14.4" x14ac:dyDescent="0.3">
      <c r="A110"/>
      <c r="B110" s="535" t="s">
        <v>112</v>
      </c>
      <c r="C110" s="535"/>
      <c r="D110" s="536">
        <f>IF(AO110&lt;=0,35,MATCH(0,F110:AN110,1))</f>
        <v>35</v>
      </c>
      <c r="E110" s="535"/>
      <c r="F110" s="537">
        <f ca="1">F109</f>
        <v>-435205.16849991528</v>
      </c>
      <c r="G110" s="537">
        <f t="shared" ref="G110:AI110" ca="1" si="146">F110+G109</f>
        <v>-34836758.292191617</v>
      </c>
      <c r="H110" s="537">
        <f t="shared" ca="1" si="146"/>
        <v>-61382547.649047643</v>
      </c>
      <c r="I110" s="537">
        <f t="shared" ca="1" si="146"/>
        <v>-83658585.769657955</v>
      </c>
      <c r="J110" s="537">
        <f t="shared" ca="1" si="146"/>
        <v>-102614610.89150211</v>
      </c>
      <c r="K110" s="537">
        <f t="shared" ca="1" si="146"/>
        <v>-100536521.41372776</v>
      </c>
      <c r="L110" s="537">
        <f t="shared" ca="1" si="146"/>
        <v>-98375403.275627106</v>
      </c>
      <c r="M110" s="537">
        <f t="shared" ca="1" si="146"/>
        <v>-92824565.870357469</v>
      </c>
      <c r="N110" s="537">
        <f t="shared" ca="1" si="146"/>
        <v>-87604693.544602215</v>
      </c>
      <c r="O110" s="537">
        <f t="shared" ca="1" si="146"/>
        <v>-82949520.860591978</v>
      </c>
      <c r="P110" s="537">
        <f t="shared" ca="1" si="146"/>
        <v>-78233309.405188978</v>
      </c>
      <c r="Q110" s="537">
        <f t="shared" ca="1" si="146"/>
        <v>-73605902.193613157</v>
      </c>
      <c r="R110" s="537">
        <f t="shared" ca="1" si="146"/>
        <v>-67562554.95579423</v>
      </c>
      <c r="S110" s="537">
        <f t="shared" ca="1" si="146"/>
        <v>-61899233.390358567</v>
      </c>
      <c r="T110" s="537">
        <f t="shared" ca="1" si="146"/>
        <v>-56598590.801619455</v>
      </c>
      <c r="U110" s="537">
        <f t="shared" ca="1" si="146"/>
        <v>-51493505.912014723</v>
      </c>
      <c r="V110" s="537">
        <f t="shared" ca="1" si="146"/>
        <v>-46885522.440043092</v>
      </c>
      <c r="W110" s="537">
        <f t="shared" ca="1" si="146"/>
        <v>-42495346.035983086</v>
      </c>
      <c r="X110" s="537">
        <f t="shared" ca="1" si="146"/>
        <v>-38428379.610135026</v>
      </c>
      <c r="Y110" s="537">
        <f t="shared" ca="1" si="146"/>
        <v>-34631859.350660846</v>
      </c>
      <c r="Z110" s="537">
        <f t="shared" ca="1" si="146"/>
        <v>-31044454.851298191</v>
      </c>
      <c r="AA110" s="537">
        <f t="shared" ca="1" si="146"/>
        <v>-27702767.900151815</v>
      </c>
      <c r="AB110" s="537">
        <f t="shared" ca="1" si="146"/>
        <v>-24563722.762105443</v>
      </c>
      <c r="AC110" s="537">
        <f t="shared" ca="1" si="146"/>
        <v>-21641728.80536918</v>
      </c>
      <c r="AD110" s="537">
        <f t="shared" ca="1" si="146"/>
        <v>-18918137.779985923</v>
      </c>
      <c r="AE110" s="537">
        <f t="shared" ca="1" si="146"/>
        <v>-16364226.127427449</v>
      </c>
      <c r="AF110" s="537">
        <f t="shared" ca="1" si="146"/>
        <v>-13998413.524020895</v>
      </c>
      <c r="AG110" s="537">
        <f t="shared" ca="1" si="146"/>
        <v>-11769665.048297642</v>
      </c>
      <c r="AH110" s="537">
        <f t="shared" ca="1" si="146"/>
        <v>-9723485.0270065013</v>
      </c>
      <c r="AI110" s="537">
        <f t="shared" ca="1" si="146"/>
        <v>-7822785.2995768609</v>
      </c>
      <c r="AJ110" s="537">
        <f t="shared" ref="AJ110" ca="1" si="147">AI110+AJ109</f>
        <v>-6057050.7456457419</v>
      </c>
      <c r="AK110" s="537">
        <f t="shared" ref="AK110" ca="1" si="148">AJ110+AK109</f>
        <v>-4415510.1440794012</v>
      </c>
      <c r="AL110" s="537">
        <f t="shared" ref="AL110" ca="1" si="149">AK110+AL109</f>
        <v>-2886901.8074418227</v>
      </c>
      <c r="AM110" s="537">
        <f t="shared" ref="AM110" ca="1" si="150">AL110+AM109</f>
        <v>-1457055.9677294798</v>
      </c>
      <c r="AN110" s="537">
        <f t="shared" ref="AN110" ca="1" si="151">AM110+AN109</f>
        <v>2.263885922729969E-3</v>
      </c>
      <c r="AO110" s="534"/>
      <c r="AP110"/>
      <c r="AQ110"/>
    </row>
    <row r="111" spans="1:45" ht="14.4" x14ac:dyDescent="0.3">
      <c r="A111"/>
      <c r="B111"/>
      <c r="C111" s="38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</row>
    <row r="112" spans="1:45" ht="14.4" x14ac:dyDescent="0.3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</row>
    <row r="113" spans="1:44" ht="14.4" x14ac:dyDescent="0.3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</row>
    <row r="114" spans="1:44" ht="14.4" x14ac:dyDescent="0.3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 s="77"/>
      <c r="AQ114" s="77"/>
      <c r="AR114" s="26"/>
    </row>
    <row r="115" spans="1:44" ht="14.4" x14ac:dyDescent="0.3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 s="77"/>
      <c r="AQ115" s="77"/>
      <c r="AR115" s="26"/>
    </row>
    <row r="116" spans="1:44" ht="14.4" x14ac:dyDescent="0.3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 s="77"/>
      <c r="AQ116" s="77"/>
      <c r="AR116" s="26"/>
    </row>
    <row r="117" spans="1:44" ht="14.4" x14ac:dyDescent="0.3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</row>
    <row r="118" spans="1:44" ht="14.4" x14ac:dyDescent="0.3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</row>
    <row r="119" spans="1:44" ht="14.4" x14ac:dyDescent="0.3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</row>
    <row r="120" spans="1:44" ht="14.4" x14ac:dyDescent="0.3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</row>
    <row r="121" spans="1:44" ht="14.4" x14ac:dyDescent="0.3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</row>
    <row r="122" spans="1:44" ht="14.4" x14ac:dyDescent="0.3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</row>
    <row r="123" spans="1:44" ht="14.4" x14ac:dyDescent="0.3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</row>
    <row r="124" spans="1:44" ht="14.4" x14ac:dyDescent="0.3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</row>
    <row r="125" spans="1:44" ht="14.4" x14ac:dyDescent="0.3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</row>
    <row r="126" spans="1:44" ht="14.4" x14ac:dyDescent="0.3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</row>
    <row r="127" spans="1:44" ht="14.4" x14ac:dyDescent="0.3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</row>
    <row r="128" spans="1:44" ht="14.4" x14ac:dyDescent="0.3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</row>
    <row r="129" spans="1:43" ht="14.4" x14ac:dyDescent="0.3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</row>
    <row r="130" spans="1:43" ht="14.4" x14ac:dyDescent="0.3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</row>
    <row r="131" spans="1:43" ht="14.4" x14ac:dyDescent="0.3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</row>
    <row r="132" spans="1:43" ht="14.4" x14ac:dyDescent="0.3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</row>
    <row r="133" spans="1:43" ht="14.4" x14ac:dyDescent="0.3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</row>
    <row r="134" spans="1:43" ht="14.4" x14ac:dyDescent="0.3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</row>
    <row r="135" spans="1:43" ht="14.4" x14ac:dyDescent="0.3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</row>
    <row r="136" spans="1:43" ht="14.4" x14ac:dyDescent="0.3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</row>
    <row r="137" spans="1:43" ht="14.4" x14ac:dyDescent="0.3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</row>
    <row r="138" spans="1:43" ht="14.4" x14ac:dyDescent="0.3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</row>
    <row r="139" spans="1:43" ht="14.4" x14ac:dyDescent="0.3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</row>
    <row r="140" spans="1:43" ht="14.4" x14ac:dyDescent="0.3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</row>
    <row r="141" spans="1:43" ht="14.4" x14ac:dyDescent="0.3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</row>
    <row r="142" spans="1:43" ht="14.4" x14ac:dyDescent="0.3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</row>
    <row r="143" spans="1:43" ht="14.4" x14ac:dyDescent="0.3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</row>
    <row r="144" spans="1:43" ht="14.4" x14ac:dyDescent="0.3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</row>
    <row r="145" spans="1:44" ht="14.4" x14ac:dyDescent="0.3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</row>
    <row r="146" spans="1:44" ht="14.4" x14ac:dyDescent="0.3">
      <c r="A146"/>
      <c r="B146"/>
      <c r="C146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/>
      <c r="AP146"/>
      <c r="AQ146"/>
    </row>
    <row r="147" spans="1:44" ht="14.4" x14ac:dyDescent="0.3">
      <c r="A147"/>
      <c r="B147"/>
      <c r="C147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/>
      <c r="AP147"/>
      <c r="AQ147"/>
    </row>
    <row r="148" spans="1:44" x14ac:dyDescent="0.25"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</row>
    <row r="149" spans="1:44" x14ac:dyDescent="0.25"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</row>
    <row r="150" spans="1:44" x14ac:dyDescent="0.25"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</row>
    <row r="151" spans="1:44" x14ac:dyDescent="0.25"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</row>
    <row r="154" spans="1:44" x14ac:dyDescent="0.25">
      <c r="D154" s="26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6"/>
      <c r="AP154" s="26"/>
      <c r="AQ154" s="26"/>
      <c r="AR154" s="26"/>
    </row>
    <row r="155" spans="1:44" x14ac:dyDescent="0.25">
      <c r="D155" s="26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6"/>
      <c r="AP155" s="26"/>
      <c r="AQ155" s="26"/>
      <c r="AR155" s="26"/>
    </row>
    <row r="156" spans="1:44" x14ac:dyDescent="0.25">
      <c r="D156" s="26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6"/>
      <c r="AP156" s="26"/>
      <c r="AQ156" s="26"/>
      <c r="AR156" s="26"/>
    </row>
    <row r="157" spans="1:44" x14ac:dyDescent="0.25">
      <c r="D157" s="3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6"/>
      <c r="AP157" s="26"/>
      <c r="AQ157" s="26"/>
      <c r="AR157" s="26"/>
    </row>
    <row r="158" spans="1:44" x14ac:dyDescent="0.25">
      <c r="D158" s="26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6"/>
      <c r="AP158" s="26"/>
      <c r="AQ158" s="26"/>
      <c r="AR158" s="26"/>
    </row>
    <row r="159" spans="1:44" x14ac:dyDescent="0.25">
      <c r="D159" s="26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6"/>
      <c r="AP159" s="26"/>
      <c r="AQ159" s="26"/>
      <c r="AR159" s="26"/>
    </row>
    <row r="161" spans="4:44" x14ac:dyDescent="0.25"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</row>
    <row r="162" spans="4:44" x14ac:dyDescent="0.25"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36"/>
      <c r="AI162" s="36"/>
      <c r="AJ162" s="36"/>
      <c r="AK162" s="36"/>
      <c r="AL162" s="36"/>
      <c r="AM162" s="36"/>
      <c r="AN162" s="36"/>
    </row>
    <row r="163" spans="4:44" x14ac:dyDescent="0.25">
      <c r="D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</row>
    <row r="164" spans="4:44" x14ac:dyDescent="0.25">
      <c r="D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</row>
    <row r="165" spans="4:44" x14ac:dyDescent="0.25"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</row>
    <row r="166" spans="4:44" x14ac:dyDescent="0.25"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</row>
    <row r="167" spans="4:44" x14ac:dyDescent="0.25"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</row>
    <row r="168" spans="4:44" x14ac:dyDescent="0.25"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</row>
    <row r="169" spans="4:44" x14ac:dyDescent="0.25"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</row>
    <row r="170" spans="4:44" x14ac:dyDescent="0.25"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</row>
    <row r="171" spans="4:44" x14ac:dyDescent="0.25"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</row>
    <row r="172" spans="4:44" x14ac:dyDescent="0.25"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</row>
    <row r="173" spans="4:44" x14ac:dyDescent="0.25"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</row>
    <row r="174" spans="4:44" x14ac:dyDescent="0.25"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</row>
    <row r="175" spans="4:44" x14ac:dyDescent="0.25"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</row>
    <row r="176" spans="4:44" x14ac:dyDescent="0.25"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</row>
    <row r="177" spans="2:40" x14ac:dyDescent="0.25"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</row>
    <row r="178" spans="2:40" x14ac:dyDescent="0.25"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</row>
    <row r="185" spans="2:40" x14ac:dyDescent="0.25">
      <c r="D185" s="23"/>
      <c r="E185" s="23"/>
      <c r="F185" s="23"/>
      <c r="G185" s="23"/>
      <c r="H185" s="23"/>
      <c r="I185" s="23"/>
      <c r="L185" s="23"/>
      <c r="M185" s="23"/>
    </row>
    <row r="186" spans="2:40" x14ac:dyDescent="0.25">
      <c r="D186" s="23"/>
      <c r="E186" s="23"/>
      <c r="F186" s="23"/>
      <c r="G186" s="23"/>
      <c r="H186" s="23"/>
      <c r="I186" s="23"/>
      <c r="L186" s="27"/>
      <c r="M186" s="27"/>
    </row>
    <row r="187" spans="2:40" ht="14.4" x14ac:dyDescent="0.3"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</row>
    <row r="188" spans="2:40" ht="14.4" x14ac:dyDescent="0.3"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</row>
    <row r="189" spans="2:40" ht="14.4" x14ac:dyDescent="0.3"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</row>
    <row r="190" spans="2:40" ht="14.4" x14ac:dyDescent="0.3"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</row>
    <row r="191" spans="2:40" ht="14.4" x14ac:dyDescent="0.3"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</row>
    <row r="192" spans="2:40" ht="15" thickBot="1" x14ac:dyDescent="0.35"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</row>
    <row r="193" spans="2:37" ht="15.75" customHeight="1" thickBot="1" x14ac:dyDescent="0.35"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 s="30"/>
    </row>
    <row r="194" spans="2:37" ht="15" thickBot="1" x14ac:dyDescent="0.35"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 s="31">
        <f t="shared" ref="AG194:AG195" si="152">AJ23</f>
        <v>31</v>
      </c>
      <c r="AH194" s="31">
        <f t="shared" ref="AH194:AH195" si="153">AK23</f>
        <v>32</v>
      </c>
      <c r="AI194" s="31">
        <f t="shared" ref="AI194:AI195" si="154">AL23</f>
        <v>33</v>
      </c>
      <c r="AJ194" s="31">
        <f t="shared" ref="AJ194:AJ195" si="155">AM23</f>
        <v>34</v>
      </c>
      <c r="AK194" s="31">
        <f t="shared" ref="AK194:AK195" si="156">AN23</f>
        <v>35</v>
      </c>
    </row>
    <row r="195" spans="2:37" ht="15.75" customHeight="1" thickBot="1" x14ac:dyDescent="0.35"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 s="31">
        <f t="shared" si="152"/>
        <v>2057</v>
      </c>
      <c r="AH195" s="31">
        <f t="shared" si="153"/>
        <v>2058</v>
      </c>
      <c r="AI195" s="31">
        <f t="shared" si="154"/>
        <v>2059</v>
      </c>
      <c r="AJ195" s="31">
        <f t="shared" si="155"/>
        <v>2060</v>
      </c>
      <c r="AK195" s="31">
        <f t="shared" si="156"/>
        <v>2061</v>
      </c>
    </row>
    <row r="196" spans="2:37" s="56" customFormat="1" ht="14.4" x14ac:dyDescent="0.3"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 s="99" t="e">
        <f t="shared" ref="AG196:AG197" si="157">AJ42/$B$190</f>
        <v>#DIV/0!</v>
      </c>
      <c r="AH196" s="99" t="e">
        <f t="shared" ref="AH196:AH197" si="158">AK42/$B$190</f>
        <v>#DIV/0!</v>
      </c>
      <c r="AI196" s="99" t="e">
        <f t="shared" ref="AI196:AI197" si="159">AL42/$B$190</f>
        <v>#DIV/0!</v>
      </c>
      <c r="AJ196" s="99" t="e">
        <f t="shared" ref="AJ196:AJ197" si="160">AM42/$B$190</f>
        <v>#DIV/0!</v>
      </c>
      <c r="AK196" s="99" t="e">
        <f t="shared" ref="AK196:AK197" si="161">AN42/$B$190</f>
        <v>#DIV/0!</v>
      </c>
    </row>
    <row r="197" spans="2:37" s="56" customFormat="1" ht="14.4" x14ac:dyDescent="0.3"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 s="99" t="e">
        <f t="shared" si="157"/>
        <v>#DIV/0!</v>
      </c>
      <c r="AH197" s="99" t="e">
        <f t="shared" si="158"/>
        <v>#DIV/0!</v>
      </c>
      <c r="AI197" s="99" t="e">
        <f t="shared" si="159"/>
        <v>#DIV/0!</v>
      </c>
      <c r="AJ197" s="99" t="e">
        <f t="shared" si="160"/>
        <v>#DIV/0!</v>
      </c>
      <c r="AK197" s="99" t="e">
        <f t="shared" si="161"/>
        <v>#DIV/0!</v>
      </c>
    </row>
    <row r="198" spans="2:37" s="56" customFormat="1" ht="14.4" x14ac:dyDescent="0.3"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 s="99" t="e">
        <f t="shared" ref="AG198" si="162">AJ48/$B$190</f>
        <v>#DIV/0!</v>
      </c>
      <c r="AH198" s="99" t="e">
        <f t="shared" ref="AH198" si="163">AK48/$B$190</f>
        <v>#DIV/0!</v>
      </c>
      <c r="AI198" s="99" t="e">
        <f t="shared" ref="AI198" si="164">AL48/$B$190</f>
        <v>#DIV/0!</v>
      </c>
      <c r="AJ198" s="99" t="e">
        <f t="shared" ref="AJ198" si="165">AM48/$B$190</f>
        <v>#DIV/0!</v>
      </c>
      <c r="AK198" s="99" t="e">
        <f t="shared" ref="AK198" si="166">AN48/$B$190</f>
        <v>#DIV/0!</v>
      </c>
    </row>
    <row r="199" spans="2:37" ht="14.4" x14ac:dyDescent="0.3"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 s="98" t="e">
        <f t="shared" ref="AG199:AG200" si="167">AJ50/$B$190</f>
        <v>#DIV/0!</v>
      </c>
      <c r="AH199" s="98" t="e">
        <f t="shared" ref="AH199:AH200" si="168">AK50/$B$190</f>
        <v>#DIV/0!</v>
      </c>
      <c r="AI199" s="98" t="e">
        <f t="shared" ref="AI199:AI200" si="169">AL50/$B$190</f>
        <v>#DIV/0!</v>
      </c>
      <c r="AJ199" s="98" t="e">
        <f t="shared" ref="AJ199:AJ200" si="170">AM50/$B$190</f>
        <v>#DIV/0!</v>
      </c>
      <c r="AK199" s="98" t="e">
        <f t="shared" ref="AK199:AK200" si="171">AN50/$B$190</f>
        <v>#DIV/0!</v>
      </c>
    </row>
    <row r="200" spans="2:37" ht="14.4" x14ac:dyDescent="0.3"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 s="98" t="e">
        <f t="shared" si="167"/>
        <v>#DIV/0!</v>
      </c>
      <c r="AH200" s="98" t="e">
        <f t="shared" si="168"/>
        <v>#DIV/0!</v>
      </c>
      <c r="AI200" s="98" t="e">
        <f t="shared" si="169"/>
        <v>#DIV/0!</v>
      </c>
      <c r="AJ200" s="98" t="e">
        <f t="shared" si="170"/>
        <v>#DIV/0!</v>
      </c>
      <c r="AK200" s="98" t="e">
        <f t="shared" si="171"/>
        <v>#DIV/0!</v>
      </c>
    </row>
    <row r="201" spans="2:37" s="56" customFormat="1" ht="14.4" x14ac:dyDescent="0.3"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 s="99" t="e">
        <f t="shared" ref="AG201:AK201" si="172">AJ53/$B$190</f>
        <v>#DIV/0!</v>
      </c>
      <c r="AH201" s="99" t="e">
        <f t="shared" si="172"/>
        <v>#DIV/0!</v>
      </c>
      <c r="AI201" s="99" t="e">
        <f t="shared" si="172"/>
        <v>#DIV/0!</v>
      </c>
      <c r="AJ201" s="99" t="e">
        <f t="shared" si="172"/>
        <v>#DIV/0!</v>
      </c>
      <c r="AK201" s="99" t="e">
        <f t="shared" si="172"/>
        <v>#DIV/0!</v>
      </c>
    </row>
    <row r="202" spans="2:37" ht="14.4" x14ac:dyDescent="0.3"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 s="98" t="e">
        <f t="shared" ref="AG202:AG214" si="173">AJ55/$B$190</f>
        <v>#DIV/0!</v>
      </c>
      <c r="AH202" s="98" t="e">
        <f t="shared" ref="AH202:AH214" si="174">AK55/$B$190</f>
        <v>#DIV/0!</v>
      </c>
      <c r="AI202" s="98" t="e">
        <f t="shared" ref="AI202:AI214" si="175">AL55/$B$190</f>
        <v>#DIV/0!</v>
      </c>
      <c r="AJ202" s="98" t="e">
        <f t="shared" ref="AJ202:AJ214" si="176">AM55/$B$190</f>
        <v>#DIV/0!</v>
      </c>
      <c r="AK202" s="98" t="e">
        <f t="shared" ref="AK202:AK214" si="177">AN55/$B$190</f>
        <v>#DIV/0!</v>
      </c>
    </row>
    <row r="203" spans="2:37" ht="14.4" x14ac:dyDescent="0.3"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 s="98" t="e">
        <f t="shared" si="173"/>
        <v>#DIV/0!</v>
      </c>
      <c r="AH203" s="98" t="e">
        <f t="shared" si="174"/>
        <v>#DIV/0!</v>
      </c>
      <c r="AI203" s="98" t="e">
        <f t="shared" si="175"/>
        <v>#DIV/0!</v>
      </c>
      <c r="AJ203" s="98" t="e">
        <f t="shared" si="176"/>
        <v>#DIV/0!</v>
      </c>
      <c r="AK203" s="98" t="e">
        <f t="shared" si="177"/>
        <v>#DIV/0!</v>
      </c>
    </row>
    <row r="204" spans="2:37" ht="14.4" x14ac:dyDescent="0.3"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 s="98" t="e">
        <f t="shared" si="173"/>
        <v>#DIV/0!</v>
      </c>
      <c r="AH204" s="98" t="e">
        <f t="shared" si="174"/>
        <v>#DIV/0!</v>
      </c>
      <c r="AI204" s="98" t="e">
        <f t="shared" si="175"/>
        <v>#DIV/0!</v>
      </c>
      <c r="AJ204" s="98" t="e">
        <f t="shared" si="176"/>
        <v>#DIV/0!</v>
      </c>
      <c r="AK204" s="98" t="e">
        <f t="shared" si="177"/>
        <v>#DIV/0!</v>
      </c>
    </row>
    <row r="205" spans="2:37" ht="14.4" x14ac:dyDescent="0.3"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 s="98" t="e">
        <f t="shared" si="173"/>
        <v>#DIV/0!</v>
      </c>
      <c r="AH205" s="98" t="e">
        <f t="shared" si="174"/>
        <v>#DIV/0!</v>
      </c>
      <c r="AI205" s="98" t="e">
        <f t="shared" si="175"/>
        <v>#DIV/0!</v>
      </c>
      <c r="AJ205" s="98" t="e">
        <f t="shared" si="176"/>
        <v>#DIV/0!</v>
      </c>
      <c r="AK205" s="98" t="e">
        <f t="shared" si="177"/>
        <v>#DIV/0!</v>
      </c>
    </row>
    <row r="206" spans="2:37" ht="14.4" x14ac:dyDescent="0.3"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 s="98" t="e">
        <f t="shared" si="173"/>
        <v>#DIV/0!</v>
      </c>
      <c r="AH206" s="98" t="e">
        <f t="shared" si="174"/>
        <v>#DIV/0!</v>
      </c>
      <c r="AI206" s="98" t="e">
        <f t="shared" si="175"/>
        <v>#DIV/0!</v>
      </c>
      <c r="AJ206" s="98" t="e">
        <f t="shared" si="176"/>
        <v>#DIV/0!</v>
      </c>
      <c r="AK206" s="98" t="e">
        <f t="shared" si="177"/>
        <v>#DIV/0!</v>
      </c>
    </row>
    <row r="207" spans="2:37" ht="14.4" x14ac:dyDescent="0.3"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 s="98" t="e">
        <f t="shared" si="173"/>
        <v>#DIV/0!</v>
      </c>
      <c r="AH207" s="98" t="e">
        <f t="shared" si="174"/>
        <v>#DIV/0!</v>
      </c>
      <c r="AI207" s="98" t="e">
        <f t="shared" si="175"/>
        <v>#DIV/0!</v>
      </c>
      <c r="AJ207" s="98" t="e">
        <f t="shared" si="176"/>
        <v>#DIV/0!</v>
      </c>
      <c r="AK207" s="98" t="e">
        <f t="shared" si="177"/>
        <v>#DIV/0!</v>
      </c>
    </row>
    <row r="208" spans="2:37" ht="14.4" x14ac:dyDescent="0.3"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 s="98" t="e">
        <f t="shared" si="173"/>
        <v>#DIV/0!</v>
      </c>
      <c r="AH208" s="98" t="e">
        <f t="shared" si="174"/>
        <v>#DIV/0!</v>
      </c>
      <c r="AI208" s="98" t="e">
        <f t="shared" si="175"/>
        <v>#DIV/0!</v>
      </c>
      <c r="AJ208" s="98" t="e">
        <f t="shared" si="176"/>
        <v>#DIV/0!</v>
      </c>
      <c r="AK208" s="98" t="e">
        <f t="shared" si="177"/>
        <v>#DIV/0!</v>
      </c>
    </row>
    <row r="209" spans="2:37" ht="14.4" x14ac:dyDescent="0.3"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 s="98" t="e">
        <f t="shared" si="173"/>
        <v>#DIV/0!</v>
      </c>
      <c r="AH209" s="98" t="e">
        <f t="shared" si="174"/>
        <v>#DIV/0!</v>
      </c>
      <c r="AI209" s="98" t="e">
        <f t="shared" si="175"/>
        <v>#DIV/0!</v>
      </c>
      <c r="AJ209" s="98" t="e">
        <f t="shared" si="176"/>
        <v>#DIV/0!</v>
      </c>
      <c r="AK209" s="98" t="e">
        <f t="shared" si="177"/>
        <v>#DIV/0!</v>
      </c>
    </row>
    <row r="210" spans="2:37" ht="14.4" x14ac:dyDescent="0.3"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 s="98" t="e">
        <f t="shared" si="173"/>
        <v>#DIV/0!</v>
      </c>
      <c r="AH210" s="98" t="e">
        <f t="shared" si="174"/>
        <v>#DIV/0!</v>
      </c>
      <c r="AI210" s="98" t="e">
        <f t="shared" si="175"/>
        <v>#DIV/0!</v>
      </c>
      <c r="AJ210" s="98" t="e">
        <f t="shared" si="176"/>
        <v>#DIV/0!</v>
      </c>
      <c r="AK210" s="98" t="e">
        <f t="shared" si="177"/>
        <v>#DIV/0!</v>
      </c>
    </row>
    <row r="211" spans="2:37" ht="14.4" x14ac:dyDescent="0.3"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 s="98" t="e">
        <f t="shared" si="173"/>
        <v>#DIV/0!</v>
      </c>
      <c r="AH211" s="98" t="e">
        <f t="shared" si="174"/>
        <v>#DIV/0!</v>
      </c>
      <c r="AI211" s="98" t="e">
        <f t="shared" si="175"/>
        <v>#DIV/0!</v>
      </c>
      <c r="AJ211" s="98" t="e">
        <f t="shared" si="176"/>
        <v>#DIV/0!</v>
      </c>
      <c r="AK211" s="98" t="e">
        <f t="shared" si="177"/>
        <v>#DIV/0!</v>
      </c>
    </row>
    <row r="212" spans="2:37" ht="14.4" x14ac:dyDescent="0.3"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 s="98" t="e">
        <f t="shared" si="173"/>
        <v>#DIV/0!</v>
      </c>
      <c r="AH212" s="98" t="e">
        <f t="shared" si="174"/>
        <v>#DIV/0!</v>
      </c>
      <c r="AI212" s="98" t="e">
        <f t="shared" si="175"/>
        <v>#DIV/0!</v>
      </c>
      <c r="AJ212" s="98" t="e">
        <f t="shared" si="176"/>
        <v>#DIV/0!</v>
      </c>
      <c r="AK212" s="98" t="e">
        <f t="shared" si="177"/>
        <v>#DIV/0!</v>
      </c>
    </row>
    <row r="213" spans="2:37" ht="14.4" x14ac:dyDescent="0.3"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 s="98" t="e">
        <f t="shared" si="173"/>
        <v>#DIV/0!</v>
      </c>
      <c r="AH213" s="98" t="e">
        <f t="shared" si="174"/>
        <v>#DIV/0!</v>
      </c>
      <c r="AI213" s="98" t="e">
        <f t="shared" si="175"/>
        <v>#DIV/0!</v>
      </c>
      <c r="AJ213" s="98" t="e">
        <f t="shared" si="176"/>
        <v>#DIV/0!</v>
      </c>
      <c r="AK213" s="98" t="e">
        <f t="shared" si="177"/>
        <v>#DIV/0!</v>
      </c>
    </row>
    <row r="214" spans="2:37" ht="14.4" x14ac:dyDescent="0.3"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 s="98" t="e">
        <f t="shared" si="173"/>
        <v>#DIV/0!</v>
      </c>
      <c r="AH214" s="98" t="e">
        <f t="shared" si="174"/>
        <v>#DIV/0!</v>
      </c>
      <c r="AI214" s="98" t="e">
        <f t="shared" si="175"/>
        <v>#DIV/0!</v>
      </c>
      <c r="AJ214" s="98" t="e">
        <f t="shared" si="176"/>
        <v>#DIV/0!</v>
      </c>
      <c r="AK214" s="98" t="e">
        <f t="shared" si="177"/>
        <v>#DIV/0!</v>
      </c>
    </row>
    <row r="215" spans="2:37" ht="14.4" x14ac:dyDescent="0.3"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 s="98" t="e">
        <f t="shared" ref="AG215" si="178">AJ69/$B$190</f>
        <v>#DIV/0!</v>
      </c>
      <c r="AH215" s="98" t="e">
        <f t="shared" ref="AH215" si="179">AK69/$B$190</f>
        <v>#DIV/0!</v>
      </c>
      <c r="AI215" s="98" t="e">
        <f t="shared" ref="AI215" si="180">AL69/$B$190</f>
        <v>#DIV/0!</v>
      </c>
      <c r="AJ215" s="98" t="e">
        <f t="shared" ref="AJ215" si="181">AM69/$B$190</f>
        <v>#DIV/0!</v>
      </c>
      <c r="AK215" s="98" t="e">
        <f t="shared" ref="AK215" si="182">AN69/$B$190</f>
        <v>#DIV/0!</v>
      </c>
    </row>
    <row r="216" spans="2:37" ht="14.4" x14ac:dyDescent="0.3"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 s="98" t="e">
        <f t="shared" ref="AG216" si="183">AJ76/$B$190</f>
        <v>#DIV/0!</v>
      </c>
      <c r="AH216" s="98" t="e">
        <f t="shared" ref="AH216" si="184">AK76/$B$190</f>
        <v>#DIV/0!</v>
      </c>
      <c r="AI216" s="98" t="e">
        <f t="shared" ref="AI216" si="185">AL76/$B$190</f>
        <v>#DIV/0!</v>
      </c>
      <c r="AJ216" s="98" t="e">
        <f t="shared" ref="AJ216" si="186">AM76/$B$190</f>
        <v>#DIV/0!</v>
      </c>
      <c r="AK216" s="98" t="e">
        <f t="shared" ref="AK216" si="187">AN76/$B$190</f>
        <v>#DIV/0!</v>
      </c>
    </row>
    <row r="217" spans="2:37" s="56" customFormat="1" ht="14.4" x14ac:dyDescent="0.3"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 s="99" t="e">
        <f t="shared" ref="AG217" si="188">AJ93/$B$190</f>
        <v>#DIV/0!</v>
      </c>
      <c r="AH217" s="99" t="e">
        <f t="shared" ref="AH217" si="189">AK93/$B$190</f>
        <v>#DIV/0!</v>
      </c>
      <c r="AI217" s="99" t="e">
        <f t="shared" ref="AI217" si="190">AL93/$B$190</f>
        <v>#DIV/0!</v>
      </c>
      <c r="AJ217" s="99" t="e">
        <f t="shared" ref="AJ217" si="191">AM93/$B$190</f>
        <v>#DIV/0!</v>
      </c>
      <c r="AK217" s="99" t="e">
        <f t="shared" ref="AK217" si="192">AN93/$B$190</f>
        <v>#DIV/0!</v>
      </c>
    </row>
    <row r="218" spans="2:37" ht="14.4" x14ac:dyDescent="0.3"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 s="98" t="e">
        <f t="shared" ref="AG218:AG220" si="193">AJ96/$B$190</f>
        <v>#DIV/0!</v>
      </c>
      <c r="AH218" s="98" t="e">
        <f t="shared" ref="AH218:AH220" si="194">AK96/$B$190</f>
        <v>#DIV/0!</v>
      </c>
      <c r="AI218" s="98" t="e">
        <f t="shared" ref="AI218:AI220" si="195">AL96/$B$190</f>
        <v>#DIV/0!</v>
      </c>
      <c r="AJ218" s="98" t="e">
        <f t="shared" ref="AJ218:AJ220" si="196">AM96/$B$190</f>
        <v>#DIV/0!</v>
      </c>
      <c r="AK218" s="98" t="e">
        <f t="shared" ref="AK218:AK220" si="197">AN96/$B$190</f>
        <v>#DIV/0!</v>
      </c>
    </row>
    <row r="219" spans="2:37" ht="14.4" x14ac:dyDescent="0.3"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 s="98" t="e">
        <f t="shared" si="193"/>
        <v>#DIV/0!</v>
      </c>
      <c r="AH219" s="98" t="e">
        <f t="shared" si="194"/>
        <v>#DIV/0!</v>
      </c>
      <c r="AI219" s="98" t="e">
        <f t="shared" si="195"/>
        <v>#DIV/0!</v>
      </c>
      <c r="AJ219" s="98" t="e">
        <f t="shared" si="196"/>
        <v>#DIV/0!</v>
      </c>
      <c r="AK219" s="98" t="e">
        <f t="shared" si="197"/>
        <v>#DIV/0!</v>
      </c>
    </row>
    <row r="220" spans="2:37" ht="14.4" x14ac:dyDescent="0.3"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 s="98" t="e">
        <f t="shared" si="193"/>
        <v>#DIV/0!</v>
      </c>
      <c r="AH220" s="98" t="e">
        <f t="shared" si="194"/>
        <v>#DIV/0!</v>
      </c>
      <c r="AI220" s="98" t="e">
        <f t="shared" si="195"/>
        <v>#DIV/0!</v>
      </c>
      <c r="AJ220" s="98" t="e">
        <f t="shared" si="196"/>
        <v>#DIV/0!</v>
      </c>
      <c r="AK220" s="98" t="e">
        <f t="shared" si="197"/>
        <v>#DIV/0!</v>
      </c>
    </row>
    <row r="221" spans="2:37" ht="14.4" x14ac:dyDescent="0.3"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 s="98" t="e">
        <f t="shared" ref="AG221:AG222" si="198">AJ102/$B$190</f>
        <v>#DIV/0!</v>
      </c>
      <c r="AH221" s="98" t="e">
        <f t="shared" ref="AH221:AH222" si="199">AK102/$B$190</f>
        <v>#DIV/0!</v>
      </c>
      <c r="AI221" s="98" t="e">
        <f t="shared" ref="AI221:AI222" si="200">AL102/$B$190</f>
        <v>#DIV/0!</v>
      </c>
      <c r="AJ221" s="98" t="e">
        <f t="shared" ref="AJ221:AJ222" si="201">AM102/$B$190</f>
        <v>#DIV/0!</v>
      </c>
      <c r="AK221" s="98" t="e">
        <f t="shared" ref="AK221:AK222" si="202">AN102/$B$190</f>
        <v>#DIV/0!</v>
      </c>
    </row>
    <row r="222" spans="2:37" ht="14.4" x14ac:dyDescent="0.3"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 s="98" t="e">
        <f t="shared" si="198"/>
        <v>#DIV/0!</v>
      </c>
      <c r="AH222" s="98" t="e">
        <f t="shared" si="199"/>
        <v>#DIV/0!</v>
      </c>
      <c r="AI222" s="98" t="e">
        <f t="shared" si="200"/>
        <v>#DIV/0!</v>
      </c>
      <c r="AJ222" s="98" t="e">
        <f t="shared" si="201"/>
        <v>#DIV/0!</v>
      </c>
      <c r="AK222" s="98" t="e">
        <f t="shared" si="202"/>
        <v>#DIV/0!</v>
      </c>
    </row>
    <row r="223" spans="2:37" s="56" customFormat="1" ht="15" thickBot="1" x14ac:dyDescent="0.35"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 s="99" t="e">
        <f t="shared" ref="AG223" si="203">AJ105/$B$190</f>
        <v>#DIV/0!</v>
      </c>
      <c r="AH223" s="99" t="e">
        <f t="shared" ref="AH223" si="204">AK105/$B$190</f>
        <v>#DIV/0!</v>
      </c>
      <c r="AI223" s="99" t="e">
        <f t="shared" ref="AI223" si="205">AL105/$B$190</f>
        <v>#DIV/0!</v>
      </c>
      <c r="AJ223" s="99" t="e">
        <f t="shared" ref="AJ223" si="206">AM105/$B$190</f>
        <v>#DIV/0!</v>
      </c>
      <c r="AK223" s="99" t="e">
        <f t="shared" ref="AK223" si="207">AN105/$B$190</f>
        <v>#DIV/0!</v>
      </c>
    </row>
    <row r="224" spans="2:37" s="56" customFormat="1" ht="14.4" x14ac:dyDescent="0.3"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 s="33" t="e">
        <f t="shared" ref="AG224" si="208">AJ107/$B$190</f>
        <v>#DIV/0!</v>
      </c>
      <c r="AH224" s="33" t="e">
        <f t="shared" ref="AH224" si="209">AK107/$B$190</f>
        <v>#DIV/0!</v>
      </c>
      <c r="AI224" s="33" t="e">
        <f t="shared" ref="AI224" si="210">AL107/$B$190</f>
        <v>#DIV/0!</v>
      </c>
      <c r="AJ224" s="33" t="e">
        <f t="shared" ref="AJ224" si="211">AM107/$B$190</f>
        <v>#DIV/0!</v>
      </c>
      <c r="AK224" s="33" t="e">
        <f t="shared" ref="AK224" si="212">AN107/$B$190</f>
        <v>#DIV/0!</v>
      </c>
    </row>
    <row r="225" spans="2:32" ht="14.4" x14ac:dyDescent="0.3"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</row>
    <row r="226" spans="2:32" ht="14.4" x14ac:dyDescent="0.3"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</row>
    <row r="227" spans="2:32" ht="14.4" x14ac:dyDescent="0.3"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</row>
    <row r="228" spans="2:32" ht="14.4" x14ac:dyDescent="0.3"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</row>
    <row r="229" spans="2:32" ht="14.4" x14ac:dyDescent="0.3"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</row>
    <row r="230" spans="2:32" ht="14.4" x14ac:dyDescent="0.3"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</row>
    <row r="231" spans="2:32" ht="14.4" x14ac:dyDescent="0.3"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</row>
    <row r="232" spans="2:32" ht="14.4" x14ac:dyDescent="0.3"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</row>
    <row r="233" spans="2:32" ht="14.4" x14ac:dyDescent="0.3"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</row>
    <row r="234" spans="2:32" ht="14.4" x14ac:dyDescent="0.3"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</row>
    <row r="235" spans="2:32" ht="14.4" x14ac:dyDescent="0.3"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</row>
    <row r="236" spans="2:32" ht="14.4" x14ac:dyDescent="0.3"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</row>
    <row r="237" spans="2:32" ht="14.4" x14ac:dyDescent="0.3"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</row>
    <row r="238" spans="2:32" ht="14.4" x14ac:dyDescent="0.3"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</row>
    <row r="239" spans="2:32" ht="14.4" x14ac:dyDescent="0.3"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</row>
    <row r="240" spans="2:32" ht="14.4" x14ac:dyDescent="0.3"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</row>
    <row r="241" spans="2:32" ht="14.4" x14ac:dyDescent="0.3"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</row>
    <row r="242" spans="2:32" ht="14.4" x14ac:dyDescent="0.3"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</row>
    <row r="243" spans="2:32" ht="14.4" x14ac:dyDescent="0.3"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</row>
    <row r="244" spans="2:32" ht="14.4" x14ac:dyDescent="0.3"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</row>
    <row r="245" spans="2:32" ht="14.4" x14ac:dyDescent="0.3"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</row>
    <row r="246" spans="2:32" ht="14.4" x14ac:dyDescent="0.3"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</row>
    <row r="247" spans="2:32" ht="14.4" x14ac:dyDescent="0.3"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</row>
    <row r="248" spans="2:32" ht="14.4" x14ac:dyDescent="0.3"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</row>
    <row r="249" spans="2:32" ht="14.4" x14ac:dyDescent="0.3"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</row>
    <row r="250" spans="2:32" ht="14.4" x14ac:dyDescent="0.3"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</row>
    <row r="251" spans="2:32" ht="14.4" x14ac:dyDescent="0.3"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</row>
    <row r="252" spans="2:32" ht="14.4" x14ac:dyDescent="0.3"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</row>
    <row r="253" spans="2:32" ht="14.4" x14ac:dyDescent="0.3"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</row>
    <row r="254" spans="2:32" ht="14.4" x14ac:dyDescent="0.3"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</row>
    <row r="255" spans="2:32" ht="14.4" x14ac:dyDescent="0.3"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</row>
    <row r="256" spans="2:32" ht="14.4" x14ac:dyDescent="0.3"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</row>
    <row r="257" spans="2:32" ht="14.4" x14ac:dyDescent="0.3"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</row>
    <row r="258" spans="2:32" ht="14.4" x14ac:dyDescent="0.3"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</row>
    <row r="259" spans="2:32" ht="14.4" x14ac:dyDescent="0.3"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</row>
    <row r="260" spans="2:32" ht="14.4" x14ac:dyDescent="0.3"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</row>
    <row r="261" spans="2:32" ht="14.4" x14ac:dyDescent="0.3"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</row>
    <row r="262" spans="2:32" ht="14.4" x14ac:dyDescent="0.3"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</row>
    <row r="263" spans="2:32" ht="14.4" x14ac:dyDescent="0.3"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</row>
    <row r="264" spans="2:32" ht="14.4" x14ac:dyDescent="0.3"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</row>
    <row r="265" spans="2:32" ht="14.4" x14ac:dyDescent="0.3"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</row>
  </sheetData>
  <mergeCells count="31">
    <mergeCell ref="G3:J3"/>
    <mergeCell ref="G12:J12"/>
    <mergeCell ref="G13:I13"/>
    <mergeCell ref="B5:C5"/>
    <mergeCell ref="B4:C4"/>
    <mergeCell ref="B11:C11"/>
    <mergeCell ref="D8:E8"/>
    <mergeCell ref="D7:E7"/>
    <mergeCell ref="B8:C8"/>
    <mergeCell ref="B13:C13"/>
    <mergeCell ref="G10:I10"/>
    <mergeCell ref="D6:E6"/>
    <mergeCell ref="D5:E5"/>
    <mergeCell ref="D4:E4"/>
    <mergeCell ref="B6:C6"/>
    <mergeCell ref="K3:K8"/>
    <mergeCell ref="K16:K18"/>
    <mergeCell ref="B7:C7"/>
    <mergeCell ref="B19:C19"/>
    <mergeCell ref="G15:I15"/>
    <mergeCell ref="B12:C12"/>
    <mergeCell ref="B9:C9"/>
    <mergeCell ref="B16:C16"/>
    <mergeCell ref="B18:C18"/>
    <mergeCell ref="B10:C10"/>
    <mergeCell ref="G18:I18"/>
    <mergeCell ref="G17:I17"/>
    <mergeCell ref="G14:I14"/>
    <mergeCell ref="B17:C17"/>
    <mergeCell ref="G16:I16"/>
    <mergeCell ref="B3:E3"/>
  </mergeCells>
  <phoneticPr fontId="2" type="noConversion"/>
  <pageMargins left="0.511811024" right="0.511811024" top="0.78740157499999996" bottom="0.78740157499999996" header="0.31496062000000002" footer="0.31496062000000002"/>
  <pageSetup paperSize="9" scale="18" fitToHeight="0" orientation="landscape" r:id="rId1"/>
  <ignoredErrors>
    <ignoredError sqref="AG109:AI109 G109:AF109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Q152"/>
  <sheetViews>
    <sheetView showGridLines="0" zoomScale="85" zoomScaleNormal="8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E16" sqref="E16"/>
    </sheetView>
  </sheetViews>
  <sheetFormatPr defaultRowHeight="14.4" x14ac:dyDescent="0.3"/>
  <cols>
    <col min="1" max="1" width="18.109375" customWidth="1"/>
    <col min="2" max="2" width="48" bestFit="1" customWidth="1"/>
    <col min="3" max="3" width="6.6640625" bestFit="1" customWidth="1"/>
    <col min="4" max="4" width="6.109375" bestFit="1" customWidth="1"/>
    <col min="5" max="34" width="11" bestFit="1" customWidth="1"/>
    <col min="35" max="39" width="11" customWidth="1"/>
    <col min="40" max="40" width="13.88671875" bestFit="1" customWidth="1"/>
    <col min="42" max="43" width="14.44140625" customWidth="1"/>
  </cols>
  <sheetData>
    <row r="1" spans="1:40" ht="15" thickBot="1" x14ac:dyDescent="0.35">
      <c r="A1" s="318" t="s">
        <v>522</v>
      </c>
    </row>
    <row r="2" spans="1:40" ht="15" thickBot="1" x14ac:dyDescent="0.35">
      <c r="A2" s="147" t="s">
        <v>523</v>
      </c>
      <c r="B2" s="960" t="s">
        <v>452</v>
      </c>
      <c r="C2" s="90" t="str">
        <f>'FCD Acionista'!D20</f>
        <v>Base</v>
      </c>
      <c r="D2" s="90">
        <f>'FCD Acionista'!E20</f>
        <v>0</v>
      </c>
      <c r="E2" s="90">
        <f>'FCD Acionista'!F20</f>
        <v>1</v>
      </c>
      <c r="F2" s="90">
        <f>'FCD Acionista'!G20</f>
        <v>2</v>
      </c>
      <c r="G2" s="90">
        <f>'FCD Acionista'!H20</f>
        <v>3</v>
      </c>
      <c r="H2" s="90">
        <f>'FCD Acionista'!I20</f>
        <v>4</v>
      </c>
      <c r="I2" s="90">
        <f>'FCD Acionista'!J20</f>
        <v>5</v>
      </c>
      <c r="J2" s="90">
        <f>'FCD Acionista'!K20</f>
        <v>6</v>
      </c>
      <c r="K2" s="90">
        <f>'FCD Acionista'!L20</f>
        <v>7</v>
      </c>
      <c r="L2" s="90">
        <f>'FCD Acionista'!M20</f>
        <v>8</v>
      </c>
      <c r="M2" s="90">
        <f>'FCD Acionista'!N20</f>
        <v>9</v>
      </c>
      <c r="N2" s="90">
        <f>'FCD Acionista'!O20</f>
        <v>10</v>
      </c>
      <c r="O2" s="90">
        <f>'FCD Acionista'!P20</f>
        <v>11</v>
      </c>
      <c r="P2" s="90">
        <f>'FCD Acionista'!Q20</f>
        <v>12</v>
      </c>
      <c r="Q2" s="90">
        <f>'FCD Acionista'!R20</f>
        <v>13</v>
      </c>
      <c r="R2" s="90">
        <f>'FCD Acionista'!S20</f>
        <v>14</v>
      </c>
      <c r="S2" s="90">
        <f>'FCD Acionista'!T20</f>
        <v>15</v>
      </c>
      <c r="T2" s="90">
        <f>'FCD Acionista'!U20</f>
        <v>16</v>
      </c>
      <c r="U2" s="90">
        <f>'FCD Acionista'!V20</f>
        <v>17</v>
      </c>
      <c r="V2" s="90">
        <f>'FCD Acionista'!W20</f>
        <v>18</v>
      </c>
      <c r="W2" s="90">
        <f>'FCD Acionista'!X20</f>
        <v>19</v>
      </c>
      <c r="X2" s="90">
        <f>'FCD Acionista'!Y20</f>
        <v>20</v>
      </c>
      <c r="Y2" s="90">
        <f>'FCD Acionista'!Z20</f>
        <v>21</v>
      </c>
      <c r="Z2" s="90">
        <f>'FCD Acionista'!AA20</f>
        <v>22</v>
      </c>
      <c r="AA2" s="90">
        <f>'FCD Acionista'!AB20</f>
        <v>23</v>
      </c>
      <c r="AB2" s="90">
        <f>'FCD Acionista'!AC20</f>
        <v>24</v>
      </c>
      <c r="AC2" s="90">
        <f>'FCD Acionista'!AD20</f>
        <v>25</v>
      </c>
      <c r="AD2" s="90">
        <f>'FCD Acionista'!AE20</f>
        <v>26</v>
      </c>
      <c r="AE2" s="90">
        <f>'FCD Acionista'!AF20</f>
        <v>27</v>
      </c>
      <c r="AF2" s="90">
        <f>'FCD Acionista'!AG20</f>
        <v>28</v>
      </c>
      <c r="AG2" s="90">
        <f>'FCD Acionista'!AH20</f>
        <v>29</v>
      </c>
      <c r="AH2" s="90">
        <f>'FCD Acionista'!AI20</f>
        <v>30</v>
      </c>
      <c r="AI2" s="90">
        <f>'FCD Acionista'!AJ20</f>
        <v>31</v>
      </c>
      <c r="AJ2" s="90">
        <f>'FCD Acionista'!AK20</f>
        <v>32</v>
      </c>
      <c r="AK2" s="90">
        <f>'FCD Acionista'!AL20</f>
        <v>33</v>
      </c>
      <c r="AL2" s="90">
        <f>'FCD Acionista'!AM20</f>
        <v>34</v>
      </c>
      <c r="AM2" s="90">
        <f>'FCD Acionista'!AN20</f>
        <v>35</v>
      </c>
      <c r="AN2" s="962" t="s">
        <v>23</v>
      </c>
    </row>
    <row r="3" spans="1:40" ht="15" thickBot="1" x14ac:dyDescent="0.35">
      <c r="B3" s="961"/>
      <c r="C3" s="90">
        <f>'FCD Acionista'!D21</f>
        <v>2025</v>
      </c>
      <c r="D3" s="90">
        <f>'FCD Acionista'!E21</f>
        <v>2026</v>
      </c>
      <c r="E3" s="90">
        <f>'FCD Acionista'!F21</f>
        <v>2027</v>
      </c>
      <c r="F3" s="90">
        <f>'FCD Acionista'!G21</f>
        <v>2028</v>
      </c>
      <c r="G3" s="90">
        <f>'FCD Acionista'!H21</f>
        <v>2029</v>
      </c>
      <c r="H3" s="90">
        <f>'FCD Acionista'!I21</f>
        <v>2030</v>
      </c>
      <c r="I3" s="90">
        <f>'FCD Acionista'!J21</f>
        <v>2031</v>
      </c>
      <c r="J3" s="90">
        <f>'FCD Acionista'!K21</f>
        <v>2032</v>
      </c>
      <c r="K3" s="90">
        <f>'FCD Acionista'!L21</f>
        <v>2033</v>
      </c>
      <c r="L3" s="90">
        <f>'FCD Acionista'!M21</f>
        <v>2034</v>
      </c>
      <c r="M3" s="90">
        <f>'FCD Acionista'!N21</f>
        <v>2035</v>
      </c>
      <c r="N3" s="90">
        <f>'FCD Acionista'!O21</f>
        <v>2036</v>
      </c>
      <c r="O3" s="90">
        <f>'FCD Acionista'!P21</f>
        <v>2037</v>
      </c>
      <c r="P3" s="90">
        <f>'FCD Acionista'!Q21</f>
        <v>2038</v>
      </c>
      <c r="Q3" s="90">
        <f>'FCD Acionista'!R21</f>
        <v>2039</v>
      </c>
      <c r="R3" s="90">
        <f>'FCD Acionista'!S21</f>
        <v>2040</v>
      </c>
      <c r="S3" s="90">
        <f>'FCD Acionista'!T21</f>
        <v>2041</v>
      </c>
      <c r="T3" s="90">
        <f>'FCD Acionista'!U21</f>
        <v>2042</v>
      </c>
      <c r="U3" s="90">
        <f>'FCD Acionista'!V21</f>
        <v>2043</v>
      </c>
      <c r="V3" s="90">
        <f>'FCD Acionista'!W21</f>
        <v>2044</v>
      </c>
      <c r="W3" s="90">
        <f>'FCD Acionista'!X21</f>
        <v>2045</v>
      </c>
      <c r="X3" s="90">
        <f>'FCD Acionista'!Y21</f>
        <v>2046</v>
      </c>
      <c r="Y3" s="90">
        <f>'FCD Acionista'!Z21</f>
        <v>2047</v>
      </c>
      <c r="Z3" s="90">
        <f>'FCD Acionista'!AA21</f>
        <v>2048</v>
      </c>
      <c r="AA3" s="90">
        <f>'FCD Acionista'!AB21</f>
        <v>2049</v>
      </c>
      <c r="AB3" s="90">
        <f>'FCD Acionista'!AC21</f>
        <v>2050</v>
      </c>
      <c r="AC3" s="90">
        <f>'FCD Acionista'!AD21</f>
        <v>2051</v>
      </c>
      <c r="AD3" s="90">
        <f>'FCD Acionista'!AE21</f>
        <v>2052</v>
      </c>
      <c r="AE3" s="90">
        <f>'FCD Acionista'!AF21</f>
        <v>2053</v>
      </c>
      <c r="AF3" s="90">
        <f>'FCD Acionista'!AG21</f>
        <v>2054</v>
      </c>
      <c r="AG3" s="90">
        <f>'FCD Acionista'!AH21</f>
        <v>2055</v>
      </c>
      <c r="AH3" s="90">
        <f>'FCD Acionista'!AI21</f>
        <v>2056</v>
      </c>
      <c r="AI3" s="90">
        <f>'FCD Acionista'!AJ21</f>
        <v>2057</v>
      </c>
      <c r="AJ3" s="90">
        <f>'FCD Acionista'!AK21</f>
        <v>2058</v>
      </c>
      <c r="AK3" s="90">
        <f>'FCD Acionista'!AL21</f>
        <v>2059</v>
      </c>
      <c r="AL3" s="90">
        <f>'FCD Acionista'!AM21</f>
        <v>2060</v>
      </c>
      <c r="AM3" s="90">
        <f>'FCD Acionista'!AN21</f>
        <v>2061</v>
      </c>
      <c r="AN3" s="963"/>
    </row>
    <row r="4" spans="1:40" x14ac:dyDescent="0.3">
      <c r="B4" s="160" t="s">
        <v>443</v>
      </c>
      <c r="C4" s="161"/>
      <c r="D4" s="161"/>
      <c r="E4" s="157">
        <f>SUM(E5:E7)</f>
        <v>22640177.88469382</v>
      </c>
      <c r="F4" s="157">
        <f t="shared" ref="F4:R4" si="0">SUM(F5:F7)</f>
        <v>29684696.855875771</v>
      </c>
      <c r="G4" s="157">
        <f t="shared" si="0"/>
        <v>35585878.124159999</v>
      </c>
      <c r="H4" s="157">
        <f t="shared" si="0"/>
        <v>41573630.070835195</v>
      </c>
      <c r="I4" s="157">
        <f t="shared" si="0"/>
        <v>47744079.528038397</v>
      </c>
      <c r="J4" s="157">
        <f t="shared" si="0"/>
        <v>50034270.571084797</v>
      </c>
      <c r="K4" s="157">
        <f t="shared" si="0"/>
        <v>51965144.722483195</v>
      </c>
      <c r="L4" s="157">
        <f t="shared" si="0"/>
        <v>52997689.525247999</v>
      </c>
      <c r="M4" s="157">
        <f t="shared" si="0"/>
        <v>54032339.829311997</v>
      </c>
      <c r="N4" s="157">
        <f t="shared" si="0"/>
        <v>55045765.485734396</v>
      </c>
      <c r="O4" s="157">
        <f t="shared" si="0"/>
        <v>56051527.948415995</v>
      </c>
      <c r="P4" s="157">
        <f t="shared" si="0"/>
        <v>57052210.460544005</v>
      </c>
      <c r="Q4" s="157">
        <f t="shared" si="0"/>
        <v>57460641.967871994</v>
      </c>
      <c r="R4" s="157">
        <f t="shared" si="0"/>
        <v>57858823.448524803</v>
      </c>
      <c r="S4" s="157">
        <f t="shared" ref="S4" si="1">SUM(S5:S7)</f>
        <v>58240765.676620796</v>
      </c>
      <c r="T4" s="157">
        <f t="shared" ref="T4" si="2">SUM(T5:T7)</f>
        <v>58601249.006976001</v>
      </c>
      <c r="U4" s="157">
        <f t="shared" ref="U4" si="3">SUM(U5:U7)</f>
        <v>58942656.573465601</v>
      </c>
      <c r="V4" s="157">
        <f t="shared" ref="V4" si="4">SUM(V5:V7)</f>
        <v>59284536.764543995</v>
      </c>
      <c r="W4" s="157">
        <f t="shared" ref="W4" si="5">SUM(W5:W7)</f>
        <v>59580033.908428796</v>
      </c>
      <c r="X4" s="157">
        <f t="shared" ref="X4" si="6">SUM(X5:X7)</f>
        <v>59879456.708198398</v>
      </c>
      <c r="Y4" s="157">
        <f t="shared" ref="Y4" si="7">SUM(Y5:Y7)</f>
        <v>60150823.724160001</v>
      </c>
      <c r="Z4" s="157">
        <f t="shared" ref="Z4" si="8">SUM(Z5:Z7)</f>
        <v>60413610.938803189</v>
      </c>
      <c r="AA4" s="157">
        <f t="shared" ref="AA4" si="9">SUM(AA5:AA7)</f>
        <v>60661537.363814399</v>
      </c>
      <c r="AB4" s="157">
        <f t="shared" ref="AB4" si="10">SUM(AB5:AB7)</f>
        <v>60899911.547903992</v>
      </c>
      <c r="AC4" s="157">
        <f t="shared" ref="AC4" si="11">SUM(AC5:AC7)</f>
        <v>61124514.850713603</v>
      </c>
      <c r="AD4" s="157">
        <f t="shared" ref="AD4:AE4" si="12">SUM(AD5:AD7)</f>
        <v>61357133.6771328</v>
      </c>
      <c r="AE4" s="157">
        <f t="shared" si="12"/>
        <v>61553109.127910398</v>
      </c>
      <c r="AF4" s="157">
        <f t="shared" ref="AF4" si="13">SUM(AF5:AF7)</f>
        <v>61761971.923891202</v>
      </c>
      <c r="AG4" s="157">
        <f t="shared" ref="AG4" si="14">SUM(AG5:AG7)</f>
        <v>61941751.9628544</v>
      </c>
      <c r="AH4" s="157">
        <f t="shared" ref="AH4" si="15">SUM(AH5:AH7)</f>
        <v>62120235.873945594</v>
      </c>
      <c r="AI4" s="157">
        <f t="shared" ref="AI4" si="16">SUM(AI5:AI7)</f>
        <v>62294885.018495992</v>
      </c>
      <c r="AJ4" s="157">
        <f t="shared" ref="AJ4" si="17">SUM(AJ5:AJ7)</f>
        <v>62445144.3512832</v>
      </c>
      <c r="AK4" s="157">
        <f t="shared" ref="AK4" si="18">SUM(AK5:AK7)</f>
        <v>62605890.328550391</v>
      </c>
      <c r="AL4" s="157">
        <f t="shared" ref="AL4" si="19">SUM(AL5:AL7)</f>
        <v>62755622.655897595</v>
      </c>
      <c r="AM4" s="157">
        <f t="shared" ref="AM4" si="20">SUM(AM5:AM7)</f>
        <v>62610571.358899198</v>
      </c>
      <c r="AN4" s="157">
        <f>SUM(E4:AM4)</f>
        <v>1948952289.765312</v>
      </c>
    </row>
    <row r="5" spans="1:40" x14ac:dyDescent="0.3">
      <c r="B5" s="162" t="s">
        <v>380</v>
      </c>
      <c r="C5" s="161"/>
      <c r="D5" s="161"/>
      <c r="E5" s="158">
        <f>('FCD PROJETO'!F30+'FCD PROJETO'!F31)</f>
        <v>22640177.88469382</v>
      </c>
      <c r="F5" s="158">
        <f>('FCD PROJETO'!G30+'FCD PROJETO'!G31)</f>
        <v>24802762.562525373</v>
      </c>
      <c r="G5" s="158">
        <f>('FCD PROJETO'!H30+'FCD PROJETO'!H31)</f>
        <v>25446424.904409602</v>
      </c>
      <c r="H5" s="158">
        <f>('FCD PROJETO'!I30+'FCD PROJETO'!I31)</f>
        <v>26009040.560255997</v>
      </c>
      <c r="I5" s="158">
        <f>('FCD PROJETO'!J30+'FCD PROJETO'!J31)</f>
        <v>26547611.172825601</v>
      </c>
      <c r="J5" s="158">
        <f>('FCD PROJETO'!K30+'FCD PROJETO'!K31)</f>
        <v>27051068.6349696</v>
      </c>
      <c r="K5" s="158">
        <f>('FCD PROJETO'!L30+'FCD PROJETO'!L31)</f>
        <v>27355830.534489598</v>
      </c>
      <c r="L5" s="158">
        <f>('FCD PROJETO'!M30+'FCD PROJETO'!M31)</f>
        <v>27605122.285478398</v>
      </c>
      <c r="M5" s="158">
        <f>('FCD PROJETO'!N30+'FCD PROJETO'!N31)</f>
        <v>27854074.308902398</v>
      </c>
      <c r="N5" s="158">
        <f>('FCD PROJETO'!O30+'FCD PROJETO'!O31)</f>
        <v>28086974.052134398</v>
      </c>
      <c r="O5" s="158">
        <f>('FCD PROJETO'!P30+'FCD PROJETO'!P31)</f>
        <v>28311125.886950396</v>
      </c>
      <c r="P5" s="158">
        <f>('FCD PROJETO'!Q30+'FCD PROJETO'!Q31)</f>
        <v>28528370.284377601</v>
      </c>
      <c r="Q5" s="158">
        <f>('FCD PROJETO'!R30+'FCD PROJETO'!R31)</f>
        <v>28730320.983935997</v>
      </c>
      <c r="R5" s="158">
        <f>('FCD PROJETO'!S30+'FCD PROJETO'!S31)</f>
        <v>28929411.724262401</v>
      </c>
      <c r="S5" s="158">
        <f>('FCD PROJETO'!T30+'FCD PROJETO'!T31)</f>
        <v>29120382.838310398</v>
      </c>
      <c r="T5" s="158">
        <f>('FCD PROJETO'!U30+'FCD PROJETO'!U31)</f>
        <v>29300624.503488</v>
      </c>
      <c r="U5" s="158">
        <f>('FCD PROJETO'!V30+'FCD PROJETO'!V31)</f>
        <v>29471328.2867328</v>
      </c>
      <c r="V5" s="158">
        <f>('FCD PROJETO'!W30+'FCD PROJETO'!W31)</f>
        <v>29642268.382271998</v>
      </c>
      <c r="W5" s="158">
        <f>('FCD PROJETO'!X30+'FCD PROJETO'!X31)</f>
        <v>29790016.954214398</v>
      </c>
      <c r="X5" s="158">
        <f>('FCD PROJETO'!Y30+'FCD PROJETO'!Y31)</f>
        <v>29939728.354099199</v>
      </c>
      <c r="Y5" s="158">
        <f>('FCD PROJETO'!Z30+'FCD PROJETO'!Z31)</f>
        <v>30075411.86208</v>
      </c>
      <c r="Z5" s="158">
        <f>('FCD PROJETO'!AA30+'FCD PROJETO'!AA31)</f>
        <v>30206805.469401594</v>
      </c>
      <c r="AA5" s="158">
        <f>('FCD PROJETO'!AB30+'FCD PROJETO'!AB31)</f>
        <v>30330768.681907199</v>
      </c>
      <c r="AB5" s="158">
        <f>('FCD PROJETO'!AC30+'FCD PROJETO'!AC31)</f>
        <v>30449955.773951996</v>
      </c>
      <c r="AC5" s="158">
        <f>('FCD PROJETO'!AD30+'FCD PROJETO'!AD31)</f>
        <v>30562257.425356802</v>
      </c>
      <c r="AD5" s="158">
        <f>('FCD PROJETO'!AE30+'FCD PROJETO'!AE31)</f>
        <v>30678566.8385664</v>
      </c>
      <c r="AE5" s="158">
        <f>('FCD PROJETO'!AF30+'FCD PROJETO'!AF31)</f>
        <v>30776554.563955199</v>
      </c>
      <c r="AF5" s="158">
        <f>('FCD PROJETO'!AG30+'FCD PROJETO'!AG31)</f>
        <v>30880985.961945601</v>
      </c>
      <c r="AG5" s="158">
        <f>('FCD PROJETO'!AH30+'FCD PROJETO'!AH31)</f>
        <v>30970875.9814272</v>
      </c>
      <c r="AH5" s="158">
        <f>('FCD PROJETO'!AI30+'FCD PROJETO'!AI31)</f>
        <v>31060117.936972797</v>
      </c>
      <c r="AI5" s="158">
        <f>('FCD PROJETO'!AJ30+'FCD PROJETO'!AJ31)</f>
        <v>31147442.509247996</v>
      </c>
      <c r="AJ5" s="158">
        <f>('FCD PROJETO'!AK30+'FCD PROJETO'!AK31)</f>
        <v>31222572.1756416</v>
      </c>
      <c r="AK5" s="158">
        <f>('FCD PROJETO'!AL30+'FCD PROJETO'!AL31)</f>
        <v>31302945.164275195</v>
      </c>
      <c r="AL5" s="158">
        <f>('FCD PROJETO'!AM30+'FCD PROJETO'!AM31)</f>
        <v>31377811.327948797</v>
      </c>
      <c r="AM5" s="158">
        <f>('FCD PROJETO'!AN30+'FCD PROJETO'!AN31)</f>
        <v>31305285.679449599</v>
      </c>
      <c r="AN5" s="158">
        <f t="shared" ref="AN5:AN6" si="21">SUM(E5:AM5)</f>
        <v>1017511022.451456</v>
      </c>
    </row>
    <row r="6" spans="1:40" x14ac:dyDescent="0.3">
      <c r="B6" s="162" t="s">
        <v>4</v>
      </c>
      <c r="C6" s="161"/>
      <c r="D6" s="161"/>
      <c r="E6" s="158">
        <f>('FCD PROJETO'!F37+'FCD PROJETO'!F38)</f>
        <v>0</v>
      </c>
      <c r="F6" s="158">
        <f>('FCD PROJETO'!G37+'FCD PROJETO'!G38)</f>
        <v>4881934.2933503995</v>
      </c>
      <c r="G6" s="158">
        <f>('FCD PROJETO'!H37+'FCD PROJETO'!H38)</f>
        <v>10139453.219750399</v>
      </c>
      <c r="H6" s="158">
        <f>('FCD PROJETO'!I37+'FCD PROJETO'!I38)</f>
        <v>15564589.5105792</v>
      </c>
      <c r="I6" s="158">
        <f>('FCD PROJETO'!J37+'FCD PROJETO'!J38)</f>
        <v>21196468.3552128</v>
      </c>
      <c r="J6" s="158">
        <f>('FCD PROJETO'!K37+'FCD PROJETO'!K38)</f>
        <v>22983201.936115198</v>
      </c>
      <c r="K6" s="158">
        <f>('FCD PROJETO'!L37+'FCD PROJETO'!L38)</f>
        <v>24609314.187993597</v>
      </c>
      <c r="L6" s="158">
        <f>('FCD PROJETO'!M37+'FCD PROJETO'!M38)</f>
        <v>25392567.2397696</v>
      </c>
      <c r="M6" s="158">
        <f>('FCD PROJETO'!N37+'FCD PROJETO'!N38)</f>
        <v>26178265.520409599</v>
      </c>
      <c r="N6" s="158">
        <f>('FCD PROJETO'!O37+'FCD PROJETO'!O38)</f>
        <v>26958791.433599997</v>
      </c>
      <c r="O6" s="158">
        <f>('FCD PROJETO'!P37+'FCD PROJETO'!P38)</f>
        <v>27740402.061465599</v>
      </c>
      <c r="P6" s="158">
        <f>('FCD PROJETO'!Q37+'FCD PROJETO'!Q38)</f>
        <v>28523840.1761664</v>
      </c>
      <c r="Q6" s="158">
        <f>('FCD PROJETO'!R37+'FCD PROJETO'!R38)</f>
        <v>28730320.983935997</v>
      </c>
      <c r="R6" s="158">
        <f>('FCD PROJETO'!S37+'FCD PROJETO'!S38)</f>
        <v>28929411.724262401</v>
      </c>
      <c r="S6" s="158">
        <f>('FCD PROJETO'!T37+'FCD PROJETO'!T38)</f>
        <v>29120382.838310398</v>
      </c>
      <c r="T6" s="158">
        <f>('FCD PROJETO'!U37+'FCD PROJETO'!U38)</f>
        <v>29300624.503488</v>
      </c>
      <c r="U6" s="158">
        <f>('FCD PROJETO'!V37+'FCD PROJETO'!V38)</f>
        <v>29471328.2867328</v>
      </c>
      <c r="V6" s="158">
        <f>('FCD PROJETO'!W37+'FCD PROJETO'!W38)</f>
        <v>29642268.382271998</v>
      </c>
      <c r="W6" s="158">
        <f>('FCD PROJETO'!X37+'FCD PROJETO'!X38)</f>
        <v>29790016.954214398</v>
      </c>
      <c r="X6" s="158">
        <f>('FCD PROJETO'!Y37+'FCD PROJETO'!Y38)</f>
        <v>29939728.354099199</v>
      </c>
      <c r="Y6" s="158">
        <f>('FCD PROJETO'!Z37+'FCD PROJETO'!Z38)</f>
        <v>30075411.86208</v>
      </c>
      <c r="Z6" s="158">
        <f>('FCD PROJETO'!AA37+'FCD PROJETO'!AA38)</f>
        <v>30206805.469401594</v>
      </c>
      <c r="AA6" s="158">
        <f>('FCD PROJETO'!AB37+'FCD PROJETO'!AB38)</f>
        <v>30330768.681907199</v>
      </c>
      <c r="AB6" s="158">
        <f>('FCD PROJETO'!AC37+'FCD PROJETO'!AC38)</f>
        <v>30449955.773951996</v>
      </c>
      <c r="AC6" s="158">
        <f>('FCD PROJETO'!AD37+'FCD PROJETO'!AD38)</f>
        <v>30562257.425356802</v>
      </c>
      <c r="AD6" s="158">
        <f>('FCD PROJETO'!AE37+'FCD PROJETO'!AE38)</f>
        <v>30678566.8385664</v>
      </c>
      <c r="AE6" s="158">
        <f>('FCD PROJETO'!AF37+'FCD PROJETO'!AF38)</f>
        <v>30776554.563955199</v>
      </c>
      <c r="AF6" s="158">
        <f>('FCD PROJETO'!AG37+'FCD PROJETO'!AG38)</f>
        <v>30880985.961945601</v>
      </c>
      <c r="AG6" s="158">
        <f>('FCD PROJETO'!AH37+'FCD PROJETO'!AH38)</f>
        <v>30970875.9814272</v>
      </c>
      <c r="AH6" s="158">
        <f>('FCD PROJETO'!AI37+'FCD PROJETO'!AI38)</f>
        <v>31060117.936972797</v>
      </c>
      <c r="AI6" s="158">
        <f>('FCD PROJETO'!AJ37+'FCD PROJETO'!AJ38)</f>
        <v>31147442.509247996</v>
      </c>
      <c r="AJ6" s="158">
        <f>('FCD PROJETO'!AK37+'FCD PROJETO'!AK38)</f>
        <v>31222572.1756416</v>
      </c>
      <c r="AK6" s="158">
        <f>('FCD PROJETO'!AL37+'FCD PROJETO'!AL38)</f>
        <v>31302945.164275195</v>
      </c>
      <c r="AL6" s="158">
        <f>('FCD PROJETO'!AM37+'FCD PROJETO'!AM38)</f>
        <v>31377811.327948797</v>
      </c>
      <c r="AM6" s="158">
        <f>('FCD PROJETO'!AN37+'FCD PROJETO'!AN38)</f>
        <v>31305285.679449599</v>
      </c>
      <c r="AN6" s="158">
        <f t="shared" si="21"/>
        <v>931441267.31385601</v>
      </c>
    </row>
    <row r="7" spans="1:40" x14ac:dyDescent="0.3">
      <c r="B7" s="162" t="s">
        <v>376</v>
      </c>
      <c r="C7" s="161"/>
      <c r="D7" s="161"/>
      <c r="E7" s="158">
        <v>0</v>
      </c>
      <c r="F7" s="158">
        <v>0</v>
      </c>
      <c r="G7" s="158">
        <v>0</v>
      </c>
      <c r="H7" s="158">
        <v>0</v>
      </c>
      <c r="I7" s="158">
        <v>0</v>
      </c>
      <c r="J7" s="158">
        <v>0</v>
      </c>
      <c r="K7" s="158">
        <v>0</v>
      </c>
      <c r="L7" s="158">
        <v>0</v>
      </c>
      <c r="M7" s="158">
        <v>0</v>
      </c>
      <c r="N7" s="158">
        <v>0</v>
      </c>
      <c r="O7" s="158">
        <v>0</v>
      </c>
      <c r="P7" s="158">
        <v>0</v>
      </c>
      <c r="Q7" s="158">
        <v>0</v>
      </c>
      <c r="R7" s="158">
        <v>0</v>
      </c>
      <c r="S7" s="158">
        <v>0</v>
      </c>
      <c r="T7" s="158">
        <v>0</v>
      </c>
      <c r="U7" s="158">
        <v>0</v>
      </c>
      <c r="V7" s="158">
        <v>0</v>
      </c>
      <c r="W7" s="158">
        <v>0</v>
      </c>
      <c r="X7" s="158">
        <v>0</v>
      </c>
      <c r="Y7" s="158">
        <v>0</v>
      </c>
      <c r="Z7" s="158">
        <v>0</v>
      </c>
      <c r="AA7" s="158">
        <v>0</v>
      </c>
      <c r="AB7" s="158">
        <v>0</v>
      </c>
      <c r="AC7" s="158">
        <v>0</v>
      </c>
      <c r="AD7" s="158">
        <v>0</v>
      </c>
      <c r="AE7" s="158">
        <v>0</v>
      </c>
      <c r="AF7" s="158">
        <v>0</v>
      </c>
      <c r="AG7" s="158">
        <v>0</v>
      </c>
      <c r="AH7" s="158">
        <v>0</v>
      </c>
      <c r="AI7" s="158">
        <v>0</v>
      </c>
      <c r="AJ7" s="158">
        <v>0</v>
      </c>
      <c r="AK7" s="158">
        <v>0</v>
      </c>
      <c r="AL7" s="158">
        <v>0</v>
      </c>
      <c r="AM7" s="158">
        <v>0</v>
      </c>
      <c r="AN7" s="158">
        <f>SUM(E7:AH7)</f>
        <v>0</v>
      </c>
    </row>
    <row r="8" spans="1:40" x14ac:dyDescent="0.3"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1"/>
      <c r="AD8" s="91"/>
      <c r="AE8" s="91"/>
      <c r="AF8" s="91"/>
      <c r="AG8" s="91"/>
      <c r="AH8" s="91"/>
      <c r="AI8" s="91"/>
      <c r="AJ8" s="91"/>
      <c r="AK8" s="91"/>
      <c r="AL8" s="91"/>
      <c r="AM8" s="91"/>
      <c r="AN8" s="91"/>
    </row>
    <row r="9" spans="1:40" x14ac:dyDescent="0.3">
      <c r="B9" s="160" t="s">
        <v>444</v>
      </c>
      <c r="C9" s="161"/>
      <c r="D9" s="161"/>
      <c r="E9" s="157">
        <f>SUM(E10:E11)</f>
        <v>-2094429.7659386168</v>
      </c>
      <c r="F9" s="157">
        <f t="shared" ref="F9:R9" si="22">SUM(F10:F11)</f>
        <v>-2534836.4561935677</v>
      </c>
      <c r="G9" s="157">
        <f t="shared" si="22"/>
        <v>-2993949.7869243692</v>
      </c>
      <c r="H9" s="157">
        <f t="shared" si="22"/>
        <v>-3424215.1052480801</v>
      </c>
      <c r="I9" s="157">
        <f t="shared" si="22"/>
        <v>-3869445.9295490207</v>
      </c>
      <c r="J9" s="157">
        <f t="shared" si="22"/>
        <v>-4051766.9202171084</v>
      </c>
      <c r="K9" s="157">
        <f t="shared" si="22"/>
        <v>-4201273.3966354597</v>
      </c>
      <c r="L9" s="157">
        <f t="shared" si="22"/>
        <v>-4287777.6938372487</v>
      </c>
      <c r="M9" s="157">
        <f t="shared" si="22"/>
        <v>-4354366.0890550204</v>
      </c>
      <c r="N9" s="157">
        <f t="shared" si="22"/>
        <v>-4416210.755719387</v>
      </c>
      <c r="O9" s="157">
        <f t="shared" si="22"/>
        <v>-4496514.3302918477</v>
      </c>
      <c r="P9" s="157">
        <f t="shared" si="22"/>
        <v>-4575809.6652308637</v>
      </c>
      <c r="Q9" s="157">
        <f t="shared" si="22"/>
        <v>-4619652.1530463127</v>
      </c>
      <c r="R9" s="157">
        <f t="shared" si="22"/>
        <v>-4661463.0698190397</v>
      </c>
      <c r="S9" s="157">
        <f t="shared" ref="S9" si="23">SUM(S10:S11)</f>
        <v>-4701548.2153312936</v>
      </c>
      <c r="T9" s="157">
        <f t="shared" ref="T9" si="24">SUM(T10:T11)</f>
        <v>-4741322.2313387077</v>
      </c>
      <c r="U9" s="157">
        <f t="shared" ref="U9" si="25">SUM(U10:U11)</f>
        <v>-4788662.0726980502</v>
      </c>
      <c r="V9" s="157">
        <f t="shared" ref="V9" si="26">SUM(V10:V11)</f>
        <v>-4827093.5738662584</v>
      </c>
      <c r="W9" s="157">
        <f t="shared" ref="W9" si="27">SUM(W10:W11)</f>
        <v>-4861608.1296602385</v>
      </c>
      <c r="X9" s="157">
        <f t="shared" ref="X9" si="28">SUM(X10:X11)</f>
        <v>-4894329.7335829614</v>
      </c>
      <c r="Y9" s="157">
        <f t="shared" ref="Y9" si="29">SUM(Y10:Y11)</f>
        <v>-4924175.9740729593</v>
      </c>
      <c r="Z9" s="157">
        <f t="shared" ref="Z9" si="30">SUM(Z10:Z11)</f>
        <v>-4952863.3684342634</v>
      </c>
      <c r="AA9" s="157">
        <f t="shared" ref="AA9" si="31">SUM(AA10:AA11)</f>
        <v>-4980810.8468847061</v>
      </c>
      <c r="AB9" s="157">
        <f t="shared" ref="AB9" si="32">SUM(AB10:AB11)</f>
        <v>-5006259.6453663278</v>
      </c>
      <c r="AC9" s="157">
        <f t="shared" ref="AC9" si="33">SUM(AC10:AC11)</f>
        <v>-5029805.3430557055</v>
      </c>
      <c r="AD9" s="157">
        <f t="shared" ref="AD9:AE9" si="34">SUM(AD10:AD11)</f>
        <v>-5053321.580602874</v>
      </c>
      <c r="AE9" s="157">
        <f t="shared" si="34"/>
        <v>-5072632.3893951038</v>
      </c>
      <c r="AF9" s="157">
        <f t="shared" ref="AF9" si="35">SUM(AF10:AF11)</f>
        <v>-5091797.6113540409</v>
      </c>
      <c r="AG9" s="157">
        <f t="shared" ref="AG9" si="36">SUM(AG10:AG11)</f>
        <v>-5110181.7057945533</v>
      </c>
      <c r="AH9" s="157">
        <f t="shared" ref="AH9" si="37">SUM(AH10:AH11)</f>
        <v>-5122878.2655747086</v>
      </c>
      <c r="AI9" s="157">
        <f t="shared" ref="AI9" si="38">SUM(AI10:AI11)</f>
        <v>-5132037.7476682886</v>
      </c>
      <c r="AJ9" s="157">
        <f t="shared" ref="AJ9" si="39">SUM(AJ10:AJ11)</f>
        <v>-5134323.5319286417</v>
      </c>
      <c r="AK9" s="157">
        <f t="shared" ref="AK9" si="40">SUM(AK10:AK11)</f>
        <v>-5129492.437538269</v>
      </c>
      <c r="AL9" s="157">
        <f t="shared" ref="AL9" si="41">SUM(AL10:AL11)</f>
        <v>-5105545.1045440007</v>
      </c>
      <c r="AM9" s="157">
        <f t="shared" ref="AM9" si="42">SUM(AM10:AM11)</f>
        <v>-5232400.955009074</v>
      </c>
      <c r="AN9" s="157">
        <f t="shared" ref="AN9:AN11" si="43">SUM(E9:AM9)</f>
        <v>-159474801.58140698</v>
      </c>
    </row>
    <row r="10" spans="1:40" x14ac:dyDescent="0.3">
      <c r="B10" s="163" t="s">
        <v>377</v>
      </c>
      <c r="C10" s="161"/>
      <c r="D10" s="161"/>
      <c r="E10" s="158">
        <f>('FCD PROJETO'!F97+'FCD PROJETO'!F98)</f>
        <v>-2025769.2539198282</v>
      </c>
      <c r="F10" s="158">
        <f>('FCD PROJETO'!G97+'FCD PROJETO'!G98)</f>
        <v>-2459105.3994271653</v>
      </c>
      <c r="G10" s="158">
        <f>('FCD PROJETO'!H97+'FCD PROJETO'!H98)</f>
        <v>-2905458.4773073671</v>
      </c>
      <c r="H10" s="158">
        <f>('FCD PROJETO'!I97+'FCD PROJETO'!I98)</f>
        <v>-3328626.3362175655</v>
      </c>
      <c r="I10" s="158">
        <f>('FCD PROJETO'!J97+'FCD PROJETO'!J98)</f>
        <v>-3764927.0298415632</v>
      </c>
      <c r="J10" s="158">
        <f>('FCD PROJETO'!K97+'FCD PROJETO'!K98)</f>
        <v>-3941728.5454488751</v>
      </c>
      <c r="K10" s="158">
        <f>('FCD PROJETO'!L97+'FCD PROJETO'!L98)</f>
        <v>-4087217.4418122792</v>
      </c>
      <c r="L10" s="158">
        <f>('FCD PROJETO'!M97+'FCD PROJETO'!M98)</f>
        <v>-4168153.9610878015</v>
      </c>
      <c r="M10" s="158">
        <f>('FCD PROJETO'!N97+'FCD PROJETO'!N98)</f>
        <v>-4229684.1188579369</v>
      </c>
      <c r="N10" s="158">
        <f>('FCD PROJETO'!O97+'FCD PROJETO'!O98)</f>
        <v>-4287212.6200405052</v>
      </c>
      <c r="O10" s="158">
        <f>('FCD PROJETO'!P97+'FCD PROJETO'!P98)</f>
        <v>-4364665.2190502053</v>
      </c>
      <c r="P10" s="158">
        <f>('FCD PROJETO'!Q97+'FCD PROJETO'!Q98)</f>
        <v>-4441011.3891981514</v>
      </c>
      <c r="Q10" s="158">
        <f>('FCD PROJETO'!R97+'FCD PROJETO'!R98)</f>
        <v>-4481441.0017253263</v>
      </c>
      <c r="R10" s="158">
        <f>('FCD PROJETO'!S97+'FCD PROJETO'!S98)</f>
        <v>-4521119.9733055206</v>
      </c>
      <c r="S10" s="158">
        <f>('FCD PROJETO'!T97+'FCD PROJETO'!T98)</f>
        <v>-4559037.1580556752</v>
      </c>
      <c r="T10" s="158">
        <f>('FCD PROJETO'!U97+'FCD PROJETO'!U98)</f>
        <v>-4596704.9682634016</v>
      </c>
      <c r="U10" s="158">
        <f>('FCD PROJETO'!V97+'FCD PROJETO'!V98)</f>
        <v>-4632416.6665325481</v>
      </c>
      <c r="V10" s="158">
        <f>('FCD PROJETO'!W97+'FCD PROJETO'!W98)</f>
        <v>-4667882.5135223437</v>
      </c>
      <c r="W10" s="158">
        <f>('FCD PROJETO'!X97+'FCD PROJETO'!X98)</f>
        <v>-4698272.7178056017</v>
      </c>
      <c r="X10" s="158">
        <f>('FCD PROJETO'!Y97+'FCD PROJETO'!Y98)</f>
        <v>-4728727.7499253917</v>
      </c>
      <c r="Y10" s="158">
        <f>('FCD PROJETO'!Z97+'FCD PROJETO'!Z98)</f>
        <v>-4756282.0782806184</v>
      </c>
      <c r="Z10" s="158">
        <f>('FCD PROJETO'!AA97+'FCD PROJETO'!AA98)</f>
        <v>-4782643.3119765576</v>
      </c>
      <c r="AA10" s="158">
        <f>('FCD PROJETO'!AB97+'FCD PROJETO'!AB98)</f>
        <v>-4807105.908977218</v>
      </c>
      <c r="AB10" s="158">
        <f>('FCD PROJETO'!AC97+'FCD PROJETO'!AC98)</f>
        <v>-4830160.710803505</v>
      </c>
      <c r="AC10" s="158">
        <f>('FCD PROJETO'!AD97+'FCD PROJETO'!AD98)</f>
        <v>-4851280.8401776515</v>
      </c>
      <c r="AD10" s="158">
        <f>('FCD PROJETO'!AE97+'FCD PROJETO'!AE98)</f>
        <v>-4872323.4718784271</v>
      </c>
      <c r="AE10" s="158">
        <f>('FCD PROJETO'!AF97+'FCD PROJETO'!AF98)</f>
        <v>-4889058.1995829288</v>
      </c>
      <c r="AF10" s="158">
        <f>('FCD PROJETO'!AG97+'FCD PROJETO'!AG98)</f>
        <v>-4905683.2926782509</v>
      </c>
      <c r="AG10" s="158">
        <f>('FCD PROJETO'!AH97+'FCD PROJETO'!AH98)</f>
        <v>-4918122.2214104887</v>
      </c>
      <c r="AH10" s="158">
        <f>('FCD PROJETO'!AI97+'FCD PROJETO'!AI98)</f>
        <v>-4928207.1335050734</v>
      </c>
      <c r="AI10" s="158">
        <f>('FCD PROJETO'!AJ97+'FCD PROJETO'!AJ98)</f>
        <v>-4934716.4756686613</v>
      </c>
      <c r="AJ10" s="158">
        <f>('FCD PROJETO'!AK97+'FCD PROJETO'!AK98)</f>
        <v>-4934317.2855825722</v>
      </c>
      <c r="AK10" s="158">
        <f>('FCD PROJETO'!AL97+'FCD PROJETO'!AL98)</f>
        <v>-4926758.2177813873</v>
      </c>
      <c r="AL10" s="158">
        <f>('FCD PROJETO'!AM97+'FCD PROJETO'!AM98)</f>
        <v>-4900631.6584555004</v>
      </c>
      <c r="AM10" s="158">
        <f>('FCD PROJETO'!AN97+'FCD PROJETO'!AN98)</f>
        <v>-5024847.7610012265</v>
      </c>
      <c r="AN10" s="158">
        <f t="shared" si="43"/>
        <v>-154151301.10910511</v>
      </c>
    </row>
    <row r="11" spans="1:40" x14ac:dyDescent="0.3">
      <c r="B11" s="163" t="s">
        <v>378</v>
      </c>
      <c r="C11" s="161"/>
      <c r="D11" s="161"/>
      <c r="E11" s="158">
        <f>'FCD PROJETO'!F96</f>
        <v>-68660.512018788635</v>
      </c>
      <c r="F11" s="158">
        <f>'FCD PROJETO'!G96</f>
        <v>-75731.056766402427</v>
      </c>
      <c r="G11" s="158">
        <f>'FCD PROJETO'!H96</f>
        <v>-88491.309617001942</v>
      </c>
      <c r="H11" s="158">
        <f>'FCD PROJETO'!I96</f>
        <v>-95588.769030514537</v>
      </c>
      <c r="I11" s="158">
        <f>'FCD PROJETO'!J96</f>
        <v>-104518.89970745728</v>
      </c>
      <c r="J11" s="158">
        <f>'FCD PROJETO'!K96</f>
        <v>-110038.37476823339</v>
      </c>
      <c r="K11" s="158">
        <f>'FCD PROJETO'!L96</f>
        <v>-114055.9548231806</v>
      </c>
      <c r="L11" s="158">
        <f>'FCD PROJETO'!M96</f>
        <v>-119623.73274944744</v>
      </c>
      <c r="M11" s="158">
        <f>'FCD PROJETO'!N96</f>
        <v>-124681.97019708373</v>
      </c>
      <c r="N11" s="158">
        <f>'FCD PROJETO'!O96</f>
        <v>-128998.13567888185</v>
      </c>
      <c r="O11" s="158">
        <f>'FCD PROJETO'!P96</f>
        <v>-131849.11124164239</v>
      </c>
      <c r="P11" s="158">
        <f>'FCD PROJETO'!Q96</f>
        <v>-134798.27603271234</v>
      </c>
      <c r="Q11" s="158">
        <f>'FCD PROJETO'!R96</f>
        <v>-138211.15132098651</v>
      </c>
      <c r="R11" s="158">
        <f>'FCD PROJETO'!S96</f>
        <v>-140343.09651351869</v>
      </c>
      <c r="S11" s="158">
        <f>'FCD PROJETO'!T96</f>
        <v>-142511.05727561875</v>
      </c>
      <c r="T11" s="158">
        <f>'FCD PROJETO'!U96</f>
        <v>-144617.26307530623</v>
      </c>
      <c r="U11" s="158">
        <f>'FCD PROJETO'!V96</f>
        <v>-156245.4061655018</v>
      </c>
      <c r="V11" s="158">
        <f>'FCD PROJETO'!W96</f>
        <v>-159211.06034391478</v>
      </c>
      <c r="W11" s="158">
        <f>'FCD PROJETO'!X96</f>
        <v>-163335.41185463697</v>
      </c>
      <c r="X11" s="158">
        <f>'FCD PROJETO'!Y96</f>
        <v>-165601.98365756919</v>
      </c>
      <c r="Y11" s="158">
        <f>'FCD PROJETO'!Z96</f>
        <v>-167893.89579234121</v>
      </c>
      <c r="Z11" s="158">
        <f>'FCD PROJETO'!AA96</f>
        <v>-170220.05645770609</v>
      </c>
      <c r="AA11" s="158">
        <f>'FCD PROJETO'!AB96</f>
        <v>-173704.93790748803</v>
      </c>
      <c r="AB11" s="158">
        <f>'FCD PROJETO'!AC96</f>
        <v>-176098.9345628226</v>
      </c>
      <c r="AC11" s="158">
        <f>'FCD PROJETO'!AD96</f>
        <v>-178524.50287805364</v>
      </c>
      <c r="AD11" s="158">
        <f>'FCD PROJETO'!AE96</f>
        <v>-180998.10872444688</v>
      </c>
      <c r="AE11" s="158">
        <f>'FCD PROJETO'!AF96</f>
        <v>-183574.18981217474</v>
      </c>
      <c r="AF11" s="158">
        <f>'FCD PROJETO'!AG96</f>
        <v>-186114.31867578966</v>
      </c>
      <c r="AG11" s="158">
        <f>'FCD PROJETO'!AH96</f>
        <v>-192059.48438406439</v>
      </c>
      <c r="AH11" s="158">
        <f>'FCD PROJETO'!AI96</f>
        <v>-194671.13206963512</v>
      </c>
      <c r="AI11" s="158">
        <f>'FCD PROJETO'!AJ96</f>
        <v>-197321.27199962761</v>
      </c>
      <c r="AJ11" s="158">
        <f>'FCD PROJETO'!AK96</f>
        <v>-200006.24634606997</v>
      </c>
      <c r="AK11" s="158">
        <f>'FCD PROJETO'!AL96</f>
        <v>-202734.21975688162</v>
      </c>
      <c r="AL11" s="158">
        <f>'FCD PROJETO'!AM96</f>
        <v>-204913.44608850052</v>
      </c>
      <c r="AM11" s="158">
        <f>'FCD PROJETO'!AN96</f>
        <v>-207553.19400784746</v>
      </c>
      <c r="AN11" s="158">
        <f t="shared" si="43"/>
        <v>-5323500.4723018492</v>
      </c>
    </row>
    <row r="12" spans="1:40" x14ac:dyDescent="0.3"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</row>
    <row r="13" spans="1:40" x14ac:dyDescent="0.3">
      <c r="B13" s="160" t="s">
        <v>445</v>
      </c>
      <c r="C13" s="161"/>
      <c r="D13" s="161"/>
      <c r="E13" s="157">
        <f>E4+E9</f>
        <v>20545748.118755203</v>
      </c>
      <c r="F13" s="157">
        <f t="shared" ref="F13:R13" si="44">F4+F9</f>
        <v>27149860.399682205</v>
      </c>
      <c r="G13" s="157">
        <f t="shared" si="44"/>
        <v>32591928.33723563</v>
      </c>
      <c r="H13" s="157">
        <f t="shared" si="44"/>
        <v>38149414.965587117</v>
      </c>
      <c r="I13" s="157">
        <f t="shared" si="44"/>
        <v>43874633.598489374</v>
      </c>
      <c r="J13" s="157">
        <f t="shared" si="44"/>
        <v>45982503.650867686</v>
      </c>
      <c r="K13" s="157">
        <f t="shared" si="44"/>
        <v>47763871.325847737</v>
      </c>
      <c r="L13" s="157">
        <f t="shared" si="44"/>
        <v>48709911.831410751</v>
      </c>
      <c r="M13" s="157">
        <f t="shared" si="44"/>
        <v>49677973.74025698</v>
      </c>
      <c r="N13" s="157">
        <f t="shared" si="44"/>
        <v>50629554.73001501</v>
      </c>
      <c r="O13" s="157">
        <f t="shared" si="44"/>
        <v>51555013.61812415</v>
      </c>
      <c r="P13" s="157">
        <f t="shared" si="44"/>
        <v>52476400.795313142</v>
      </c>
      <c r="Q13" s="157">
        <f t="shared" si="44"/>
        <v>52840989.814825684</v>
      </c>
      <c r="R13" s="157">
        <f t="shared" si="44"/>
        <v>53197360.378705762</v>
      </c>
      <c r="S13" s="157">
        <f t="shared" ref="S13:AM13" si="45">S4+S9</f>
        <v>53539217.461289503</v>
      </c>
      <c r="T13" s="157">
        <f t="shared" si="45"/>
        <v>53859926.775637291</v>
      </c>
      <c r="U13" s="157">
        <f t="shared" si="45"/>
        <v>54153994.500767551</v>
      </c>
      <c r="V13" s="157">
        <f t="shared" si="45"/>
        <v>54457443.19067774</v>
      </c>
      <c r="W13" s="157">
        <f t="shared" si="45"/>
        <v>54718425.778768554</v>
      </c>
      <c r="X13" s="157">
        <f t="shared" si="45"/>
        <v>54985126.97461544</v>
      </c>
      <c r="Y13" s="157">
        <f t="shared" si="45"/>
        <v>55226647.750087038</v>
      </c>
      <c r="Z13" s="157">
        <f t="shared" si="45"/>
        <v>55460747.570368923</v>
      </c>
      <c r="AA13" s="157">
        <f t="shared" si="45"/>
        <v>55680726.516929694</v>
      </c>
      <c r="AB13" s="157">
        <f t="shared" si="45"/>
        <v>55893651.902537666</v>
      </c>
      <c r="AC13" s="157">
        <f t="shared" si="45"/>
        <v>56094709.5076579</v>
      </c>
      <c r="AD13" s="157">
        <f t="shared" si="45"/>
        <v>56303812.096529923</v>
      </c>
      <c r="AE13" s="157">
        <f t="shared" si="45"/>
        <v>56480476.738515295</v>
      </c>
      <c r="AF13" s="157">
        <f t="shared" si="45"/>
        <v>56670174.312537163</v>
      </c>
      <c r="AG13" s="157">
        <f t="shared" si="45"/>
        <v>56831570.25705985</v>
      </c>
      <c r="AH13" s="157">
        <f t="shared" si="45"/>
        <v>56997357.608370885</v>
      </c>
      <c r="AI13" s="157">
        <f t="shared" si="45"/>
        <v>57162847.270827703</v>
      </c>
      <c r="AJ13" s="157">
        <f t="shared" si="45"/>
        <v>57310820.819354557</v>
      </c>
      <c r="AK13" s="157">
        <f t="shared" si="45"/>
        <v>57476397.891012125</v>
      </c>
      <c r="AL13" s="157">
        <f t="shared" si="45"/>
        <v>57650077.551353596</v>
      </c>
      <c r="AM13" s="157">
        <f t="shared" si="45"/>
        <v>57378170.403890125</v>
      </c>
      <c r="AN13" s="157">
        <f>SUM(E13:AM13)</f>
        <v>1789477488.1839051</v>
      </c>
    </row>
    <row r="14" spans="1:40" x14ac:dyDescent="0.3"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</row>
    <row r="15" spans="1:40" x14ac:dyDescent="0.3">
      <c r="B15" s="160" t="s">
        <v>446</v>
      </c>
      <c r="C15" s="161"/>
      <c r="D15" s="161"/>
      <c r="E15" s="157">
        <f t="shared" ref="E15" si="46">SUM(E16:E32)</f>
        <v>-13082228.973183144</v>
      </c>
      <c r="F15" s="157">
        <f t="shared" ref="F15:R15" si="47">SUM(F16:F32)</f>
        <v>-14743163.62494435</v>
      </c>
      <c r="G15" s="157">
        <f t="shared" si="47"/>
        <v>-16699675.206030026</v>
      </c>
      <c r="H15" s="157">
        <f t="shared" si="47"/>
        <v>-18812997.833517566</v>
      </c>
      <c r="I15" s="157">
        <f t="shared" si="47"/>
        <v>-20368173.56373756</v>
      </c>
      <c r="J15" s="157">
        <f t="shared" si="47"/>
        <v>-21957396.792630848</v>
      </c>
      <c r="K15" s="157">
        <f t="shared" si="47"/>
        <v>-23248218.505552698</v>
      </c>
      <c r="L15" s="157">
        <f t="shared" si="47"/>
        <v>-23994785.852669261</v>
      </c>
      <c r="M15" s="157">
        <f t="shared" si="47"/>
        <v>-24934670.097155396</v>
      </c>
      <c r="N15" s="157">
        <f t="shared" si="47"/>
        <v>-26674412.753048215</v>
      </c>
      <c r="O15" s="157">
        <f t="shared" si="47"/>
        <v>-26411291.782404311</v>
      </c>
      <c r="P15" s="157">
        <f t="shared" si="47"/>
        <v>-26594472.247370023</v>
      </c>
      <c r="Q15" s="157">
        <f t="shared" si="47"/>
        <v>-26664186.840108719</v>
      </c>
      <c r="R15" s="157">
        <f t="shared" si="47"/>
        <v>-26967058.377968855</v>
      </c>
      <c r="S15" s="157">
        <f t="shared" ref="S15:AM15" si="48">SUM(S16:S32)</f>
        <v>-27270168.635430835</v>
      </c>
      <c r="T15" s="157">
        <f t="shared" si="48"/>
        <v>-26829261.199927934</v>
      </c>
      <c r="U15" s="157">
        <f t="shared" si="48"/>
        <v>-27998306.825223874</v>
      </c>
      <c r="V15" s="157">
        <f t="shared" si="48"/>
        <v>-27798121.134143438</v>
      </c>
      <c r="W15" s="157">
        <f t="shared" si="48"/>
        <v>-28253868.393523604</v>
      </c>
      <c r="X15" s="157">
        <f t="shared" si="48"/>
        <v>-28531841.674370199</v>
      </c>
      <c r="Y15" s="157">
        <f t="shared" si="48"/>
        <v>-28456514.524424713</v>
      </c>
      <c r="Z15" s="157">
        <f t="shared" si="48"/>
        <v>-28731533.274054617</v>
      </c>
      <c r="AA15" s="157">
        <f t="shared" si="48"/>
        <v>-28759751.164317034</v>
      </c>
      <c r="AB15" s="157">
        <f t="shared" si="48"/>
        <v>-29035067.977698419</v>
      </c>
      <c r="AC15" s="157">
        <f t="shared" si="48"/>
        <v>-29253459.978788722</v>
      </c>
      <c r="AD15" s="157">
        <f t="shared" si="48"/>
        <v>-29321971.223942317</v>
      </c>
      <c r="AE15" s="157">
        <f t="shared" si="48"/>
        <v>-29677779.994276833</v>
      </c>
      <c r="AF15" s="157">
        <f t="shared" si="48"/>
        <v>-29595171.980927624</v>
      </c>
      <c r="AG15" s="157">
        <f t="shared" si="48"/>
        <v>-30197161.271365609</v>
      </c>
      <c r="AH15" s="157">
        <f t="shared" si="48"/>
        <v>-30481144.01641801</v>
      </c>
      <c r="AI15" s="157">
        <f t="shared" si="48"/>
        <v>-30767435.720020268</v>
      </c>
      <c r="AJ15" s="157">
        <f t="shared" si="48"/>
        <v>-31053660.921089079</v>
      </c>
      <c r="AK15" s="157">
        <f t="shared" si="48"/>
        <v>-31344603.92538926</v>
      </c>
      <c r="AL15" s="157">
        <f t="shared" si="48"/>
        <v>-31574219.799382545</v>
      </c>
      <c r="AM15" s="157">
        <f t="shared" si="48"/>
        <v>-31799072.124606274</v>
      </c>
      <c r="AN15" s="157">
        <f t="shared" ref="AN15:AN31" si="49">SUM(E15:AM15)</f>
        <v>-927882848.20964205</v>
      </c>
    </row>
    <row r="16" spans="1:40" x14ac:dyDescent="0.3">
      <c r="B16" s="161" t="s">
        <v>465</v>
      </c>
      <c r="C16" s="161"/>
      <c r="D16" s="161"/>
      <c r="E16" s="158">
        <f>'FCD PROJETO'!F55*'Mão de Obra'!D25+'FCD PROJETO'!F55*(1-'Mão de Obra'!D25)</f>
        <v>-3834602.1201171875</v>
      </c>
      <c r="F16" s="158">
        <f>'FCD PROJETO'!G55*'Mão de Obra'!E25+'FCD PROJETO'!G55*(1-'Mão de Obra'!E25)</f>
        <v>-4219075.7998046875</v>
      </c>
      <c r="G16" s="158">
        <f>'FCD PROJETO'!H55*'Mão de Obra'!F25+'FCD PROJETO'!H55*(1-'Mão de Obra'!F25)</f>
        <v>-4339617.828125</v>
      </c>
      <c r="H16" s="158">
        <f>'FCD PROJETO'!I55*'Mão de Obra'!G25+'FCD PROJETO'!I55*(1-'Mão de Obra'!G25)</f>
        <v>-4317171.310546875</v>
      </c>
      <c r="I16" s="158">
        <f>'FCD PROJETO'!J55*'Mão de Obra'!H25+'FCD PROJETO'!J55*(1-'Mão de Obra'!H25)</f>
        <v>-4391676.609375</v>
      </c>
      <c r="J16" s="158">
        <f>'FCD PROJETO'!K55*'Mão de Obra'!I25+'FCD PROJETO'!K55*(1-'Mão de Obra'!I25)</f>
        <v>-4543942.91015625</v>
      </c>
      <c r="K16" s="158">
        <f>'FCD PROJETO'!L55*'Mão de Obra'!J25+'FCD PROJETO'!L55*(1-'Mão de Obra'!J25)</f>
        <v>-4593489.73046875</v>
      </c>
      <c r="L16" s="158">
        <f>'FCD PROJETO'!M55*'Mão de Obra'!K25+'FCD PROJETO'!M55*(1-'Mão de Obra'!K25)</f>
        <v>-4841414.310546875</v>
      </c>
      <c r="M16" s="158">
        <f>'FCD PROJETO'!N55*'Mão de Obra'!L25+'FCD PROJETO'!N55*(1-'Mão de Obra'!L25)</f>
        <v>-4957690.150390625</v>
      </c>
      <c r="N16" s="158">
        <f>'FCD PROJETO'!O55*'Mão de Obra'!M25+'FCD PROJETO'!O55*(1-'Mão de Obra'!M25)</f>
        <v>-4957690.150390625</v>
      </c>
      <c r="O16" s="158">
        <f>'FCD PROJETO'!P55*'Mão de Obra'!N25+'FCD PROJETO'!P55*(1-'Mão de Obra'!N25)</f>
        <v>-4957690.150390625</v>
      </c>
      <c r="P16" s="158">
        <f>'FCD PROJETO'!Q55*'Mão de Obra'!O25+'FCD PROJETO'!Q55*(1-'Mão de Obra'!O25)</f>
        <v>-4957690.150390625</v>
      </c>
      <c r="Q16" s="158">
        <f>'FCD PROJETO'!R55*'Mão de Obra'!P25+'FCD PROJETO'!R55*(1-'Mão de Obra'!P25)</f>
        <v>-5067564.48046875</v>
      </c>
      <c r="R16" s="158">
        <f>'FCD PROJETO'!S55*'Mão de Obra'!Q25+'FCD PROJETO'!S55*(1-'Mão de Obra'!Q25)</f>
        <v>-5067564.48046875</v>
      </c>
      <c r="S16" s="158">
        <f>'FCD PROJETO'!T55*'Mão de Obra'!R25+'FCD PROJETO'!T55*(1-'Mão de Obra'!R25)</f>
        <v>-5067564.48046875</v>
      </c>
      <c r="T16" s="158">
        <f>'FCD PROJETO'!U55*'Mão de Obra'!S25+'FCD PROJETO'!U55*(1-'Mão de Obra'!S25)</f>
        <v>-5067564.48046875</v>
      </c>
      <c r="U16" s="158">
        <f>'FCD PROJETO'!V55*'Mão de Obra'!T25+'FCD PROJETO'!V55*(1-'Mão de Obra'!T25)</f>
        <v>-5858570.369140625</v>
      </c>
      <c r="V16" s="158">
        <f>'FCD PROJETO'!W55*'Mão de Obra'!U25+'FCD PROJETO'!W55*(1-'Mão de Obra'!U25)</f>
        <v>-5858570.369140625</v>
      </c>
      <c r="W16" s="158">
        <f>'FCD PROJETO'!X55*'Mão de Obra'!V25+'FCD PROJETO'!X55*(1-'Mão de Obra'!V25)</f>
        <v>-6017033.720703125</v>
      </c>
      <c r="X16" s="158">
        <f>'FCD PROJETO'!Y55*'Mão de Obra'!W25+'FCD PROJETO'!Y55*(1-'Mão de Obra'!W25)</f>
        <v>-6017033.720703125</v>
      </c>
      <c r="Y16" s="158">
        <f>'FCD PROJETO'!Z55*'Mão de Obra'!X25+'FCD PROJETO'!Z55*(1-'Mão de Obra'!X25)</f>
        <v>-6017033.720703125</v>
      </c>
      <c r="Z16" s="158">
        <f>'FCD PROJETO'!AA55*'Mão de Obra'!Y25+'FCD PROJETO'!AA55*(1-'Mão de Obra'!Y25)</f>
        <v>-6017033.720703125</v>
      </c>
      <c r="AA16" s="158">
        <f>'FCD PROJETO'!AB55*'Mão de Obra'!Z25+'FCD PROJETO'!AB55*(1-'Mão de Obra'!Z25)</f>
        <v>-6110916.98046875</v>
      </c>
      <c r="AB16" s="158">
        <f>'FCD PROJETO'!AC55*'Mão de Obra'!AA25+'FCD PROJETO'!AC55*(1-'Mão de Obra'!AA25)</f>
        <v>-6110916.98046875</v>
      </c>
      <c r="AC16" s="158">
        <f>'FCD PROJETO'!AD55*'Mão de Obra'!AB25+'FCD PROJETO'!AD55*(1-'Mão de Obra'!AB25)</f>
        <v>-6110916.98046875</v>
      </c>
      <c r="AD16" s="158">
        <f>'FCD PROJETO'!AE55*'Mão de Obra'!AC25+'FCD PROJETO'!AE55*(1-'Mão de Obra'!AC25)</f>
        <v>-6110916.98046875</v>
      </c>
      <c r="AE16" s="158">
        <f>'FCD PROJETO'!AF55*'Mão de Obra'!AD25+'FCD PROJETO'!AF55*(1-'Mão de Obra'!AD25)</f>
        <v>-6110916.98046875</v>
      </c>
      <c r="AF16" s="158">
        <f>'FCD PROJETO'!AG55*'Mão de Obra'!AE25+'FCD PROJETO'!AG55*(1-'Mão de Obra'!AE25)</f>
        <v>-6110916.98046875</v>
      </c>
      <c r="AG16" s="158">
        <f>'FCD PROJETO'!AH55*'Mão de Obra'!AF25+'FCD PROJETO'!AH55*(1-'Mão de Obra'!AF25)</f>
        <v>-6392234.6171875</v>
      </c>
      <c r="AH16" s="158">
        <f>'FCD PROJETO'!AI55*'Mão de Obra'!AG25+'FCD PROJETO'!AI55*(1-'Mão de Obra'!AG25)</f>
        <v>-6392234.6171875</v>
      </c>
      <c r="AI16" s="158">
        <f>'FCD PROJETO'!AJ55*'Mão de Obra'!AH25+'FCD PROJETO'!AJ55*(1-'Mão de Obra'!AH25)</f>
        <v>-6392234.6171875</v>
      </c>
      <c r="AJ16" s="158">
        <f>'FCD PROJETO'!AK55*'Mão de Obra'!AI25+'FCD PROJETO'!AK55*(1-'Mão de Obra'!AI25)</f>
        <v>-6392234.6171875</v>
      </c>
      <c r="AK16" s="158">
        <f>'FCD PROJETO'!AL55*'Mão de Obra'!AJ25+'FCD PROJETO'!AL55*(1-'Mão de Obra'!AJ25)</f>
        <v>-6392234.6171875</v>
      </c>
      <c r="AL16" s="158">
        <f>'FCD PROJETO'!AM55*'Mão de Obra'!AK25+'FCD PROJETO'!AM55*(1-'Mão de Obra'!AK25)</f>
        <v>-6392234.6171875</v>
      </c>
      <c r="AM16" s="158">
        <f>'FCD PROJETO'!AN55*'Mão de Obra'!AL25+'FCD PROJETO'!AN55*(1-'Mão de Obra'!AL25)</f>
        <v>-6392234.6171875</v>
      </c>
      <c r="AN16" s="158">
        <f t="shared" si="49"/>
        <v>-192378428.96679688</v>
      </c>
    </row>
    <row r="17" spans="2:40" x14ac:dyDescent="0.3">
      <c r="B17" s="161" t="s">
        <v>453</v>
      </c>
      <c r="C17" s="161"/>
      <c r="D17" s="161"/>
      <c r="E17" s="158">
        <f>'FCD PROJETO'!F56</f>
        <v>-1129195.6193772724</v>
      </c>
      <c r="F17" s="158">
        <f>'FCD PROJETO'!G56</f>
        <v>-1277418.4209978471</v>
      </c>
      <c r="G17" s="158">
        <f>'FCD PROJETO'!H56</f>
        <v>-2159277.4336276217</v>
      </c>
      <c r="H17" s="158">
        <f>'FCD PROJETO'!I56</f>
        <v>-2710227.0722951214</v>
      </c>
      <c r="I17" s="158">
        <f>'FCD PROJETO'!J56</f>
        <v>-3301014.5995351803</v>
      </c>
      <c r="J17" s="158">
        <f>'FCD PROJETO'!K56</f>
        <v>-3549880.55880713</v>
      </c>
      <c r="K17" s="158">
        <f>'FCD PROJETO'!L56</f>
        <v>-3811253.288730335</v>
      </c>
      <c r="L17" s="158">
        <f>'FCD PROJETO'!M56</f>
        <v>-4002490.9577160431</v>
      </c>
      <c r="M17" s="158">
        <f>'FCD PROJETO'!N56</f>
        <v>-4201257.5525459908</v>
      </c>
      <c r="N17" s="158">
        <f>'FCD PROJETO'!O56</f>
        <v>-4406800.6782614635</v>
      </c>
      <c r="O17" s="158">
        <f>'FCD PROJETO'!P56</f>
        <v>-4619415.7839006875</v>
      </c>
      <c r="P17" s="158">
        <f>'FCD PROJETO'!Q56</f>
        <v>-4839757.7914307266</v>
      </c>
      <c r="Q17" s="158">
        <f>'FCD PROJETO'!R56</f>
        <v>-5000829.4463471211</v>
      </c>
      <c r="R17" s="158">
        <f>'FCD PROJETO'!S56</f>
        <v>-5165016.5619795928</v>
      </c>
      <c r="S17" s="158">
        <f>'FCD PROJETO'!T56</f>
        <v>-5332263.7536311019</v>
      </c>
      <c r="T17" s="158">
        <f>'FCD PROJETO'!U56</f>
        <v>-5502579.0014831331</v>
      </c>
      <c r="U17" s="158">
        <f>'FCD PROJETO'!V56</f>
        <v>-5675677.0263194246</v>
      </c>
      <c r="V17" s="158">
        <f>'FCD PROJETO'!W56</f>
        <v>-5851908.2937834356</v>
      </c>
      <c r="W17" s="158">
        <f>'FCD PROJETO'!X56</f>
        <v>-6030689.956593547</v>
      </c>
      <c r="X17" s="158">
        <f>'FCD PROJETO'!Y56</f>
        <v>-6213105.2991157323</v>
      </c>
      <c r="Y17" s="158">
        <f>'FCD PROJETO'!Z56</f>
        <v>-6398087.8697595373</v>
      </c>
      <c r="Z17" s="158">
        <f>'FCD PROJETO'!AA56</f>
        <v>-6586203.6827559015</v>
      </c>
      <c r="AA17" s="158">
        <f>'FCD PROJETO'!AB56</f>
        <v>-6777216.7207017923</v>
      </c>
      <c r="AB17" s="158">
        <f>'FCD PROJETO'!AC56</f>
        <v>-6971411.6773864115</v>
      </c>
      <c r="AC17" s="158">
        <f>'FCD PROJETO'!AD56</f>
        <v>-7168472.7199492687</v>
      </c>
      <c r="AD17" s="158">
        <f>'FCD PROJETO'!AE56</f>
        <v>-7369463.4169151634</v>
      </c>
      <c r="AE17" s="158">
        <f>'FCD PROJETO'!AF56</f>
        <v>-7572788.6714730971</v>
      </c>
      <c r="AF17" s="158">
        <f>'FCD PROJETO'!AG56</f>
        <v>-7779778.4870091053</v>
      </c>
      <c r="AG17" s="158">
        <f>'FCD PROJETO'!AH56</f>
        <v>-7989791.5184839265</v>
      </c>
      <c r="AH17" s="158">
        <f>'FCD PROJETO'!AI56</f>
        <v>-8203299.6321225585</v>
      </c>
      <c r="AI17" s="158">
        <f>'FCD PROJETO'!AJ56</f>
        <v>-8420206.4631002508</v>
      </c>
      <c r="AJ17" s="158">
        <f>'FCD PROJETO'!AK56</f>
        <v>-8640354.1388069671</v>
      </c>
      <c r="AK17" s="158">
        <f>'FCD PROJETO'!AL56</f>
        <v>-8864085.0698777921</v>
      </c>
      <c r="AL17" s="158">
        <f>'FCD PROJETO'!AM56</f>
        <v>-9043203.8702285048</v>
      </c>
      <c r="AM17" s="158">
        <f>'FCD PROJETO'!AN56</f>
        <v>-9264549.4649123307</v>
      </c>
      <c r="AN17" s="158">
        <f t="shared" si="49"/>
        <v>-201828972.49996114</v>
      </c>
    </row>
    <row r="18" spans="2:40" x14ac:dyDescent="0.3">
      <c r="B18" s="161" t="s">
        <v>454</v>
      </c>
      <c r="C18" s="161"/>
      <c r="D18" s="161"/>
      <c r="E18" s="158">
        <f>'FCD PROJETO'!F57</f>
        <v>-335617.06676505599</v>
      </c>
      <c r="F18" s="158">
        <f>'FCD PROJETO'!G57</f>
        <v>-335617.06676505599</v>
      </c>
      <c r="G18" s="158">
        <f>'FCD PROJETO'!H57</f>
        <v>-335617.06676505599</v>
      </c>
      <c r="H18" s="158">
        <f>'FCD PROJETO'!I57</f>
        <v>-335617.06676505599</v>
      </c>
      <c r="I18" s="158">
        <f>'FCD PROJETO'!J57</f>
        <v>-342527.45527816797</v>
      </c>
      <c r="J18" s="158">
        <f>'FCD PROJETO'!K57</f>
        <v>-378089.83790985594</v>
      </c>
      <c r="K18" s="158">
        <f>'FCD PROJETO'!L57</f>
        <v>-378089.83790985594</v>
      </c>
      <c r="L18" s="158">
        <f>'FCD PROJETO'!M57</f>
        <v>-378089.83790985594</v>
      </c>
      <c r="M18" s="158">
        <f>'FCD PROJETO'!N57</f>
        <v>-378089.83790985594</v>
      </c>
      <c r="N18" s="158">
        <f>'FCD PROJETO'!O57</f>
        <v>-420562.609054656</v>
      </c>
      <c r="O18" s="158">
        <f>'FCD PROJETO'!P57</f>
        <v>-420562.609054656</v>
      </c>
      <c r="P18" s="158">
        <f>'FCD PROJETO'!Q57</f>
        <v>-420562.609054656</v>
      </c>
      <c r="Q18" s="158">
        <f>'FCD PROJETO'!R57</f>
        <v>-420562.609054656</v>
      </c>
      <c r="R18" s="158">
        <f>'FCD PROJETO'!S57</f>
        <v>-420562.609054656</v>
      </c>
      <c r="S18" s="158">
        <f>'FCD PROJETO'!T57</f>
        <v>-420562.609054656</v>
      </c>
      <c r="T18" s="158">
        <f>'FCD PROJETO'!U57</f>
        <v>-420562.609054656</v>
      </c>
      <c r="U18" s="158">
        <f>'FCD PROJETO'!V57</f>
        <v>-420562.609054656</v>
      </c>
      <c r="V18" s="158">
        <f>'FCD PROJETO'!W57</f>
        <v>-486590.56972257601</v>
      </c>
      <c r="W18" s="158">
        <f>'FCD PROJETO'!X57</f>
        <v>-486590.56972257601</v>
      </c>
      <c r="X18" s="158">
        <f>'FCD PROJETO'!Y57</f>
        <v>-486590.56972257601</v>
      </c>
      <c r="Y18" s="158">
        <f>'FCD PROJETO'!Z57</f>
        <v>-486590.56972257601</v>
      </c>
      <c r="Z18" s="158">
        <f>'FCD PROJETO'!AA57</f>
        <v>-486590.56972257601</v>
      </c>
      <c r="AA18" s="158">
        <f>'FCD PROJETO'!AB57</f>
        <v>-486590.56972257601</v>
      </c>
      <c r="AB18" s="158">
        <f>'FCD PROJETO'!AC57</f>
        <v>-486590.56972257601</v>
      </c>
      <c r="AC18" s="158">
        <f>'FCD PROJETO'!AD57</f>
        <v>-486590.56972257601</v>
      </c>
      <c r="AD18" s="158">
        <f>'FCD PROJETO'!AE57</f>
        <v>-486590.56972257601</v>
      </c>
      <c r="AE18" s="158">
        <f>'FCD PROJETO'!AF57</f>
        <v>-493500.95823568798</v>
      </c>
      <c r="AF18" s="158">
        <f>'FCD PROJETO'!AG57</f>
        <v>-493500.95823568798</v>
      </c>
      <c r="AG18" s="158">
        <f>'FCD PROJETO'!AH57</f>
        <v>-493500.95823568798</v>
      </c>
      <c r="AH18" s="158">
        <f>'FCD PROJETO'!AI57</f>
        <v>-493500.95823568798</v>
      </c>
      <c r="AI18" s="158">
        <f>'FCD PROJETO'!AJ57</f>
        <v>-493500.95823568798</v>
      </c>
      <c r="AJ18" s="158">
        <f>'FCD PROJETO'!AK57</f>
        <v>-493500.95823568798</v>
      </c>
      <c r="AK18" s="158">
        <f>'FCD PROJETO'!AL57</f>
        <v>-493500.95823568798</v>
      </c>
      <c r="AL18" s="158">
        <f>'FCD PROJETO'!AM57</f>
        <v>-493500.95823568798</v>
      </c>
      <c r="AM18" s="158">
        <f>'FCD PROJETO'!AN57</f>
        <v>-493500.95823568798</v>
      </c>
      <c r="AN18" s="158">
        <f t="shared" si="49"/>
        <v>-15382679.698039442</v>
      </c>
    </row>
    <row r="19" spans="2:40" x14ac:dyDescent="0.3">
      <c r="B19" s="161" t="s">
        <v>455</v>
      </c>
      <c r="C19" s="161"/>
      <c r="D19" s="161"/>
      <c r="E19" s="158">
        <f>'FCD PROJETO'!F58</f>
        <v>-422294.52875672496</v>
      </c>
      <c r="F19" s="158">
        <f>'FCD PROJETO'!G58</f>
        <v>-478810.10943729995</v>
      </c>
      <c r="G19" s="158">
        <f>'FCD PROJETO'!H58</f>
        <v>-539763.47102415003</v>
      </c>
      <c r="H19" s="158">
        <f>'FCD PROJETO'!I58</f>
        <v>-602715.30348269991</v>
      </c>
      <c r="I19" s="158">
        <f>'FCD PROJETO'!J58</f>
        <v>-674689.64414142491</v>
      </c>
      <c r="J19" s="158">
        <f>'FCD PROJETO'!K58</f>
        <v>-697951.25730246247</v>
      </c>
      <c r="K19" s="158">
        <f>'FCD PROJETO'!L58</f>
        <v>-721830.04529152508</v>
      </c>
      <c r="L19" s="158">
        <f>'FCD PROJETO'!M58</f>
        <v>-746649.29016138753</v>
      </c>
      <c r="M19" s="158">
        <f>'FCD PROJETO'!N58</f>
        <v>-853126.64263446245</v>
      </c>
      <c r="N19" s="158">
        <f>'FCD PROJETO'!O58</f>
        <v>-964791.20259070001</v>
      </c>
      <c r="O19" s="158">
        <f>'FCD PROJETO'!P58</f>
        <v>-989757.39384818752</v>
      </c>
      <c r="P19" s="158">
        <f>'FCD PROJETO'!Q58</f>
        <v>-1015179.1189073124</v>
      </c>
      <c r="Q19" s="158">
        <f>'FCD PROJETO'!R58</f>
        <v>-1028639.4080137624</v>
      </c>
      <c r="R19" s="158">
        <f>'FCD PROJETO'!S58</f>
        <v>-1042114.391758975</v>
      </c>
      <c r="S19" s="158">
        <f>'FCD PROJETO'!T58</f>
        <v>-1055530.5969491375</v>
      </c>
      <c r="T19" s="158">
        <f>'FCD PROJETO'!U58</f>
        <v>-1060732.4990710625</v>
      </c>
      <c r="U19" s="158">
        <f>'FCD PROJETO'!V58</f>
        <v>-1065640.5084177374</v>
      </c>
      <c r="V19" s="158">
        <f>'FCD PROJETO'!W58</f>
        <v>-1070519.1284868876</v>
      </c>
      <c r="W19" s="158">
        <f>'FCD PROJETO'!X58</f>
        <v>-1076970.0749036248</v>
      </c>
      <c r="X19" s="158">
        <f>'FCD PROJETO'!Y58</f>
        <v>-1083435.715959125</v>
      </c>
      <c r="Y19" s="158">
        <f>'FCD PROJETO'!Z58</f>
        <v>-1089445.8232129873</v>
      </c>
      <c r="Z19" s="158">
        <f>'FCD PROJETO'!AA58</f>
        <v>-1095176.7323303625</v>
      </c>
      <c r="AA19" s="158">
        <f>'FCD PROJETO'!AB58</f>
        <v>-1100687.2218662999</v>
      </c>
      <c r="AB19" s="158">
        <f>'FCD PROJETO'!AC58</f>
        <v>-1105991.9864595626</v>
      </c>
      <c r="AC19" s="158">
        <f>'FCD PROJETO'!AD58</f>
        <v>-1111061.6368326249</v>
      </c>
      <c r="AD19" s="158">
        <f>'FCD PROJETO'!AE58</f>
        <v>-1116204.7603994999</v>
      </c>
      <c r="AE19" s="158">
        <f>'FCD PROJETO'!AF58</f>
        <v>-1120642.5413057748</v>
      </c>
      <c r="AF19" s="158">
        <f>'FCD PROJETO'!AG58</f>
        <v>-1125330.1310710125</v>
      </c>
      <c r="AG19" s="158">
        <f>'FCD PROJETO'!AH58</f>
        <v>-1129429.9352857498</v>
      </c>
      <c r="AH19" s="158">
        <f>'FCD PROJETO'!AI58</f>
        <v>-1133559.1287780125</v>
      </c>
      <c r="AI19" s="158">
        <f>'FCD PROJETO'!AJ58</f>
        <v>-1137497.2919663624</v>
      </c>
      <c r="AJ19" s="158">
        <f>'FCD PROJETO'!AK58</f>
        <v>-1141097.4784631748</v>
      </c>
      <c r="AK19" s="158">
        <f>'FCD PROJETO'!AL58</f>
        <v>-1144697.6649599874</v>
      </c>
      <c r="AL19" s="158">
        <f>'FCD PROJETO'!AM58</f>
        <v>-1147181.05891085</v>
      </c>
      <c r="AM19" s="158">
        <f>'FCD PROJETO'!AN58</f>
        <v>-1145814.4575059374</v>
      </c>
      <c r="AN19" s="158">
        <f t="shared" si="49"/>
        <v>-34034958.180486836</v>
      </c>
    </row>
    <row r="20" spans="2:40" x14ac:dyDescent="0.3">
      <c r="B20" s="161" t="s">
        <v>456</v>
      </c>
      <c r="C20" s="161"/>
      <c r="D20" s="161"/>
      <c r="E20" s="158">
        <f>'FCD PROJETO'!F59</f>
        <v>-418383.99805672531</v>
      </c>
      <c r="F20" s="158">
        <f>'FCD PROJETO'!G59</f>
        <v>-540071.51998069626</v>
      </c>
      <c r="G20" s="158">
        <f>'FCD PROJETO'!H59</f>
        <v>-649710.07691659383</v>
      </c>
      <c r="H20" s="158">
        <f>'FCD PROJETO'!I59</f>
        <v>-1385222.615145881</v>
      </c>
      <c r="I20" s="158">
        <f>'FCD PROJETO'!J59</f>
        <v>-1371310.1622745439</v>
      </c>
      <c r="J20" s="158">
        <f>'FCD PROJETO'!K59</f>
        <v>-2190655.1762115252</v>
      </c>
      <c r="K20" s="158">
        <f>'FCD PROJETO'!L59</f>
        <v>-2831453.5814875234</v>
      </c>
      <c r="L20" s="158">
        <f>'FCD PROJETO'!M59</f>
        <v>-2918344.6165586072</v>
      </c>
      <c r="M20" s="158">
        <f>'FCD PROJETO'!N59</f>
        <v>-2972056.2883158349</v>
      </c>
      <c r="N20" s="158">
        <f>'FCD PROJETO'!O59</f>
        <v>-3627813.8398676575</v>
      </c>
      <c r="O20" s="158">
        <f>'FCD PROJETO'!P59</f>
        <v>-3411720.4503168762</v>
      </c>
      <c r="P20" s="158">
        <f>'FCD PROJETO'!Q59</f>
        <v>-3193319.1726480997</v>
      </c>
      <c r="Q20" s="158">
        <f>'FCD PROJETO'!R59</f>
        <v>-2929683.4875813406</v>
      </c>
      <c r="R20" s="158">
        <f>'FCD PROJETO'!S59</f>
        <v>-2956488.2355611734</v>
      </c>
      <c r="S20" s="158">
        <f>'FCD PROJETO'!T59</f>
        <v>-2981799.3197491416</v>
      </c>
      <c r="T20" s="158">
        <f>'FCD PROJETO'!U59</f>
        <v>-2385659.5890152515</v>
      </c>
      <c r="U20" s="158">
        <f>'FCD PROJETO'!V59</f>
        <v>-2404178.4918915122</v>
      </c>
      <c r="V20" s="158">
        <f>'FCD PROJETO'!W59</f>
        <v>-1802978.5168795332</v>
      </c>
      <c r="W20" s="158">
        <f>'FCD PROJETO'!X59</f>
        <v>-1815849.4156759668</v>
      </c>
      <c r="X20" s="158">
        <f>'FCD PROJETO'!Y59</f>
        <v>-1827884.8979994147</v>
      </c>
      <c r="Y20" s="158">
        <f>'FCD PROJETO'!Z59</f>
        <v>-1532601.9224167783</v>
      </c>
      <c r="Z20" s="158">
        <f>'FCD PROJETO'!AA59</f>
        <v>-1542080.7618141428</v>
      </c>
      <c r="AA20" s="158">
        <f>'FCD PROJETO'!AB59</f>
        <v>-1241151.995317942</v>
      </c>
      <c r="AB20" s="158">
        <f>'FCD PROJETO'!AC59</f>
        <v>-1248187.094672858</v>
      </c>
      <c r="AC20" s="158">
        <f>'FCD PROJETO'!AD59</f>
        <v>-1204714.8408044719</v>
      </c>
      <c r="AD20" s="158">
        <f>'FCD PROJETO'!AE59</f>
        <v>-897684.75285396713</v>
      </c>
      <c r="AE20" s="158">
        <f>'FCD PROJETO'!AF59</f>
        <v>-902510.03639791149</v>
      </c>
      <c r="AF20" s="158">
        <f>'FCD PROJETO'!AG59</f>
        <v>-588840.32445375074</v>
      </c>
      <c r="AG20" s="158">
        <f>'FCD PROJETO'!AH59</f>
        <v>-593354.38458209834</v>
      </c>
      <c r="AH20" s="158">
        <f>'FCD PROJETO'!AI59</f>
        <v>-597719.55418063432</v>
      </c>
      <c r="AI20" s="158">
        <f>'FCD PROJETO'!AJ59</f>
        <v>-601927.05975898926</v>
      </c>
      <c r="AJ20" s="158">
        <f>'FCD PROJETO'!AK59</f>
        <v>-605964.57675001153</v>
      </c>
      <c r="AK20" s="158">
        <f>'FCD PROJETO'!AL59</f>
        <v>-609855.25941271323</v>
      </c>
      <c r="AL20" s="158">
        <f>'FCD PROJETO'!AM59</f>
        <v>-610344.74058626359</v>
      </c>
      <c r="AM20" s="158">
        <f>'FCD PROJETO'!AN59</f>
        <v>-613366.90708917403</v>
      </c>
      <c r="AN20" s="158">
        <f t="shared" si="49"/>
        <v>-58004887.663225606</v>
      </c>
    </row>
    <row r="21" spans="2:40" x14ac:dyDescent="0.3">
      <c r="B21" s="161" t="s">
        <v>457</v>
      </c>
      <c r="C21" s="161"/>
      <c r="D21" s="161"/>
      <c r="E21" s="158">
        <f>'FCD PROJETO'!F60</f>
        <v>-783095.00661120005</v>
      </c>
      <c r="F21" s="158">
        <f>'FCD PROJETO'!G60</f>
        <v>-783095.00661120005</v>
      </c>
      <c r="G21" s="158">
        <f>'FCD PROJETO'!H60</f>
        <v>-783095.00661120005</v>
      </c>
      <c r="H21" s="158">
        <f>'FCD PROJETO'!I60</f>
        <v>-783095.00661120005</v>
      </c>
      <c r="I21" s="158">
        <f>'FCD PROJETO'!J60</f>
        <v>-846302.97588480008</v>
      </c>
      <c r="J21" s="158">
        <f>'FCD PROJETO'!K60</f>
        <v>-926416.272</v>
      </c>
      <c r="K21" s="158">
        <f>'FCD PROJETO'!L60</f>
        <v>-926416.272</v>
      </c>
      <c r="L21" s="158">
        <f>'FCD PROJETO'!M60</f>
        <v>-926416.272</v>
      </c>
      <c r="M21" s="158">
        <f>'FCD PROJETO'!N60</f>
        <v>-926416.272</v>
      </c>
      <c r="N21" s="158">
        <f>'FCD PROJETO'!O60</f>
        <v>-1069737.5373887997</v>
      </c>
      <c r="O21" s="158">
        <f>'FCD PROJETO'!P60</f>
        <v>-1069737.5373887997</v>
      </c>
      <c r="P21" s="158">
        <f>'FCD PROJETO'!Q60</f>
        <v>-1069737.5373887997</v>
      </c>
      <c r="Q21" s="158">
        <f>'FCD PROJETO'!R60</f>
        <v>-1069737.5373887997</v>
      </c>
      <c r="R21" s="158">
        <f>'FCD PROJETO'!S60</f>
        <v>-1069737.5373887997</v>
      </c>
      <c r="S21" s="158">
        <f>'FCD PROJETO'!T60</f>
        <v>-1069737.5373887997</v>
      </c>
      <c r="T21" s="158">
        <f>'FCD PROJETO'!U60</f>
        <v>-1069737.5373887997</v>
      </c>
      <c r="U21" s="158">
        <f>'FCD PROJETO'!V60</f>
        <v>-1069737.5373887997</v>
      </c>
      <c r="V21" s="158">
        <f>'FCD PROJETO'!W60</f>
        <v>-1215594.8712384</v>
      </c>
      <c r="W21" s="158">
        <f>'FCD PROJETO'!X60</f>
        <v>-1215594.8712384</v>
      </c>
      <c r="X21" s="158">
        <f>'FCD PROJETO'!Y60</f>
        <v>-1215594.8712384</v>
      </c>
      <c r="Y21" s="158">
        <f>'FCD PROJETO'!Z60</f>
        <v>-1215594.8712384</v>
      </c>
      <c r="Z21" s="158">
        <f>'FCD PROJETO'!AA60</f>
        <v>-1215594.8712384</v>
      </c>
      <c r="AA21" s="158">
        <f>'FCD PROJETO'!AB60</f>
        <v>-1215594.8712384</v>
      </c>
      <c r="AB21" s="158">
        <f>'FCD PROJETO'!AC60</f>
        <v>-1215594.8712384</v>
      </c>
      <c r="AC21" s="158">
        <f>'FCD PROJETO'!AD60</f>
        <v>-1215594.8712384</v>
      </c>
      <c r="AD21" s="158">
        <f>'FCD PROJETO'!AE60</f>
        <v>-1215594.8712384</v>
      </c>
      <c r="AE21" s="158">
        <f>'FCD PROJETO'!AF60</f>
        <v>-1278802.8405119998</v>
      </c>
      <c r="AF21" s="158">
        <f>'FCD PROJETO'!AG60</f>
        <v>-1278802.8405119998</v>
      </c>
      <c r="AG21" s="158">
        <f>'FCD PROJETO'!AH60</f>
        <v>-1278802.8405119998</v>
      </c>
      <c r="AH21" s="158">
        <f>'FCD PROJETO'!AI60</f>
        <v>-1278802.8405119998</v>
      </c>
      <c r="AI21" s="158">
        <f>'FCD PROJETO'!AJ60</f>
        <v>-1278802.8405119998</v>
      </c>
      <c r="AJ21" s="158">
        <f>'FCD PROJETO'!AK60</f>
        <v>-1278802.8405119998</v>
      </c>
      <c r="AK21" s="158">
        <f>'FCD PROJETO'!AL60</f>
        <v>-1278802.8405119998</v>
      </c>
      <c r="AL21" s="158">
        <f>'FCD PROJETO'!AM60</f>
        <v>-1278802.8405119998</v>
      </c>
      <c r="AM21" s="158">
        <f>'FCD PROJETO'!AN60</f>
        <v>-1278802.8405119998</v>
      </c>
      <c r="AN21" s="158">
        <f t="shared" si="49"/>
        <v>-38691827.79519359</v>
      </c>
    </row>
    <row r="22" spans="2:40" x14ac:dyDescent="0.3">
      <c r="B22" s="161" t="s">
        <v>458</v>
      </c>
      <c r="C22" s="161"/>
      <c r="D22" s="161"/>
      <c r="E22" s="158">
        <f>'FCD PROJETO'!F61</f>
        <v>-1129513.8469931073</v>
      </c>
      <c r="F22" s="158">
        <f>'FCD PROJETO'!G61</f>
        <v>-1271818.83051878</v>
      </c>
      <c r="G22" s="158">
        <f>'FCD PROJETO'!H61</f>
        <v>-1450021.6256075257</v>
      </c>
      <c r="H22" s="158">
        <f>'FCD PROJETO'!I61</f>
        <v>-1618847.5525525848</v>
      </c>
      <c r="I22" s="158">
        <f>'FCD PROJETO'!J61</f>
        <v>-1809396.5516508892</v>
      </c>
      <c r="J22" s="158">
        <f>'FCD PROJETO'!K61</f>
        <v>-1866798.4614759223</v>
      </c>
      <c r="K22" s="158">
        <f>'FCD PROJETO'!L61</f>
        <v>-1924656.9952804148</v>
      </c>
      <c r="L22" s="158">
        <f>'FCD PROJETO'!M61</f>
        <v>-1987324.6941984422</v>
      </c>
      <c r="M22" s="158">
        <f>'FCD PROJETO'!N61</f>
        <v>-2264653.126306308</v>
      </c>
      <c r="N22" s="158">
        <f>'FCD PROJETO'!O61</f>
        <v>-2558917.8219914939</v>
      </c>
      <c r="O22" s="158">
        <f>'FCD PROJETO'!P61</f>
        <v>-2624741.8847452099</v>
      </c>
      <c r="P22" s="158">
        <f>'FCD PROJETO'!Q61</f>
        <v>-2691767.8316223156</v>
      </c>
      <c r="Q22" s="158">
        <f>'FCD PROJETO'!R61</f>
        <v>-2727240.3290749332</v>
      </c>
      <c r="R22" s="158">
        <f>'FCD PROJETO'!S61</f>
        <v>-2762792.7800858552</v>
      </c>
      <c r="S22" s="158">
        <f>'FCD PROJETO'!T61</f>
        <v>-2798165.6271602167</v>
      </c>
      <c r="T22" s="158">
        <f>'FCD PROJETO'!U61</f>
        <v>-2811866.3999880189</v>
      </c>
      <c r="U22" s="158">
        <f>'FCD PROJETO'!V61</f>
        <v>-2824811.4608697472</v>
      </c>
      <c r="V22" s="158">
        <f>'FCD PROJETO'!W61</f>
        <v>-2837679.6823006608</v>
      </c>
      <c r="W22" s="158">
        <f>'FCD PROJETO'!X61</f>
        <v>-2854756.4438512456</v>
      </c>
      <c r="X22" s="158">
        <f>'FCD PROJETO'!Y61</f>
        <v>-2871876.8706641803</v>
      </c>
      <c r="Y22" s="158">
        <f>'FCD PROJETO'!Z61</f>
        <v>-2887771.2195686628</v>
      </c>
      <c r="Z22" s="158">
        <f>'FCD PROJETO'!AA61</f>
        <v>-2902960.3358554617</v>
      </c>
      <c r="AA22" s="158">
        <f>'FCD PROJETO'!AB61</f>
        <v>-2917546.3931454304</v>
      </c>
      <c r="AB22" s="158">
        <f>'FCD PROJETO'!AC61</f>
        <v>-2931594.5844520861</v>
      </c>
      <c r="AC22" s="158">
        <f>'FCD PROJETO'!AD61</f>
        <v>-2945023.9463942195</v>
      </c>
      <c r="AD22" s="158">
        <f>'FCD PROJETO'!AE61</f>
        <v>-2958638.2595278192</v>
      </c>
      <c r="AE22" s="158">
        <f>'FCD PROJETO'!AF61</f>
        <v>-2970386.8960926235</v>
      </c>
      <c r="AF22" s="158">
        <f>'FCD PROJETO'!AG61</f>
        <v>-2982777.4208632656</v>
      </c>
      <c r="AG22" s="158">
        <f>'FCD PROJETO'!AH61</f>
        <v>-2993652.6079670601</v>
      </c>
      <c r="AH22" s="158">
        <f>'FCD PROJETO'!AI61</f>
        <v>-3004597.5506619513</v>
      </c>
      <c r="AI22" s="158">
        <f>'FCD PROJETO'!AJ61</f>
        <v>-3015020.4376579612</v>
      </c>
      <c r="AJ22" s="158">
        <f>'FCD PROJETO'!AK61</f>
        <v>-3024548.0074754534</v>
      </c>
      <c r="AK22" s="158">
        <f>'FCD PROJETO'!AL61</f>
        <v>-3034071.9387790719</v>
      </c>
      <c r="AL22" s="158">
        <f>'FCD PROJETO'!AM61</f>
        <v>-3040667.8256778065</v>
      </c>
      <c r="AM22" s="158">
        <f>'FCD PROJETO'!AN61</f>
        <v>-3037045.371356355</v>
      </c>
      <c r="AN22" s="158">
        <f t="shared" si="49"/>
        <v>-90333951.612413079</v>
      </c>
    </row>
    <row r="23" spans="2:40" x14ac:dyDescent="0.3">
      <c r="B23" s="161" t="s">
        <v>459</v>
      </c>
      <c r="C23" s="161"/>
      <c r="D23" s="161"/>
      <c r="E23" s="158">
        <f>'FCD PROJETO'!F62</f>
        <v>-1377653.6087</v>
      </c>
      <c r="F23" s="158">
        <f>'FCD PROJETO'!G62</f>
        <v>-1463078.2891000004</v>
      </c>
      <c r="G23" s="158">
        <f>'FCD PROJETO'!H62</f>
        <v>-1543559.7234000002</v>
      </c>
      <c r="H23" s="158">
        <f>'FCD PROJETO'!I62</f>
        <v>-1611884.5812000001</v>
      </c>
      <c r="I23" s="158">
        <f>'FCD PROJETO'!J62</f>
        <v>-1689260.6338</v>
      </c>
      <c r="J23" s="158">
        <f>'FCD PROJETO'!K62</f>
        <v>-1697507.6029000001</v>
      </c>
      <c r="K23" s="158">
        <f>'FCD PROJETO'!L62</f>
        <v>-1702256.5537999999</v>
      </c>
      <c r="L23" s="158">
        <f>'FCD PROJETO'!M62</f>
        <v>-1720541.1166999999</v>
      </c>
      <c r="M23" s="158">
        <f>'FCD PROJETO'!N62</f>
        <v>-1739199.1623</v>
      </c>
      <c r="N23" s="158">
        <f>'FCD PROJETO'!O62</f>
        <v>-1757038.2299000002</v>
      </c>
      <c r="O23" s="158">
        <f>'FCD PROJETO'!P62</f>
        <v>-1774825.3942</v>
      </c>
      <c r="P23" s="158">
        <f>'FCD PROJETO'!Q62</f>
        <v>-1792527.7408</v>
      </c>
      <c r="Q23" s="158">
        <f>'FCD PROJETO'!R62</f>
        <v>-1798623.1034000001</v>
      </c>
      <c r="R23" s="158">
        <f>'FCD PROJETO'!S62</f>
        <v>-1804709.4219000002</v>
      </c>
      <c r="S23" s="158">
        <f>'FCD PROJETO'!T62</f>
        <v>-1810415.889</v>
      </c>
      <c r="T23" s="158">
        <f>'FCD PROJETO'!U62</f>
        <v>-1815677.1373999999</v>
      </c>
      <c r="U23" s="158">
        <f>'FCD PROJETO'!V62</f>
        <v>-1820509.8781000001</v>
      </c>
      <c r="V23" s="158">
        <f>'FCD PROJETO'!W62</f>
        <v>-1825271.6414000001</v>
      </c>
      <c r="W23" s="158">
        <f>'FCD PROJETO'!X62</f>
        <v>-1835257.0778999999</v>
      </c>
      <c r="X23" s="158">
        <f>'FCD PROJETO'!Y62</f>
        <v>-1845419.7506000001</v>
      </c>
      <c r="Y23" s="158">
        <f>'FCD PROJETO'!Z62</f>
        <v>-1854836.7242999999</v>
      </c>
      <c r="Z23" s="158">
        <f>'FCD PROJETO'!AA62</f>
        <v>-1863714.5178</v>
      </c>
      <c r="AA23" s="158">
        <f>'FCD PROJETO'!AB62</f>
        <v>-1872196.3075999999</v>
      </c>
      <c r="AB23" s="158">
        <f>'FCD PROJETO'!AC62</f>
        <v>-1880477.5010000002</v>
      </c>
      <c r="AC23" s="158">
        <f>'FCD PROJETO'!AD62</f>
        <v>-1888188.2127999999</v>
      </c>
      <c r="AD23" s="158">
        <f>'FCD PROJETO'!AE62</f>
        <v>-1896275.9180000001</v>
      </c>
      <c r="AE23" s="158">
        <f>'FCD PROJETO'!AF62</f>
        <v>-1903053.4646999997</v>
      </c>
      <c r="AF23" s="158">
        <f>'FCD PROJETO'!AG62</f>
        <v>-1910326.0660000001</v>
      </c>
      <c r="AG23" s="158">
        <f>'FCD PROJETO'!AH62</f>
        <v>-1916548.5439000002</v>
      </c>
      <c r="AH23" s="158">
        <f>'FCD PROJETO'!AI62</f>
        <v>-1922908.6458000001</v>
      </c>
      <c r="AI23" s="158">
        <f>'FCD PROJETO'!AJ62</f>
        <v>-1928934.8772</v>
      </c>
      <c r="AJ23" s="158">
        <f>'FCD PROJETO'!AK62</f>
        <v>-1934310.5863999999</v>
      </c>
      <c r="AK23" s="158">
        <f>'FCD PROJETO'!AL62</f>
        <v>-1939834.5552999999</v>
      </c>
      <c r="AL23" s="158">
        <f>'FCD PROJETO'!AM62</f>
        <v>-1944374.1214000001</v>
      </c>
      <c r="AM23" s="158">
        <f>'FCD PROJETO'!AN62</f>
        <v>-1940865.9058000001</v>
      </c>
      <c r="AN23" s="158">
        <f t="shared" si="49"/>
        <v>-63022062.484500006</v>
      </c>
    </row>
    <row r="24" spans="2:40" x14ac:dyDescent="0.3">
      <c r="B24" s="161" t="s">
        <v>460</v>
      </c>
      <c r="C24" s="161"/>
      <c r="D24" s="161"/>
      <c r="E24" s="158">
        <f>'FCD PROJETO'!F65</f>
        <v>-1275370.6280921299</v>
      </c>
      <c r="F24" s="158">
        <f>'FCD PROJETO'!G65</f>
        <v>-1421350.0599742439</v>
      </c>
      <c r="G24" s="158">
        <f>'FCD PROJETO'!H65</f>
        <v>-1626088.277077693</v>
      </c>
      <c r="H24" s="158">
        <f>'FCD PROJETO'!I65</f>
        <v>-1845344.3123069834</v>
      </c>
      <c r="I24" s="158">
        <f>'FCD PROJETO'!J65</f>
        <v>-2004824.4055511791</v>
      </c>
      <c r="J24" s="158">
        <f>'FCD PROJETO'!K65</f>
        <v>-2188278.1251114635</v>
      </c>
      <c r="K24" s="158">
        <f>'FCD PROJETO'!L65</f>
        <v>-2323266.1892217905</v>
      </c>
      <c r="L24" s="158">
        <f>'FCD PROJETO'!M65</f>
        <v>-2404967.6287356578</v>
      </c>
      <c r="M24" s="158">
        <f>'FCD PROJETO'!N65</f>
        <v>-2503586.9255912555</v>
      </c>
      <c r="N24" s="158">
        <f>'FCD PROJETO'!O65</f>
        <v>-2686746.0600624573</v>
      </c>
      <c r="O24" s="158">
        <f>'FCD PROJETO'!P65</f>
        <v>-2704612.0536642987</v>
      </c>
      <c r="P24" s="158">
        <f>'FCD PROJETO'!Q65</f>
        <v>-2723297.4666651208</v>
      </c>
      <c r="Q24" s="158">
        <f>'FCD PROJETO'!R65</f>
        <v>-2732890.3999461755</v>
      </c>
      <c r="R24" s="158">
        <f>'FCD PROJETO'!S65</f>
        <v>-2764690.2573280851</v>
      </c>
      <c r="S24" s="158">
        <f>'FCD PROJETO'!T65</f>
        <v>-2796521.5604518959</v>
      </c>
      <c r="T24" s="158">
        <f>'FCD PROJETO'!U65</f>
        <v>-2749746.4494520132</v>
      </c>
      <c r="U24" s="158">
        <f>'FCD PROJETO'!V65</f>
        <v>-2873112.3570604362</v>
      </c>
      <c r="V24" s="158">
        <f>'FCD PROJETO'!W65</f>
        <v>-2851782.7624372635</v>
      </c>
      <c r="W24" s="158">
        <f>'FCD PROJETO'!X65</f>
        <v>-2899795.7843833123</v>
      </c>
      <c r="X24" s="158">
        <f>'FCD PROJETO'!Y65</f>
        <v>-2929024.2956725699</v>
      </c>
      <c r="Y24" s="158">
        <f>'FCD PROJETO'!Z65</f>
        <v>-2920934.2891944647</v>
      </c>
      <c r="Z24" s="158">
        <f>'FCD PROJETO'!AA65</f>
        <v>-2949866.7621213086</v>
      </c>
      <c r="AA24" s="158">
        <f>'FCD PROJETO'!AB65</f>
        <v>-2952725.2023766604</v>
      </c>
      <c r="AB24" s="158">
        <f>'FCD PROJETO'!AC65</f>
        <v>-2981706.1249340852</v>
      </c>
      <c r="AC24" s="158">
        <f>'FCD PROJETO'!AD65</f>
        <v>-3004676.8363729222</v>
      </c>
      <c r="AD24" s="158">
        <f>'FCD PROJETO'!AE65</f>
        <v>-2996353.303382955</v>
      </c>
      <c r="AE24" s="158">
        <f>'FCD PROJETO'!AF65</f>
        <v>-3033860.3305200846</v>
      </c>
      <c r="AF24" s="158">
        <f>'FCD PROJETO'!AG65</f>
        <v>-3025029.5809258288</v>
      </c>
      <c r="AG24" s="158">
        <f>'FCD PROJETO'!AH65</f>
        <v>-3088562.760481209</v>
      </c>
      <c r="AH24" s="158">
        <f>'FCD PROJETO'!AI65</f>
        <v>-3118486.9033284518</v>
      </c>
      <c r="AI24" s="158">
        <f>'FCD PROJETO'!AJ65</f>
        <v>-3148653.0008292622</v>
      </c>
      <c r="AJ24" s="158">
        <f>'FCD PROJETO'!AK65</f>
        <v>-3178833.8212104142</v>
      </c>
      <c r="AK24" s="158">
        <f>'FCD PROJETO'!AL65</f>
        <v>-3209500.7745006518</v>
      </c>
      <c r="AL24" s="158">
        <f>'FCD PROJETO'!AM65</f>
        <v>-3233678.5170601867</v>
      </c>
      <c r="AM24" s="158">
        <f>'FCD PROJETO'!AN65</f>
        <v>-3259028.4772349573</v>
      </c>
      <c r="AN24" s="158">
        <f t="shared" si="49"/>
        <v>-94407192.683259457</v>
      </c>
    </row>
    <row r="25" spans="2:40" x14ac:dyDescent="0.3">
      <c r="B25" s="161" t="s">
        <v>461</v>
      </c>
      <c r="C25" s="161"/>
      <c r="D25" s="161"/>
      <c r="E25" s="158">
        <f>'FCD PROJETO'!F63</f>
        <v>-696161.56493215577</v>
      </c>
      <c r="F25" s="158">
        <f>'FCD PROJETO'!G63</f>
        <v>-882440.97172345466</v>
      </c>
      <c r="G25" s="158">
        <f>'FCD PROJETO'!H63</f>
        <v>-1070301.1972945344</v>
      </c>
      <c r="H25" s="158">
        <f>'FCD PROJETO'!I63</f>
        <v>-1250074.673141802</v>
      </c>
      <c r="I25" s="158">
        <f>'FCD PROJETO'!J63</f>
        <v>-1435444.8152222927</v>
      </c>
      <c r="J25" s="158">
        <f>'FCD PROJETO'!K63</f>
        <v>-1503288.9808188255</v>
      </c>
      <c r="K25" s="158">
        <f>'FCD PROJETO'!L63</f>
        <v>-1561202.0603244959</v>
      </c>
      <c r="L25" s="158">
        <f>'FCD PROJETO'!M63</f>
        <v>-1591996.9148237801</v>
      </c>
      <c r="M25" s="158">
        <f>'FCD PROJETO'!N63</f>
        <v>-1623074.2120036527</v>
      </c>
      <c r="N25" s="158">
        <f>'FCD PROJETO'!O63</f>
        <v>-1653506.6222915018</v>
      </c>
      <c r="O25" s="158">
        <f>'FCD PROJETO'!P63</f>
        <v>-1683712.2182033651</v>
      </c>
      <c r="P25" s="158">
        <f>'FCD PROJETO'!Q63</f>
        <v>-1713765.8398810041</v>
      </c>
      <c r="Q25" s="158">
        <f>'FCD PROJETO'!R63</f>
        <v>-1725889.3693584444</v>
      </c>
      <c r="R25" s="158">
        <f>'FCD PROJETO'!S63</f>
        <v>-1737847.1608974284</v>
      </c>
      <c r="S25" s="158">
        <f>'FCD PROJETO'!T63</f>
        <v>-1749314.6204731571</v>
      </c>
      <c r="T25" s="158">
        <f>'FCD PROJETO'!U63</f>
        <v>-1760136.3329253471</v>
      </c>
      <c r="U25" s="158">
        <f>'FCD PROJETO'!V63</f>
        <v>-1770385.7046765687</v>
      </c>
      <c r="V25" s="158">
        <f>'FCD PROJETO'!W63</f>
        <v>-1780654.0015211087</v>
      </c>
      <c r="W25" s="158">
        <f>'FCD PROJETO'!X63</f>
        <v>-1789517.8270463368</v>
      </c>
      <c r="X25" s="158">
        <f>'FCD PROJETO'!Y63</f>
        <v>-1798511.8342740901</v>
      </c>
      <c r="Y25" s="158">
        <f>'FCD PROJETO'!Z63</f>
        <v>-1806655.3592778582</v>
      </c>
      <c r="Z25" s="158">
        <f>'FCD PROJETO'!AA63</f>
        <v>-1814545.9762163681</v>
      </c>
      <c r="AA25" s="158">
        <f>'FCD PROJETO'!AB63</f>
        <v>-1821988.6992796713</v>
      </c>
      <c r="AB25" s="158">
        <f>'FCD PROJETO'!AC63</f>
        <v>-1829145.8254801657</v>
      </c>
      <c r="AC25" s="158">
        <f>'FCD PROJETO'!AD63</f>
        <v>-1835888.3200906804</v>
      </c>
      <c r="AD25" s="158">
        <f>'FCD PROJETO'!AE63</f>
        <v>-1842876.8409143363</v>
      </c>
      <c r="AE25" s="158">
        <f>'FCD PROJETO'!AF63</f>
        <v>-1848753.9426212811</v>
      </c>
      <c r="AF25" s="158">
        <f>'FCD PROJETO'!AG63</f>
        <v>-1855030.1917509455</v>
      </c>
      <c r="AG25" s="158">
        <f>'FCD PROJETO'!AH63</f>
        <v>-1860422.6963713986</v>
      </c>
      <c r="AH25" s="158">
        <f>'FCD PROJETO'!AI63</f>
        <v>-1865783.0856819774</v>
      </c>
      <c r="AI25" s="158">
        <f>'FCD PROJETO'!AJ63</f>
        <v>-1871027.6304819393</v>
      </c>
      <c r="AJ25" s="158">
        <f>'FCD PROJETO'!AK63</f>
        <v>-1875534.6701301518</v>
      </c>
      <c r="AK25" s="158">
        <f>'FCD PROJETO'!AL63</f>
        <v>-1880365.1568278093</v>
      </c>
      <c r="AL25" s="158">
        <f>'FCD PROJETO'!AM63</f>
        <v>-1884859.5797471423</v>
      </c>
      <c r="AM25" s="158">
        <f>'FCD PROJETO'!AN63</f>
        <v>-1880431.681398263</v>
      </c>
      <c r="AN25" s="158">
        <f t="shared" si="49"/>
        <v>-58550536.578103326</v>
      </c>
    </row>
    <row r="26" spans="2:40" x14ac:dyDescent="0.3">
      <c r="B26" s="161" t="s">
        <v>462</v>
      </c>
      <c r="C26" s="161"/>
      <c r="D26" s="161"/>
      <c r="E26" s="158">
        <f>'FCD PROJETO'!F64</f>
        <v>-218321.63018134556</v>
      </c>
      <c r="F26" s="158">
        <f>'FCD PROJETO'!G64</f>
        <v>-287934.47452223999</v>
      </c>
      <c r="G26" s="158">
        <f>'FCD PROJETO'!H64</f>
        <v>-349231.98570624</v>
      </c>
      <c r="H26" s="158">
        <f>'FCD PROJETO'!I64</f>
        <v>-407890.84557311999</v>
      </c>
      <c r="I26" s="158">
        <f>'FCD PROJETO'!J64</f>
        <v>-468375.85948608001</v>
      </c>
      <c r="J26" s="158">
        <f>'FCD PROJETO'!K64</f>
        <v>-490512.94830719999</v>
      </c>
      <c r="K26" s="158">
        <f>'FCD PROJETO'!L64</f>
        <v>-509409.59142527991</v>
      </c>
      <c r="L26" s="158">
        <f>'FCD PROJETO'!M64</f>
        <v>-519457.74255647999</v>
      </c>
      <c r="M26" s="158">
        <f>'FCD PROJETO'!N64</f>
        <v>-529598.05280927988</v>
      </c>
      <c r="N26" s="158">
        <f>'FCD PROJETO'!O64</f>
        <v>-539527.94086463982</v>
      </c>
      <c r="O26" s="158">
        <f>'FCD PROJETO'!P64</f>
        <v>-549383.82093504001</v>
      </c>
      <c r="P26" s="158">
        <f>'FCD PROJETO'!Q64</f>
        <v>-559190.11284864007</v>
      </c>
      <c r="Q26" s="158">
        <f>'FCD PROJETO'!R64</f>
        <v>-563145.93788543995</v>
      </c>
      <c r="R26" s="158">
        <f>'FCD PROJETO'!S64</f>
        <v>-567047.68376256002</v>
      </c>
      <c r="S26" s="158">
        <f>'FCD PROJETO'!T64</f>
        <v>-570789.43766207993</v>
      </c>
      <c r="T26" s="158">
        <f>'FCD PROJETO'!U64</f>
        <v>-574320.48867648002</v>
      </c>
      <c r="U26" s="158">
        <f>'FCD PROJETO'!V64</f>
        <v>-577664.78882111993</v>
      </c>
      <c r="V26" s="158">
        <f>'FCD PROJETO'!W64</f>
        <v>-581015.2640947199</v>
      </c>
      <c r="W26" s="158">
        <f>'FCD PROJETO'!X64</f>
        <v>-583907.46994943998</v>
      </c>
      <c r="X26" s="158">
        <f>'FCD PROJETO'!Y64</f>
        <v>-586842.15320639999</v>
      </c>
      <c r="Y26" s="158">
        <f>'FCD PROJETO'!Z64</f>
        <v>-589499.32991039997</v>
      </c>
      <c r="Z26" s="158">
        <f>'FCD PROJETO'!AA64</f>
        <v>-592073.98443647986</v>
      </c>
      <c r="AA26" s="158">
        <f>'FCD PROJETO'!AB64</f>
        <v>-594502.49424383999</v>
      </c>
      <c r="AB26" s="158">
        <f>'FCD PROJETO'!AC64</f>
        <v>-596837.81574143993</v>
      </c>
      <c r="AC26" s="158">
        <f>'FCD PROJETO'!AD64</f>
        <v>-599037.84577727993</v>
      </c>
      <c r="AD26" s="158">
        <f>'FCD PROJETO'!AE64</f>
        <v>-601318.1524896</v>
      </c>
      <c r="AE26" s="158">
        <f>'FCD PROJETO'!AF64</f>
        <v>-603235.81071936002</v>
      </c>
      <c r="AF26" s="158">
        <f>'FCD PROJETO'!AG64</f>
        <v>-605283.70803264005</v>
      </c>
      <c r="AG26" s="158">
        <f>'FCD PROJETO'!AH64</f>
        <v>-607043.245536</v>
      </c>
      <c r="AH26" s="158">
        <f>'FCD PROJETO'!AI64</f>
        <v>-608792.30403263995</v>
      </c>
      <c r="AI26" s="158">
        <f>'FCD PROJETO'!AJ64</f>
        <v>-610503.56325503986</v>
      </c>
      <c r="AJ26" s="158">
        <f>'FCD PROJETO'!AK64</f>
        <v>-611974.17957312008</v>
      </c>
      <c r="AK26" s="158">
        <f>'FCD PROJETO'!AL64</f>
        <v>-613550.33445887989</v>
      </c>
      <c r="AL26" s="158">
        <f>'FCD PROJETO'!AM64</f>
        <v>-615016.83402432001</v>
      </c>
      <c r="AM26" s="158">
        <f>'FCD PROJETO'!AN64</f>
        <v>-613572.04097279999</v>
      </c>
      <c r="AN26" s="158">
        <f t="shared" si="49"/>
        <v>-19095809.872477666</v>
      </c>
    </row>
    <row r="27" spans="2:40" x14ac:dyDescent="0.3">
      <c r="B27" s="161" t="s">
        <v>463</v>
      </c>
      <c r="C27" s="161"/>
      <c r="D27" s="161"/>
      <c r="E27" s="158">
        <f>'FCD PROJETO'!F66</f>
        <v>-195631.04304628604</v>
      </c>
      <c r="F27" s="158">
        <f>'FCD PROJETO'!G66</f>
        <v>-207575.95702143182</v>
      </c>
      <c r="G27" s="158">
        <f>'FCD PROJETO'!H66</f>
        <v>-218827.23160272726</v>
      </c>
      <c r="H27" s="158">
        <f>'FCD PROJETO'!I66</f>
        <v>-228347.26076626772</v>
      </c>
      <c r="I27" s="158">
        <f>'FCD PROJETO'!J66</f>
        <v>-239138.40338001557</v>
      </c>
      <c r="J27" s="158">
        <f>'FCD PROJETO'!K66</f>
        <v>-240271.3484633996</v>
      </c>
      <c r="K27" s="158">
        <f>'FCD PROJETO'!L66</f>
        <v>-240884.19166781227</v>
      </c>
      <c r="L27" s="158">
        <f>'FCD PROJETO'!M66</f>
        <v>-243448.79904609278</v>
      </c>
      <c r="M27" s="158">
        <f>'FCD PROJETO'!N66</f>
        <v>-246065.53872797306</v>
      </c>
      <c r="N27" s="158">
        <f>'FCD PROJETO'!O66</f>
        <v>-248583.2092707298</v>
      </c>
      <c r="O27" s="158">
        <f>'FCD PROJETO'!P66</f>
        <v>-251078.47713276581</v>
      </c>
      <c r="P27" s="158">
        <f>'FCD PROJETO'!Q66</f>
        <v>-253555.89389936137</v>
      </c>
      <c r="Q27" s="158">
        <f>'FCD PROJETO'!R66</f>
        <v>-254420.16223408229</v>
      </c>
      <c r="R27" s="158">
        <f>'FCD PROJETO'!S66</f>
        <v>-255269.15500454573</v>
      </c>
      <c r="S27" s="158">
        <f>'FCD PROJETO'!T66</f>
        <v>-256080.18089291564</v>
      </c>
      <c r="T27" s="158">
        <f>'FCD PROJETO'!U66</f>
        <v>-256808.85639199612</v>
      </c>
      <c r="U27" s="158">
        <f>'FCD PROJETO'!V66</f>
        <v>-257480.49275651621</v>
      </c>
      <c r="V27" s="158">
        <f>'FCD PROJETO'!W66</f>
        <v>-258155.25972359488</v>
      </c>
      <c r="W27" s="158">
        <f>'FCD PROJETO'!X66</f>
        <v>-259580.17235056366</v>
      </c>
      <c r="X27" s="158">
        <f>'FCD PROJETO'!Y66</f>
        <v>-261014.83203088859</v>
      </c>
      <c r="Y27" s="158">
        <f>'FCD PROJETO'!Z66</f>
        <v>-262332.17182525905</v>
      </c>
      <c r="Z27" s="158">
        <f>'FCD PROJETO'!AA66</f>
        <v>-263590.69625666703</v>
      </c>
      <c r="AA27" s="158">
        <f>'FCD PROJETO'!AB66</f>
        <v>-264797.55464443075</v>
      </c>
      <c r="AB27" s="158">
        <f>'FCD PROJETO'!AC66</f>
        <v>-265957.58721094584</v>
      </c>
      <c r="AC27" s="158">
        <f>'FCD PROJETO'!AD66</f>
        <v>-267061.04690285609</v>
      </c>
      <c r="AD27" s="158">
        <f>'FCD PROJETO'!AE66</f>
        <v>-268195.52398323681</v>
      </c>
      <c r="AE27" s="158">
        <f>'FCD PROJETO'!AF66</f>
        <v>-269149.71388081089</v>
      </c>
      <c r="AF27" s="158">
        <f>'FCD PROJETO'!AG66</f>
        <v>-270171.84451476281</v>
      </c>
      <c r="AG27" s="158">
        <f>'FCD PROJETO'!AH66</f>
        <v>-271056.00660758658</v>
      </c>
      <c r="AH27" s="158">
        <f>'FCD PROJETO'!AI66</f>
        <v>-271951.0925050829</v>
      </c>
      <c r="AI27" s="158">
        <f>'FCD PROJETO'!AJ66</f>
        <v>-272805.39175789739</v>
      </c>
      <c r="AJ27" s="158">
        <f>'FCD PROJETO'!AK66</f>
        <v>-273572.47819617193</v>
      </c>
      <c r="AK27" s="158">
        <f>'FCD PROJETO'!AL66</f>
        <v>-274347.24682228523</v>
      </c>
      <c r="AL27" s="158">
        <f>'FCD PROJETO'!AM66</f>
        <v>-274979.36210486002</v>
      </c>
      <c r="AM27" s="158">
        <f>'FCD PROJETO'!AN66</f>
        <v>-274489.67813727353</v>
      </c>
      <c r="AN27" s="158">
        <f t="shared" si="49"/>
        <v>-8916673.8607600927</v>
      </c>
    </row>
    <row r="28" spans="2:40" x14ac:dyDescent="0.3">
      <c r="B28" s="161" t="s">
        <v>464</v>
      </c>
      <c r="C28" s="161"/>
      <c r="D28" s="161"/>
      <c r="E28" s="158">
        <f>'FCD PROJETO'!F67</f>
        <v>-236316.81323024008</v>
      </c>
      <c r="F28" s="158">
        <f>'FCD PROJETO'!G67</f>
        <v>-263365.73013304506</v>
      </c>
      <c r="G28" s="158">
        <f>'FCD PROJETO'!H67</f>
        <v>-301302.21851266688</v>
      </c>
      <c r="H28" s="158">
        <f>'FCD PROJETO'!I67</f>
        <v>-341928.75199681433</v>
      </c>
      <c r="I28" s="158">
        <f>'FCD PROJETO'!J67</f>
        <v>-371479.24232409149</v>
      </c>
      <c r="J28" s="158">
        <f>'FCD PROJETO'!K67</f>
        <v>-405471.86958615569</v>
      </c>
      <c r="K28" s="158">
        <f>'FCD PROJETO'!L67</f>
        <v>-430484.16674278065</v>
      </c>
      <c r="L28" s="158">
        <f>'FCD PROJETO'!M67</f>
        <v>-445622.84360812703</v>
      </c>
      <c r="M28" s="158">
        <f>'FCD PROJETO'!N67</f>
        <v>-463896.27522289229</v>
      </c>
      <c r="N28" s="158">
        <f>'FCD PROJETO'!O67</f>
        <v>-497834.31803088199</v>
      </c>
      <c r="O28" s="158">
        <f>'FCD PROJETO'!P67</f>
        <v>-501144.75546779769</v>
      </c>
      <c r="P28" s="158">
        <f>'FCD PROJETO'!Q67</f>
        <v>-504607.02530292072</v>
      </c>
      <c r="Q28" s="158">
        <f>'FCD PROJETO'!R67</f>
        <v>-506384.5254056952</v>
      </c>
      <c r="R28" s="158">
        <f>'FCD PROJETO'!S67</f>
        <v>-512276.80549443344</v>
      </c>
      <c r="S28" s="158">
        <f>'FCD PROJETO'!T67</f>
        <v>-518174.91224826209</v>
      </c>
      <c r="T28" s="158">
        <f>'FCD PROJETO'!U67</f>
        <v>-509507.8276169353</v>
      </c>
      <c r="U28" s="158">
        <f>'FCD PROJETO'!V67</f>
        <v>-532366.62450713036</v>
      </c>
      <c r="V28" s="158">
        <f>'FCD PROJETO'!W67</f>
        <v>-528414.4072317637</v>
      </c>
      <c r="W28" s="158">
        <f>'FCD PROJETO'!X67</f>
        <v>-537310.86767230032</v>
      </c>
      <c r="X28" s="158">
        <f>'FCD PROJETO'!Y67</f>
        <v>-542726.6962096676</v>
      </c>
      <c r="Y28" s="158">
        <f>'FCD PROJETO'!Z67</f>
        <v>-541227.67740853853</v>
      </c>
      <c r="Z28" s="158">
        <f>'FCD PROJETO'!AA67</f>
        <v>-546588.65221095341</v>
      </c>
      <c r="AA28" s="158">
        <f>'FCD PROJETO'!AB67</f>
        <v>-547118.30020274082</v>
      </c>
      <c r="AB28" s="158">
        <f>'FCD PROJETO'!AC67</f>
        <v>-552488.25236597063</v>
      </c>
      <c r="AC28" s="158">
        <f>'FCD PROJETO'!AD67</f>
        <v>-556744.55653770606</v>
      </c>
      <c r="AD28" s="158">
        <f>'FCD PROJETO'!AE67</f>
        <v>-555202.26698855101</v>
      </c>
      <c r="AE28" s="158">
        <f>'FCD PROJETO'!AF67</f>
        <v>-562152.04372917267</v>
      </c>
      <c r="AF28" s="158">
        <f>'FCD PROJETO'!AG67</f>
        <v>-560515.77066737984</v>
      </c>
      <c r="AG28" s="158">
        <f>'FCD PROJETO'!AH67</f>
        <v>-572288.00235925429</v>
      </c>
      <c r="AH28" s="158">
        <f>'FCD PROJETO'!AI67</f>
        <v>-577832.72631677985</v>
      </c>
      <c r="AI28" s="158">
        <f>'FCD PROJETO'!AJ67</f>
        <v>-583422.28269510763</v>
      </c>
      <c r="AJ28" s="158">
        <f>'FCD PROJETO'!AK67</f>
        <v>-589014.56711506308</v>
      </c>
      <c r="AK28" s="158">
        <f>'FCD PROJETO'!AL67</f>
        <v>-594696.92839373753</v>
      </c>
      <c r="AL28" s="158">
        <f>'FCD PROJETO'!AM67</f>
        <v>-599176.88656975236</v>
      </c>
      <c r="AM28" s="158">
        <f>'FCD PROJETO'!AN67</f>
        <v>-603874.04806309554</v>
      </c>
      <c r="AN28" s="158">
        <f t="shared" si="49"/>
        <v>-17492959.638168406</v>
      </c>
    </row>
    <row r="29" spans="2:40" x14ac:dyDescent="0.3">
      <c r="B29" s="161" t="s">
        <v>243</v>
      </c>
      <c r="C29" s="161"/>
      <c r="D29" s="161"/>
      <c r="E29" s="158">
        <f>('FCD PROJETO'!F71+'FCD PROJETO'!F73+'FCD PROJETO'!F74)</f>
        <v>-143897.44298847707</v>
      </c>
      <c r="F29" s="158">
        <f>('FCD PROJETO'!G71+'FCD PROJETO'!G73+'FCD PROJETO'!G74)</f>
        <v>-377068.71853193373</v>
      </c>
      <c r="G29" s="158">
        <f>('FCD PROJETO'!H71+'FCD PROJETO'!H73+'FCD PROJETO'!H74)</f>
        <v>-358384.85968049767</v>
      </c>
      <c r="H29" s="158">
        <f>('FCD PROJETO'!I71+'FCD PROJETO'!I73+'FCD PROJETO'!I74)</f>
        <v>-358726.56578842725</v>
      </c>
      <c r="I29" s="158">
        <f>('FCD PROJETO'!J71+'FCD PROJETO'!J73+'FCD PROJETO'!J74)</f>
        <v>-364547.74701984838</v>
      </c>
      <c r="J29" s="158">
        <f>('FCD PROJETO'!K71+'FCD PROJETO'!K73+'FCD PROJETO'!K74)</f>
        <v>-204454.73537228265</v>
      </c>
      <c r="K29" s="158">
        <f>('FCD PROJETO'!L71+'FCD PROJETO'!L73+'FCD PROJETO'!L74)</f>
        <v>-206419.0610335056</v>
      </c>
      <c r="L29" s="158">
        <f>('FCD PROJETO'!M71+'FCD PROJETO'!M73+'FCD PROJETO'!M74)</f>
        <v>-173838.95390485236</v>
      </c>
      <c r="M29" s="158">
        <f>('FCD PROJETO'!N71+'FCD PROJETO'!N73+'FCD PROJETO'!N74)</f>
        <v>-174688.82539324544</v>
      </c>
      <c r="N29" s="158">
        <f>('FCD PROJETO'!O71+'FCD PROJETO'!O73+'FCD PROJETO'!O74)</f>
        <v>-176647.36726920158</v>
      </c>
      <c r="O29" s="158">
        <f>('FCD PROJETO'!P71+'FCD PROJETO'!P73+'FCD PROJETO'!P74)</f>
        <v>-176429.62637217162</v>
      </c>
      <c r="P29" s="158">
        <f>('FCD PROJETO'!Q71+'FCD PROJETO'!Q73+'FCD PROJETO'!Q74)</f>
        <v>-176177.71418499213</v>
      </c>
      <c r="Q29" s="158">
        <f>('FCD PROJETO'!R71+'FCD PROJETO'!R73+'FCD PROJETO'!R74)</f>
        <v>-152441.25381787214</v>
      </c>
      <c r="R29" s="158">
        <f>('FCD PROJETO'!S71+'FCD PROJETO'!S73+'FCD PROJETO'!S74)</f>
        <v>-152078.19192398427</v>
      </c>
      <c r="S29" s="158">
        <f>('FCD PROJETO'!T71+'FCD PROJETO'!T73+'FCD PROJETO'!T74)</f>
        <v>-151767.96008076318</v>
      </c>
      <c r="T29" s="158">
        <f>('FCD PROJETO'!U71+'FCD PROJETO'!U73+'FCD PROJETO'!U74)</f>
        <v>-150411.83097455685</v>
      </c>
      <c r="U29" s="158">
        <f>('FCD PROJETO'!V71+'FCD PROJETO'!V73+'FCD PROJETO'!V74)</f>
        <v>-151319.51236864802</v>
      </c>
      <c r="V29" s="158">
        <f>('FCD PROJETO'!W71+'FCD PROJETO'!W73+'FCD PROJETO'!W74)</f>
        <v>-150354.36010703846</v>
      </c>
      <c r="W29" s="158">
        <f>('FCD PROJETO'!X71+'FCD PROJETO'!X73+'FCD PROJETO'!X74)</f>
        <v>-150357.40704385252</v>
      </c>
      <c r="X29" s="158">
        <f>('FCD PROJETO'!Y71+'FCD PROJETO'!Y73+'FCD PROJETO'!Y74)</f>
        <v>-150071.8057164638</v>
      </c>
      <c r="Y29" s="158">
        <f>('FCD PROJETO'!Z71+'FCD PROJETO'!Z73+'FCD PROJETO'!Z74)</f>
        <v>-149335.22438039235</v>
      </c>
      <c r="Z29" s="158">
        <f>('FCD PROJETO'!AA71+'FCD PROJETO'!AA73+'FCD PROJETO'!AA74)</f>
        <v>-149143.65711450414</v>
      </c>
      <c r="AA29" s="158">
        <f>('FCD PROJETO'!AB71+'FCD PROJETO'!AB73+'FCD PROJETO'!AB74)</f>
        <v>-148650.72328199842</v>
      </c>
      <c r="AB29" s="158">
        <f>('FCD PROJETO'!AC71+'FCD PROJETO'!AC73+'FCD PROJETO'!AC74)</f>
        <v>-148466.65096293562</v>
      </c>
      <c r="AC29" s="158">
        <f>('FCD PROJETO'!AD71+'FCD PROJETO'!AD73+'FCD PROJETO'!AD74)</f>
        <v>-148248.1711578996</v>
      </c>
      <c r="AD29" s="158">
        <f>('FCD PROJETO'!AE71+'FCD PROJETO'!AE73+'FCD PROJETO'!AE74)</f>
        <v>-147613.30593495385</v>
      </c>
      <c r="AE29" s="158">
        <f>('FCD PROJETO'!AF71+'FCD PROJETO'!AF73+'FCD PROJETO'!AF74)</f>
        <v>-147640.65065764441</v>
      </c>
      <c r="AF29" s="158">
        <f>('FCD PROJETO'!AG71+'FCD PROJETO'!AG73+'FCD PROJETO'!AG74)</f>
        <v>-147051.44831612322</v>
      </c>
      <c r="AG29" s="158">
        <f>('FCD PROJETO'!AH71+'FCD PROJETO'!AH73+'FCD PROJETO'!AH74)</f>
        <v>-147425.08388395334</v>
      </c>
      <c r="AH29" s="158">
        <f>('FCD PROJETO'!AI71+'FCD PROJETO'!AI73+'FCD PROJETO'!AI74)</f>
        <v>-147403.94622589531</v>
      </c>
      <c r="AI29" s="158">
        <f>('FCD PROJETO'!AJ71+'FCD PROJETO'!AJ73+'FCD PROJETO'!AJ74)</f>
        <v>-147431.5892433103</v>
      </c>
      <c r="AJ29" s="158">
        <f>('FCD PROJETO'!AK71+'FCD PROJETO'!AK73+'FCD PROJETO'!AK74)</f>
        <v>-147420.71710743842</v>
      </c>
      <c r="AK29" s="158">
        <f>('FCD PROJETO'!AL71+'FCD PROJETO'!AL73+'FCD PROJETO'!AL74)</f>
        <v>-147461.87455963751</v>
      </c>
      <c r="AL29" s="158">
        <f>('FCD PROJETO'!AM71+'FCD PROJETO'!AM73+'FCD PROJETO'!AM74)</f>
        <v>-147573.92479834077</v>
      </c>
      <c r="AM29" s="158">
        <f>('FCD PROJETO'!AN71+'FCD PROJETO'!AN73+'FCD PROJETO'!AN74)</f>
        <v>-133864.89650485475</v>
      </c>
      <c r="AN29" s="158">
        <f t="shared" si="49"/>
        <v>-6304815.803702496</v>
      </c>
    </row>
    <row r="30" spans="2:40" x14ac:dyDescent="0.3">
      <c r="B30" s="161" t="s">
        <v>250</v>
      </c>
      <c r="C30" s="161"/>
      <c r="D30" s="161"/>
      <c r="E30" s="158">
        <f>'FCD PROJETO'!F72</f>
        <v>-731044.93683779996</v>
      </c>
      <c r="F30" s="158">
        <f>'FCD PROJETO'!G72</f>
        <v>-731044.93683779996</v>
      </c>
      <c r="G30" s="158">
        <f>'FCD PROJETO'!H72</f>
        <v>-731044.93683779996</v>
      </c>
      <c r="H30" s="158">
        <f>'FCD PROJETO'!I72</f>
        <v>-731044.93683779996</v>
      </c>
      <c r="I30" s="158">
        <f>'FCD PROJETO'!J72</f>
        <v>-731044.93683779996</v>
      </c>
      <c r="J30" s="158">
        <f>'FCD PROJETO'!K72</f>
        <v>-731044.93683779996</v>
      </c>
      <c r="K30" s="158">
        <f>'FCD PROJETO'!L72</f>
        <v>-731044.93683779996</v>
      </c>
      <c r="L30" s="158">
        <f>'FCD PROJETO'!M72</f>
        <v>-731044.93683779996</v>
      </c>
      <c r="M30" s="158">
        <f>'FCD PROJETO'!N72</f>
        <v>-731044.93683779996</v>
      </c>
      <c r="N30" s="158">
        <f>'FCD PROJETO'!O72</f>
        <v>-731044.93683779996</v>
      </c>
      <c r="O30" s="158">
        <f>'FCD PROJETO'!P72</f>
        <v>-292417.97473511996</v>
      </c>
      <c r="P30" s="158">
        <f>'FCD PROJETO'!Q72</f>
        <v>-292417.97473511996</v>
      </c>
      <c r="Q30" s="158">
        <f>'FCD PROJETO'!R72</f>
        <v>-292417.97473511996</v>
      </c>
      <c r="R30" s="158">
        <f>'FCD PROJETO'!S72</f>
        <v>-292417.97473511996</v>
      </c>
      <c r="S30" s="158">
        <f>'FCD PROJETO'!T72</f>
        <v>-292417.97473511996</v>
      </c>
      <c r="T30" s="158">
        <f>'FCD PROJETO'!U72</f>
        <v>-292417.97473511996</v>
      </c>
      <c r="U30" s="158">
        <f>'FCD PROJETO'!V72</f>
        <v>-292417.97473511996</v>
      </c>
      <c r="V30" s="158">
        <f>'FCD PROJETO'!W72</f>
        <v>-292417.97473511996</v>
      </c>
      <c r="W30" s="158">
        <f>'FCD PROJETO'!X72</f>
        <v>-292417.97473511996</v>
      </c>
      <c r="X30" s="158">
        <f>'FCD PROJETO'!Y72</f>
        <v>-292417.97473511996</v>
      </c>
      <c r="Y30" s="158">
        <f>'FCD PROJETO'!Z72</f>
        <v>-292417.97473511996</v>
      </c>
      <c r="Z30" s="158">
        <f>'FCD PROJETO'!AA72</f>
        <v>-292417.97473511996</v>
      </c>
      <c r="AA30" s="158">
        <f>'FCD PROJETO'!AB72</f>
        <v>-292417.97473511996</v>
      </c>
      <c r="AB30" s="158">
        <f>'FCD PROJETO'!AC72</f>
        <v>-292417.97473511996</v>
      </c>
      <c r="AC30" s="158">
        <f>'FCD PROJETO'!AD72</f>
        <v>-292417.97473511996</v>
      </c>
      <c r="AD30" s="158">
        <f>'FCD PROJETO'!AE72</f>
        <v>-438626.96210267988</v>
      </c>
      <c r="AE30" s="158">
        <f>'FCD PROJETO'!AF72</f>
        <v>-438626.96210267988</v>
      </c>
      <c r="AF30" s="158">
        <f>'FCD PROJETO'!AG72</f>
        <v>-438626.96210267988</v>
      </c>
      <c r="AG30" s="158">
        <f>'FCD PROJETO'!AH72</f>
        <v>-438626.96210267988</v>
      </c>
      <c r="AH30" s="158">
        <f>'FCD PROJETO'!AI72</f>
        <v>-438626.96210267988</v>
      </c>
      <c r="AI30" s="158">
        <f>'FCD PROJETO'!AJ72</f>
        <v>-438626.96210267988</v>
      </c>
      <c r="AJ30" s="158">
        <f>'FCD PROJETO'!AK72</f>
        <v>-438626.96210267988</v>
      </c>
      <c r="AK30" s="158">
        <f>'FCD PROJETO'!AL72</f>
        <v>-438626.96210267988</v>
      </c>
      <c r="AL30" s="158">
        <f>'FCD PROJETO'!AM72</f>
        <v>-438626.96210267988</v>
      </c>
      <c r="AM30" s="158">
        <f>'FCD PROJETO'!AN72</f>
        <v>-438626.96210267988</v>
      </c>
      <c r="AN30" s="158">
        <f t="shared" si="49"/>
        <v>-16082988.610431598</v>
      </c>
    </row>
    <row r="31" spans="2:40" x14ac:dyDescent="0.3">
      <c r="B31" s="161" t="s">
        <v>467</v>
      </c>
      <c r="C31" s="161"/>
      <c r="D31" s="161"/>
      <c r="E31" s="158">
        <f>'FCD PROJETO'!F76</f>
        <v>-155129.11849743326</v>
      </c>
      <c r="F31" s="158">
        <f>'FCD PROJETO'!G76</f>
        <v>-203397.7329846326</v>
      </c>
      <c r="G31" s="158">
        <f>'FCD PROJETO'!H76</f>
        <v>-243832.26724071699</v>
      </c>
      <c r="H31" s="158">
        <f>'FCD PROJETO'!I76</f>
        <v>-284859.97850693413</v>
      </c>
      <c r="I31" s="158">
        <f>'FCD PROJETO'!J76</f>
        <v>-327139.52197624749</v>
      </c>
      <c r="J31" s="158">
        <f>'FCD PROJETO'!K76</f>
        <v>-342831.77137057285</v>
      </c>
      <c r="K31" s="158">
        <f>'FCD PROJETO'!L76</f>
        <v>-356062.00333082688</v>
      </c>
      <c r="L31" s="158">
        <f>'FCD PROJETO'!M76</f>
        <v>-363136.93736525864</v>
      </c>
      <c r="M31" s="158">
        <f>'FCD PROJETO'!N76</f>
        <v>-370226.29816622043</v>
      </c>
      <c r="N31" s="158">
        <f>'FCD PROJETO'!O76</f>
        <v>-377170.22897560569</v>
      </c>
      <c r="O31" s="158">
        <f>'FCD PROJETO'!P76</f>
        <v>-384061.65204870288</v>
      </c>
      <c r="P31" s="158">
        <f>'FCD PROJETO'!Q76</f>
        <v>-390918.26761033083</v>
      </c>
      <c r="Q31" s="158">
        <f>'FCD PROJETO'!R76</f>
        <v>-393716.81539653015</v>
      </c>
      <c r="R31" s="158">
        <f>'FCD PROJETO'!S76</f>
        <v>-396445.13062489382</v>
      </c>
      <c r="S31" s="158">
        <f>'FCD PROJETO'!T76</f>
        <v>-399062.1754848432</v>
      </c>
      <c r="T31" s="158">
        <f>'FCD PROJETO'!U76</f>
        <v>-401532.18528581865</v>
      </c>
      <c r="U31" s="158">
        <f>'FCD PROJETO'!V76</f>
        <v>-403871.48911583365</v>
      </c>
      <c r="V31" s="158">
        <f>'FCD PROJETO'!W76</f>
        <v>-406214.03134071524</v>
      </c>
      <c r="W31" s="158">
        <f>'FCD PROJETO'!X76</f>
        <v>-408238.7597541943</v>
      </c>
      <c r="X31" s="158">
        <f>'FCD PROJETO'!Y76</f>
        <v>-410290.3865224492</v>
      </c>
      <c r="Y31" s="158">
        <f>'FCD PROJETO'!Z76</f>
        <v>-412149.77677060897</v>
      </c>
      <c r="Z31" s="158">
        <f>'FCD PROJETO'!AA76</f>
        <v>-413950.37874324428</v>
      </c>
      <c r="AA31" s="158">
        <f>'FCD PROJETO'!AB76</f>
        <v>-415649.15549138153</v>
      </c>
      <c r="AB31" s="158">
        <f>'FCD PROJETO'!AC76</f>
        <v>-417282.48086712271</v>
      </c>
      <c r="AC31" s="158">
        <f>'FCD PROJETO'!AD76</f>
        <v>-418821.44900394202</v>
      </c>
      <c r="AD31" s="158">
        <f>'FCD PROJETO'!AE76</f>
        <v>-420415.339019829</v>
      </c>
      <c r="AE31" s="158">
        <f>'FCD PROJETO'!AF76</f>
        <v>-421758.15085996111</v>
      </c>
      <c r="AF31" s="158">
        <f>'FCD PROJETO'!AG76</f>
        <v>-423189.26600368606</v>
      </c>
      <c r="AG31" s="158">
        <f>'FCD PROJETO'!AH76</f>
        <v>-424421.10786949802</v>
      </c>
      <c r="AH31" s="158">
        <f>'FCD PROJETO'!AI76</f>
        <v>-425644.06874615571</v>
      </c>
      <c r="AI31" s="158">
        <f>'FCD PROJETO'!AJ76</f>
        <v>-426840.75403628103</v>
      </c>
      <c r="AJ31" s="158">
        <f>'FCD PROJETO'!AK76</f>
        <v>-427870.32182324847</v>
      </c>
      <c r="AK31" s="158">
        <f>'FCD PROJETO'!AL76</f>
        <v>-428971.74345882336</v>
      </c>
      <c r="AL31" s="158">
        <f>'FCD PROJETO'!AM76</f>
        <v>-429997.70023664727</v>
      </c>
      <c r="AM31" s="158">
        <f>'FCD PROJETO'!AN76</f>
        <v>-429003.81759337167</v>
      </c>
      <c r="AN31" s="158">
        <f t="shared" si="49"/>
        <v>-13354102.262122564</v>
      </c>
    </row>
    <row r="32" spans="2:40" x14ac:dyDescent="0.3">
      <c r="B32" s="91"/>
      <c r="C32" s="91"/>
      <c r="D32" s="91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>
        <f t="shared" ref="AN32" si="50">SUM(E32:AH32)</f>
        <v>0</v>
      </c>
    </row>
    <row r="33" spans="2:43" x14ac:dyDescent="0.3">
      <c r="B33" s="91"/>
      <c r="E33" s="93">
        <f>E15-'FCD PROJETO'!F53</f>
        <v>-1.1718645691871643E-4</v>
      </c>
      <c r="F33" s="93">
        <f>F15-'FCD PROJETO'!G53</f>
        <v>1.9531138241291046E-4</v>
      </c>
      <c r="G33" s="93">
        <f>G15-'FCD PROJETO'!H53</f>
        <v>1.8749982118606567E-3</v>
      </c>
      <c r="H33" s="93">
        <f>H15-'FCD PROJETO'!I53</f>
        <v>-5.4687634110450745E-4</v>
      </c>
      <c r="I33" s="93">
        <f>I15-'FCD PROJETO'!J53</f>
        <v>6.2500312924385071E-4</v>
      </c>
      <c r="J33" s="93">
        <f>J15-'FCD PROJETO'!K53</f>
        <v>-1.5624985098838806E-4</v>
      </c>
      <c r="K33" s="93">
        <f>K15-'FCD PROJETO'!L53</f>
        <v>-4.6874582767486572E-4</v>
      </c>
      <c r="L33" s="93">
        <f>L15-'FCD PROJETO'!M53</f>
        <v>-5.4687634110450745E-4</v>
      </c>
      <c r="M33" s="93">
        <f>M15-'FCD PROJETO'!N53</f>
        <v>-3.9062276482582092E-4</v>
      </c>
      <c r="N33" s="93">
        <f>N15-'FCD PROJETO'!O53</f>
        <v>-3.9062276482582092E-4</v>
      </c>
      <c r="O33" s="93">
        <f>O15-'FCD PROJETO'!P53</f>
        <v>-3.9062649011611938E-4</v>
      </c>
      <c r="P33" s="93">
        <f>P15-'FCD PROJETO'!Q53</f>
        <v>-3.9062649011611938E-4</v>
      </c>
      <c r="Q33" s="93">
        <f>Q15-'FCD PROJETO'!R53</f>
        <v>-4.6874582767486572E-4</v>
      </c>
      <c r="R33" s="93">
        <f>R15-'FCD PROJETO'!S53</f>
        <v>-4.6874582767486572E-4</v>
      </c>
      <c r="S33" s="93">
        <f>S15-'FCD PROJETO'!T53</f>
        <v>-4.6874582767486572E-4</v>
      </c>
      <c r="T33" s="93">
        <f>T15-'FCD PROJETO'!U53</f>
        <v>-4.6874582767486572E-4</v>
      </c>
      <c r="U33" s="93">
        <f>U15-'FCD PROJETO'!V53</f>
        <v>8.5937604308128357E-4</v>
      </c>
      <c r="V33" s="93">
        <f>V15-'FCD PROJETO'!W53</f>
        <v>8.5938721895217896E-4</v>
      </c>
      <c r="W33" s="93">
        <f>W15-'FCD PROJETO'!X53</f>
        <v>-7.0312246680259705E-4</v>
      </c>
      <c r="X33" s="93">
        <f>X15-'FCD PROJETO'!Y53</f>
        <v>-7.0312246680259705E-4</v>
      </c>
      <c r="Y33" s="93">
        <f>Y15-'FCD PROJETO'!Z53</f>
        <v>-7.0312619209289551E-4</v>
      </c>
      <c r="Z33" s="93">
        <f>Z15-'FCD PROJETO'!AA53</f>
        <v>-7.0312619209289551E-4</v>
      </c>
      <c r="AA33" s="93">
        <f>AA15-'FCD PROJETO'!AB53</f>
        <v>-4.6874955296516418E-4</v>
      </c>
      <c r="AB33" s="93">
        <f>AB15-'FCD PROJETO'!AC53</f>
        <v>-4.6874210238456726E-4</v>
      </c>
      <c r="AC33" s="93">
        <f>AC15-'FCD PROJETO'!AD53</f>
        <v>-4.6874955296516418E-4</v>
      </c>
      <c r="AD33" s="93">
        <f>AD15-'FCD PROJETO'!AE53</f>
        <v>-4.6875700354576111E-4</v>
      </c>
      <c r="AE33" s="93">
        <f>AE15-'FCD PROJETO'!AF53</f>
        <v>-4.6874955296516418E-4</v>
      </c>
      <c r="AF33" s="93">
        <f>AF15-'FCD PROJETO'!AG53</f>
        <v>-4.6875327825546265E-4</v>
      </c>
      <c r="AG33" s="93">
        <f>AG15-'FCD PROJETO'!AH53</f>
        <v>2.8124973177909851E-3</v>
      </c>
      <c r="AH33" s="93">
        <f>AH15-'FCD PROJETO'!AI53</f>
        <v>2.8125010430812836E-3</v>
      </c>
      <c r="AI33" s="93">
        <f>AI15-'FCD PROJETO'!AJ53</f>
        <v>2.8124973177909851E-3</v>
      </c>
      <c r="AJ33" s="93">
        <f>AJ15-'FCD PROJETO'!AK53</f>
        <v>2.8125010430812836E-3</v>
      </c>
      <c r="AK33" s="93">
        <f>AK15-'FCD PROJETO'!AL53</f>
        <v>2.8124973177909851E-3</v>
      </c>
      <c r="AL33" s="93">
        <f>AL15-'FCD PROJETO'!AM53</f>
        <v>2.8124935925006866E-3</v>
      </c>
      <c r="AM33" s="93">
        <f>AM15-'FCD PROJETO'!AN53</f>
        <v>2.812504768371582E-3</v>
      </c>
    </row>
    <row r="34" spans="2:43" x14ac:dyDescent="0.3">
      <c r="B34" s="160" t="s">
        <v>447</v>
      </c>
      <c r="C34" s="161"/>
      <c r="D34" s="161"/>
      <c r="E34" s="157">
        <f t="shared" ref="E34" si="51">E13+E15</f>
        <v>7463519.1455720589</v>
      </c>
      <c r="F34" s="157">
        <f t="shared" ref="F34:R34" si="52">F13+F15</f>
        <v>12406696.774737855</v>
      </c>
      <c r="G34" s="157">
        <f t="shared" si="52"/>
        <v>15892253.131205603</v>
      </c>
      <c r="H34" s="157">
        <f t="shared" si="52"/>
        <v>19336417.13206955</v>
      </c>
      <c r="I34" s="157">
        <f t="shared" si="52"/>
        <v>23506460.034751814</v>
      </c>
      <c r="J34" s="157">
        <f t="shared" si="52"/>
        <v>24025106.858236838</v>
      </c>
      <c r="K34" s="157">
        <f t="shared" si="52"/>
        <v>24515652.82029504</v>
      </c>
      <c r="L34" s="157">
        <f t="shared" si="52"/>
        <v>24715125.978741489</v>
      </c>
      <c r="M34" s="157">
        <f t="shared" si="52"/>
        <v>24743303.643101584</v>
      </c>
      <c r="N34" s="157">
        <f t="shared" si="52"/>
        <v>23955141.976966795</v>
      </c>
      <c r="O34" s="157">
        <f t="shared" si="52"/>
        <v>25143721.835719839</v>
      </c>
      <c r="P34" s="157">
        <f t="shared" si="52"/>
        <v>25881928.547943119</v>
      </c>
      <c r="Q34" s="157">
        <f t="shared" si="52"/>
        <v>26176802.974716965</v>
      </c>
      <c r="R34" s="157">
        <f t="shared" si="52"/>
        <v>26230302.000736907</v>
      </c>
      <c r="S34" s="157">
        <f t="shared" ref="S34:AM34" si="53">S13+S15</f>
        <v>26269048.825858667</v>
      </c>
      <c r="T34" s="157">
        <f t="shared" si="53"/>
        <v>27030665.575709358</v>
      </c>
      <c r="U34" s="157">
        <f t="shared" si="53"/>
        <v>26155687.675543677</v>
      </c>
      <c r="V34" s="157">
        <f t="shared" si="53"/>
        <v>26659322.056534301</v>
      </c>
      <c r="W34" s="157">
        <f t="shared" si="53"/>
        <v>26464557.385244951</v>
      </c>
      <c r="X34" s="157">
        <f t="shared" si="53"/>
        <v>26453285.30024524</v>
      </c>
      <c r="Y34" s="157">
        <f t="shared" si="53"/>
        <v>26770133.225662325</v>
      </c>
      <c r="Z34" s="157">
        <f t="shared" si="53"/>
        <v>26729214.296314307</v>
      </c>
      <c r="AA34" s="157">
        <f t="shared" si="53"/>
        <v>26920975.352612659</v>
      </c>
      <c r="AB34" s="157">
        <f t="shared" si="53"/>
        <v>26858583.924839247</v>
      </c>
      <c r="AC34" s="157">
        <f t="shared" si="53"/>
        <v>26841249.528869178</v>
      </c>
      <c r="AD34" s="157">
        <f t="shared" si="53"/>
        <v>26981840.872587606</v>
      </c>
      <c r="AE34" s="157">
        <f t="shared" si="53"/>
        <v>26802696.744238462</v>
      </c>
      <c r="AF34" s="157">
        <f t="shared" si="53"/>
        <v>27075002.33160954</v>
      </c>
      <c r="AG34" s="157">
        <f t="shared" si="53"/>
        <v>26634408.985694241</v>
      </c>
      <c r="AH34" s="157">
        <f t="shared" si="53"/>
        <v>26516213.591952875</v>
      </c>
      <c r="AI34" s="157">
        <f t="shared" si="53"/>
        <v>26395411.550807435</v>
      </c>
      <c r="AJ34" s="157">
        <f t="shared" si="53"/>
        <v>26257159.898265477</v>
      </c>
      <c r="AK34" s="157">
        <f t="shared" si="53"/>
        <v>26131793.965622865</v>
      </c>
      <c r="AL34" s="157">
        <f t="shared" si="53"/>
        <v>26075857.751971051</v>
      </c>
      <c r="AM34" s="157">
        <f t="shared" si="53"/>
        <v>25579098.279283851</v>
      </c>
      <c r="AN34" s="157">
        <f>SUM(E34:AM34)</f>
        <v>861594639.97426271</v>
      </c>
    </row>
    <row r="35" spans="2:43" x14ac:dyDescent="0.3">
      <c r="B35" s="161" t="s">
        <v>468</v>
      </c>
      <c r="C35" s="4"/>
      <c r="D35" s="4"/>
      <c r="E35" s="159">
        <f t="shared" ref="E35:AN35" si="54">E34/E4</f>
        <v>0.32965814948909328</v>
      </c>
      <c r="F35" s="159">
        <f t="shared" ref="F35:R35" si="55">F34/F4</f>
        <v>0.41794924957376078</v>
      </c>
      <c r="G35" s="159">
        <f t="shared" si="55"/>
        <v>0.44658875848889112</v>
      </c>
      <c r="H35" s="159">
        <f t="shared" si="55"/>
        <v>0.46511255089159192</v>
      </c>
      <c r="I35" s="159">
        <f t="shared" si="55"/>
        <v>0.49234293062341494</v>
      </c>
      <c r="J35" s="159">
        <f t="shared" si="55"/>
        <v>0.48017302109169024</v>
      </c>
      <c r="K35" s="159">
        <f t="shared" si="55"/>
        <v>0.47177108716274041</v>
      </c>
      <c r="L35" s="159">
        <f t="shared" si="55"/>
        <v>0.46634346138744881</v>
      </c>
      <c r="M35" s="159">
        <f t="shared" si="55"/>
        <v>0.45793507594277072</v>
      </c>
      <c r="N35" s="159">
        <f t="shared" si="55"/>
        <v>0.43518591785547944</v>
      </c>
      <c r="O35" s="159">
        <f t="shared" si="55"/>
        <v>0.44858227341919221</v>
      </c>
      <c r="P35" s="159">
        <f t="shared" si="55"/>
        <v>0.45365338764292867</v>
      </c>
      <c r="Q35" s="159">
        <f t="shared" si="55"/>
        <v>0.45556057291098867</v>
      </c>
      <c r="R35" s="159">
        <f t="shared" si="55"/>
        <v>0.45335007588035714</v>
      </c>
      <c r="S35" s="159">
        <f t="shared" ref="S35:AM35" si="56">S34/S4</f>
        <v>0.45104229864896295</v>
      </c>
      <c r="T35" s="159">
        <f t="shared" si="56"/>
        <v>0.4612643251424825</v>
      </c>
      <c r="U35" s="159">
        <f t="shared" si="56"/>
        <v>0.44374802894985677</v>
      </c>
      <c r="V35" s="159">
        <f t="shared" si="56"/>
        <v>0.4496842433367601</v>
      </c>
      <c r="W35" s="159">
        <f t="shared" si="56"/>
        <v>0.44418500039660108</v>
      </c>
      <c r="X35" s="159">
        <f t="shared" si="56"/>
        <v>0.44177563983514545</v>
      </c>
      <c r="Y35" s="159">
        <f t="shared" si="56"/>
        <v>0.4450501517389846</v>
      </c>
      <c r="Z35" s="159">
        <f t="shared" si="56"/>
        <v>0.4424369588401203</v>
      </c>
      <c r="AA35" s="159">
        <f t="shared" si="56"/>
        <v>0.44378986294322736</v>
      </c>
      <c r="AB35" s="159">
        <f t="shared" si="56"/>
        <v>0.4410282912104434</v>
      </c>
      <c r="AC35" s="159">
        <f t="shared" si="56"/>
        <v>0.43912413201846162</v>
      </c>
      <c r="AD35" s="159">
        <f t="shared" si="56"/>
        <v>0.43975067372880672</v>
      </c>
      <c r="AE35" s="159">
        <f t="shared" si="56"/>
        <v>0.4354401771735224</v>
      </c>
      <c r="AF35" s="159">
        <f t="shared" si="56"/>
        <v>0.43837658494735005</v>
      </c>
      <c r="AG35" s="159">
        <f t="shared" si="56"/>
        <v>0.4299912117704795</v>
      </c>
      <c r="AH35" s="159">
        <f t="shared" si="56"/>
        <v>0.42685307322012728</v>
      </c>
      <c r="AI35" s="159">
        <f t="shared" si="56"/>
        <v>0.42371715660074444</v>
      </c>
      <c r="AJ35" s="159">
        <f t="shared" si="56"/>
        <v>0.42048361279392116</v>
      </c>
      <c r="AK35" s="159">
        <f t="shared" si="56"/>
        <v>0.41740152289960947</v>
      </c>
      <c r="AL35" s="159">
        <f t="shared" si="56"/>
        <v>0.41551428618516806</v>
      </c>
      <c r="AM35" s="159">
        <f t="shared" si="56"/>
        <v>0.40854280234336415</v>
      </c>
      <c r="AN35" s="159">
        <f t="shared" si="54"/>
        <v>0.44208092958397344</v>
      </c>
    </row>
    <row r="36" spans="2:43" x14ac:dyDescent="0.3">
      <c r="B36" s="161" t="s">
        <v>448</v>
      </c>
      <c r="C36" s="4"/>
      <c r="D36" s="4"/>
      <c r="E36" s="158">
        <f>'FCD PROJETO'!F88</f>
        <v>-149132.46492226014</v>
      </c>
      <c r="F36" s="158">
        <f>'FCD PROJETO'!G88</f>
        <v>-1524326.7612307845</v>
      </c>
      <c r="G36" s="158">
        <f>'FCD PROJETO'!H88</f>
        <v>-2775533.3663560683</v>
      </c>
      <c r="H36" s="158">
        <f>'FCD PROJETO'!I88</f>
        <v>-4017517.7211169745</v>
      </c>
      <c r="I36" s="158">
        <f>'FCD PROJETO'!J88</f>
        <v>-5282144.6618240997</v>
      </c>
      <c r="J36" s="158">
        <f>'FCD PROJETO'!K88</f>
        <v>-5572261.6301037995</v>
      </c>
      <c r="K36" s="158">
        <f>'FCD PROJETO'!L88</f>
        <v>-5869779.0522408867</v>
      </c>
      <c r="L36" s="158">
        <f>'FCD PROJETO'!M88</f>
        <v>-5957443.4997496475</v>
      </c>
      <c r="M36" s="158">
        <f>'FCD PROJETO'!N88</f>
        <v>-6049649.7088295063</v>
      </c>
      <c r="N36" s="158">
        <f>'FCD PROJETO'!O88</f>
        <v>-6146709.1538300691</v>
      </c>
      <c r="O36" s="158">
        <f>'FCD PROJETO'!P88</f>
        <v>-6249261.7443768792</v>
      </c>
      <c r="P36" s="158">
        <f>'FCD PROJETO'!Q88</f>
        <v>-6357513.827900365</v>
      </c>
      <c r="Q36" s="158">
        <f>'FCD PROJETO'!R88</f>
        <v>-6288620.0542620653</v>
      </c>
      <c r="R36" s="158">
        <f>'FCD PROJETO'!S88</f>
        <v>-6222243.0827301461</v>
      </c>
      <c r="S36" s="158">
        <f>'FCD PROJETO'!T88</f>
        <v>-6158766.3472432978</v>
      </c>
      <c r="T36" s="158">
        <f>'FCD PROJETO'!U88</f>
        <v>-6098157.3326022215</v>
      </c>
      <c r="U36" s="158">
        <f>'FCD PROJETO'!V88</f>
        <v>-6040394.9748000083</v>
      </c>
      <c r="V36" s="158">
        <f>'FCD PROJETO'!W88</f>
        <v>-5985997.4233172415</v>
      </c>
      <c r="W36" s="158">
        <f>'FCD PROJETO'!X88</f>
        <v>-5935500.9591584606</v>
      </c>
      <c r="X36" s="158">
        <f>'FCD PROJETO'!Y88</f>
        <v>-5888594.4170613149</v>
      </c>
      <c r="Y36" s="158">
        <f>'FCD PROJETO'!Z88</f>
        <v>-5845955.917289516</v>
      </c>
      <c r="Z36" s="158">
        <f>'FCD PROJETO'!AA88</f>
        <v>-5808500.3403763436</v>
      </c>
      <c r="AA36" s="158">
        <f>'FCD PROJETO'!AB88</f>
        <v>-5777260.898171124</v>
      </c>
      <c r="AB36" s="158">
        <f>'FCD PROJETO'!AC88</f>
        <v>-5752269.7180397324</v>
      </c>
      <c r="AC36" s="158">
        <f>'FCD PROJETO'!AD88</f>
        <v>-5735007.4939338667</v>
      </c>
      <c r="AD36" s="158">
        <f>'FCD PROJETO'!AE88</f>
        <v>-5726589.6289216103</v>
      </c>
      <c r="AE36" s="158">
        <f>'FCD PROJETO'!AF88</f>
        <v>-5729604.4283730006</v>
      </c>
      <c r="AF36" s="158">
        <f>'FCD PROJETO'!AG88</f>
        <v>-5746452.2810367169</v>
      </c>
      <c r="AG36" s="158">
        <f>'FCD PROJETO'!AH88</f>
        <v>-5780646.8319195351</v>
      </c>
      <c r="AH36" s="158">
        <f>'FCD PROJETO'!AI88</f>
        <v>-5839151.1693264414</v>
      </c>
      <c r="AI36" s="158">
        <f>'FCD PROJETO'!AJ88</f>
        <v>-5932975.3036970459</v>
      </c>
      <c r="AJ36" s="158">
        <f>'FCD PROJETO'!AK88</f>
        <v>-6077826.1919778232</v>
      </c>
      <c r="AK36" s="158">
        <f>'FCD PROJETO'!AL88</f>
        <v>-6310854.0437788954</v>
      </c>
      <c r="AL36" s="158">
        <f>'FCD PROJETO'!AM88</f>
        <v>-6736350.2596897548</v>
      </c>
      <c r="AM36" s="158">
        <f>'FCD PROJETO'!AN88</f>
        <v>-5249668.0673330976</v>
      </c>
      <c r="AN36" s="158">
        <f>SUM(E36:AM36)</f>
        <v>-192618660.75752062</v>
      </c>
    </row>
    <row r="37" spans="2:43" x14ac:dyDescent="0.3">
      <c r="B37" s="91"/>
    </row>
    <row r="38" spans="2:43" x14ac:dyDescent="0.3">
      <c r="B38" s="160" t="s">
        <v>449</v>
      </c>
      <c r="C38" s="161"/>
      <c r="D38" s="161"/>
      <c r="E38" s="157">
        <f>E34+E36</f>
        <v>7314386.6806497984</v>
      </c>
      <c r="F38" s="157">
        <f t="shared" ref="F38:R38" si="57">F34+F36</f>
        <v>10882370.013507072</v>
      </c>
      <c r="G38" s="157">
        <f t="shared" si="57"/>
        <v>13116719.764849536</v>
      </c>
      <c r="H38" s="157">
        <f t="shared" si="57"/>
        <v>15318899.410952576</v>
      </c>
      <c r="I38" s="157">
        <f t="shared" si="57"/>
        <v>18224315.372927714</v>
      </c>
      <c r="J38" s="157">
        <f t="shared" si="57"/>
        <v>18452845.228133038</v>
      </c>
      <c r="K38" s="157">
        <f t="shared" si="57"/>
        <v>18645873.768054154</v>
      </c>
      <c r="L38" s="157">
        <f t="shared" si="57"/>
        <v>18757682.478991844</v>
      </c>
      <c r="M38" s="157">
        <f t="shared" si="57"/>
        <v>18693653.934272077</v>
      </c>
      <c r="N38" s="157">
        <f t="shared" si="57"/>
        <v>17808432.823136725</v>
      </c>
      <c r="O38" s="157">
        <f t="shared" si="57"/>
        <v>18894460.09134296</v>
      </c>
      <c r="P38" s="157">
        <f t="shared" si="57"/>
        <v>19524414.720042754</v>
      </c>
      <c r="Q38" s="157">
        <f t="shared" si="57"/>
        <v>19888182.920454901</v>
      </c>
      <c r="R38" s="157">
        <f t="shared" si="57"/>
        <v>20008058.918006763</v>
      </c>
      <c r="S38" s="157">
        <f t="shared" ref="S38:AM38" si="58">S34+S36</f>
        <v>20110282.47861537</v>
      </c>
      <c r="T38" s="157">
        <f t="shared" si="58"/>
        <v>20932508.243107136</v>
      </c>
      <c r="U38" s="157">
        <f t="shared" si="58"/>
        <v>20115292.700743668</v>
      </c>
      <c r="V38" s="157">
        <f t="shared" si="58"/>
        <v>20673324.633217059</v>
      </c>
      <c r="W38" s="157">
        <f t="shared" si="58"/>
        <v>20529056.426086489</v>
      </c>
      <c r="X38" s="157">
        <f t="shared" si="58"/>
        <v>20564690.883183926</v>
      </c>
      <c r="Y38" s="157">
        <f t="shared" si="58"/>
        <v>20924177.30837281</v>
      </c>
      <c r="Z38" s="157">
        <f t="shared" si="58"/>
        <v>20920713.955937963</v>
      </c>
      <c r="AA38" s="157">
        <f t="shared" si="58"/>
        <v>21143714.454441536</v>
      </c>
      <c r="AB38" s="157">
        <f t="shared" si="58"/>
        <v>21106314.206799515</v>
      </c>
      <c r="AC38" s="157">
        <f t="shared" si="58"/>
        <v>21106242.03493531</v>
      </c>
      <c r="AD38" s="157">
        <f t="shared" si="58"/>
        <v>21255251.243665997</v>
      </c>
      <c r="AE38" s="157">
        <f t="shared" si="58"/>
        <v>21073092.315865461</v>
      </c>
      <c r="AF38" s="157">
        <f t="shared" si="58"/>
        <v>21328550.050572824</v>
      </c>
      <c r="AG38" s="157">
        <f t="shared" si="58"/>
        <v>20853762.153774705</v>
      </c>
      <c r="AH38" s="157">
        <f t="shared" si="58"/>
        <v>20677062.422626436</v>
      </c>
      <c r="AI38" s="157">
        <f t="shared" si="58"/>
        <v>20462436.247110389</v>
      </c>
      <c r="AJ38" s="157">
        <f t="shared" si="58"/>
        <v>20179333.706287652</v>
      </c>
      <c r="AK38" s="157">
        <f t="shared" si="58"/>
        <v>19820939.921843968</v>
      </c>
      <c r="AL38" s="157">
        <f t="shared" si="58"/>
        <v>19339507.492281295</v>
      </c>
      <c r="AM38" s="157">
        <f t="shared" si="58"/>
        <v>20329430.211950753</v>
      </c>
      <c r="AN38" s="157">
        <f>SUM(E38:AM38)</f>
        <v>668975979.21674216</v>
      </c>
    </row>
    <row r="39" spans="2:43" x14ac:dyDescent="0.3">
      <c r="B39" s="161" t="s">
        <v>468</v>
      </c>
      <c r="C39" s="4"/>
      <c r="D39" s="4"/>
      <c r="E39" s="159">
        <f>E38/E4</f>
        <v>0.32307107823542247</v>
      </c>
      <c r="F39" s="159">
        <f t="shared" ref="F39:R39" si="59">F38/F4</f>
        <v>0.36659865742752301</v>
      </c>
      <c r="G39" s="159">
        <f t="shared" si="59"/>
        <v>0.36859339873769531</v>
      </c>
      <c r="H39" s="159">
        <f t="shared" si="59"/>
        <v>0.36847634870593404</v>
      </c>
      <c r="I39" s="159">
        <f t="shared" si="59"/>
        <v>0.38170838254877704</v>
      </c>
      <c r="J39" s="159">
        <f t="shared" si="59"/>
        <v>0.36880412200506996</v>
      </c>
      <c r="K39" s="159">
        <f t="shared" si="59"/>
        <v>0.35881500701347696</v>
      </c>
      <c r="L39" s="159">
        <f t="shared" si="59"/>
        <v>0.35393396668841043</v>
      </c>
      <c r="M39" s="159">
        <f t="shared" si="59"/>
        <v>0.34597157911956572</v>
      </c>
      <c r="N39" s="159">
        <f t="shared" si="59"/>
        <v>0.32352048638059072</v>
      </c>
      <c r="O39" s="159">
        <f t="shared" si="59"/>
        <v>0.3370909015849034</v>
      </c>
      <c r="P39" s="159">
        <f t="shared" si="59"/>
        <v>0.34222012718587635</v>
      </c>
      <c r="Q39" s="159">
        <f t="shared" si="59"/>
        <v>0.34611835578821054</v>
      </c>
      <c r="R39" s="159">
        <f t="shared" si="59"/>
        <v>0.34580825750470556</v>
      </c>
      <c r="S39" s="159">
        <f t="shared" ref="S39" si="60">S38/S4</f>
        <v>0.3452956403471204</v>
      </c>
      <c r="T39" s="159">
        <f t="shared" ref="T39" si="61">T38/T4</f>
        <v>0.35720242482571135</v>
      </c>
      <c r="U39" s="159">
        <f t="shared" ref="U39" si="62">U38/U4</f>
        <v>0.34126885128891582</v>
      </c>
      <c r="V39" s="159">
        <f t="shared" ref="V39" si="63">V38/V4</f>
        <v>0.34871360664120177</v>
      </c>
      <c r="W39" s="159">
        <f t="shared" ref="W39" si="64">W38/W4</f>
        <v>0.34456268449995359</v>
      </c>
      <c r="X39" s="159">
        <f t="shared" ref="X39" si="65">X38/X4</f>
        <v>0.34343482746342807</v>
      </c>
      <c r="Y39" s="159">
        <f t="shared" ref="Y39" si="66">Y38/Y4</f>
        <v>0.34786185812395565</v>
      </c>
      <c r="Z39" s="159">
        <f t="shared" ref="Z39" si="67">Z38/Z4</f>
        <v>0.34629140074295334</v>
      </c>
      <c r="AA39" s="159">
        <f t="shared" ref="AA39" si="68">AA38/AA4</f>
        <v>0.34855223545742359</v>
      </c>
      <c r="AB39" s="159">
        <f t="shared" ref="AB39" si="69">AB38/AB4</f>
        <v>0.34657380725745796</v>
      </c>
      <c r="AC39" s="159">
        <f t="shared" ref="AC39" si="70">AC38/AC4</f>
        <v>0.34529913384971272</v>
      </c>
      <c r="AD39" s="159">
        <f t="shared" ref="AD39:AE39" si="71">AD38/AD4</f>
        <v>0.34641858199428277</v>
      </c>
      <c r="AE39" s="159">
        <f t="shared" si="71"/>
        <v>0.34235626135593794</v>
      </c>
      <c r="AF39" s="159">
        <f t="shared" ref="AF39" si="72">AF38/AF4</f>
        <v>0.34533466769577614</v>
      </c>
      <c r="AG39" s="159">
        <f t="shared" ref="AG39" si="73">AG38/AG4</f>
        <v>0.33666729617658236</v>
      </c>
      <c r="AH39" s="159">
        <f t="shared" ref="AH39" si="74">AH38/AH4</f>
        <v>0.33285550403550201</v>
      </c>
      <c r="AI39" s="159">
        <f t="shared" ref="AI39" si="75">AI38/AI4</f>
        <v>0.32847698877740733</v>
      </c>
      <c r="AJ39" s="159">
        <f t="shared" ref="AJ39" si="76">AJ38/AJ4</f>
        <v>0.323152967551319</v>
      </c>
      <c r="AK39" s="159">
        <f t="shared" ref="AK39" si="77">AK38/AK4</f>
        <v>0.31659864300028895</v>
      </c>
      <c r="AL39" s="159">
        <f t="shared" ref="AL39" si="78">AL38/AL4</f>
        <v>0.30817170914427733</v>
      </c>
      <c r="AM39" s="159">
        <f t="shared" ref="AM39" si="79">AM38/AM4</f>
        <v>0.32469644934906372</v>
      </c>
      <c r="AN39" s="159">
        <f>AN38/AN4</f>
        <v>0.34324902806999891</v>
      </c>
    </row>
    <row r="40" spans="2:43" x14ac:dyDescent="0.3">
      <c r="B40" s="161" t="s">
        <v>379</v>
      </c>
      <c r="C40" s="4"/>
      <c r="D40" s="164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58"/>
      <c r="AE40" s="158"/>
      <c r="AF40" s="158"/>
      <c r="AG40" s="158"/>
      <c r="AH40" s="158"/>
      <c r="AI40" s="158"/>
      <c r="AJ40" s="158"/>
      <c r="AK40" s="158"/>
      <c r="AL40" s="158"/>
      <c r="AM40" s="158"/>
      <c r="AN40" s="158">
        <f t="shared" ref="AN40" si="80">SUM(E40:AH40)</f>
        <v>0</v>
      </c>
    </row>
    <row r="41" spans="2:43" x14ac:dyDescent="0.3">
      <c r="B41" s="91"/>
    </row>
    <row r="42" spans="2:43" x14ac:dyDescent="0.3">
      <c r="B42" s="160" t="s">
        <v>450</v>
      </c>
      <c r="C42" s="161"/>
      <c r="D42" s="161"/>
      <c r="E42" s="157">
        <f>E38+E40</f>
        <v>7314386.6806497984</v>
      </c>
      <c r="F42" s="157">
        <f t="shared" ref="F42:R42" si="81">F38+F40</f>
        <v>10882370.013507072</v>
      </c>
      <c r="G42" s="157">
        <f t="shared" si="81"/>
        <v>13116719.764849536</v>
      </c>
      <c r="H42" s="157">
        <f t="shared" si="81"/>
        <v>15318899.410952576</v>
      </c>
      <c r="I42" s="157">
        <f t="shared" si="81"/>
        <v>18224315.372927714</v>
      </c>
      <c r="J42" s="157">
        <f t="shared" si="81"/>
        <v>18452845.228133038</v>
      </c>
      <c r="K42" s="157">
        <f t="shared" si="81"/>
        <v>18645873.768054154</v>
      </c>
      <c r="L42" s="157">
        <f t="shared" si="81"/>
        <v>18757682.478991844</v>
      </c>
      <c r="M42" s="157">
        <f t="shared" si="81"/>
        <v>18693653.934272077</v>
      </c>
      <c r="N42" s="157">
        <f t="shared" si="81"/>
        <v>17808432.823136725</v>
      </c>
      <c r="O42" s="157">
        <f t="shared" si="81"/>
        <v>18894460.09134296</v>
      </c>
      <c r="P42" s="157">
        <f t="shared" si="81"/>
        <v>19524414.720042754</v>
      </c>
      <c r="Q42" s="157">
        <f t="shared" si="81"/>
        <v>19888182.920454901</v>
      </c>
      <c r="R42" s="157">
        <f t="shared" si="81"/>
        <v>20008058.918006763</v>
      </c>
      <c r="S42" s="157">
        <f t="shared" ref="S42:AM42" si="82">S38+S40</f>
        <v>20110282.47861537</v>
      </c>
      <c r="T42" s="157">
        <f t="shared" si="82"/>
        <v>20932508.243107136</v>
      </c>
      <c r="U42" s="157">
        <f t="shared" si="82"/>
        <v>20115292.700743668</v>
      </c>
      <c r="V42" s="157">
        <f t="shared" si="82"/>
        <v>20673324.633217059</v>
      </c>
      <c r="W42" s="157">
        <f t="shared" si="82"/>
        <v>20529056.426086489</v>
      </c>
      <c r="X42" s="157">
        <f t="shared" si="82"/>
        <v>20564690.883183926</v>
      </c>
      <c r="Y42" s="157">
        <f t="shared" si="82"/>
        <v>20924177.30837281</v>
      </c>
      <c r="Z42" s="157">
        <f t="shared" si="82"/>
        <v>20920713.955937963</v>
      </c>
      <c r="AA42" s="157">
        <f t="shared" si="82"/>
        <v>21143714.454441536</v>
      </c>
      <c r="AB42" s="157">
        <f t="shared" si="82"/>
        <v>21106314.206799515</v>
      </c>
      <c r="AC42" s="157">
        <f t="shared" si="82"/>
        <v>21106242.03493531</v>
      </c>
      <c r="AD42" s="157">
        <f t="shared" si="82"/>
        <v>21255251.243665997</v>
      </c>
      <c r="AE42" s="157">
        <f t="shared" si="82"/>
        <v>21073092.315865461</v>
      </c>
      <c r="AF42" s="157">
        <f t="shared" si="82"/>
        <v>21328550.050572824</v>
      </c>
      <c r="AG42" s="157">
        <f t="shared" si="82"/>
        <v>20853762.153774705</v>
      </c>
      <c r="AH42" s="157">
        <f t="shared" si="82"/>
        <v>20677062.422626436</v>
      </c>
      <c r="AI42" s="157">
        <f t="shared" si="82"/>
        <v>20462436.247110389</v>
      </c>
      <c r="AJ42" s="157">
        <f t="shared" si="82"/>
        <v>20179333.706287652</v>
      </c>
      <c r="AK42" s="157">
        <f t="shared" si="82"/>
        <v>19820939.921843968</v>
      </c>
      <c r="AL42" s="157">
        <f t="shared" si="82"/>
        <v>19339507.492281295</v>
      </c>
      <c r="AM42" s="157">
        <f t="shared" si="82"/>
        <v>20329430.211950753</v>
      </c>
      <c r="AN42" s="157">
        <f>SUM(E42:AM42)</f>
        <v>668975979.21674216</v>
      </c>
    </row>
    <row r="43" spans="2:43" x14ac:dyDescent="0.3">
      <c r="B43" s="161" t="s">
        <v>451</v>
      </c>
      <c r="C43" s="4"/>
      <c r="D43" s="4"/>
      <c r="E43" s="158">
        <f>IF(E42&gt;0,-E42*'FCD PROJETO'!$C$102,0)+-IF(E42&gt;0,IF(E42&gt;240000,240000*'FCD PROJETO'!$C$103+(E42-(240000))*'FCD PROJETO'!$C$104,E42*'FCD PROJETO'!$C$103),0)</f>
        <v>-2462891.4714209316</v>
      </c>
      <c r="F43" s="158">
        <f>IF(F42&gt;0,-F42*'FCD PROJETO'!$C$102,0)+-IF(F42&gt;0,IF(F42&gt;240000,240000*'FCD PROJETO'!$C$103+(F42-(240000))*'FCD PROJETO'!$C$104,F42*'FCD PROJETO'!$C$103),0)</f>
        <v>-3676005.8045924045</v>
      </c>
      <c r="G43" s="158">
        <f>IF(G42&gt;0,-G42*'FCD PROJETO'!$C$102,0)+-IF(G42&gt;0,IF(G42&gt;240000,240000*'FCD PROJETO'!$C$103+(G42-(240000))*'FCD PROJETO'!$C$104,G42*'FCD PROJETO'!$C$103),0)</f>
        <v>-4435684.720048842</v>
      </c>
      <c r="H43" s="158">
        <f>IF(H42&gt;0,-H42*'FCD PROJETO'!$C$102,0)+-IF(H42&gt;0,IF(H42&gt;240000,240000*'FCD PROJETO'!$C$103+(H42-(240000))*'FCD PROJETO'!$C$104,H42*'FCD PROJETO'!$C$103),0)</f>
        <v>-5184425.7997238757</v>
      </c>
      <c r="I43" s="158">
        <f>IF(I42&gt;0,-I42*'FCD PROJETO'!$C$102,0)+-IF(I42&gt;0,IF(I42&gt;240000,240000*'FCD PROJETO'!$C$103+(I42-(240000))*'FCD PROJETO'!$C$104,I42*'FCD PROJETO'!$C$103),0)</f>
        <v>-6172267.2267954228</v>
      </c>
      <c r="J43" s="158">
        <f>IF(J42&gt;0,-J42*'FCD PROJETO'!$C$102,0)+-IF(J42&gt;0,IF(J42&gt;240000,240000*'FCD PROJETO'!$C$103+(J42-(240000))*'FCD PROJETO'!$C$104,J42*'FCD PROJETO'!$C$103),0)</f>
        <v>-6249967.377565233</v>
      </c>
      <c r="K43" s="158">
        <f>IF(K42&gt;0,-K42*'FCD PROJETO'!$C$102,0)+-IF(K42&gt;0,IF(K42&gt;240000,240000*'FCD PROJETO'!$C$103+(K42-(240000))*'FCD PROJETO'!$C$104,K42*'FCD PROJETO'!$C$103),0)</f>
        <v>-6315597.0811384125</v>
      </c>
      <c r="L43" s="158">
        <f>IF(L42&gt;0,-L42*'FCD PROJETO'!$C$102,0)+-IF(L42&gt;0,IF(L42&gt;240000,240000*'FCD PROJETO'!$C$103+(L42-(240000))*'FCD PROJETO'!$C$104,L42*'FCD PROJETO'!$C$103),0)</f>
        <v>-6353612.0428572269</v>
      </c>
      <c r="M43" s="158">
        <f>IF(M42&gt;0,-M42*'FCD PROJETO'!$C$102,0)+-IF(M42&gt;0,IF(M42&gt;240000,240000*'FCD PROJETO'!$C$103+(M42-(240000))*'FCD PROJETO'!$C$104,M42*'FCD PROJETO'!$C$103),0)</f>
        <v>-6331842.3376525063</v>
      </c>
      <c r="N43" s="158">
        <f>IF(N42&gt;0,-N42*'FCD PROJETO'!$C$102,0)+-IF(N42&gt;0,IF(N42&gt;240000,240000*'FCD PROJETO'!$C$103+(N42-(240000))*'FCD PROJETO'!$C$104,N42*'FCD PROJETO'!$C$103),0)</f>
        <v>-6030867.1598664857</v>
      </c>
      <c r="O43" s="158">
        <f>IF(O42&gt;0,-O42*'FCD PROJETO'!$C$102,0)+-IF(O42&gt;0,IF(O42&gt;240000,240000*'FCD PROJETO'!$C$103+(O42-(240000))*'FCD PROJETO'!$C$104,O42*'FCD PROJETO'!$C$103),0)</f>
        <v>-6400116.4310566057</v>
      </c>
      <c r="P43" s="158">
        <f>IF(P42&gt;0,-P42*'FCD PROJETO'!$C$102,0)+-IF(P42&gt;0,IF(P42&gt;240000,240000*'FCD PROJETO'!$C$103+(P42-(240000))*'FCD PROJETO'!$C$104,P42*'FCD PROJETO'!$C$103),0)</f>
        <v>-6614301.0048145363</v>
      </c>
      <c r="Q43" s="158">
        <f>IF(Q42&gt;0,-Q42*'FCD PROJETO'!$C$102,0)+-IF(Q42&gt;0,IF(Q42&gt;240000,240000*'FCD PROJETO'!$C$103+(Q42-(240000))*'FCD PROJETO'!$C$104,Q42*'FCD PROJETO'!$C$103),0)</f>
        <v>-6737982.192954666</v>
      </c>
      <c r="R43" s="158">
        <f>IF(R42&gt;0,-R42*'FCD PROJETO'!$C$102,0)+-IF(R42&gt;0,IF(R42&gt;240000,240000*'FCD PROJETO'!$C$103+(R42-(240000))*'FCD PROJETO'!$C$104,R42*'FCD PROJETO'!$C$103),0)</f>
        <v>-6778740.0321222991</v>
      </c>
      <c r="S43" s="158">
        <f>IF(S42&gt;0,-S42*'FCD PROJETO'!$C$102,0)+-IF(S42&gt;0,IF(S42&gt;240000,240000*'FCD PROJETO'!$C$103+(S42-(240000))*'FCD PROJETO'!$C$104,S42*'FCD PROJETO'!$C$103),0)</f>
        <v>-6813496.0427292259</v>
      </c>
      <c r="T43" s="158">
        <f>IF(T42&gt;0,-T42*'FCD PROJETO'!$C$102,0)+-IF(T42&gt;0,IF(T42&gt;240000,240000*'FCD PROJETO'!$C$103+(T42-(240000))*'FCD PROJETO'!$C$104,T42*'FCD PROJETO'!$C$103),0)</f>
        <v>-7093052.8026564261</v>
      </c>
      <c r="U43" s="158">
        <f>IF(U42&gt;0,-U42*'FCD PROJETO'!$C$102,0)+-IF(U42&gt;0,IF(U42&gt;240000,240000*'FCD PROJETO'!$C$103+(U42-(240000))*'FCD PROJETO'!$C$104,U42*'FCD PROJETO'!$C$103),0)</f>
        <v>-6815199.5182528468</v>
      </c>
      <c r="V43" s="158">
        <f>IF(V42&gt;0,-V42*'FCD PROJETO'!$C$102,0)+-IF(V42&gt;0,IF(V42&gt;240000,240000*'FCD PROJETO'!$C$103+(V42-(240000))*'FCD PROJETO'!$C$104,V42*'FCD PROJETO'!$C$103),0)</f>
        <v>-7004930.3752937997</v>
      </c>
      <c r="W43" s="158">
        <f>IF(W42&gt;0,-W42*'FCD PROJETO'!$C$102,0)+-IF(W42&gt;0,IF(W42&gt;240000,240000*'FCD PROJETO'!$C$103+(W42-(240000))*'FCD PROJETO'!$C$104,W42*'FCD PROJETO'!$C$103),0)</f>
        <v>-6955879.1848694067</v>
      </c>
      <c r="X43" s="158">
        <f>IF(X42&gt;0,-X42*'FCD PROJETO'!$C$102,0)+-IF(X42&gt;0,IF(X42&gt;240000,240000*'FCD PROJETO'!$C$103+(X42-(240000))*'FCD PROJETO'!$C$104,X42*'FCD PROJETO'!$C$103),0)</f>
        <v>-6967994.9002825348</v>
      </c>
      <c r="Y43" s="158">
        <f>IF(Y42&gt;0,-Y42*'FCD PROJETO'!$C$102,0)+-IF(Y42&gt;0,IF(Y42&gt;240000,240000*'FCD PROJETO'!$C$103+(Y42-(240000))*'FCD PROJETO'!$C$104,Y42*'FCD PROJETO'!$C$103),0)</f>
        <v>-7090220.2848467557</v>
      </c>
      <c r="Z43" s="158">
        <f>IF(Z42&gt;0,-Z42*'FCD PROJETO'!$C$102,0)+-IF(Z42&gt;0,IF(Z42&gt;240000,240000*'FCD PROJETO'!$C$103+(Z42-(240000))*'FCD PROJETO'!$C$104,Z42*'FCD PROJETO'!$C$103),0)</f>
        <v>-7089042.7450189069</v>
      </c>
      <c r="AA43" s="158">
        <f>IF(AA42&gt;0,-AA42*'FCD PROJETO'!$C$102,0)+-IF(AA42&gt;0,IF(AA42&gt;240000,240000*'FCD PROJETO'!$C$103+(AA42-(240000))*'FCD PROJETO'!$C$104,AA42*'FCD PROJETO'!$C$103),0)</f>
        <v>-7164862.9145101225</v>
      </c>
      <c r="AB43" s="158">
        <f>IF(AB42&gt;0,-AB42*'FCD PROJETO'!$C$102,0)+-IF(AB42&gt;0,IF(AB42&gt;240000,240000*'FCD PROJETO'!$C$103+(AB42-(240000))*'FCD PROJETO'!$C$104,AB42*'FCD PROJETO'!$C$103),0)</f>
        <v>-7152146.8303118348</v>
      </c>
      <c r="AC43" s="158">
        <f>IF(AC42&gt;0,-AC42*'FCD PROJETO'!$C$102,0)+-IF(AC42&gt;0,IF(AC42&gt;240000,240000*'FCD PROJETO'!$C$103+(AC42-(240000))*'FCD PROJETO'!$C$104,AC42*'FCD PROJETO'!$C$103),0)</f>
        <v>-7152122.2918780055</v>
      </c>
      <c r="AD43" s="158">
        <f>IF(AD42&gt;0,-AD42*'FCD PROJETO'!$C$102,0)+-IF(AD42&gt;0,IF(AD42&gt;240000,240000*'FCD PROJETO'!$C$103+(AD42-(240000))*'FCD PROJETO'!$C$104,AD42*'FCD PROJETO'!$C$103),0)</f>
        <v>-7202785.4228464384</v>
      </c>
      <c r="AE43" s="158">
        <f>IF(AE42&gt;0,-AE42*'FCD PROJETO'!$C$102,0)+-IF(AE42&gt;0,IF(AE42&gt;240000,240000*'FCD PROJETO'!$C$103+(AE42-(240000))*'FCD PROJETO'!$C$104,AE42*'FCD PROJETO'!$C$103),0)</f>
        <v>-7140851.3873942569</v>
      </c>
      <c r="AF43" s="158">
        <f>IF(AF42&gt;0,-AF42*'FCD PROJETO'!$C$102,0)+-IF(AF42&gt;0,IF(AF42&gt;240000,240000*'FCD PROJETO'!$C$103+(AF42-(240000))*'FCD PROJETO'!$C$104,AF42*'FCD PROJETO'!$C$103),0)</f>
        <v>-7227707.01719476</v>
      </c>
      <c r="AG43" s="158">
        <f>IF(AG42&gt;0,-AG42*'FCD PROJETO'!$C$102,0)+-IF(AG42&gt;0,IF(AG42&gt;240000,240000*'FCD PROJETO'!$C$103+(AG42-(240000))*'FCD PROJETO'!$C$104,AG42*'FCD PROJETO'!$C$103),0)</f>
        <v>-7066279.1322833998</v>
      </c>
      <c r="AH43" s="158">
        <f>IF(AH42&gt;0,-AH42*'FCD PROJETO'!$C$102,0)+-IF(AH42&gt;0,IF(AH42&gt;240000,240000*'FCD PROJETO'!$C$103+(AH42-(240000))*'FCD PROJETO'!$C$104,AH42*'FCD PROJETO'!$C$103),0)</f>
        <v>-7006201.223692988</v>
      </c>
      <c r="AI43" s="158">
        <f>IF(AI42&gt;0,-AI42*'FCD PROJETO'!$C$102,0)+-IF(AI42&gt;0,IF(AI42&gt;240000,240000*'FCD PROJETO'!$C$103+(AI42-(240000))*'FCD PROJETO'!$C$104,AI42*'FCD PROJETO'!$C$103),0)</f>
        <v>-6933228.3240175322</v>
      </c>
      <c r="AJ43" s="158">
        <f>IF(AJ42&gt;0,-AJ42*'FCD PROJETO'!$C$102,0)+-IF(AJ42&gt;0,IF(AJ42&gt;240000,240000*'FCD PROJETO'!$C$103+(AJ42-(240000))*'FCD PROJETO'!$C$104,AJ42*'FCD PROJETO'!$C$103),0)</f>
        <v>-6836973.4601378012</v>
      </c>
      <c r="AK43" s="158">
        <f>IF(AK42&gt;0,-AK42*'FCD PROJETO'!$C$102,0)+-IF(AK42&gt;0,IF(AK42&gt;240000,240000*'FCD PROJETO'!$C$103+(AK42-(240000))*'FCD PROJETO'!$C$104,AK42*'FCD PROJETO'!$C$103),0)</f>
        <v>-6715119.5734269489</v>
      </c>
      <c r="AL43" s="158">
        <f>IF(AL42&gt;0,-AL42*'FCD PROJETO'!$C$102,0)+-IF(AL42&gt;0,IF(AL42&gt;240000,240000*'FCD PROJETO'!$C$103+(AL42-(240000))*'FCD PROJETO'!$C$104,AL42*'FCD PROJETO'!$C$103),0)</f>
        <v>-6551432.5473756399</v>
      </c>
      <c r="AM43" s="158">
        <f>IF(AM42&gt;0,-AM42*'FCD PROJETO'!$C$102,0)+-IF(AM42&gt;0,IF(AM42&gt;240000,240000*'FCD PROJETO'!$C$103+(AM42-(240000))*'FCD PROJETO'!$C$104,AM42*'FCD PROJETO'!$C$103),0)</f>
        <v>-6888006.2720632562</v>
      </c>
      <c r="AN43" s="158">
        <f>SUM(E43:AM43)</f>
        <v>-226611832.93369234</v>
      </c>
      <c r="AP43" s="92"/>
      <c r="AQ43" s="94"/>
    </row>
    <row r="44" spans="2:43" x14ac:dyDescent="0.3">
      <c r="B44" s="91"/>
    </row>
    <row r="45" spans="2:43" x14ac:dyDescent="0.3">
      <c r="B45" s="160" t="s">
        <v>375</v>
      </c>
      <c r="C45" s="161"/>
      <c r="D45" s="161"/>
      <c r="E45" s="157">
        <f>E42+E43</f>
        <v>4851495.2092288667</v>
      </c>
      <c r="F45" s="157">
        <f t="shared" ref="F45:R45" si="83">F42+F43</f>
        <v>7206364.2089146674</v>
      </c>
      <c r="G45" s="157">
        <f t="shared" si="83"/>
        <v>8681035.044800695</v>
      </c>
      <c r="H45" s="157">
        <f t="shared" si="83"/>
        <v>10134473.611228701</v>
      </c>
      <c r="I45" s="157">
        <f t="shared" si="83"/>
        <v>12052048.14613229</v>
      </c>
      <c r="J45" s="157">
        <f t="shared" si="83"/>
        <v>12202877.850567805</v>
      </c>
      <c r="K45" s="157">
        <f t="shared" si="83"/>
        <v>12330276.68691574</v>
      </c>
      <c r="L45" s="157">
        <f t="shared" si="83"/>
        <v>12404070.436134618</v>
      </c>
      <c r="M45" s="157">
        <f t="shared" si="83"/>
        <v>12361811.596619571</v>
      </c>
      <c r="N45" s="157">
        <f t="shared" si="83"/>
        <v>11777565.663270239</v>
      </c>
      <c r="O45" s="157">
        <f t="shared" si="83"/>
        <v>12494343.660286354</v>
      </c>
      <c r="P45" s="157">
        <f t="shared" si="83"/>
        <v>12910113.715228219</v>
      </c>
      <c r="Q45" s="157">
        <f t="shared" si="83"/>
        <v>13150200.727500234</v>
      </c>
      <c r="R45" s="157">
        <f t="shared" si="83"/>
        <v>13229318.885884464</v>
      </c>
      <c r="S45" s="157">
        <f t="shared" ref="S45:AM45" si="84">S42+S43</f>
        <v>13296786.435886145</v>
      </c>
      <c r="T45" s="157">
        <f t="shared" si="84"/>
        <v>13839455.440450709</v>
      </c>
      <c r="U45" s="157">
        <f t="shared" si="84"/>
        <v>13300093.182490822</v>
      </c>
      <c r="V45" s="157">
        <f t="shared" si="84"/>
        <v>13668394.25792326</v>
      </c>
      <c r="W45" s="157">
        <f t="shared" si="84"/>
        <v>13573177.241217082</v>
      </c>
      <c r="X45" s="157">
        <f t="shared" si="84"/>
        <v>13596695.982901391</v>
      </c>
      <c r="Y45" s="157">
        <f t="shared" si="84"/>
        <v>13833957.023526054</v>
      </c>
      <c r="Z45" s="157">
        <f t="shared" si="84"/>
        <v>13831671.210919056</v>
      </c>
      <c r="AA45" s="157">
        <f t="shared" si="84"/>
        <v>13978851.539931413</v>
      </c>
      <c r="AB45" s="157">
        <f t="shared" si="84"/>
        <v>13954167.37648768</v>
      </c>
      <c r="AC45" s="157">
        <f t="shared" si="84"/>
        <v>13954119.743057305</v>
      </c>
      <c r="AD45" s="157">
        <f t="shared" si="84"/>
        <v>14052465.820819559</v>
      </c>
      <c r="AE45" s="157">
        <f t="shared" si="84"/>
        <v>13932240.928471204</v>
      </c>
      <c r="AF45" s="157">
        <f t="shared" si="84"/>
        <v>14100843.033378065</v>
      </c>
      <c r="AG45" s="157">
        <f t="shared" si="84"/>
        <v>13787483.021491304</v>
      </c>
      <c r="AH45" s="157">
        <f t="shared" si="84"/>
        <v>13670861.198933449</v>
      </c>
      <c r="AI45" s="157">
        <f t="shared" si="84"/>
        <v>13529207.923092857</v>
      </c>
      <c r="AJ45" s="157">
        <f t="shared" si="84"/>
        <v>13342360.246149851</v>
      </c>
      <c r="AK45" s="157">
        <f t="shared" si="84"/>
        <v>13105820.348417019</v>
      </c>
      <c r="AL45" s="157">
        <f t="shared" si="84"/>
        <v>12788074.944905655</v>
      </c>
      <c r="AM45" s="157">
        <f t="shared" si="84"/>
        <v>13441423.939887498</v>
      </c>
      <c r="AN45" s="157">
        <f>SUM(E45:AM45)</f>
        <v>442364146.28304976</v>
      </c>
    </row>
    <row r="46" spans="2:43" x14ac:dyDescent="0.3">
      <c r="B46" s="4" t="s">
        <v>466</v>
      </c>
      <c r="C46" s="4"/>
      <c r="D46" s="4"/>
      <c r="E46" s="159">
        <f>E45/E13</f>
        <v>0.23613134850028533</v>
      </c>
      <c r="F46" s="159">
        <f t="shared" ref="F46:R46" si="85">F45/F13</f>
        <v>0.26542914412182461</v>
      </c>
      <c r="G46" s="159">
        <f t="shared" si="85"/>
        <v>0.26635536734666865</v>
      </c>
      <c r="H46" s="159">
        <f t="shared" si="85"/>
        <v>0.26565213700840645</v>
      </c>
      <c r="I46" s="159">
        <f t="shared" si="85"/>
        <v>0.27469285000586874</v>
      </c>
      <c r="J46" s="159">
        <f t="shared" si="85"/>
        <v>0.26538089233289364</v>
      </c>
      <c r="K46" s="159">
        <f t="shared" si="85"/>
        <v>0.25815069726651596</v>
      </c>
      <c r="L46" s="159">
        <f t="shared" si="85"/>
        <v>0.25465187617391272</v>
      </c>
      <c r="M46" s="159">
        <f t="shared" si="85"/>
        <v>0.24883888504095869</v>
      </c>
      <c r="N46" s="159">
        <f t="shared" si="85"/>
        <v>0.23262234333433859</v>
      </c>
      <c r="O46" s="159">
        <f t="shared" si="85"/>
        <v>0.24234973057778364</v>
      </c>
      <c r="P46" s="159">
        <f t="shared" si="85"/>
        <v>0.24601751491274659</v>
      </c>
      <c r="Q46" s="159">
        <f t="shared" si="85"/>
        <v>0.24886363358414343</v>
      </c>
      <c r="R46" s="159">
        <f t="shared" si="85"/>
        <v>0.24868374655634221</v>
      </c>
      <c r="S46" s="159">
        <f t="shared" ref="S46" si="86">S45/S13</f>
        <v>0.24835601016208594</v>
      </c>
      <c r="T46" s="159">
        <f t="shared" ref="T46" si="87">T45/T13</f>
        <v>0.25695273404476243</v>
      </c>
      <c r="U46" s="159">
        <f t="shared" ref="U46" si="88">U45/U13</f>
        <v>0.24559763882795965</v>
      </c>
      <c r="V46" s="159">
        <f t="shared" ref="V46" si="89">V45/V13</f>
        <v>0.25099221441712993</v>
      </c>
      <c r="W46" s="159">
        <f t="shared" ref="W46" si="90">W45/W13</f>
        <v>0.24805496591028844</v>
      </c>
      <c r="X46" s="159">
        <f t="shared" ref="X46" si="91">X45/X13</f>
        <v>0.24727952322777164</v>
      </c>
      <c r="Y46" s="159">
        <f t="shared" ref="Y46" si="92">Y45/Y13</f>
        <v>0.25049423760297401</v>
      </c>
      <c r="Z46" s="159">
        <f t="shared" ref="Z46" si="93">Z45/Z13</f>
        <v>0.24939568644236809</v>
      </c>
      <c r="AA46" s="159">
        <f t="shared" ref="AA46" si="94">AA45/AA13</f>
        <v>0.25105368436026337</v>
      </c>
      <c r="AB46" s="159">
        <f t="shared" ref="AB46" si="95">AB45/AB13</f>
        <v>0.24965567468770344</v>
      </c>
      <c r="AC46" s="159">
        <f t="shared" ref="AC46" si="96">AC45/AC13</f>
        <v>0.24875999654035691</v>
      </c>
      <c r="AD46" s="159">
        <f t="shared" ref="AD46:AE46" si="97">AD45/AD13</f>
        <v>0.24958284879054629</v>
      </c>
      <c r="AE46" s="159">
        <f t="shared" si="97"/>
        <v>0.24667357170111312</v>
      </c>
      <c r="AF46" s="159">
        <f t="shared" ref="AF46" si="98">AF45/AF13</f>
        <v>0.24882300441871996</v>
      </c>
      <c r="AG46" s="159">
        <f t="shared" ref="AG46" si="99">AG45/AG13</f>
        <v>0.24260253516008679</v>
      </c>
      <c r="AH46" s="159">
        <f t="shared" ref="AH46" si="100">AH45/AH13</f>
        <v>0.23985078909913685</v>
      </c>
      <c r="AI46" s="159">
        <f t="shared" ref="AI46" si="101">AI45/AI13</f>
        <v>0.23667834212305425</v>
      </c>
      <c r="AJ46" s="159">
        <f t="shared" ref="AJ46" si="102">AJ45/AJ13</f>
        <v>0.23280699971485969</v>
      </c>
      <c r="AK46" s="159">
        <f t="shared" ref="AK46" si="103">AK45/AK13</f>
        <v>0.22802090648179682</v>
      </c>
      <c r="AL46" s="159">
        <f t="shared" ref="AL46" si="104">AL45/AL13</f>
        <v>0.22182233724688888</v>
      </c>
      <c r="AM46" s="159">
        <f t="shared" ref="AM46" si="105">AM45/AM13</f>
        <v>0.23426023948257849</v>
      </c>
      <c r="AN46" s="159">
        <f>AN45/AN13</f>
        <v>0.24720296801944897</v>
      </c>
    </row>
    <row r="104" spans="5:40" x14ac:dyDescent="0.3">
      <c r="E104" s="154"/>
      <c r="F104" s="154"/>
      <c r="G104" s="154"/>
      <c r="H104" s="154"/>
      <c r="I104" s="154"/>
      <c r="J104" s="154"/>
      <c r="K104" s="154"/>
      <c r="L104" s="154"/>
      <c r="M104" s="154"/>
      <c r="N104" s="154"/>
      <c r="O104" s="154"/>
      <c r="P104" s="154"/>
      <c r="Q104" s="154"/>
      <c r="R104" s="154"/>
      <c r="S104" s="154"/>
      <c r="T104" s="154"/>
      <c r="U104" s="154"/>
      <c r="V104" s="154"/>
      <c r="W104" s="154"/>
      <c r="X104" s="154"/>
      <c r="Y104" s="154"/>
      <c r="Z104" s="154"/>
      <c r="AA104" s="154"/>
      <c r="AB104" s="154"/>
      <c r="AC104" s="154"/>
      <c r="AD104" s="154"/>
      <c r="AE104" s="154"/>
      <c r="AF104" s="154"/>
      <c r="AG104" s="154"/>
      <c r="AH104" s="154"/>
      <c r="AI104" s="154"/>
      <c r="AJ104" s="154"/>
      <c r="AK104" s="154"/>
      <c r="AL104" s="154"/>
      <c r="AM104" s="154"/>
      <c r="AN104" s="154"/>
    </row>
    <row r="105" spans="5:40" x14ac:dyDescent="0.3">
      <c r="E105" s="154"/>
      <c r="F105" s="154"/>
      <c r="G105" s="154"/>
      <c r="H105" s="154"/>
      <c r="I105" s="154"/>
      <c r="J105" s="154"/>
      <c r="K105" s="154"/>
      <c r="L105" s="154"/>
      <c r="M105" s="154"/>
      <c r="N105" s="154"/>
      <c r="O105" s="154"/>
      <c r="P105" s="154"/>
      <c r="Q105" s="154"/>
      <c r="R105" s="154"/>
      <c r="S105" s="154"/>
      <c r="T105" s="154"/>
      <c r="U105" s="154"/>
      <c r="V105" s="154"/>
      <c r="W105" s="154"/>
      <c r="X105" s="154"/>
      <c r="Y105" s="154"/>
      <c r="Z105" s="154"/>
      <c r="AA105" s="154"/>
      <c r="AB105" s="154"/>
      <c r="AC105" s="154"/>
      <c r="AD105" s="154"/>
      <c r="AE105" s="154"/>
      <c r="AF105" s="154"/>
      <c r="AG105" s="154"/>
      <c r="AH105" s="154"/>
      <c r="AI105" s="154"/>
      <c r="AJ105" s="154"/>
      <c r="AK105" s="154"/>
      <c r="AL105" s="154"/>
      <c r="AM105" s="154"/>
      <c r="AN105" s="154"/>
    </row>
    <row r="106" spans="5:40" x14ac:dyDescent="0.3">
      <c r="E106" s="154"/>
      <c r="F106" s="154"/>
      <c r="G106" s="154"/>
      <c r="H106" s="154"/>
      <c r="I106" s="154"/>
      <c r="J106" s="154"/>
      <c r="K106" s="154"/>
      <c r="L106" s="154"/>
      <c r="M106" s="154"/>
      <c r="N106" s="154"/>
      <c r="O106" s="154"/>
      <c r="P106" s="154"/>
      <c r="Q106" s="154"/>
      <c r="R106" s="154"/>
      <c r="S106" s="154"/>
      <c r="T106" s="154"/>
      <c r="U106" s="154"/>
      <c r="V106" s="154"/>
      <c r="W106" s="154"/>
      <c r="X106" s="154"/>
      <c r="Y106" s="154"/>
      <c r="Z106" s="154"/>
      <c r="AA106" s="154"/>
      <c r="AB106" s="154"/>
      <c r="AC106" s="154"/>
      <c r="AD106" s="154"/>
      <c r="AE106" s="154"/>
      <c r="AF106" s="154"/>
      <c r="AG106" s="154"/>
      <c r="AH106" s="154"/>
      <c r="AI106" s="154"/>
      <c r="AJ106" s="154"/>
      <c r="AK106" s="154"/>
      <c r="AL106" s="154"/>
      <c r="AM106" s="154"/>
      <c r="AN106" s="154"/>
    </row>
    <row r="107" spans="5:40" x14ac:dyDescent="0.3">
      <c r="E107" s="154"/>
      <c r="F107" s="154"/>
      <c r="G107" s="154"/>
      <c r="H107" s="154"/>
      <c r="I107" s="154"/>
      <c r="J107" s="154"/>
      <c r="K107" s="154"/>
      <c r="L107" s="154"/>
      <c r="M107" s="154"/>
      <c r="N107" s="154"/>
      <c r="O107" s="154"/>
      <c r="P107" s="154"/>
      <c r="Q107" s="154"/>
      <c r="R107" s="154"/>
      <c r="S107" s="154"/>
      <c r="T107" s="154"/>
      <c r="U107" s="154"/>
      <c r="V107" s="154"/>
      <c r="W107" s="154"/>
      <c r="X107" s="154"/>
      <c r="Y107" s="154"/>
      <c r="Z107" s="154"/>
      <c r="AA107" s="154"/>
      <c r="AB107" s="154"/>
      <c r="AC107" s="154"/>
      <c r="AD107" s="154"/>
      <c r="AE107" s="154"/>
      <c r="AF107" s="154"/>
      <c r="AG107" s="154"/>
      <c r="AH107" s="154"/>
      <c r="AI107" s="154"/>
      <c r="AJ107" s="154"/>
      <c r="AK107" s="154"/>
      <c r="AL107" s="154"/>
      <c r="AM107" s="154"/>
      <c r="AN107" s="154"/>
    </row>
    <row r="108" spans="5:40" x14ac:dyDescent="0.3">
      <c r="E108" s="154"/>
      <c r="F108" s="154"/>
      <c r="G108" s="154"/>
      <c r="H108" s="154"/>
      <c r="I108" s="154"/>
      <c r="J108" s="154"/>
      <c r="K108" s="154"/>
      <c r="L108" s="154"/>
      <c r="M108" s="154"/>
      <c r="N108" s="154"/>
      <c r="O108" s="154"/>
      <c r="P108" s="154"/>
      <c r="Q108" s="154"/>
      <c r="R108" s="154"/>
      <c r="S108" s="154"/>
      <c r="T108" s="154"/>
      <c r="U108" s="154"/>
      <c r="V108" s="154"/>
      <c r="W108" s="154"/>
      <c r="X108" s="154"/>
      <c r="Y108" s="154"/>
      <c r="Z108" s="154"/>
      <c r="AA108" s="154"/>
      <c r="AB108" s="154"/>
      <c r="AC108" s="154"/>
      <c r="AD108" s="154"/>
      <c r="AE108" s="154"/>
      <c r="AF108" s="154"/>
      <c r="AG108" s="154"/>
      <c r="AH108" s="154"/>
      <c r="AI108" s="154"/>
      <c r="AJ108" s="154"/>
      <c r="AK108" s="154"/>
      <c r="AL108" s="154"/>
      <c r="AM108" s="154"/>
      <c r="AN108" s="154"/>
    </row>
    <row r="109" spans="5:40" x14ac:dyDescent="0.3">
      <c r="E109" s="154"/>
      <c r="F109" s="154"/>
      <c r="G109" s="154"/>
      <c r="H109" s="154"/>
      <c r="I109" s="154"/>
      <c r="J109" s="154"/>
      <c r="K109" s="154"/>
      <c r="L109" s="154"/>
      <c r="M109" s="154"/>
      <c r="N109" s="154"/>
      <c r="O109" s="154"/>
      <c r="P109" s="154"/>
      <c r="Q109" s="154"/>
      <c r="R109" s="154"/>
      <c r="S109" s="154"/>
      <c r="T109" s="154"/>
      <c r="U109" s="154"/>
      <c r="V109" s="154"/>
      <c r="W109" s="154"/>
      <c r="X109" s="154"/>
      <c r="Y109" s="154"/>
      <c r="Z109" s="154"/>
      <c r="AA109" s="154"/>
      <c r="AB109" s="154"/>
      <c r="AC109" s="154"/>
      <c r="AD109" s="154"/>
      <c r="AE109" s="154"/>
      <c r="AF109" s="154"/>
      <c r="AG109" s="154"/>
      <c r="AH109" s="154"/>
      <c r="AI109" s="154"/>
      <c r="AJ109" s="154"/>
      <c r="AK109" s="154"/>
      <c r="AL109" s="154"/>
      <c r="AM109" s="154"/>
      <c r="AN109" s="154"/>
    </row>
    <row r="110" spans="5:40" x14ac:dyDescent="0.3">
      <c r="E110" s="154"/>
      <c r="F110" s="154"/>
      <c r="G110" s="154"/>
      <c r="H110" s="154"/>
      <c r="I110" s="154"/>
      <c r="J110" s="154"/>
      <c r="K110" s="154"/>
      <c r="L110" s="154"/>
      <c r="M110" s="154"/>
      <c r="N110" s="154"/>
      <c r="O110" s="154"/>
      <c r="P110" s="154"/>
      <c r="Q110" s="154"/>
      <c r="R110" s="154"/>
      <c r="S110" s="154"/>
      <c r="T110" s="154"/>
      <c r="U110" s="154"/>
      <c r="V110" s="154"/>
      <c r="W110" s="154"/>
      <c r="X110" s="154"/>
      <c r="Y110" s="154"/>
      <c r="Z110" s="154"/>
      <c r="AA110" s="154"/>
      <c r="AB110" s="154"/>
      <c r="AC110" s="154"/>
      <c r="AD110" s="154"/>
      <c r="AE110" s="154"/>
      <c r="AF110" s="154"/>
      <c r="AG110" s="154"/>
      <c r="AH110" s="154"/>
      <c r="AI110" s="154"/>
      <c r="AJ110" s="154"/>
      <c r="AK110" s="154"/>
      <c r="AL110" s="154"/>
      <c r="AM110" s="154"/>
      <c r="AN110" s="154"/>
    </row>
    <row r="111" spans="5:40" x14ac:dyDescent="0.3">
      <c r="E111" s="154"/>
      <c r="F111" s="154"/>
      <c r="G111" s="154"/>
      <c r="H111" s="154"/>
      <c r="I111" s="154"/>
      <c r="J111" s="154"/>
      <c r="K111" s="154"/>
      <c r="L111" s="154"/>
      <c r="M111" s="154"/>
      <c r="N111" s="154"/>
      <c r="O111" s="154"/>
      <c r="P111" s="154"/>
      <c r="Q111" s="154"/>
      <c r="R111" s="154"/>
      <c r="S111" s="154"/>
      <c r="T111" s="154"/>
      <c r="U111" s="154"/>
      <c r="V111" s="154"/>
      <c r="W111" s="154"/>
      <c r="X111" s="154"/>
      <c r="Y111" s="154"/>
      <c r="Z111" s="154"/>
      <c r="AA111" s="154"/>
      <c r="AB111" s="154"/>
      <c r="AC111" s="154"/>
      <c r="AD111" s="154"/>
      <c r="AE111" s="154"/>
      <c r="AF111" s="154"/>
      <c r="AG111" s="154"/>
      <c r="AH111" s="154"/>
      <c r="AI111" s="154"/>
      <c r="AJ111" s="154"/>
      <c r="AK111" s="154"/>
      <c r="AL111" s="154"/>
      <c r="AM111" s="154"/>
      <c r="AN111" s="154"/>
    </row>
    <row r="112" spans="5:40" x14ac:dyDescent="0.3">
      <c r="E112" s="154"/>
      <c r="F112" s="154"/>
      <c r="G112" s="154"/>
      <c r="H112" s="154"/>
      <c r="I112" s="154"/>
      <c r="J112" s="154"/>
      <c r="K112" s="154"/>
      <c r="L112" s="154"/>
      <c r="M112" s="154"/>
      <c r="N112" s="154"/>
      <c r="O112" s="154"/>
      <c r="P112" s="154"/>
      <c r="Q112" s="154"/>
      <c r="R112" s="154"/>
      <c r="S112" s="154"/>
      <c r="T112" s="154"/>
      <c r="U112" s="154"/>
      <c r="V112" s="154"/>
      <c r="W112" s="154"/>
      <c r="X112" s="154"/>
      <c r="Y112" s="154"/>
      <c r="Z112" s="154"/>
      <c r="AA112" s="154"/>
      <c r="AB112" s="154"/>
      <c r="AC112" s="154"/>
      <c r="AD112" s="154"/>
      <c r="AE112" s="154"/>
      <c r="AF112" s="154"/>
      <c r="AG112" s="154"/>
      <c r="AH112" s="154"/>
      <c r="AI112" s="154"/>
      <c r="AJ112" s="154"/>
      <c r="AK112" s="154"/>
      <c r="AL112" s="154"/>
      <c r="AM112" s="154"/>
      <c r="AN112" s="154"/>
    </row>
    <row r="113" spans="5:40" x14ac:dyDescent="0.3">
      <c r="E113" s="154"/>
      <c r="F113" s="154"/>
      <c r="G113" s="154"/>
      <c r="H113" s="154"/>
      <c r="I113" s="154"/>
      <c r="J113" s="154"/>
      <c r="K113" s="154"/>
      <c r="L113" s="154"/>
      <c r="M113" s="154"/>
      <c r="N113" s="154"/>
      <c r="O113" s="154"/>
      <c r="P113" s="154"/>
      <c r="Q113" s="154"/>
      <c r="R113" s="154"/>
      <c r="S113" s="154"/>
      <c r="T113" s="154"/>
      <c r="U113" s="154"/>
      <c r="V113" s="154"/>
      <c r="W113" s="154"/>
      <c r="X113" s="154"/>
      <c r="Y113" s="154"/>
      <c r="Z113" s="154"/>
      <c r="AA113" s="154"/>
      <c r="AB113" s="154"/>
      <c r="AC113" s="154"/>
      <c r="AD113" s="154"/>
      <c r="AE113" s="154"/>
      <c r="AF113" s="154"/>
      <c r="AG113" s="154"/>
      <c r="AH113" s="154"/>
      <c r="AI113" s="154"/>
      <c r="AJ113" s="154"/>
      <c r="AK113" s="154"/>
      <c r="AL113" s="154"/>
      <c r="AM113" s="154"/>
      <c r="AN113" s="154"/>
    </row>
    <row r="114" spans="5:40" x14ac:dyDescent="0.3">
      <c r="E114" s="154"/>
      <c r="F114" s="154"/>
      <c r="G114" s="154"/>
      <c r="H114" s="154"/>
      <c r="I114" s="154"/>
      <c r="J114" s="154"/>
      <c r="K114" s="154"/>
      <c r="L114" s="154"/>
      <c r="M114" s="154"/>
      <c r="N114" s="154"/>
      <c r="O114" s="154"/>
      <c r="P114" s="154"/>
      <c r="Q114" s="154"/>
      <c r="R114" s="154"/>
      <c r="S114" s="154"/>
      <c r="T114" s="154"/>
      <c r="U114" s="154"/>
      <c r="V114" s="154"/>
      <c r="W114" s="154"/>
      <c r="X114" s="154"/>
      <c r="Y114" s="154"/>
      <c r="Z114" s="154"/>
      <c r="AA114" s="154"/>
      <c r="AB114" s="154"/>
      <c r="AC114" s="154"/>
      <c r="AD114" s="154"/>
      <c r="AE114" s="154"/>
      <c r="AF114" s="154"/>
      <c r="AG114" s="154"/>
      <c r="AH114" s="154"/>
      <c r="AI114" s="154"/>
      <c r="AJ114" s="154"/>
      <c r="AK114" s="154"/>
      <c r="AL114" s="154"/>
      <c r="AM114" s="154"/>
      <c r="AN114" s="154"/>
    </row>
    <row r="115" spans="5:40" x14ac:dyDescent="0.3">
      <c r="E115" s="154"/>
      <c r="F115" s="154"/>
      <c r="G115" s="154"/>
      <c r="H115" s="154"/>
      <c r="I115" s="154"/>
      <c r="J115" s="154"/>
      <c r="K115" s="154"/>
      <c r="L115" s="154"/>
      <c r="M115" s="154"/>
      <c r="N115" s="154"/>
      <c r="O115" s="154"/>
      <c r="P115" s="154"/>
      <c r="Q115" s="154"/>
      <c r="R115" s="154"/>
      <c r="S115" s="154"/>
      <c r="T115" s="154"/>
      <c r="U115" s="154"/>
      <c r="V115" s="154"/>
      <c r="W115" s="154"/>
      <c r="X115" s="154"/>
      <c r="Y115" s="154"/>
      <c r="Z115" s="154"/>
      <c r="AA115" s="154"/>
      <c r="AB115" s="154"/>
      <c r="AC115" s="154"/>
      <c r="AD115" s="154"/>
      <c r="AE115" s="154"/>
      <c r="AF115" s="154"/>
      <c r="AG115" s="154"/>
      <c r="AH115" s="154"/>
      <c r="AI115" s="154"/>
      <c r="AJ115" s="154"/>
      <c r="AK115" s="154"/>
      <c r="AL115" s="154"/>
      <c r="AM115" s="154"/>
      <c r="AN115" s="154"/>
    </row>
    <row r="116" spans="5:40" x14ac:dyDescent="0.3">
      <c r="E116" s="154"/>
      <c r="F116" s="154"/>
      <c r="G116" s="154"/>
      <c r="H116" s="154"/>
      <c r="I116" s="154"/>
      <c r="J116" s="154"/>
      <c r="K116" s="154"/>
      <c r="L116" s="154"/>
      <c r="M116" s="154"/>
      <c r="N116" s="154"/>
      <c r="O116" s="154"/>
      <c r="P116" s="154"/>
      <c r="Q116" s="154"/>
      <c r="R116" s="154"/>
      <c r="S116" s="154"/>
      <c r="T116" s="154"/>
      <c r="U116" s="154"/>
      <c r="V116" s="154"/>
      <c r="W116" s="154"/>
      <c r="X116" s="154"/>
      <c r="Y116" s="154"/>
      <c r="Z116" s="154"/>
      <c r="AA116" s="154"/>
      <c r="AB116" s="154"/>
      <c r="AC116" s="154"/>
      <c r="AD116" s="154"/>
      <c r="AE116" s="154"/>
      <c r="AF116" s="154"/>
      <c r="AG116" s="154"/>
      <c r="AH116" s="154"/>
      <c r="AI116" s="154"/>
      <c r="AJ116" s="154"/>
      <c r="AK116" s="154"/>
      <c r="AL116" s="154"/>
      <c r="AM116" s="154"/>
      <c r="AN116" s="154"/>
    </row>
    <row r="117" spans="5:40" x14ac:dyDescent="0.3">
      <c r="E117" s="154"/>
      <c r="F117" s="154"/>
      <c r="G117" s="154"/>
      <c r="H117" s="154"/>
      <c r="I117" s="154"/>
      <c r="J117" s="154"/>
      <c r="K117" s="154"/>
      <c r="L117" s="154"/>
      <c r="M117" s="154"/>
      <c r="N117" s="154"/>
      <c r="O117" s="154"/>
      <c r="P117" s="154"/>
      <c r="Q117" s="154"/>
      <c r="R117" s="154"/>
      <c r="S117" s="154"/>
      <c r="T117" s="154"/>
      <c r="U117" s="154"/>
      <c r="V117" s="154"/>
      <c r="W117" s="154"/>
      <c r="X117" s="154"/>
      <c r="Y117" s="154"/>
      <c r="Z117" s="154"/>
      <c r="AA117" s="154"/>
      <c r="AB117" s="154"/>
      <c r="AC117" s="154"/>
      <c r="AD117" s="154"/>
      <c r="AE117" s="154"/>
      <c r="AF117" s="154"/>
      <c r="AG117" s="154"/>
      <c r="AH117" s="154"/>
      <c r="AI117" s="154"/>
      <c r="AJ117" s="154"/>
      <c r="AK117" s="154"/>
      <c r="AL117" s="154"/>
      <c r="AM117" s="154"/>
      <c r="AN117" s="154"/>
    </row>
    <row r="118" spans="5:40" x14ac:dyDescent="0.3">
      <c r="E118" s="154"/>
      <c r="F118" s="154"/>
      <c r="G118" s="154"/>
      <c r="H118" s="154"/>
      <c r="I118" s="154"/>
      <c r="J118" s="154"/>
      <c r="K118" s="154"/>
      <c r="L118" s="154"/>
      <c r="M118" s="154"/>
      <c r="N118" s="154"/>
      <c r="O118" s="154"/>
      <c r="P118" s="154"/>
      <c r="Q118" s="154"/>
      <c r="R118" s="154"/>
      <c r="S118" s="154"/>
      <c r="T118" s="154"/>
      <c r="U118" s="154"/>
      <c r="V118" s="154"/>
      <c r="W118" s="154"/>
      <c r="X118" s="154"/>
      <c r="Y118" s="154"/>
      <c r="Z118" s="154"/>
      <c r="AA118" s="154"/>
      <c r="AB118" s="154"/>
      <c r="AC118" s="154"/>
      <c r="AD118" s="154"/>
      <c r="AE118" s="154"/>
      <c r="AF118" s="154"/>
      <c r="AG118" s="154"/>
      <c r="AH118" s="154"/>
      <c r="AI118" s="154"/>
      <c r="AJ118" s="154"/>
      <c r="AK118" s="154"/>
      <c r="AL118" s="154"/>
      <c r="AM118" s="154"/>
      <c r="AN118" s="154"/>
    </row>
    <row r="119" spans="5:40" x14ac:dyDescent="0.3">
      <c r="E119" s="154"/>
      <c r="F119" s="154"/>
      <c r="G119" s="154"/>
      <c r="H119" s="154"/>
      <c r="I119" s="154"/>
      <c r="J119" s="154"/>
      <c r="K119" s="154"/>
      <c r="L119" s="154"/>
      <c r="M119" s="154"/>
      <c r="N119" s="154"/>
      <c r="O119" s="154"/>
      <c r="P119" s="154"/>
      <c r="Q119" s="154"/>
      <c r="R119" s="154"/>
      <c r="S119" s="154"/>
      <c r="T119" s="154"/>
      <c r="U119" s="154"/>
      <c r="V119" s="154"/>
      <c r="W119" s="154"/>
      <c r="X119" s="154"/>
      <c r="Y119" s="154"/>
      <c r="Z119" s="154"/>
      <c r="AA119" s="154"/>
      <c r="AB119" s="154"/>
      <c r="AC119" s="154"/>
      <c r="AD119" s="154"/>
      <c r="AE119" s="154"/>
      <c r="AF119" s="154"/>
      <c r="AG119" s="154"/>
      <c r="AH119" s="154"/>
      <c r="AI119" s="154"/>
      <c r="AJ119" s="154"/>
      <c r="AK119" s="154"/>
      <c r="AL119" s="154"/>
      <c r="AM119" s="154"/>
      <c r="AN119" s="154"/>
    </row>
    <row r="120" spans="5:40" x14ac:dyDescent="0.3">
      <c r="E120" s="154"/>
      <c r="F120" s="154"/>
      <c r="G120" s="154"/>
      <c r="H120" s="154"/>
      <c r="I120" s="154"/>
      <c r="J120" s="154"/>
      <c r="K120" s="154"/>
      <c r="L120" s="154"/>
      <c r="M120" s="154"/>
      <c r="N120" s="154"/>
      <c r="O120" s="154"/>
      <c r="P120" s="154"/>
      <c r="Q120" s="154"/>
      <c r="R120" s="154"/>
      <c r="S120" s="154"/>
      <c r="T120" s="154"/>
      <c r="U120" s="154"/>
      <c r="V120" s="154"/>
      <c r="W120" s="154"/>
      <c r="X120" s="154"/>
      <c r="Y120" s="154"/>
      <c r="Z120" s="154"/>
      <c r="AA120" s="154"/>
      <c r="AB120" s="154"/>
      <c r="AC120" s="154"/>
      <c r="AD120" s="154"/>
      <c r="AE120" s="154"/>
      <c r="AF120" s="154"/>
      <c r="AG120" s="154"/>
      <c r="AH120" s="154"/>
      <c r="AI120" s="154"/>
      <c r="AJ120" s="154"/>
      <c r="AK120" s="154"/>
      <c r="AL120" s="154"/>
      <c r="AM120" s="154"/>
      <c r="AN120" s="154"/>
    </row>
    <row r="121" spans="5:40" x14ac:dyDescent="0.3">
      <c r="E121" s="154"/>
      <c r="F121" s="154"/>
      <c r="G121" s="154"/>
      <c r="H121" s="154"/>
      <c r="I121" s="154"/>
      <c r="J121" s="154"/>
      <c r="K121" s="154"/>
      <c r="L121" s="154"/>
      <c r="M121" s="154"/>
      <c r="N121" s="154"/>
      <c r="O121" s="154"/>
      <c r="P121" s="154"/>
      <c r="Q121" s="154"/>
      <c r="R121" s="154"/>
      <c r="S121" s="154"/>
      <c r="T121" s="154"/>
      <c r="U121" s="154"/>
      <c r="V121" s="154"/>
      <c r="W121" s="154"/>
      <c r="X121" s="154"/>
      <c r="Y121" s="154"/>
      <c r="Z121" s="154"/>
      <c r="AA121" s="154"/>
      <c r="AB121" s="154"/>
      <c r="AC121" s="154"/>
      <c r="AD121" s="154"/>
      <c r="AE121" s="154"/>
      <c r="AF121" s="154"/>
      <c r="AG121" s="154"/>
      <c r="AH121" s="154"/>
      <c r="AI121" s="154"/>
      <c r="AJ121" s="154"/>
      <c r="AK121" s="154"/>
      <c r="AL121" s="154"/>
      <c r="AM121" s="154"/>
      <c r="AN121" s="154"/>
    </row>
    <row r="122" spans="5:40" x14ac:dyDescent="0.3">
      <c r="E122" s="154"/>
      <c r="F122" s="154"/>
      <c r="G122" s="154"/>
      <c r="H122" s="154"/>
      <c r="I122" s="154"/>
      <c r="J122" s="154"/>
      <c r="K122" s="154"/>
      <c r="L122" s="154"/>
      <c r="M122" s="154"/>
      <c r="N122" s="154"/>
      <c r="O122" s="154"/>
      <c r="P122" s="154"/>
      <c r="Q122" s="154"/>
      <c r="R122" s="154"/>
      <c r="S122" s="154"/>
      <c r="T122" s="154"/>
      <c r="U122" s="154"/>
      <c r="V122" s="154"/>
      <c r="W122" s="154"/>
      <c r="X122" s="154"/>
      <c r="Y122" s="154"/>
      <c r="Z122" s="154"/>
      <c r="AA122" s="154"/>
      <c r="AB122" s="154"/>
      <c r="AC122" s="154"/>
      <c r="AD122" s="154"/>
      <c r="AE122" s="154"/>
      <c r="AF122" s="154"/>
      <c r="AG122" s="154"/>
      <c r="AH122" s="154"/>
      <c r="AI122" s="154"/>
      <c r="AJ122" s="154"/>
      <c r="AK122" s="154"/>
      <c r="AL122" s="154"/>
      <c r="AM122" s="154"/>
      <c r="AN122" s="154"/>
    </row>
    <row r="123" spans="5:40" x14ac:dyDescent="0.3">
      <c r="E123" s="154"/>
      <c r="F123" s="154"/>
      <c r="G123" s="154"/>
      <c r="H123" s="154"/>
      <c r="I123" s="154"/>
      <c r="J123" s="154"/>
      <c r="K123" s="154"/>
      <c r="L123" s="154"/>
      <c r="M123" s="154"/>
      <c r="N123" s="154"/>
      <c r="O123" s="154"/>
      <c r="P123" s="154"/>
      <c r="Q123" s="154"/>
      <c r="R123" s="154"/>
      <c r="S123" s="154"/>
      <c r="T123" s="154"/>
      <c r="U123" s="154"/>
      <c r="V123" s="154"/>
      <c r="W123" s="154"/>
      <c r="X123" s="154"/>
      <c r="Y123" s="154"/>
      <c r="Z123" s="154"/>
      <c r="AA123" s="154"/>
      <c r="AB123" s="154"/>
      <c r="AC123" s="154"/>
      <c r="AD123" s="154"/>
      <c r="AE123" s="154"/>
      <c r="AF123" s="154"/>
      <c r="AG123" s="154"/>
      <c r="AH123" s="154"/>
      <c r="AI123" s="154"/>
      <c r="AJ123" s="154"/>
      <c r="AK123" s="154"/>
      <c r="AL123" s="154"/>
      <c r="AM123" s="154"/>
      <c r="AN123" s="154"/>
    </row>
    <row r="124" spans="5:40" x14ac:dyDescent="0.3">
      <c r="E124" s="154"/>
      <c r="F124" s="154"/>
      <c r="G124" s="154"/>
      <c r="H124" s="154"/>
      <c r="I124" s="154"/>
      <c r="J124" s="154"/>
      <c r="K124" s="154"/>
      <c r="L124" s="154"/>
      <c r="M124" s="154"/>
      <c r="N124" s="154"/>
      <c r="O124" s="154"/>
      <c r="P124" s="154"/>
      <c r="Q124" s="154"/>
      <c r="R124" s="154"/>
      <c r="S124" s="154"/>
      <c r="T124" s="154"/>
      <c r="U124" s="154"/>
      <c r="V124" s="154"/>
      <c r="W124" s="154"/>
      <c r="X124" s="154"/>
      <c r="Y124" s="154"/>
      <c r="Z124" s="154"/>
      <c r="AA124" s="154"/>
      <c r="AB124" s="154"/>
      <c r="AC124" s="154"/>
      <c r="AD124" s="154"/>
      <c r="AE124" s="154"/>
      <c r="AF124" s="154"/>
      <c r="AG124" s="154"/>
      <c r="AH124" s="154"/>
      <c r="AI124" s="154"/>
      <c r="AJ124" s="154"/>
      <c r="AK124" s="154"/>
      <c r="AL124" s="154"/>
      <c r="AM124" s="154"/>
      <c r="AN124" s="154"/>
    </row>
    <row r="125" spans="5:40" x14ac:dyDescent="0.3">
      <c r="E125" s="154"/>
      <c r="F125" s="154"/>
      <c r="G125" s="154"/>
      <c r="H125" s="154"/>
      <c r="I125" s="154"/>
      <c r="J125" s="154"/>
      <c r="K125" s="154"/>
      <c r="L125" s="154"/>
      <c r="M125" s="154"/>
      <c r="N125" s="154"/>
      <c r="O125" s="154"/>
      <c r="P125" s="154"/>
      <c r="Q125" s="154"/>
      <c r="R125" s="154"/>
      <c r="S125" s="154"/>
      <c r="T125" s="154"/>
      <c r="U125" s="154"/>
      <c r="V125" s="154"/>
      <c r="W125" s="154"/>
      <c r="X125" s="154"/>
      <c r="Y125" s="154"/>
      <c r="Z125" s="154"/>
      <c r="AA125" s="154"/>
      <c r="AB125" s="154"/>
      <c r="AC125" s="154"/>
      <c r="AD125" s="154"/>
      <c r="AE125" s="154"/>
      <c r="AF125" s="154"/>
      <c r="AG125" s="154"/>
      <c r="AH125" s="154"/>
      <c r="AI125" s="154"/>
      <c r="AJ125" s="154"/>
      <c r="AK125" s="154"/>
      <c r="AL125" s="154"/>
      <c r="AM125" s="154"/>
      <c r="AN125" s="154"/>
    </row>
    <row r="126" spans="5:40" x14ac:dyDescent="0.3">
      <c r="E126" s="154"/>
      <c r="F126" s="154"/>
      <c r="G126" s="154"/>
      <c r="H126" s="154"/>
      <c r="I126" s="154"/>
      <c r="J126" s="154"/>
      <c r="K126" s="154"/>
      <c r="L126" s="154"/>
      <c r="M126" s="154"/>
      <c r="N126" s="154"/>
      <c r="O126" s="154"/>
      <c r="P126" s="154"/>
      <c r="Q126" s="154"/>
      <c r="R126" s="154"/>
      <c r="S126" s="154"/>
      <c r="T126" s="154"/>
      <c r="U126" s="154"/>
      <c r="V126" s="154"/>
      <c r="W126" s="154"/>
      <c r="X126" s="154"/>
      <c r="Y126" s="154"/>
      <c r="Z126" s="154"/>
      <c r="AA126" s="154"/>
      <c r="AB126" s="154"/>
      <c r="AC126" s="154"/>
      <c r="AD126" s="154"/>
      <c r="AE126" s="154"/>
      <c r="AF126" s="154"/>
      <c r="AG126" s="154"/>
      <c r="AH126" s="154"/>
      <c r="AI126" s="154"/>
      <c r="AJ126" s="154"/>
      <c r="AK126" s="154"/>
      <c r="AL126" s="154"/>
      <c r="AM126" s="154"/>
      <c r="AN126" s="154"/>
    </row>
    <row r="127" spans="5:40" x14ac:dyDescent="0.3">
      <c r="E127" s="154"/>
      <c r="F127" s="154"/>
      <c r="G127" s="154"/>
      <c r="H127" s="154"/>
      <c r="I127" s="154"/>
      <c r="J127" s="154"/>
      <c r="K127" s="154"/>
      <c r="L127" s="154"/>
      <c r="M127" s="154"/>
      <c r="N127" s="154"/>
      <c r="O127" s="154"/>
      <c r="P127" s="154"/>
      <c r="Q127" s="154"/>
      <c r="R127" s="154"/>
      <c r="S127" s="154"/>
      <c r="T127" s="154"/>
      <c r="U127" s="154"/>
      <c r="V127" s="154"/>
      <c r="W127" s="154"/>
      <c r="X127" s="154"/>
      <c r="Y127" s="154"/>
      <c r="Z127" s="154"/>
      <c r="AA127" s="154"/>
      <c r="AB127" s="154"/>
      <c r="AC127" s="154"/>
      <c r="AD127" s="154"/>
      <c r="AE127" s="154"/>
      <c r="AF127" s="154"/>
      <c r="AG127" s="154"/>
      <c r="AH127" s="154"/>
      <c r="AI127" s="154"/>
      <c r="AJ127" s="154"/>
      <c r="AK127" s="154"/>
      <c r="AL127" s="154"/>
      <c r="AM127" s="154"/>
      <c r="AN127" s="154"/>
    </row>
    <row r="128" spans="5:40" x14ac:dyDescent="0.3">
      <c r="E128" s="154"/>
      <c r="F128" s="154"/>
      <c r="G128" s="154"/>
      <c r="H128" s="154"/>
      <c r="I128" s="154"/>
      <c r="J128" s="154"/>
      <c r="K128" s="154"/>
      <c r="L128" s="154"/>
      <c r="M128" s="154"/>
      <c r="N128" s="154"/>
      <c r="O128" s="154"/>
      <c r="P128" s="154"/>
      <c r="Q128" s="154"/>
      <c r="R128" s="154"/>
      <c r="S128" s="154"/>
      <c r="T128" s="154"/>
      <c r="U128" s="154"/>
      <c r="V128" s="154"/>
      <c r="W128" s="154"/>
      <c r="X128" s="154"/>
      <c r="Y128" s="154"/>
      <c r="Z128" s="154"/>
      <c r="AA128" s="154"/>
      <c r="AB128" s="154"/>
      <c r="AC128" s="154"/>
      <c r="AD128" s="154"/>
      <c r="AE128" s="154"/>
      <c r="AF128" s="154"/>
      <c r="AG128" s="154"/>
      <c r="AH128" s="154"/>
      <c r="AI128" s="154"/>
      <c r="AJ128" s="154"/>
      <c r="AK128" s="154"/>
      <c r="AL128" s="154"/>
      <c r="AM128" s="154"/>
      <c r="AN128" s="154"/>
    </row>
    <row r="129" spans="5:40" x14ac:dyDescent="0.3">
      <c r="E129" s="154"/>
      <c r="F129" s="154"/>
      <c r="G129" s="154"/>
      <c r="H129" s="154"/>
      <c r="I129" s="154"/>
      <c r="J129" s="154"/>
      <c r="K129" s="154"/>
      <c r="L129" s="154"/>
      <c r="M129" s="154"/>
      <c r="N129" s="154"/>
      <c r="O129" s="154"/>
      <c r="P129" s="154"/>
      <c r="Q129" s="154"/>
      <c r="R129" s="154"/>
      <c r="S129" s="154"/>
      <c r="T129" s="154"/>
      <c r="U129" s="154"/>
      <c r="V129" s="154"/>
      <c r="W129" s="154"/>
      <c r="X129" s="154"/>
      <c r="Y129" s="154"/>
      <c r="Z129" s="154"/>
      <c r="AA129" s="154"/>
      <c r="AB129" s="154"/>
      <c r="AC129" s="154"/>
      <c r="AD129" s="154"/>
      <c r="AE129" s="154"/>
      <c r="AF129" s="154"/>
      <c r="AG129" s="154"/>
      <c r="AH129" s="154"/>
      <c r="AI129" s="154"/>
      <c r="AJ129" s="154"/>
      <c r="AK129" s="154"/>
      <c r="AL129" s="154"/>
      <c r="AM129" s="154"/>
      <c r="AN129" s="154"/>
    </row>
    <row r="130" spans="5:40" x14ac:dyDescent="0.3">
      <c r="E130" s="154"/>
      <c r="F130" s="154"/>
      <c r="G130" s="154"/>
      <c r="H130" s="154"/>
      <c r="I130" s="154"/>
      <c r="J130" s="154"/>
      <c r="K130" s="154"/>
      <c r="L130" s="154"/>
      <c r="M130" s="154"/>
      <c r="N130" s="154"/>
      <c r="O130" s="154"/>
      <c r="P130" s="154"/>
      <c r="Q130" s="154"/>
      <c r="R130" s="154"/>
      <c r="S130" s="154"/>
      <c r="T130" s="154"/>
      <c r="U130" s="154"/>
      <c r="V130" s="154"/>
      <c r="W130" s="154"/>
      <c r="X130" s="154"/>
      <c r="Y130" s="154"/>
      <c r="Z130" s="154"/>
      <c r="AA130" s="154"/>
      <c r="AB130" s="154"/>
      <c r="AC130" s="154"/>
      <c r="AD130" s="154"/>
      <c r="AE130" s="154"/>
      <c r="AF130" s="154"/>
      <c r="AG130" s="154"/>
      <c r="AH130" s="154"/>
      <c r="AI130" s="154"/>
      <c r="AJ130" s="154"/>
      <c r="AK130" s="154"/>
      <c r="AL130" s="154"/>
      <c r="AM130" s="154"/>
      <c r="AN130" s="154"/>
    </row>
    <row r="131" spans="5:40" x14ac:dyDescent="0.3">
      <c r="E131" s="154"/>
      <c r="F131" s="154"/>
      <c r="G131" s="154"/>
      <c r="H131" s="154"/>
      <c r="I131" s="154"/>
      <c r="J131" s="154"/>
      <c r="K131" s="154"/>
      <c r="L131" s="154"/>
      <c r="M131" s="154"/>
      <c r="N131" s="154"/>
      <c r="O131" s="154"/>
      <c r="P131" s="154"/>
      <c r="Q131" s="154"/>
      <c r="R131" s="154"/>
      <c r="S131" s="154"/>
      <c r="T131" s="154"/>
      <c r="U131" s="154"/>
      <c r="V131" s="154"/>
      <c r="W131" s="154"/>
      <c r="X131" s="154"/>
      <c r="Y131" s="154"/>
      <c r="Z131" s="154"/>
      <c r="AA131" s="154"/>
      <c r="AB131" s="154"/>
      <c r="AC131" s="154"/>
      <c r="AD131" s="154"/>
      <c r="AE131" s="154"/>
      <c r="AF131" s="154"/>
      <c r="AG131" s="154"/>
      <c r="AH131" s="154"/>
      <c r="AI131" s="154"/>
      <c r="AJ131" s="154"/>
      <c r="AK131" s="154"/>
      <c r="AL131" s="154"/>
      <c r="AM131" s="154"/>
      <c r="AN131" s="154"/>
    </row>
    <row r="132" spans="5:40" x14ac:dyDescent="0.3">
      <c r="E132" s="154"/>
      <c r="F132" s="154"/>
      <c r="G132" s="154"/>
      <c r="H132" s="154"/>
      <c r="I132" s="154"/>
      <c r="J132" s="154"/>
      <c r="K132" s="154"/>
      <c r="L132" s="154"/>
      <c r="M132" s="154"/>
      <c r="N132" s="154"/>
      <c r="O132" s="154"/>
      <c r="P132" s="154"/>
      <c r="Q132" s="154"/>
      <c r="R132" s="154"/>
      <c r="S132" s="154"/>
      <c r="T132" s="154"/>
      <c r="U132" s="154"/>
      <c r="V132" s="154"/>
      <c r="W132" s="154"/>
      <c r="X132" s="154"/>
      <c r="Y132" s="154"/>
      <c r="Z132" s="154"/>
      <c r="AA132" s="154"/>
      <c r="AB132" s="154"/>
      <c r="AC132" s="154"/>
      <c r="AD132" s="154"/>
      <c r="AE132" s="154"/>
      <c r="AF132" s="154"/>
      <c r="AG132" s="154"/>
      <c r="AH132" s="154"/>
      <c r="AI132" s="154"/>
      <c r="AJ132" s="154"/>
      <c r="AK132" s="154"/>
      <c r="AL132" s="154"/>
      <c r="AM132" s="154"/>
      <c r="AN132" s="154"/>
    </row>
    <row r="133" spans="5:40" x14ac:dyDescent="0.3">
      <c r="E133" s="154"/>
      <c r="F133" s="154"/>
      <c r="G133" s="154"/>
      <c r="H133" s="154"/>
      <c r="I133" s="154"/>
      <c r="J133" s="154"/>
      <c r="K133" s="154"/>
      <c r="L133" s="154"/>
      <c r="M133" s="154"/>
      <c r="N133" s="154"/>
      <c r="O133" s="154"/>
      <c r="P133" s="154"/>
      <c r="Q133" s="154"/>
      <c r="R133" s="154"/>
      <c r="S133" s="154"/>
      <c r="T133" s="154"/>
      <c r="U133" s="154"/>
      <c r="V133" s="154"/>
      <c r="W133" s="154"/>
      <c r="X133" s="154"/>
      <c r="Y133" s="154"/>
      <c r="Z133" s="154"/>
      <c r="AA133" s="154"/>
      <c r="AB133" s="154"/>
      <c r="AC133" s="154"/>
      <c r="AD133" s="154"/>
      <c r="AE133" s="154"/>
      <c r="AF133" s="154"/>
      <c r="AG133" s="154"/>
      <c r="AH133" s="154"/>
      <c r="AI133" s="154"/>
      <c r="AJ133" s="154"/>
      <c r="AK133" s="154"/>
      <c r="AL133" s="154"/>
      <c r="AM133" s="154"/>
      <c r="AN133" s="154"/>
    </row>
    <row r="134" spans="5:40" x14ac:dyDescent="0.3">
      <c r="E134" s="154"/>
      <c r="F134" s="154"/>
      <c r="G134" s="154"/>
      <c r="H134" s="154"/>
      <c r="I134" s="154"/>
      <c r="J134" s="154"/>
      <c r="K134" s="154"/>
      <c r="L134" s="154"/>
      <c r="M134" s="154"/>
      <c r="N134" s="154"/>
      <c r="O134" s="154"/>
      <c r="P134" s="154"/>
      <c r="Q134" s="154"/>
      <c r="R134" s="154"/>
      <c r="S134" s="154"/>
      <c r="T134" s="154"/>
      <c r="U134" s="154"/>
      <c r="V134" s="154"/>
      <c r="W134" s="154"/>
      <c r="X134" s="154"/>
      <c r="Y134" s="154"/>
      <c r="Z134" s="154"/>
      <c r="AA134" s="154"/>
      <c r="AB134" s="154"/>
      <c r="AC134" s="154"/>
      <c r="AD134" s="154"/>
      <c r="AE134" s="154"/>
      <c r="AF134" s="154"/>
      <c r="AG134" s="154"/>
      <c r="AH134" s="154"/>
      <c r="AI134" s="154"/>
      <c r="AJ134" s="154"/>
      <c r="AK134" s="154"/>
      <c r="AL134" s="154"/>
      <c r="AM134" s="154"/>
      <c r="AN134" s="154"/>
    </row>
    <row r="135" spans="5:40" x14ac:dyDescent="0.3">
      <c r="E135" s="154"/>
      <c r="F135" s="154"/>
      <c r="G135" s="154"/>
      <c r="H135" s="154"/>
      <c r="I135" s="154"/>
      <c r="J135" s="154"/>
      <c r="K135" s="154"/>
      <c r="L135" s="154"/>
      <c r="M135" s="154"/>
      <c r="N135" s="154"/>
      <c r="O135" s="154"/>
      <c r="P135" s="154"/>
      <c r="Q135" s="154"/>
      <c r="R135" s="154"/>
      <c r="S135" s="154"/>
      <c r="T135" s="154"/>
      <c r="U135" s="154"/>
      <c r="V135" s="154"/>
      <c r="W135" s="154"/>
      <c r="X135" s="154"/>
      <c r="Y135" s="154"/>
      <c r="Z135" s="154"/>
      <c r="AA135" s="154"/>
      <c r="AB135" s="154"/>
      <c r="AC135" s="154"/>
      <c r="AD135" s="154"/>
      <c r="AE135" s="154"/>
      <c r="AF135" s="154"/>
      <c r="AG135" s="154"/>
      <c r="AH135" s="154"/>
      <c r="AI135" s="154"/>
      <c r="AJ135" s="154"/>
      <c r="AK135" s="154"/>
      <c r="AL135" s="154"/>
      <c r="AM135" s="154"/>
      <c r="AN135" s="154"/>
    </row>
    <row r="136" spans="5:40" x14ac:dyDescent="0.3">
      <c r="E136" s="154"/>
      <c r="F136" s="154"/>
      <c r="G136" s="154"/>
      <c r="H136" s="154"/>
      <c r="I136" s="154"/>
      <c r="J136" s="154"/>
      <c r="K136" s="154"/>
      <c r="L136" s="154"/>
      <c r="M136" s="154"/>
      <c r="N136" s="154"/>
      <c r="O136" s="154"/>
      <c r="P136" s="154"/>
      <c r="Q136" s="154"/>
      <c r="R136" s="154"/>
      <c r="S136" s="154"/>
      <c r="T136" s="154"/>
      <c r="U136" s="154"/>
      <c r="V136" s="154"/>
      <c r="W136" s="154"/>
      <c r="X136" s="154"/>
      <c r="Y136" s="154"/>
      <c r="Z136" s="154"/>
      <c r="AA136" s="154"/>
      <c r="AB136" s="154"/>
      <c r="AC136" s="154"/>
      <c r="AD136" s="154"/>
      <c r="AE136" s="154"/>
      <c r="AF136" s="154"/>
      <c r="AG136" s="154"/>
      <c r="AH136" s="154"/>
      <c r="AI136" s="154"/>
      <c r="AJ136" s="154"/>
      <c r="AK136" s="154"/>
      <c r="AL136" s="154"/>
      <c r="AM136" s="154"/>
      <c r="AN136" s="154"/>
    </row>
    <row r="137" spans="5:40" x14ac:dyDescent="0.3">
      <c r="E137" s="154"/>
      <c r="F137" s="154"/>
      <c r="G137" s="154"/>
      <c r="H137" s="154"/>
      <c r="I137" s="154"/>
      <c r="J137" s="154"/>
      <c r="K137" s="154"/>
      <c r="L137" s="154"/>
      <c r="M137" s="154"/>
      <c r="N137" s="154"/>
      <c r="O137" s="154"/>
      <c r="P137" s="154"/>
      <c r="Q137" s="154"/>
      <c r="R137" s="154"/>
      <c r="S137" s="154"/>
      <c r="T137" s="154"/>
      <c r="U137" s="154"/>
      <c r="V137" s="154"/>
      <c r="W137" s="154"/>
      <c r="X137" s="154"/>
      <c r="Y137" s="154"/>
      <c r="Z137" s="154"/>
      <c r="AA137" s="154"/>
      <c r="AB137" s="154"/>
      <c r="AC137" s="154"/>
      <c r="AD137" s="154"/>
      <c r="AE137" s="154"/>
      <c r="AF137" s="154"/>
      <c r="AG137" s="154"/>
      <c r="AH137" s="154"/>
      <c r="AI137" s="154"/>
      <c r="AJ137" s="154"/>
      <c r="AK137" s="154"/>
      <c r="AL137" s="154"/>
      <c r="AM137" s="154"/>
      <c r="AN137" s="154"/>
    </row>
    <row r="138" spans="5:40" x14ac:dyDescent="0.3">
      <c r="E138" s="154"/>
      <c r="F138" s="154"/>
      <c r="G138" s="154"/>
      <c r="H138" s="154"/>
      <c r="I138" s="154"/>
      <c r="J138" s="154"/>
      <c r="K138" s="154"/>
      <c r="L138" s="154"/>
      <c r="M138" s="154"/>
      <c r="N138" s="154"/>
      <c r="O138" s="154"/>
      <c r="P138" s="154"/>
      <c r="Q138" s="154"/>
      <c r="R138" s="154"/>
      <c r="S138" s="154"/>
      <c r="T138" s="154"/>
      <c r="U138" s="154"/>
      <c r="V138" s="154"/>
      <c r="W138" s="154"/>
      <c r="X138" s="154"/>
      <c r="Y138" s="154"/>
      <c r="Z138" s="154"/>
      <c r="AA138" s="154"/>
      <c r="AB138" s="154"/>
      <c r="AC138" s="154"/>
      <c r="AD138" s="154"/>
      <c r="AE138" s="154"/>
      <c r="AF138" s="154"/>
      <c r="AG138" s="154"/>
      <c r="AH138" s="154"/>
      <c r="AI138" s="154"/>
      <c r="AJ138" s="154"/>
      <c r="AK138" s="154"/>
      <c r="AL138" s="154"/>
      <c r="AM138" s="154"/>
      <c r="AN138" s="154"/>
    </row>
    <row r="139" spans="5:40" x14ac:dyDescent="0.3">
      <c r="E139" s="154"/>
      <c r="F139" s="154"/>
      <c r="G139" s="154"/>
      <c r="H139" s="154"/>
      <c r="I139" s="154"/>
      <c r="J139" s="154"/>
      <c r="K139" s="154"/>
      <c r="L139" s="154"/>
      <c r="M139" s="154"/>
      <c r="N139" s="154"/>
      <c r="O139" s="154"/>
      <c r="P139" s="154"/>
      <c r="Q139" s="154"/>
      <c r="R139" s="154"/>
      <c r="S139" s="154"/>
      <c r="T139" s="154"/>
      <c r="U139" s="154"/>
      <c r="V139" s="154"/>
      <c r="W139" s="154"/>
      <c r="X139" s="154"/>
      <c r="Y139" s="154"/>
      <c r="Z139" s="154"/>
      <c r="AA139" s="154"/>
      <c r="AB139" s="154"/>
      <c r="AC139" s="154"/>
      <c r="AD139" s="154"/>
      <c r="AE139" s="154"/>
      <c r="AF139" s="154"/>
      <c r="AG139" s="154"/>
      <c r="AH139" s="154"/>
      <c r="AI139" s="154"/>
      <c r="AJ139" s="154"/>
      <c r="AK139" s="154"/>
      <c r="AL139" s="154"/>
      <c r="AM139" s="154"/>
      <c r="AN139" s="154"/>
    </row>
    <row r="140" spans="5:40" x14ac:dyDescent="0.3">
      <c r="E140" s="154"/>
      <c r="F140" s="154"/>
      <c r="G140" s="154"/>
      <c r="H140" s="154"/>
      <c r="I140" s="154"/>
      <c r="J140" s="154"/>
      <c r="K140" s="154"/>
      <c r="L140" s="154"/>
      <c r="M140" s="154"/>
      <c r="N140" s="154"/>
      <c r="O140" s="154"/>
      <c r="P140" s="154"/>
      <c r="Q140" s="154"/>
      <c r="R140" s="154"/>
      <c r="S140" s="154"/>
      <c r="T140" s="154"/>
      <c r="U140" s="154"/>
      <c r="V140" s="154"/>
      <c r="W140" s="154"/>
      <c r="X140" s="154"/>
      <c r="Y140" s="154"/>
      <c r="Z140" s="154"/>
      <c r="AA140" s="154"/>
      <c r="AB140" s="154"/>
      <c r="AC140" s="154"/>
      <c r="AD140" s="154"/>
      <c r="AE140" s="154"/>
      <c r="AF140" s="154"/>
      <c r="AG140" s="154"/>
      <c r="AH140" s="154"/>
      <c r="AI140" s="154"/>
      <c r="AJ140" s="154"/>
      <c r="AK140" s="154"/>
      <c r="AL140" s="154"/>
      <c r="AM140" s="154"/>
      <c r="AN140" s="154"/>
    </row>
    <row r="141" spans="5:40" x14ac:dyDescent="0.3">
      <c r="E141" s="154"/>
      <c r="F141" s="154"/>
      <c r="G141" s="154"/>
      <c r="H141" s="154"/>
      <c r="I141" s="154"/>
      <c r="J141" s="154"/>
      <c r="K141" s="154"/>
      <c r="L141" s="154"/>
      <c r="M141" s="154"/>
      <c r="N141" s="154"/>
      <c r="O141" s="154"/>
      <c r="P141" s="154"/>
      <c r="Q141" s="154"/>
      <c r="R141" s="154"/>
      <c r="S141" s="154"/>
      <c r="T141" s="154"/>
      <c r="U141" s="154"/>
      <c r="V141" s="154"/>
      <c r="W141" s="154"/>
      <c r="X141" s="154"/>
      <c r="Y141" s="154"/>
      <c r="Z141" s="154"/>
      <c r="AA141" s="154"/>
      <c r="AB141" s="154"/>
      <c r="AC141" s="154"/>
      <c r="AD141" s="154"/>
      <c r="AE141" s="154"/>
      <c r="AF141" s="154"/>
      <c r="AG141" s="154"/>
      <c r="AH141" s="154"/>
      <c r="AI141" s="154"/>
      <c r="AJ141" s="154"/>
      <c r="AK141" s="154"/>
      <c r="AL141" s="154"/>
      <c r="AM141" s="154"/>
      <c r="AN141" s="154"/>
    </row>
    <row r="142" spans="5:40" x14ac:dyDescent="0.3">
      <c r="E142" s="154"/>
      <c r="F142" s="154"/>
      <c r="G142" s="154"/>
      <c r="H142" s="154"/>
      <c r="I142" s="154"/>
      <c r="J142" s="154"/>
      <c r="K142" s="154"/>
      <c r="L142" s="154"/>
      <c r="M142" s="154"/>
      <c r="N142" s="154"/>
      <c r="O142" s="154"/>
      <c r="P142" s="154"/>
      <c r="Q142" s="154"/>
      <c r="R142" s="154"/>
      <c r="S142" s="154"/>
      <c r="T142" s="154"/>
      <c r="U142" s="154"/>
      <c r="V142" s="154"/>
      <c r="W142" s="154"/>
      <c r="X142" s="154"/>
      <c r="Y142" s="154"/>
      <c r="Z142" s="154"/>
      <c r="AA142" s="154"/>
      <c r="AB142" s="154"/>
      <c r="AC142" s="154"/>
      <c r="AD142" s="154"/>
      <c r="AE142" s="154"/>
      <c r="AF142" s="154"/>
      <c r="AG142" s="154"/>
      <c r="AH142" s="154"/>
      <c r="AI142" s="154"/>
      <c r="AJ142" s="154"/>
      <c r="AK142" s="154"/>
      <c r="AL142" s="154"/>
      <c r="AM142" s="154"/>
      <c r="AN142" s="154"/>
    </row>
    <row r="143" spans="5:40" x14ac:dyDescent="0.3">
      <c r="E143" s="154"/>
      <c r="F143" s="154"/>
      <c r="G143" s="154"/>
      <c r="H143" s="154"/>
      <c r="I143" s="154"/>
      <c r="J143" s="154"/>
      <c r="K143" s="154"/>
      <c r="L143" s="154"/>
      <c r="M143" s="154"/>
      <c r="N143" s="154"/>
      <c r="O143" s="154"/>
      <c r="P143" s="154"/>
      <c r="Q143" s="154"/>
      <c r="R143" s="154"/>
      <c r="S143" s="154"/>
      <c r="T143" s="154"/>
      <c r="U143" s="154"/>
      <c r="V143" s="154"/>
      <c r="W143" s="154"/>
      <c r="X143" s="154"/>
      <c r="Y143" s="154"/>
      <c r="Z143" s="154"/>
      <c r="AA143" s="154"/>
      <c r="AB143" s="154"/>
      <c r="AC143" s="154"/>
      <c r="AD143" s="154"/>
      <c r="AE143" s="154"/>
      <c r="AF143" s="154"/>
      <c r="AG143" s="154"/>
      <c r="AH143" s="154"/>
      <c r="AI143" s="154"/>
      <c r="AJ143" s="154"/>
      <c r="AK143" s="154"/>
      <c r="AL143" s="154"/>
      <c r="AM143" s="154"/>
      <c r="AN143" s="154"/>
    </row>
    <row r="144" spans="5:40" x14ac:dyDescent="0.3">
      <c r="E144" s="154"/>
      <c r="F144" s="154"/>
      <c r="G144" s="154"/>
      <c r="H144" s="154"/>
      <c r="I144" s="154"/>
      <c r="J144" s="154"/>
      <c r="K144" s="154"/>
      <c r="L144" s="154"/>
      <c r="M144" s="154"/>
      <c r="N144" s="154"/>
      <c r="O144" s="154"/>
      <c r="P144" s="154"/>
      <c r="Q144" s="154"/>
      <c r="R144" s="154"/>
      <c r="S144" s="154"/>
      <c r="T144" s="154"/>
      <c r="U144" s="154"/>
      <c r="V144" s="154"/>
      <c r="W144" s="154"/>
      <c r="X144" s="154"/>
      <c r="Y144" s="154"/>
      <c r="Z144" s="154"/>
      <c r="AA144" s="154"/>
      <c r="AB144" s="154"/>
      <c r="AC144" s="154"/>
      <c r="AD144" s="154"/>
      <c r="AE144" s="154"/>
      <c r="AF144" s="154"/>
      <c r="AG144" s="154"/>
      <c r="AH144" s="154"/>
      <c r="AI144" s="154"/>
      <c r="AJ144" s="154"/>
      <c r="AK144" s="154"/>
      <c r="AL144" s="154"/>
      <c r="AM144" s="154"/>
      <c r="AN144" s="154"/>
    </row>
    <row r="145" spans="5:40" x14ac:dyDescent="0.3">
      <c r="E145" s="154"/>
      <c r="F145" s="154"/>
      <c r="G145" s="154"/>
      <c r="H145" s="154"/>
      <c r="I145" s="154"/>
      <c r="J145" s="154"/>
      <c r="K145" s="154"/>
      <c r="L145" s="154"/>
      <c r="M145" s="154"/>
      <c r="N145" s="154"/>
      <c r="O145" s="154"/>
      <c r="P145" s="154"/>
      <c r="Q145" s="154"/>
      <c r="R145" s="154"/>
      <c r="S145" s="154"/>
      <c r="T145" s="154"/>
      <c r="U145" s="154"/>
      <c r="V145" s="154"/>
      <c r="W145" s="154"/>
      <c r="X145" s="154"/>
      <c r="Y145" s="154"/>
      <c r="Z145" s="154"/>
      <c r="AA145" s="154"/>
      <c r="AB145" s="154"/>
      <c r="AC145" s="154"/>
      <c r="AD145" s="154"/>
      <c r="AE145" s="154"/>
      <c r="AF145" s="154"/>
      <c r="AG145" s="154"/>
      <c r="AH145" s="154"/>
      <c r="AI145" s="154"/>
      <c r="AJ145" s="154"/>
      <c r="AK145" s="154"/>
      <c r="AL145" s="154"/>
      <c r="AM145" s="154"/>
      <c r="AN145" s="154"/>
    </row>
    <row r="146" spans="5:40" x14ac:dyDescent="0.3">
      <c r="E146" s="154"/>
      <c r="F146" s="154"/>
      <c r="G146" s="154"/>
      <c r="H146" s="154"/>
      <c r="I146" s="154"/>
      <c r="J146" s="154"/>
      <c r="K146" s="154"/>
      <c r="L146" s="154"/>
      <c r="M146" s="154"/>
      <c r="N146" s="154"/>
      <c r="O146" s="154"/>
      <c r="P146" s="154"/>
      <c r="Q146" s="154"/>
      <c r="R146" s="154"/>
      <c r="S146" s="154"/>
      <c r="T146" s="154"/>
      <c r="U146" s="154"/>
      <c r="V146" s="154"/>
      <c r="W146" s="154"/>
      <c r="X146" s="154"/>
      <c r="Y146" s="154"/>
      <c r="Z146" s="154"/>
      <c r="AA146" s="154"/>
      <c r="AB146" s="154"/>
      <c r="AC146" s="154"/>
      <c r="AD146" s="154"/>
      <c r="AE146" s="154"/>
      <c r="AF146" s="154"/>
      <c r="AG146" s="154"/>
      <c r="AH146" s="154"/>
      <c r="AI146" s="154"/>
      <c r="AJ146" s="154"/>
      <c r="AK146" s="154"/>
      <c r="AL146" s="154"/>
      <c r="AM146" s="154"/>
      <c r="AN146" s="154"/>
    </row>
    <row r="147" spans="5:40" x14ac:dyDescent="0.3">
      <c r="E147" s="154"/>
      <c r="F147" s="154"/>
      <c r="G147" s="154"/>
      <c r="H147" s="154"/>
      <c r="I147" s="154"/>
      <c r="J147" s="154"/>
      <c r="K147" s="154"/>
      <c r="L147" s="154"/>
      <c r="M147" s="154"/>
      <c r="N147" s="154"/>
      <c r="O147" s="154"/>
      <c r="P147" s="154"/>
      <c r="Q147" s="154"/>
      <c r="R147" s="154"/>
      <c r="S147" s="154"/>
      <c r="T147" s="154"/>
      <c r="U147" s="154"/>
      <c r="V147" s="154"/>
      <c r="W147" s="154"/>
      <c r="X147" s="154"/>
      <c r="Y147" s="154"/>
      <c r="Z147" s="154"/>
      <c r="AA147" s="154"/>
      <c r="AB147" s="154"/>
      <c r="AC147" s="154"/>
      <c r="AD147" s="154"/>
      <c r="AE147" s="154"/>
      <c r="AF147" s="154"/>
      <c r="AG147" s="154"/>
      <c r="AH147" s="154"/>
      <c r="AI147" s="154"/>
      <c r="AJ147" s="154"/>
      <c r="AK147" s="154"/>
      <c r="AL147" s="154"/>
      <c r="AM147" s="154"/>
      <c r="AN147" s="154"/>
    </row>
    <row r="148" spans="5:40" x14ac:dyDescent="0.3">
      <c r="E148" s="154"/>
      <c r="F148" s="154"/>
      <c r="G148" s="154"/>
      <c r="H148" s="154"/>
      <c r="I148" s="154"/>
      <c r="J148" s="154"/>
      <c r="K148" s="154"/>
      <c r="L148" s="154"/>
      <c r="M148" s="154"/>
      <c r="N148" s="154"/>
      <c r="O148" s="154"/>
      <c r="P148" s="154"/>
      <c r="Q148" s="154"/>
      <c r="R148" s="154"/>
      <c r="S148" s="154"/>
      <c r="T148" s="154"/>
      <c r="U148" s="154"/>
      <c r="V148" s="154"/>
      <c r="W148" s="154"/>
      <c r="X148" s="154"/>
      <c r="Y148" s="154"/>
      <c r="Z148" s="154"/>
      <c r="AA148" s="154"/>
      <c r="AB148" s="154"/>
      <c r="AC148" s="154"/>
      <c r="AD148" s="154"/>
      <c r="AE148" s="154"/>
      <c r="AF148" s="154"/>
      <c r="AG148" s="154"/>
      <c r="AH148" s="154"/>
      <c r="AI148" s="154"/>
      <c r="AJ148" s="154"/>
      <c r="AK148" s="154"/>
      <c r="AL148" s="154"/>
      <c r="AM148" s="154"/>
      <c r="AN148" s="154"/>
    </row>
    <row r="149" spans="5:40" x14ac:dyDescent="0.3">
      <c r="E149" s="154"/>
      <c r="F149" s="154"/>
      <c r="G149" s="154"/>
      <c r="H149" s="154"/>
      <c r="I149" s="154"/>
      <c r="J149" s="154"/>
      <c r="K149" s="154"/>
      <c r="L149" s="154"/>
      <c r="M149" s="154"/>
      <c r="N149" s="154"/>
      <c r="O149" s="154"/>
      <c r="P149" s="154"/>
      <c r="Q149" s="154"/>
      <c r="R149" s="154"/>
      <c r="S149" s="154"/>
      <c r="T149" s="154"/>
      <c r="U149" s="154"/>
      <c r="V149" s="154"/>
      <c r="W149" s="154"/>
      <c r="X149" s="154"/>
      <c r="Y149" s="154"/>
      <c r="Z149" s="154"/>
      <c r="AA149" s="154"/>
      <c r="AB149" s="154"/>
      <c r="AC149" s="154"/>
      <c r="AD149" s="154"/>
      <c r="AE149" s="154"/>
      <c r="AF149" s="154"/>
      <c r="AG149" s="154"/>
      <c r="AH149" s="154"/>
      <c r="AI149" s="154"/>
      <c r="AJ149" s="154"/>
      <c r="AK149" s="154"/>
      <c r="AL149" s="154"/>
      <c r="AM149" s="154"/>
      <c r="AN149" s="154"/>
    </row>
    <row r="150" spans="5:40" x14ac:dyDescent="0.3">
      <c r="E150" s="154"/>
      <c r="F150" s="154"/>
      <c r="G150" s="154"/>
      <c r="H150" s="154"/>
      <c r="I150" s="154"/>
      <c r="J150" s="154"/>
      <c r="K150" s="154"/>
      <c r="L150" s="154"/>
      <c r="M150" s="154"/>
      <c r="N150" s="154"/>
      <c r="O150" s="154"/>
      <c r="P150" s="154"/>
      <c r="Q150" s="154"/>
      <c r="R150" s="154"/>
      <c r="S150" s="154"/>
      <c r="T150" s="154"/>
      <c r="U150" s="154"/>
      <c r="V150" s="154"/>
      <c r="W150" s="154"/>
      <c r="X150" s="154"/>
      <c r="Y150" s="154"/>
      <c r="Z150" s="154"/>
      <c r="AA150" s="154"/>
      <c r="AB150" s="154"/>
      <c r="AC150" s="154"/>
      <c r="AD150" s="154"/>
      <c r="AE150" s="154"/>
      <c r="AF150" s="154"/>
      <c r="AG150" s="154"/>
      <c r="AH150" s="154"/>
      <c r="AI150" s="154"/>
      <c r="AJ150" s="154"/>
      <c r="AK150" s="154"/>
      <c r="AL150" s="154"/>
      <c r="AM150" s="154"/>
      <c r="AN150" s="154"/>
    </row>
    <row r="151" spans="5:40" x14ac:dyDescent="0.3">
      <c r="E151" s="154"/>
    </row>
    <row r="152" spans="5:40" x14ac:dyDescent="0.3">
      <c r="E152" s="154"/>
    </row>
  </sheetData>
  <mergeCells count="2">
    <mergeCell ref="B2:B3"/>
    <mergeCell ref="AN2:AN3"/>
  </mergeCells>
  <pageMargins left="0.511811024" right="0.511811024" top="0.78740157499999996" bottom="0.78740157499999996" header="0.31496062000000002" footer="0.31496062000000002"/>
  <pageSetup paperSize="8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66"/>
  <sheetViews>
    <sheetView showGridLines="0" topLeftCell="AN1" zoomScale="80" zoomScaleNormal="80" workbookViewId="0">
      <selection activeCell="N13" sqref="N13"/>
    </sheetView>
  </sheetViews>
  <sheetFormatPr defaultRowHeight="14.4" x14ac:dyDescent="0.3"/>
  <cols>
    <col min="1" max="1" width="16.44140625" customWidth="1"/>
    <col min="2" max="2" width="51.6640625" customWidth="1"/>
    <col min="3" max="3" width="21" customWidth="1"/>
    <col min="4" max="4" width="19.44140625" customWidth="1"/>
    <col min="5" max="5" width="19.33203125" customWidth="1"/>
    <col min="6" max="40" width="17.6640625" customWidth="1"/>
    <col min="41" max="41" width="17.6640625" style="46" customWidth="1"/>
    <col min="42" max="42" width="15.33203125" bestFit="1" customWidth="1"/>
  </cols>
  <sheetData>
    <row r="1" spans="1:43" x14ac:dyDescent="0.3">
      <c r="A1" s="318" t="s">
        <v>522</v>
      </c>
      <c r="B1" s="949" t="s">
        <v>388</v>
      </c>
      <c r="C1" s="950"/>
      <c r="D1" s="950"/>
      <c r="E1" s="951"/>
      <c r="G1" s="950" t="s">
        <v>105</v>
      </c>
      <c r="H1" s="950"/>
      <c r="I1" s="950"/>
      <c r="J1" s="950"/>
      <c r="AP1" s="95"/>
      <c r="AQ1" s="95"/>
    </row>
    <row r="2" spans="1:43" ht="15" customHeight="1" x14ac:dyDescent="0.3">
      <c r="A2" s="147" t="s">
        <v>523</v>
      </c>
      <c r="B2" s="540" t="s">
        <v>102</v>
      </c>
      <c r="C2" s="541"/>
      <c r="D2" s="796">
        <f>H6</f>
        <v>0.12674634436719204</v>
      </c>
      <c r="E2" s="797"/>
      <c r="G2" s="96" t="s">
        <v>154</v>
      </c>
      <c r="H2" s="480">
        <f>'FCD PROJETO'!H4</f>
        <v>0.13039999999999999</v>
      </c>
      <c r="I2" s="96" t="s">
        <v>76</v>
      </c>
      <c r="J2" s="480">
        <f>'FCD PROJETO'!J4</f>
        <v>4.6199999999999998E-2</v>
      </c>
      <c r="L2" s="2"/>
      <c r="M2" s="2"/>
      <c r="AP2" s="95"/>
      <c r="AQ2" s="95"/>
    </row>
    <row r="3" spans="1:43" ht="15" customHeight="1" x14ac:dyDescent="0.3">
      <c r="A3" s="222" t="s">
        <v>524</v>
      </c>
      <c r="B3" s="542" t="s">
        <v>168</v>
      </c>
      <c r="C3" s="543"/>
      <c r="D3" s="798">
        <f ca="1">IRR(F45:AN45)</f>
        <v>0.1267463442224066</v>
      </c>
      <c r="E3" s="799"/>
      <c r="F3" s="521"/>
      <c r="G3" s="96" t="s">
        <v>104</v>
      </c>
      <c r="H3" s="481">
        <f>'FCD PROJETO'!H5</f>
        <v>8.0481743452494703E-2</v>
      </c>
      <c r="I3" s="96" t="s">
        <v>84</v>
      </c>
      <c r="J3" s="482">
        <f>'FCD PROJETO'!J5</f>
        <v>3.39E-2</v>
      </c>
      <c r="L3" s="2"/>
      <c r="M3" s="2"/>
      <c r="AP3" s="95"/>
      <c r="AQ3" s="95"/>
    </row>
    <row r="4" spans="1:43" ht="15" customHeight="1" x14ac:dyDescent="0.3">
      <c r="B4" s="540" t="s">
        <v>234</v>
      </c>
      <c r="C4" s="541"/>
      <c r="D4" s="800">
        <f ca="1">ROUND(NPV(D2,F45:AN45),2)</f>
        <v>0</v>
      </c>
      <c r="E4" s="801"/>
      <c r="F4" s="521"/>
      <c r="G4" s="96" t="s">
        <v>102</v>
      </c>
      <c r="H4" s="479">
        <f ca="1">'FCD PROJETO'!H6</f>
        <v>7.775527434164739E-2</v>
      </c>
      <c r="I4" s="96" t="s">
        <v>85</v>
      </c>
      <c r="J4" s="544">
        <f>'FCD PROJETO'!J6</f>
        <v>0.75820399191777144</v>
      </c>
      <c r="L4" s="3"/>
      <c r="M4" s="3"/>
      <c r="AP4" s="95"/>
      <c r="AQ4" s="95"/>
    </row>
    <row r="5" spans="1:43" ht="15" customHeight="1" x14ac:dyDescent="0.3">
      <c r="B5" s="542" t="s">
        <v>77</v>
      </c>
      <c r="C5" s="543"/>
      <c r="D5" s="802">
        <f ca="1">MATCH(0,F46:AN46,1)</f>
        <v>31</v>
      </c>
      <c r="E5" s="803"/>
      <c r="G5" s="96" t="s">
        <v>19</v>
      </c>
      <c r="H5" s="483">
        <f>'FCD PROJETO'!H7</f>
        <v>9.9981743452494706E-2</v>
      </c>
      <c r="I5" s="96" t="s">
        <v>86</v>
      </c>
      <c r="J5" s="484">
        <f>'FCD PROJETO'!J7</f>
        <v>6.9199999999999998E-2</v>
      </c>
      <c r="AP5" s="95"/>
      <c r="AQ5" s="95"/>
    </row>
    <row r="6" spans="1:43" ht="15" customHeight="1" x14ac:dyDescent="0.3">
      <c r="B6" s="542" t="s">
        <v>235</v>
      </c>
      <c r="C6" s="543"/>
      <c r="D6" s="802">
        <f ca="1">IF(AN48&gt;=0,35,MATCH(0,F48:AN48,1)+1)</f>
        <v>35</v>
      </c>
      <c r="E6" s="803"/>
      <c r="F6" s="71"/>
      <c r="G6" s="96" t="s">
        <v>155</v>
      </c>
      <c r="H6" s="484">
        <f>'FCD PROJETO'!H8</f>
        <v>0.12674634436719204</v>
      </c>
      <c r="I6" s="96" t="s">
        <v>87</v>
      </c>
      <c r="J6" s="482">
        <f>'FCD PROJETO'!J8</f>
        <v>1.95E-2</v>
      </c>
      <c r="AP6" s="95"/>
      <c r="AQ6" s="95"/>
    </row>
    <row r="7" spans="1:43" ht="15" customHeight="1" x14ac:dyDescent="0.3">
      <c r="B7" s="969" t="s">
        <v>89</v>
      </c>
      <c r="C7" s="970"/>
      <c r="D7" s="485" t="s">
        <v>96</v>
      </c>
      <c r="E7" s="486" t="s">
        <v>22</v>
      </c>
      <c r="F7" s="71"/>
      <c r="G7" s="96" t="s">
        <v>156</v>
      </c>
      <c r="H7" s="484">
        <f>'FCD PROJETO'!H9</f>
        <v>7.7899999999999997E-2</v>
      </c>
      <c r="I7" s="96" t="s">
        <v>113</v>
      </c>
      <c r="J7" s="483">
        <f>'FCD PROJETO'!J9</f>
        <v>0.34</v>
      </c>
      <c r="AP7" s="95"/>
      <c r="AQ7" s="95"/>
    </row>
    <row r="8" spans="1:43" ht="15" customHeight="1" x14ac:dyDescent="0.3">
      <c r="B8" s="967" t="s">
        <v>169</v>
      </c>
      <c r="C8" s="968"/>
      <c r="D8" s="545">
        <f>AO23</f>
        <v>461515503.74744153</v>
      </c>
      <c r="E8" s="546">
        <f>NPV(D2,F23:AN23)</f>
        <v>48994158.592830762</v>
      </c>
      <c r="F8" s="71"/>
      <c r="G8" s="966" t="s">
        <v>533</v>
      </c>
      <c r="H8" s="966"/>
      <c r="I8" s="966"/>
      <c r="J8" s="547">
        <f ca="1">'FCD PROJETO'!J10</f>
        <v>7.775527434164739E-2</v>
      </c>
      <c r="AP8" s="95"/>
      <c r="AQ8" s="95"/>
    </row>
    <row r="9" spans="1:43" ht="15" customHeight="1" x14ac:dyDescent="0.3">
      <c r="B9" s="964" t="s">
        <v>7</v>
      </c>
      <c r="C9" s="965"/>
      <c r="D9" s="545">
        <f>AO24</f>
        <v>-131279859.22558522</v>
      </c>
      <c r="E9" s="545">
        <f>NPV(D2,F24:AN24)</f>
        <v>-88948134.581953973</v>
      </c>
      <c r="F9" s="71"/>
      <c r="AP9" s="95"/>
      <c r="AQ9" s="95"/>
    </row>
    <row r="10" spans="1:43" ht="15" customHeight="1" x14ac:dyDescent="0.3">
      <c r="B10" s="964" t="s">
        <v>520</v>
      </c>
      <c r="C10" s="965"/>
      <c r="D10" s="545">
        <f>(AO26)</f>
        <v>-41085430.02123338</v>
      </c>
      <c r="E10" s="545">
        <f>NPV(D2,F26:AN26)</f>
        <v>-9119407.1970059481</v>
      </c>
      <c r="F10" s="71"/>
      <c r="AP10" s="95"/>
      <c r="AQ10" s="95"/>
    </row>
    <row r="11" spans="1:43" ht="15" customHeight="1" x14ac:dyDescent="0.3">
      <c r="B11" s="964" t="s">
        <v>106</v>
      </c>
      <c r="C11" s="965"/>
      <c r="D11" s="545">
        <f ca="1">(AO34)</f>
        <v>244162096.82367462</v>
      </c>
      <c r="E11" s="545">
        <f ca="1">NPV(D2,F34:AN34)</f>
        <v>139716818.07212067</v>
      </c>
      <c r="F11" s="71"/>
      <c r="AP11" s="95"/>
      <c r="AQ11" s="95"/>
    </row>
    <row r="12" spans="1:43" ht="15" customHeight="1" x14ac:dyDescent="0.3">
      <c r="B12" s="964" t="s">
        <v>213</v>
      </c>
      <c r="C12" s="965"/>
      <c r="D12" s="545">
        <f ca="1">(AO35)</f>
        <v>-292342238.78170049</v>
      </c>
      <c r="E12" s="545">
        <f ca="1">NPV(D2,F35:AN35)</f>
        <v>-77324114.722068816</v>
      </c>
      <c r="F12" s="71"/>
      <c r="K12" s="3"/>
      <c r="AP12" s="95"/>
      <c r="AQ12" s="95"/>
    </row>
    <row r="13" spans="1:43" ht="15" customHeight="1" x14ac:dyDescent="0.3">
      <c r="B13" s="964" t="s">
        <v>101</v>
      </c>
      <c r="C13" s="965"/>
      <c r="D13" s="548">
        <f ca="1">AO36</f>
        <v>-244162096.81815144</v>
      </c>
      <c r="E13" s="545">
        <f ca="1">NPV(D2,F36:AN36)</f>
        <v>-31616057.490120344</v>
      </c>
      <c r="F13" s="71"/>
      <c r="AP13" s="95"/>
      <c r="AQ13" s="95"/>
    </row>
    <row r="14" spans="1:43" ht="15" customHeight="1" x14ac:dyDescent="0.3">
      <c r="B14" s="964" t="s">
        <v>472</v>
      </c>
      <c r="C14" s="965"/>
      <c r="D14" s="548">
        <f ca="1">AO38</f>
        <v>80022640.512704119</v>
      </c>
      <c r="E14" s="545">
        <f ca="1">NPV(D2,F38:AN38)</f>
        <v>20746445.260577947</v>
      </c>
      <c r="F14" s="89"/>
      <c r="G14" s="945" t="s">
        <v>290</v>
      </c>
      <c r="H14" s="945"/>
      <c r="I14" s="945"/>
      <c r="J14" s="549">
        <v>0.05</v>
      </c>
      <c r="K14" s="45"/>
      <c r="AP14" s="95"/>
      <c r="AQ14" s="95"/>
    </row>
    <row r="15" spans="1:43" ht="15" customHeight="1" x14ac:dyDescent="0.3">
      <c r="B15" s="964" t="s">
        <v>473</v>
      </c>
      <c r="C15" s="965"/>
      <c r="D15" s="548">
        <f>AO42</f>
        <v>-23075775.187372081</v>
      </c>
      <c r="E15" s="545">
        <f>NPV(D2,F42:AN42)</f>
        <v>-2449707.9296415369</v>
      </c>
      <c r="F15" s="71"/>
      <c r="G15" s="945" t="s">
        <v>373</v>
      </c>
      <c r="H15" s="945"/>
      <c r="I15" s="945"/>
      <c r="J15" s="550">
        <v>6.0215318342250659E-4</v>
      </c>
      <c r="AP15" s="95"/>
      <c r="AQ15" s="95"/>
    </row>
    <row r="16" spans="1:43" ht="15" customHeight="1" x14ac:dyDescent="0.3">
      <c r="B16" s="964" t="s">
        <v>375</v>
      </c>
      <c r="C16" s="965"/>
      <c r="D16" s="551">
        <f ca="1">SUM(D8:D15)</f>
        <v>53754841.049777649</v>
      </c>
      <c r="E16" s="551">
        <f ca="1">ROUND(SUM(E8:E15),2)</f>
        <v>0</v>
      </c>
      <c r="AP16" s="95"/>
      <c r="AQ16" s="95"/>
    </row>
    <row r="17" spans="2:43" ht="15" customHeight="1" x14ac:dyDescent="0.3">
      <c r="B17" s="964" t="s">
        <v>353</v>
      </c>
      <c r="C17" s="965"/>
      <c r="D17" s="552">
        <f ca="1">D16/D8</f>
        <v>0.11647461594095071</v>
      </c>
      <c r="E17" s="552">
        <f ca="1">E16/E8</f>
        <v>0</v>
      </c>
      <c r="AP17" s="95"/>
      <c r="AQ17" s="95"/>
    </row>
    <row r="18" spans="2:43" ht="15" thickBot="1" x14ac:dyDescent="0.35">
      <c r="AP18" s="95"/>
      <c r="AQ18" s="95"/>
    </row>
    <row r="19" spans="2:43" ht="15" thickBot="1" x14ac:dyDescent="0.35">
      <c r="B19" s="495" t="s">
        <v>163</v>
      </c>
      <c r="C19" s="496"/>
      <c r="D19" s="496"/>
      <c r="E19" s="496"/>
      <c r="F19" s="496"/>
      <c r="G19" s="496"/>
      <c r="H19" s="496"/>
      <c r="I19" s="496"/>
      <c r="J19" s="496"/>
      <c r="K19" s="496"/>
      <c r="L19" s="496"/>
      <c r="M19" s="496"/>
      <c r="N19" s="496"/>
      <c r="O19" s="496"/>
      <c r="P19" s="496"/>
      <c r="Q19" s="496"/>
      <c r="R19" s="496"/>
      <c r="S19" s="496"/>
      <c r="T19" s="496"/>
      <c r="U19" s="496"/>
      <c r="V19" s="496"/>
      <c r="W19" s="496"/>
      <c r="X19" s="496"/>
      <c r="Y19" s="496"/>
      <c r="Z19" s="496"/>
      <c r="AA19" s="496"/>
      <c r="AB19" s="496"/>
      <c r="AC19" s="496"/>
      <c r="AD19" s="496"/>
      <c r="AE19" s="496"/>
      <c r="AF19" s="496"/>
      <c r="AG19" s="496"/>
      <c r="AH19" s="496"/>
      <c r="AI19" s="496"/>
      <c r="AJ19" s="496"/>
      <c r="AK19" s="496"/>
      <c r="AL19" s="496"/>
      <c r="AM19" s="496"/>
      <c r="AN19" s="496"/>
      <c r="AO19" s="497"/>
      <c r="AP19" s="95"/>
      <c r="AQ19" s="95"/>
    </row>
    <row r="20" spans="2:43" ht="15" thickBot="1" x14ac:dyDescent="0.35">
      <c r="B20" s="498" t="s">
        <v>17</v>
      </c>
      <c r="C20" s="499"/>
      <c r="D20" s="499" t="str">
        <f>'FCD PROJETO'!D23</f>
        <v>Base</v>
      </c>
      <c r="E20" s="499">
        <f>'FCD PROJETO'!E23</f>
        <v>0</v>
      </c>
      <c r="F20" s="499">
        <f>'FCD PROJETO'!F23</f>
        <v>1</v>
      </c>
      <c r="G20" s="499">
        <f>'FCD PROJETO'!G23</f>
        <v>2</v>
      </c>
      <c r="H20" s="499">
        <f>'FCD PROJETO'!H23</f>
        <v>3</v>
      </c>
      <c r="I20" s="499">
        <f>'FCD PROJETO'!I23</f>
        <v>4</v>
      </c>
      <c r="J20" s="499">
        <f>'FCD PROJETO'!J23</f>
        <v>5</v>
      </c>
      <c r="K20" s="499">
        <f>'FCD PROJETO'!K23</f>
        <v>6</v>
      </c>
      <c r="L20" s="499">
        <f>'FCD PROJETO'!L23</f>
        <v>7</v>
      </c>
      <c r="M20" s="499">
        <f>'FCD PROJETO'!M23</f>
        <v>8</v>
      </c>
      <c r="N20" s="499">
        <f>'FCD PROJETO'!N23</f>
        <v>9</v>
      </c>
      <c r="O20" s="499">
        <f>'FCD PROJETO'!O23</f>
        <v>10</v>
      </c>
      <c r="P20" s="499">
        <f>'FCD PROJETO'!P23</f>
        <v>11</v>
      </c>
      <c r="Q20" s="499">
        <f>'FCD PROJETO'!Q23</f>
        <v>12</v>
      </c>
      <c r="R20" s="499">
        <f>'FCD PROJETO'!R23</f>
        <v>13</v>
      </c>
      <c r="S20" s="499">
        <f>'FCD PROJETO'!S23</f>
        <v>14</v>
      </c>
      <c r="T20" s="499">
        <f>'FCD PROJETO'!T23</f>
        <v>15</v>
      </c>
      <c r="U20" s="499">
        <f>'FCD PROJETO'!U23</f>
        <v>16</v>
      </c>
      <c r="V20" s="499">
        <f>'FCD PROJETO'!V23</f>
        <v>17</v>
      </c>
      <c r="W20" s="499">
        <f>'FCD PROJETO'!W23</f>
        <v>18</v>
      </c>
      <c r="X20" s="499">
        <f>'FCD PROJETO'!X23</f>
        <v>19</v>
      </c>
      <c r="Y20" s="499">
        <f>'FCD PROJETO'!Y23</f>
        <v>20</v>
      </c>
      <c r="Z20" s="499">
        <f>'FCD PROJETO'!Z23</f>
        <v>21</v>
      </c>
      <c r="AA20" s="499">
        <f>'FCD PROJETO'!AA23</f>
        <v>22</v>
      </c>
      <c r="AB20" s="499">
        <f>'FCD PROJETO'!AB23</f>
        <v>23</v>
      </c>
      <c r="AC20" s="499">
        <f>'FCD PROJETO'!AC23</f>
        <v>24</v>
      </c>
      <c r="AD20" s="499">
        <f>'FCD PROJETO'!AD23</f>
        <v>25</v>
      </c>
      <c r="AE20" s="499">
        <f>'FCD PROJETO'!AE23</f>
        <v>26</v>
      </c>
      <c r="AF20" s="499">
        <f>'FCD PROJETO'!AF23</f>
        <v>27</v>
      </c>
      <c r="AG20" s="499">
        <f>'FCD PROJETO'!AG23</f>
        <v>28</v>
      </c>
      <c r="AH20" s="499">
        <f>'FCD PROJETO'!AH23</f>
        <v>29</v>
      </c>
      <c r="AI20" s="499">
        <f>'FCD PROJETO'!AI23</f>
        <v>30</v>
      </c>
      <c r="AJ20" s="499">
        <f>'FCD PROJETO'!AJ23</f>
        <v>31</v>
      </c>
      <c r="AK20" s="499">
        <f>'FCD PROJETO'!AK23</f>
        <v>32</v>
      </c>
      <c r="AL20" s="499">
        <f>'FCD PROJETO'!AL23</f>
        <v>33</v>
      </c>
      <c r="AM20" s="499">
        <f>'FCD PROJETO'!AM23</f>
        <v>34</v>
      </c>
      <c r="AN20" s="499">
        <f>'FCD PROJETO'!AN23</f>
        <v>35</v>
      </c>
      <c r="AO20" s="500"/>
      <c r="AP20" s="95"/>
      <c r="AQ20" s="95"/>
    </row>
    <row r="21" spans="2:43" ht="15" thickBot="1" x14ac:dyDescent="0.35">
      <c r="B21" s="501"/>
      <c r="C21" s="502"/>
      <c r="D21" s="499">
        <f>'FCD PROJETO'!D24</f>
        <v>2025</v>
      </c>
      <c r="E21" s="499">
        <f>'FCD PROJETO'!E24</f>
        <v>2026</v>
      </c>
      <c r="F21" s="499">
        <f>'FCD PROJETO'!F24</f>
        <v>2027</v>
      </c>
      <c r="G21" s="499">
        <f>'FCD PROJETO'!G24</f>
        <v>2028</v>
      </c>
      <c r="H21" s="499">
        <f>'FCD PROJETO'!H24</f>
        <v>2029</v>
      </c>
      <c r="I21" s="499">
        <f>'FCD PROJETO'!I24</f>
        <v>2030</v>
      </c>
      <c r="J21" s="499">
        <f>'FCD PROJETO'!J24</f>
        <v>2031</v>
      </c>
      <c r="K21" s="499">
        <f>'FCD PROJETO'!K24</f>
        <v>2032</v>
      </c>
      <c r="L21" s="499">
        <f>'FCD PROJETO'!L24</f>
        <v>2033</v>
      </c>
      <c r="M21" s="499">
        <f>'FCD PROJETO'!M24</f>
        <v>2034</v>
      </c>
      <c r="N21" s="499">
        <f>'FCD PROJETO'!N24</f>
        <v>2035</v>
      </c>
      <c r="O21" s="499">
        <f>'FCD PROJETO'!O24</f>
        <v>2036</v>
      </c>
      <c r="P21" s="499">
        <f>'FCD PROJETO'!P24</f>
        <v>2037</v>
      </c>
      <c r="Q21" s="499">
        <f>'FCD PROJETO'!Q24</f>
        <v>2038</v>
      </c>
      <c r="R21" s="499">
        <f>'FCD PROJETO'!R24</f>
        <v>2039</v>
      </c>
      <c r="S21" s="499">
        <f>'FCD PROJETO'!S24</f>
        <v>2040</v>
      </c>
      <c r="T21" s="499">
        <f>'FCD PROJETO'!T24</f>
        <v>2041</v>
      </c>
      <c r="U21" s="499">
        <f>'FCD PROJETO'!U24</f>
        <v>2042</v>
      </c>
      <c r="V21" s="499">
        <f>'FCD PROJETO'!V24</f>
        <v>2043</v>
      </c>
      <c r="W21" s="499">
        <f>'FCD PROJETO'!W24</f>
        <v>2044</v>
      </c>
      <c r="X21" s="499">
        <f>'FCD PROJETO'!X24</f>
        <v>2045</v>
      </c>
      <c r="Y21" s="499">
        <f>'FCD PROJETO'!Y24</f>
        <v>2046</v>
      </c>
      <c r="Z21" s="499">
        <f>'FCD PROJETO'!Z24</f>
        <v>2047</v>
      </c>
      <c r="AA21" s="499">
        <f>'FCD PROJETO'!AA24</f>
        <v>2048</v>
      </c>
      <c r="AB21" s="499">
        <f>'FCD PROJETO'!AB24</f>
        <v>2049</v>
      </c>
      <c r="AC21" s="499">
        <f>'FCD PROJETO'!AC24</f>
        <v>2050</v>
      </c>
      <c r="AD21" s="499">
        <f>'FCD PROJETO'!AD24</f>
        <v>2051</v>
      </c>
      <c r="AE21" s="499">
        <f>'FCD PROJETO'!AE24</f>
        <v>2052</v>
      </c>
      <c r="AF21" s="499">
        <f>'FCD PROJETO'!AF24</f>
        <v>2053</v>
      </c>
      <c r="AG21" s="499">
        <f>'FCD PROJETO'!AG24</f>
        <v>2054</v>
      </c>
      <c r="AH21" s="499">
        <f>'FCD PROJETO'!AH24</f>
        <v>2055</v>
      </c>
      <c r="AI21" s="499">
        <f>'FCD PROJETO'!AI24</f>
        <v>2056</v>
      </c>
      <c r="AJ21" s="499">
        <f>'FCD PROJETO'!AJ24</f>
        <v>2057</v>
      </c>
      <c r="AK21" s="499">
        <f>'FCD PROJETO'!AK24</f>
        <v>2058</v>
      </c>
      <c r="AL21" s="499">
        <f>'FCD PROJETO'!AL24</f>
        <v>2059</v>
      </c>
      <c r="AM21" s="499">
        <f>'FCD PROJETO'!AM24</f>
        <v>2060</v>
      </c>
      <c r="AN21" s="499">
        <f>'FCD PROJETO'!AN24</f>
        <v>2061</v>
      </c>
      <c r="AO21" s="500" t="s">
        <v>23</v>
      </c>
      <c r="AP21" s="95"/>
      <c r="AQ21" s="95"/>
    </row>
    <row r="22" spans="2:43" x14ac:dyDescent="0.3">
      <c r="B22" s="503" t="s">
        <v>352</v>
      </c>
      <c r="C22" s="148">
        <f>AO22</f>
        <v>330235644.52185637</v>
      </c>
      <c r="D22" s="101"/>
      <c r="E22" s="101"/>
      <c r="F22" s="148">
        <f>'FCD PROJETO'!F107</f>
        <v>-469044.66577152908</v>
      </c>
      <c r="G22" s="148">
        <f>'FCD PROJETO'!G107</f>
        <v>-39959345.279983453</v>
      </c>
      <c r="H22" s="148">
        <f>'FCD PROJETO'!H107</f>
        <v>-33231972.100080751</v>
      </c>
      <c r="I22" s="148">
        <f>'FCD PROJETO'!I107</f>
        <v>-30055127.867293384</v>
      </c>
      <c r="J22" s="148">
        <f>'FCD PROJETO'!J107</f>
        <v>-27564369.312456109</v>
      </c>
      <c r="K22" s="148">
        <f>'FCD PROJETO'!K107</f>
        <v>3256755.7207747325</v>
      </c>
      <c r="L22" s="148">
        <f>'FCD PROJETO'!L107</f>
        <v>3650224.7594660018</v>
      </c>
      <c r="M22" s="148">
        <f>'FCD PROJETO'!M107</f>
        <v>10104614.776245205</v>
      </c>
      <c r="N22" s="148">
        <f>'FCD PROJETO'!N107</f>
        <v>10240974.685706889</v>
      </c>
      <c r="O22" s="148">
        <f>'FCD PROJETO'!O107</f>
        <v>9843223.9173581153</v>
      </c>
      <c r="P22" s="148">
        <f>'FCD PROJETO'!P107</f>
        <v>10747686.614921041</v>
      </c>
      <c r="Q22" s="148">
        <f>'FCD PROJETO'!Q107</f>
        <v>11365265.923386399</v>
      </c>
      <c r="R22" s="148">
        <f>'FCD PROJETO'!R107</f>
        <v>15997038.432071667</v>
      </c>
      <c r="S22" s="148">
        <f>'FCD PROJETO'!S107</f>
        <v>16156728.168923985</v>
      </c>
      <c r="T22" s="148">
        <f>'FCD PROJETO'!T107</f>
        <v>16297870.963438813</v>
      </c>
      <c r="U22" s="148">
        <f>'FCD PROJETO'!U107</f>
        <v>16917082.933362309</v>
      </c>
      <c r="V22" s="148">
        <f>'FCD PROJETO'!V107</f>
        <v>16457110.296723641</v>
      </c>
      <c r="W22" s="148">
        <f>'FCD PROJETO'!W107</f>
        <v>16898369.230673298</v>
      </c>
      <c r="X22" s="148">
        <f>'FCD PROJETO'!X107</f>
        <v>16871495.020839613</v>
      </c>
      <c r="Y22" s="148">
        <f>'FCD PROJETO'!Y107</f>
        <v>16974182.200426761</v>
      </c>
      <c r="Z22" s="148">
        <f>'FCD PROJETO'!Z107</f>
        <v>17286363.581279635</v>
      </c>
      <c r="AA22" s="148">
        <f>'FCD PROJETO'!AA107</f>
        <v>17354384.461759467</v>
      </c>
      <c r="AB22" s="148">
        <f>'FCD PROJETO'!AB107</f>
        <v>17569571.478411909</v>
      </c>
      <c r="AC22" s="148">
        <f>'FCD PROJETO'!AC107</f>
        <v>17626377.974836789</v>
      </c>
      <c r="AD22" s="148">
        <f>'FCD PROJETO'!AD107</f>
        <v>17707033.817300543</v>
      </c>
      <c r="AE22" s="148">
        <f>'FCD PROJETO'!AE107</f>
        <v>17894927.730050549</v>
      </c>
      <c r="AF22" s="148">
        <f>'FCD PROJETO'!AF107</f>
        <v>17865886.767153572</v>
      </c>
      <c r="AG22" s="148">
        <f>'FCD PROJETO'!AG107</f>
        <v>18139505.854724154</v>
      </c>
      <c r="AH22" s="148">
        <f>'FCD PROJETO'!AH107</f>
        <v>17948509.521554593</v>
      </c>
      <c r="AI22" s="148">
        <f>'FCD PROJETO'!AI107</f>
        <v>17968764.596403636</v>
      </c>
      <c r="AJ22" s="148">
        <f>'FCD PROJETO'!AJ107</f>
        <v>17990791.874933653</v>
      </c>
      <c r="AK22" s="148">
        <f>'FCD PROJETO'!AK107</f>
        <v>18025887.21627143</v>
      </c>
      <c r="AL22" s="148">
        <f>'FCD PROJETO'!AL107</f>
        <v>18090951.160339668</v>
      </c>
      <c r="AM22" s="148">
        <f>'FCD PROJETO'!AM107</f>
        <v>18237888.252739158</v>
      </c>
      <c r="AN22" s="148">
        <f>'FCD PROJETO'!AN107</f>
        <v>20030035.815364346</v>
      </c>
      <c r="AO22" s="148">
        <f>SUM(F22:AN22)</f>
        <v>330235644.52185637</v>
      </c>
      <c r="AP22" s="95"/>
      <c r="AQ22" s="95"/>
    </row>
    <row r="23" spans="2:43" x14ac:dyDescent="0.3">
      <c r="B23" s="553" t="s">
        <v>166</v>
      </c>
      <c r="C23" s="148">
        <f t="shared" ref="C23:C27" si="0">AO23</f>
        <v>461515503.74744153</v>
      </c>
      <c r="D23" s="101"/>
      <c r="E23" s="101"/>
      <c r="F23" s="148">
        <f>IF(F22&gt;0,F22,0)</f>
        <v>0</v>
      </c>
      <c r="G23" s="148">
        <f t="shared" ref="G23:AI23" si="1">IF(G22&gt;0,G22,0)</f>
        <v>0</v>
      </c>
      <c r="H23" s="148">
        <f t="shared" si="1"/>
        <v>0</v>
      </c>
      <c r="I23" s="148">
        <f t="shared" si="1"/>
        <v>0</v>
      </c>
      <c r="J23" s="148">
        <f t="shared" si="1"/>
        <v>0</v>
      </c>
      <c r="K23" s="148">
        <f t="shared" si="1"/>
        <v>3256755.7207747325</v>
      </c>
      <c r="L23" s="148">
        <f t="shared" si="1"/>
        <v>3650224.7594660018</v>
      </c>
      <c r="M23" s="148">
        <f t="shared" si="1"/>
        <v>10104614.776245205</v>
      </c>
      <c r="N23" s="148">
        <f t="shared" si="1"/>
        <v>10240974.685706889</v>
      </c>
      <c r="O23" s="148">
        <f t="shared" si="1"/>
        <v>9843223.9173581153</v>
      </c>
      <c r="P23" s="148">
        <f t="shared" si="1"/>
        <v>10747686.614921041</v>
      </c>
      <c r="Q23" s="148">
        <f t="shared" si="1"/>
        <v>11365265.923386399</v>
      </c>
      <c r="R23" s="148">
        <f t="shared" si="1"/>
        <v>15997038.432071667</v>
      </c>
      <c r="S23" s="148">
        <f t="shared" si="1"/>
        <v>16156728.168923985</v>
      </c>
      <c r="T23" s="148">
        <f t="shared" si="1"/>
        <v>16297870.963438813</v>
      </c>
      <c r="U23" s="148">
        <f t="shared" si="1"/>
        <v>16917082.933362309</v>
      </c>
      <c r="V23" s="148">
        <f t="shared" si="1"/>
        <v>16457110.296723641</v>
      </c>
      <c r="W23" s="148">
        <f t="shared" si="1"/>
        <v>16898369.230673298</v>
      </c>
      <c r="X23" s="148">
        <f t="shared" si="1"/>
        <v>16871495.020839613</v>
      </c>
      <c r="Y23" s="148">
        <f t="shared" si="1"/>
        <v>16974182.200426761</v>
      </c>
      <c r="Z23" s="148">
        <f t="shared" si="1"/>
        <v>17286363.581279635</v>
      </c>
      <c r="AA23" s="148">
        <f t="shared" si="1"/>
        <v>17354384.461759467</v>
      </c>
      <c r="AB23" s="148">
        <f t="shared" si="1"/>
        <v>17569571.478411909</v>
      </c>
      <c r="AC23" s="148">
        <f t="shared" si="1"/>
        <v>17626377.974836789</v>
      </c>
      <c r="AD23" s="148">
        <f t="shared" si="1"/>
        <v>17707033.817300543</v>
      </c>
      <c r="AE23" s="148">
        <f t="shared" si="1"/>
        <v>17894927.730050549</v>
      </c>
      <c r="AF23" s="148">
        <f t="shared" si="1"/>
        <v>17865886.767153572</v>
      </c>
      <c r="AG23" s="148">
        <f t="shared" si="1"/>
        <v>18139505.854724154</v>
      </c>
      <c r="AH23" s="148">
        <f t="shared" si="1"/>
        <v>17948509.521554593</v>
      </c>
      <c r="AI23" s="148">
        <f t="shared" si="1"/>
        <v>17968764.596403636</v>
      </c>
      <c r="AJ23" s="148">
        <f t="shared" ref="AJ23:AN23" si="2">IF(AJ22&gt;0,AJ22,0)</f>
        <v>17990791.874933653</v>
      </c>
      <c r="AK23" s="148">
        <f t="shared" si="2"/>
        <v>18025887.21627143</v>
      </c>
      <c r="AL23" s="148">
        <f t="shared" si="2"/>
        <v>18090951.160339668</v>
      </c>
      <c r="AM23" s="148">
        <f t="shared" si="2"/>
        <v>18237888.252739158</v>
      </c>
      <c r="AN23" s="148">
        <f t="shared" si="2"/>
        <v>20030035.815364346</v>
      </c>
      <c r="AO23" s="148">
        <f t="shared" ref="AO23:AO24" si="3">SUM(F23:AN23)</f>
        <v>461515503.74744153</v>
      </c>
      <c r="AP23" s="95"/>
      <c r="AQ23" s="95"/>
    </row>
    <row r="24" spans="2:43" x14ac:dyDescent="0.3">
      <c r="B24" s="553" t="s">
        <v>273</v>
      </c>
      <c r="C24" s="148">
        <f t="shared" si="0"/>
        <v>-131279859.22558522</v>
      </c>
      <c r="D24" s="101"/>
      <c r="E24" s="101"/>
      <c r="F24" s="148">
        <f>IF(F22&lt;0,F22,0)</f>
        <v>-469044.66577152908</v>
      </c>
      <c r="G24" s="148">
        <f t="shared" ref="G24:AI24" si="4">IF(G22&lt;0,G22,0)</f>
        <v>-39959345.279983453</v>
      </c>
      <c r="H24" s="148">
        <f t="shared" si="4"/>
        <v>-33231972.100080751</v>
      </c>
      <c r="I24" s="148">
        <f t="shared" si="4"/>
        <v>-30055127.867293384</v>
      </c>
      <c r="J24" s="148">
        <f t="shared" si="4"/>
        <v>-27564369.312456109</v>
      </c>
      <c r="K24" s="148">
        <f t="shared" si="4"/>
        <v>0</v>
      </c>
      <c r="L24" s="148">
        <f t="shared" si="4"/>
        <v>0</v>
      </c>
      <c r="M24" s="148">
        <f t="shared" si="4"/>
        <v>0</v>
      </c>
      <c r="N24" s="148">
        <f t="shared" si="4"/>
        <v>0</v>
      </c>
      <c r="O24" s="148">
        <f t="shared" si="4"/>
        <v>0</v>
      </c>
      <c r="P24" s="148">
        <f t="shared" si="4"/>
        <v>0</v>
      </c>
      <c r="Q24" s="148">
        <f t="shared" si="4"/>
        <v>0</v>
      </c>
      <c r="R24" s="148">
        <f t="shared" si="4"/>
        <v>0</v>
      </c>
      <c r="S24" s="148">
        <f t="shared" si="4"/>
        <v>0</v>
      </c>
      <c r="T24" s="148">
        <f t="shared" si="4"/>
        <v>0</v>
      </c>
      <c r="U24" s="148">
        <f t="shared" si="4"/>
        <v>0</v>
      </c>
      <c r="V24" s="148">
        <f t="shared" si="4"/>
        <v>0</v>
      </c>
      <c r="W24" s="148">
        <f t="shared" si="4"/>
        <v>0</v>
      </c>
      <c r="X24" s="148">
        <f t="shared" si="4"/>
        <v>0</v>
      </c>
      <c r="Y24" s="148">
        <f t="shared" si="4"/>
        <v>0</v>
      </c>
      <c r="Z24" s="148">
        <f t="shared" si="4"/>
        <v>0</v>
      </c>
      <c r="AA24" s="148">
        <f t="shared" si="4"/>
        <v>0</v>
      </c>
      <c r="AB24" s="148">
        <f t="shared" si="4"/>
        <v>0</v>
      </c>
      <c r="AC24" s="148">
        <f t="shared" si="4"/>
        <v>0</v>
      </c>
      <c r="AD24" s="148">
        <f t="shared" si="4"/>
        <v>0</v>
      </c>
      <c r="AE24" s="148">
        <f t="shared" si="4"/>
        <v>0</v>
      </c>
      <c r="AF24" s="148">
        <f t="shared" si="4"/>
        <v>0</v>
      </c>
      <c r="AG24" s="148">
        <f t="shared" si="4"/>
        <v>0</v>
      </c>
      <c r="AH24" s="148">
        <f t="shared" si="4"/>
        <v>0</v>
      </c>
      <c r="AI24" s="148">
        <f t="shared" si="4"/>
        <v>0</v>
      </c>
      <c r="AJ24" s="148">
        <f t="shared" ref="AJ24:AN24" si="5">IF(AJ22&lt;0,AJ22,0)</f>
        <v>0</v>
      </c>
      <c r="AK24" s="148">
        <f t="shared" si="5"/>
        <v>0</v>
      </c>
      <c r="AL24" s="148">
        <f t="shared" si="5"/>
        <v>0</v>
      </c>
      <c r="AM24" s="148">
        <f t="shared" si="5"/>
        <v>0</v>
      </c>
      <c r="AN24" s="148">
        <f t="shared" si="5"/>
        <v>0</v>
      </c>
      <c r="AO24" s="148">
        <f t="shared" si="3"/>
        <v>-131279859.22558522</v>
      </c>
      <c r="AP24" s="95"/>
      <c r="AQ24" s="95"/>
    </row>
    <row r="25" spans="2:43" x14ac:dyDescent="0.3">
      <c r="B25" s="503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  <c r="AH25" s="101"/>
      <c r="AI25" s="101"/>
      <c r="AJ25" s="101"/>
      <c r="AK25" s="101"/>
      <c r="AL25" s="101"/>
      <c r="AM25" s="101"/>
      <c r="AN25" s="101"/>
      <c r="AO25" s="101"/>
      <c r="AP25" s="95"/>
      <c r="AQ25" s="95"/>
    </row>
    <row r="26" spans="2:43" x14ac:dyDescent="0.3">
      <c r="B26" s="503" t="s">
        <v>167</v>
      </c>
      <c r="C26" s="148">
        <f t="shared" si="0"/>
        <v>-41085430.02123338</v>
      </c>
      <c r="D26" s="101"/>
      <c r="E26" s="101"/>
      <c r="F26" s="148">
        <f t="shared" ref="F26:AN26" si="6">SUM(F27:F28)</f>
        <v>-1173869.4291780973</v>
      </c>
      <c r="G26" s="148">
        <f t="shared" si="6"/>
        <v>-1173869.4291780973</v>
      </c>
      <c r="H26" s="148">
        <f t="shared" si="6"/>
        <v>-1173869.4291780973</v>
      </c>
      <c r="I26" s="148">
        <f t="shared" si="6"/>
        <v>-1173869.4291780973</v>
      </c>
      <c r="J26" s="148">
        <f t="shared" si="6"/>
        <v>-1173869.4291780973</v>
      </c>
      <c r="K26" s="148">
        <f t="shared" si="6"/>
        <v>-1173869.4291780973</v>
      </c>
      <c r="L26" s="148">
        <f t="shared" si="6"/>
        <v>-1173869.4291780973</v>
      </c>
      <c r="M26" s="148">
        <f t="shared" si="6"/>
        <v>-1173869.4291780973</v>
      </c>
      <c r="N26" s="148">
        <f t="shared" si="6"/>
        <v>-1173869.4291780973</v>
      </c>
      <c r="O26" s="148">
        <f t="shared" si="6"/>
        <v>-1173869.4291780973</v>
      </c>
      <c r="P26" s="148">
        <f t="shared" si="6"/>
        <v>-1173869.4291780973</v>
      </c>
      <c r="Q26" s="148">
        <f t="shared" si="6"/>
        <v>-1173869.4291780973</v>
      </c>
      <c r="R26" s="148">
        <f t="shared" si="6"/>
        <v>-1173869.4291780973</v>
      </c>
      <c r="S26" s="148">
        <f t="shared" si="6"/>
        <v>-1173869.4291780973</v>
      </c>
      <c r="T26" s="148">
        <f t="shared" si="6"/>
        <v>-1173869.4291780973</v>
      </c>
      <c r="U26" s="148">
        <f t="shared" si="6"/>
        <v>-1173869.4291780973</v>
      </c>
      <c r="V26" s="148">
        <f t="shared" si="6"/>
        <v>-1173869.4291780973</v>
      </c>
      <c r="W26" s="148">
        <f t="shared" si="6"/>
        <v>-1173869.4291780973</v>
      </c>
      <c r="X26" s="148">
        <f t="shared" si="6"/>
        <v>-1173869.4291780973</v>
      </c>
      <c r="Y26" s="148">
        <f t="shared" si="6"/>
        <v>-1173869.4291780973</v>
      </c>
      <c r="Z26" s="148">
        <f t="shared" si="6"/>
        <v>-1173869.4291780973</v>
      </c>
      <c r="AA26" s="148">
        <f t="shared" si="6"/>
        <v>-1173869.4291780973</v>
      </c>
      <c r="AB26" s="148">
        <f t="shared" si="6"/>
        <v>-1173869.4291780973</v>
      </c>
      <c r="AC26" s="148">
        <f t="shared" si="6"/>
        <v>-1173869.4291780973</v>
      </c>
      <c r="AD26" s="148">
        <f t="shared" si="6"/>
        <v>-1173869.4291780973</v>
      </c>
      <c r="AE26" s="148">
        <f t="shared" si="6"/>
        <v>-1173869.4291780973</v>
      </c>
      <c r="AF26" s="148">
        <f t="shared" si="6"/>
        <v>-1173869.4291780973</v>
      </c>
      <c r="AG26" s="148">
        <f t="shared" si="6"/>
        <v>-1173869.4291780973</v>
      </c>
      <c r="AH26" s="148">
        <f t="shared" si="6"/>
        <v>-1173869.4291780973</v>
      </c>
      <c r="AI26" s="148">
        <f t="shared" si="6"/>
        <v>-1173869.4291780973</v>
      </c>
      <c r="AJ26" s="148">
        <f t="shared" si="6"/>
        <v>-1173869.4291780973</v>
      </c>
      <c r="AK26" s="148">
        <f t="shared" si="6"/>
        <v>-1173869.4291780973</v>
      </c>
      <c r="AL26" s="148">
        <f t="shared" si="6"/>
        <v>-1173869.4291780973</v>
      </c>
      <c r="AM26" s="148">
        <f t="shared" si="6"/>
        <v>-1173869.4291780973</v>
      </c>
      <c r="AN26" s="148">
        <f t="shared" si="6"/>
        <v>-1173869.4291780973</v>
      </c>
      <c r="AO26" s="148">
        <f t="shared" ref="AO26:AO27" si="7">SUM(F26:AN26)</f>
        <v>-41085430.02123338</v>
      </c>
      <c r="AP26" s="95"/>
      <c r="AQ26" s="95"/>
    </row>
    <row r="27" spans="2:43" x14ac:dyDescent="0.3">
      <c r="B27" s="553" t="s">
        <v>641</v>
      </c>
      <c r="C27" s="148">
        <f t="shared" si="0"/>
        <v>-41085430.02123338</v>
      </c>
      <c r="D27" s="101"/>
      <c r="E27" s="101"/>
      <c r="F27" s="148">
        <f>-$J$15*'FCD PROJETO'!$D$10</f>
        <v>-1173869.4291780973</v>
      </c>
      <c r="G27" s="148">
        <f>-$J$15*'FCD PROJETO'!$D$10</f>
        <v>-1173869.4291780973</v>
      </c>
      <c r="H27" s="148">
        <f>-$J$15*'FCD PROJETO'!$D$10</f>
        <v>-1173869.4291780973</v>
      </c>
      <c r="I27" s="148">
        <f>-$J$15*'FCD PROJETO'!$D$10</f>
        <v>-1173869.4291780973</v>
      </c>
      <c r="J27" s="148">
        <f>-$J$15*'FCD PROJETO'!$D$10</f>
        <v>-1173869.4291780973</v>
      </c>
      <c r="K27" s="148">
        <f>-$J$15*'FCD PROJETO'!$D$10</f>
        <v>-1173869.4291780973</v>
      </c>
      <c r="L27" s="148">
        <f>-$J$15*'FCD PROJETO'!$D$10</f>
        <v>-1173869.4291780973</v>
      </c>
      <c r="M27" s="148">
        <f>-$J$15*'FCD PROJETO'!$D$10</f>
        <v>-1173869.4291780973</v>
      </c>
      <c r="N27" s="148">
        <f>-$J$15*'FCD PROJETO'!$D$10</f>
        <v>-1173869.4291780973</v>
      </c>
      <c r="O27" s="148">
        <f>-$J$15*'FCD PROJETO'!$D$10</f>
        <v>-1173869.4291780973</v>
      </c>
      <c r="P27" s="148">
        <f>-$J$15*'FCD PROJETO'!$D$10</f>
        <v>-1173869.4291780973</v>
      </c>
      <c r="Q27" s="148">
        <f>-$J$15*'FCD PROJETO'!$D$10</f>
        <v>-1173869.4291780973</v>
      </c>
      <c r="R27" s="148">
        <f>-$J$15*'FCD PROJETO'!$D$10</f>
        <v>-1173869.4291780973</v>
      </c>
      <c r="S27" s="148">
        <f>-$J$15*'FCD PROJETO'!$D$10</f>
        <v>-1173869.4291780973</v>
      </c>
      <c r="T27" s="148">
        <f>-$J$15*'FCD PROJETO'!$D$10</f>
        <v>-1173869.4291780973</v>
      </c>
      <c r="U27" s="148">
        <f>-$J$15*'FCD PROJETO'!$D$10</f>
        <v>-1173869.4291780973</v>
      </c>
      <c r="V27" s="148">
        <f>-$J$15*'FCD PROJETO'!$D$10</f>
        <v>-1173869.4291780973</v>
      </c>
      <c r="W27" s="148">
        <f>-$J$15*'FCD PROJETO'!$D$10</f>
        <v>-1173869.4291780973</v>
      </c>
      <c r="X27" s="148">
        <f>-$J$15*'FCD PROJETO'!$D$10</f>
        <v>-1173869.4291780973</v>
      </c>
      <c r="Y27" s="148">
        <f>-$J$15*'FCD PROJETO'!$D$10</f>
        <v>-1173869.4291780973</v>
      </c>
      <c r="Z27" s="148">
        <f>-$J$15*'FCD PROJETO'!$D$10</f>
        <v>-1173869.4291780973</v>
      </c>
      <c r="AA27" s="148">
        <f>-$J$15*'FCD PROJETO'!$D$10</f>
        <v>-1173869.4291780973</v>
      </c>
      <c r="AB27" s="148">
        <f>-$J$15*'FCD PROJETO'!$D$10</f>
        <v>-1173869.4291780973</v>
      </c>
      <c r="AC27" s="148">
        <f>-$J$15*'FCD PROJETO'!$D$10</f>
        <v>-1173869.4291780973</v>
      </c>
      <c r="AD27" s="148">
        <f>-$J$15*'FCD PROJETO'!$D$10</f>
        <v>-1173869.4291780973</v>
      </c>
      <c r="AE27" s="148">
        <f>-$J$15*'FCD PROJETO'!$D$10</f>
        <v>-1173869.4291780973</v>
      </c>
      <c r="AF27" s="148">
        <f>-$J$15*'FCD PROJETO'!$D$10</f>
        <v>-1173869.4291780973</v>
      </c>
      <c r="AG27" s="148">
        <f>-$J$15*'FCD PROJETO'!$D$10</f>
        <v>-1173869.4291780973</v>
      </c>
      <c r="AH27" s="148">
        <f>-$J$15*'FCD PROJETO'!$D$10</f>
        <v>-1173869.4291780973</v>
      </c>
      <c r="AI27" s="148">
        <f>-$J$15*'FCD PROJETO'!$D$10</f>
        <v>-1173869.4291780973</v>
      </c>
      <c r="AJ27" s="148">
        <f>-$J$15*'FCD PROJETO'!$D$10</f>
        <v>-1173869.4291780973</v>
      </c>
      <c r="AK27" s="148">
        <f>-$J$15*'FCD PROJETO'!$D$10</f>
        <v>-1173869.4291780973</v>
      </c>
      <c r="AL27" s="148">
        <f>-$J$15*'FCD PROJETO'!$D$10</f>
        <v>-1173869.4291780973</v>
      </c>
      <c r="AM27" s="148">
        <f>-$J$15*'FCD PROJETO'!$D$10</f>
        <v>-1173869.4291780973</v>
      </c>
      <c r="AN27" s="148">
        <f>-$J$15*'FCD PROJETO'!$D$10</f>
        <v>-1173869.4291780973</v>
      </c>
      <c r="AO27" s="148">
        <f t="shared" si="7"/>
        <v>-41085430.02123338</v>
      </c>
      <c r="AP27" s="95"/>
      <c r="AQ27" s="95"/>
    </row>
    <row r="28" spans="2:43" x14ac:dyDescent="0.3">
      <c r="B28" s="553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  <c r="AH28" s="101"/>
      <c r="AI28" s="101"/>
      <c r="AJ28" s="101"/>
      <c r="AK28" s="101"/>
      <c r="AL28" s="101"/>
      <c r="AM28" s="101"/>
      <c r="AN28" s="101"/>
      <c r="AO28" s="101"/>
      <c r="AP28" s="95"/>
      <c r="AQ28" s="95"/>
    </row>
    <row r="29" spans="2:43" x14ac:dyDescent="0.3">
      <c r="B29" s="503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95"/>
      <c r="AQ29" s="95"/>
    </row>
    <row r="30" spans="2:43" x14ac:dyDescent="0.3">
      <c r="B30" s="503" t="s">
        <v>165</v>
      </c>
      <c r="C30" s="148">
        <f t="shared" ref="C30:C42" si="8">AO30</f>
        <v>420430073.72620821</v>
      </c>
      <c r="D30" s="101"/>
      <c r="E30" s="101"/>
      <c r="F30" s="148">
        <f t="shared" ref="F30:AN30" si="9">F23+F26</f>
        <v>-1173869.4291780973</v>
      </c>
      <c r="G30" s="148">
        <f t="shared" si="9"/>
        <v>-1173869.4291780973</v>
      </c>
      <c r="H30" s="148">
        <f t="shared" si="9"/>
        <v>-1173869.4291780973</v>
      </c>
      <c r="I30" s="148">
        <f t="shared" si="9"/>
        <v>-1173869.4291780973</v>
      </c>
      <c r="J30" s="148">
        <f t="shared" si="9"/>
        <v>-1173869.4291780973</v>
      </c>
      <c r="K30" s="148">
        <f t="shared" si="9"/>
        <v>2082886.2915966352</v>
      </c>
      <c r="L30" s="148">
        <f t="shared" si="9"/>
        <v>2476355.3302879045</v>
      </c>
      <c r="M30" s="148">
        <f t="shared" si="9"/>
        <v>8930745.3470671065</v>
      </c>
      <c r="N30" s="148">
        <f t="shared" si="9"/>
        <v>9067105.256528791</v>
      </c>
      <c r="O30" s="148">
        <f t="shared" si="9"/>
        <v>8669354.488180019</v>
      </c>
      <c r="P30" s="148">
        <f t="shared" si="9"/>
        <v>9573817.1857429445</v>
      </c>
      <c r="Q30" s="148">
        <f t="shared" si="9"/>
        <v>10191396.494208302</v>
      </c>
      <c r="R30" s="148">
        <f t="shared" si="9"/>
        <v>14823169.002893571</v>
      </c>
      <c r="S30" s="148">
        <f t="shared" si="9"/>
        <v>14982858.739745889</v>
      </c>
      <c r="T30" s="148">
        <f t="shared" si="9"/>
        <v>15124001.534260716</v>
      </c>
      <c r="U30" s="148">
        <f t="shared" si="9"/>
        <v>15743213.504184213</v>
      </c>
      <c r="V30" s="148">
        <f t="shared" si="9"/>
        <v>15283240.867545545</v>
      </c>
      <c r="W30" s="148">
        <f t="shared" si="9"/>
        <v>15724499.801495202</v>
      </c>
      <c r="X30" s="148">
        <f t="shared" si="9"/>
        <v>15697625.591661517</v>
      </c>
      <c r="Y30" s="148">
        <f t="shared" si="9"/>
        <v>15800312.771248665</v>
      </c>
      <c r="Z30" s="148">
        <f t="shared" si="9"/>
        <v>16112494.152101539</v>
      </c>
      <c r="AA30" s="148">
        <f t="shared" si="9"/>
        <v>16180515.03258137</v>
      </c>
      <c r="AB30" s="148">
        <f t="shared" si="9"/>
        <v>16395702.049233813</v>
      </c>
      <c r="AC30" s="148">
        <f t="shared" si="9"/>
        <v>16452508.545658693</v>
      </c>
      <c r="AD30" s="148">
        <f t="shared" si="9"/>
        <v>16533164.388122447</v>
      </c>
      <c r="AE30" s="148">
        <f t="shared" si="9"/>
        <v>16721058.300872453</v>
      </c>
      <c r="AF30" s="148">
        <f t="shared" si="9"/>
        <v>16692017.337975476</v>
      </c>
      <c r="AG30" s="148">
        <f t="shared" si="9"/>
        <v>16965636.425546058</v>
      </c>
      <c r="AH30" s="148">
        <f t="shared" si="9"/>
        <v>16774640.092376497</v>
      </c>
      <c r="AI30" s="148">
        <f t="shared" si="9"/>
        <v>16794895.16722554</v>
      </c>
      <c r="AJ30" s="148">
        <f t="shared" si="9"/>
        <v>16816922.445755556</v>
      </c>
      <c r="AK30" s="148">
        <f t="shared" si="9"/>
        <v>16852017.787093334</v>
      </c>
      <c r="AL30" s="148">
        <f t="shared" si="9"/>
        <v>16917081.731161572</v>
      </c>
      <c r="AM30" s="148">
        <f t="shared" si="9"/>
        <v>17064018.823561061</v>
      </c>
      <c r="AN30" s="148">
        <f t="shared" si="9"/>
        <v>18856166.38618625</v>
      </c>
      <c r="AO30" s="148">
        <f>SUM(F30:AN30)</f>
        <v>420430073.72620821</v>
      </c>
      <c r="AP30" s="95"/>
      <c r="AQ30" s="95"/>
    </row>
    <row r="31" spans="2:43" x14ac:dyDescent="0.3">
      <c r="B31" s="503" t="s">
        <v>164</v>
      </c>
      <c r="C31" s="101"/>
      <c r="D31" s="101"/>
      <c r="E31" s="101"/>
      <c r="F31" s="101">
        <f>F30</f>
        <v>-1173869.4291780973</v>
      </c>
      <c r="G31" s="101">
        <f>F31+G30</f>
        <v>-2347738.8583561946</v>
      </c>
      <c r="H31" s="101">
        <f t="shared" ref="H31:AI31" si="10">G31+H30</f>
        <v>-3521608.2875342919</v>
      </c>
      <c r="I31" s="101">
        <f t="shared" si="10"/>
        <v>-4695477.7167123891</v>
      </c>
      <c r="J31" s="101">
        <f t="shared" si="10"/>
        <v>-5869347.1458904864</v>
      </c>
      <c r="K31" s="101">
        <f t="shared" si="10"/>
        <v>-3786460.8542938512</v>
      </c>
      <c r="L31" s="101">
        <f t="shared" si="10"/>
        <v>-1310105.5240059467</v>
      </c>
      <c r="M31" s="101">
        <f t="shared" si="10"/>
        <v>7620639.8230611598</v>
      </c>
      <c r="N31" s="101">
        <f t="shared" si="10"/>
        <v>16687745.079589952</v>
      </c>
      <c r="O31" s="101">
        <f t="shared" si="10"/>
        <v>25357099.567769971</v>
      </c>
      <c r="P31" s="101">
        <f t="shared" si="10"/>
        <v>34930916.753512919</v>
      </c>
      <c r="Q31" s="101">
        <f t="shared" si="10"/>
        <v>45122313.247721225</v>
      </c>
      <c r="R31" s="101">
        <f t="shared" si="10"/>
        <v>59945482.250614792</v>
      </c>
      <c r="S31" s="101">
        <f t="shared" si="10"/>
        <v>74928340.990360677</v>
      </c>
      <c r="T31" s="101">
        <f t="shared" si="10"/>
        <v>90052342.524621397</v>
      </c>
      <c r="U31" s="101">
        <f t="shared" si="10"/>
        <v>105795556.02880561</v>
      </c>
      <c r="V31" s="101">
        <f t="shared" si="10"/>
        <v>121078796.89635116</v>
      </c>
      <c r="W31" s="101">
        <f t="shared" si="10"/>
        <v>136803296.69784635</v>
      </c>
      <c r="X31" s="101">
        <f t="shared" si="10"/>
        <v>152500922.28950787</v>
      </c>
      <c r="Y31" s="101">
        <f t="shared" si="10"/>
        <v>168301235.06075653</v>
      </c>
      <c r="Z31" s="101">
        <f t="shared" si="10"/>
        <v>184413729.21285808</v>
      </c>
      <c r="AA31" s="101">
        <f t="shared" si="10"/>
        <v>200594244.24543944</v>
      </c>
      <c r="AB31" s="101">
        <f t="shared" si="10"/>
        <v>216989946.29467326</v>
      </c>
      <c r="AC31" s="101">
        <f t="shared" si="10"/>
        <v>233442454.84033197</v>
      </c>
      <c r="AD31" s="101">
        <f t="shared" si="10"/>
        <v>249975619.22845441</v>
      </c>
      <c r="AE31" s="101">
        <f t="shared" si="10"/>
        <v>266696677.52932686</v>
      </c>
      <c r="AF31" s="101">
        <f t="shared" si="10"/>
        <v>283388694.86730236</v>
      </c>
      <c r="AG31" s="101">
        <f t="shared" si="10"/>
        <v>300354331.29284841</v>
      </c>
      <c r="AH31" s="101">
        <f t="shared" si="10"/>
        <v>317128971.38522488</v>
      </c>
      <c r="AI31" s="101">
        <f t="shared" si="10"/>
        <v>333923866.55245042</v>
      </c>
      <c r="AJ31" s="101">
        <f t="shared" ref="AJ31" si="11">AI31+AJ30</f>
        <v>350740788.99820596</v>
      </c>
      <c r="AK31" s="101">
        <f t="shared" ref="AK31" si="12">AJ31+AK30</f>
        <v>367592806.7852993</v>
      </c>
      <c r="AL31" s="101">
        <f t="shared" ref="AL31" si="13">AK31+AL30</f>
        <v>384509888.5164609</v>
      </c>
      <c r="AM31" s="101">
        <f t="shared" ref="AM31" si="14">AL31+AM30</f>
        <v>401573907.34002197</v>
      </c>
      <c r="AN31" s="101">
        <f t="shared" ref="AN31" si="15">AM31+AN30</f>
        <v>420430073.72620821</v>
      </c>
      <c r="AO31" s="101"/>
      <c r="AP31" s="95"/>
      <c r="AQ31" s="95"/>
    </row>
    <row r="32" spans="2:43" x14ac:dyDescent="0.3">
      <c r="B32" s="503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1"/>
      <c r="AE32" s="101"/>
      <c r="AF32" s="101"/>
      <c r="AG32" s="101"/>
      <c r="AH32" s="101"/>
      <c r="AI32" s="101"/>
      <c r="AJ32" s="101"/>
      <c r="AK32" s="101"/>
      <c r="AL32" s="101"/>
      <c r="AM32" s="101"/>
      <c r="AN32" s="101"/>
      <c r="AO32" s="101"/>
      <c r="AP32" s="95"/>
      <c r="AQ32" s="95"/>
    </row>
    <row r="33" spans="1:45" x14ac:dyDescent="0.3">
      <c r="B33" s="503" t="s">
        <v>170</v>
      </c>
      <c r="C33" s="148">
        <f t="shared" ca="1" si="8"/>
        <v>-292342238.77617741</v>
      </c>
      <c r="D33" s="101"/>
      <c r="E33" s="101"/>
      <c r="F33" s="148">
        <f ca="1">F34+F35+F36</f>
        <v>4575368.3062347258</v>
      </c>
      <c r="G33" s="148">
        <f t="shared" ref="G33:AA33" ca="1" si="16">G34+G35+G36</f>
        <v>40106172.245504864</v>
      </c>
      <c r="H33" s="148">
        <f t="shared" ca="1" si="16"/>
        <v>33359949.709316529</v>
      </c>
      <c r="I33" s="148">
        <f t="shared" ca="1" si="16"/>
        <v>29819937.457633849</v>
      </c>
      <c r="J33" s="148">
        <f t="shared" ca="1" si="16"/>
        <v>24401971.525176197</v>
      </c>
      <c r="K33" s="148">
        <f t="shared" ca="1" si="16"/>
        <v>-3999492.1576475101</v>
      </c>
      <c r="L33" s="148">
        <f t="shared" ca="1" si="16"/>
        <v>-4995165.82752953</v>
      </c>
      <c r="M33" s="148">
        <f t="shared" ca="1" si="16"/>
        <v>-11248783.84738097</v>
      </c>
      <c r="N33" s="148">
        <f t="shared" ca="1" si="16"/>
        <v>-13563073.19078958</v>
      </c>
      <c r="O33" s="148">
        <f t="shared" ca="1" si="16"/>
        <v>-14213542.583974965</v>
      </c>
      <c r="P33" s="148">
        <f t="shared" ca="1" si="16"/>
        <v>-14854156.619185913</v>
      </c>
      <c r="Q33" s="148">
        <f t="shared" ca="1" si="16"/>
        <v>-15495795.318467898</v>
      </c>
      <c r="R33" s="148">
        <f t="shared" ca="1" si="16"/>
        <v>-20410922.502371468</v>
      </c>
      <c r="S33" s="148">
        <f t="shared" ca="1" si="16"/>
        <v>-20777202.569307607</v>
      </c>
      <c r="T33" s="148">
        <f t="shared" ca="1" si="16"/>
        <v>-21125024.720129002</v>
      </c>
      <c r="U33" s="148">
        <f t="shared" ca="1" si="16"/>
        <v>-21463217.959004179</v>
      </c>
      <c r="V33" s="148">
        <f t="shared" ca="1" si="16"/>
        <v>-24508087.039964631</v>
      </c>
      <c r="W33" s="148">
        <f t="shared" ca="1" si="16"/>
        <v>-24508087.039964631</v>
      </c>
      <c r="X33" s="148">
        <f t="shared" ca="1" si="16"/>
        <v>-24508087.039964631</v>
      </c>
      <c r="Y33" s="148">
        <f t="shared" ca="1" si="16"/>
        <v>-24508087.039964631</v>
      </c>
      <c r="Z33" s="148">
        <f t="shared" ca="1" si="16"/>
        <v>-24508087.039964631</v>
      </c>
      <c r="AA33" s="148">
        <f t="shared" ca="1" si="16"/>
        <v>-24508087.039964631</v>
      </c>
      <c r="AB33" s="148">
        <f t="shared" ref="AB33:AH33" ca="1" si="17">AB34+AB35+AB36</f>
        <v>-24508087.039964631</v>
      </c>
      <c r="AC33" s="148">
        <f t="shared" ca="1" si="17"/>
        <v>-24508087.039964631</v>
      </c>
      <c r="AD33" s="148">
        <f t="shared" ca="1" si="17"/>
        <v>-11568175.744547881</v>
      </c>
      <c r="AE33" s="148">
        <f t="shared" ca="1" si="17"/>
        <v>-11568175.744547881</v>
      </c>
      <c r="AF33" s="148">
        <f t="shared" ca="1" si="17"/>
        <v>-11568175.744547881</v>
      </c>
      <c r="AG33" s="148">
        <f t="shared" ca="1" si="17"/>
        <v>-11568175.744547881</v>
      </c>
      <c r="AH33" s="148">
        <f t="shared" ca="1" si="17"/>
        <v>-4125193.0414318824</v>
      </c>
      <c r="AI33" s="148">
        <f t="shared" ref="AI33:AN33" ca="1" si="18">AI34+AI35+AI36</f>
        <v>-4125193.0414318824</v>
      </c>
      <c r="AJ33" s="148">
        <f t="shared" ca="1" si="18"/>
        <v>-4125193.0414318829</v>
      </c>
      <c r="AK33" s="148">
        <f t="shared" ca="1" si="18"/>
        <v>-4125193.0414318824</v>
      </c>
      <c r="AL33" s="148">
        <f t="shared" ca="1" si="18"/>
        <v>-1207029.7535396263</v>
      </c>
      <c r="AM33" s="148">
        <f t="shared" ca="1" si="18"/>
        <v>-1207029.7535396263</v>
      </c>
      <c r="AN33" s="148">
        <f t="shared" ca="1" si="18"/>
        <v>-1207029.7535396263</v>
      </c>
      <c r="AO33" s="148">
        <f t="shared" ref="AO33:AO36" ca="1" si="19">SUM(F33:AN33)</f>
        <v>-292342238.77617741</v>
      </c>
      <c r="AP33" s="95"/>
      <c r="AQ33" s="95"/>
    </row>
    <row r="34" spans="1:45" x14ac:dyDescent="0.3">
      <c r="B34" s="553" t="s">
        <v>482</v>
      </c>
      <c r="C34" s="148">
        <f t="shared" ca="1" si="8"/>
        <v>244162096.82367462</v>
      </c>
      <c r="D34" s="101"/>
      <c r="E34" s="101"/>
      <c r="F34" s="148">
        <f ca="1">'Financiamento '!D96</f>
        <v>4961900.3427207256</v>
      </c>
      <c r="G34" s="148">
        <f ca="1">'Financiamento '!E96</f>
        <v>43913571.501840867</v>
      </c>
      <c r="H34" s="148">
        <f ca="1">'Financiamento '!F96</f>
        <v>40307286.591013528</v>
      </c>
      <c r="I34" s="148">
        <f ca="1">'Financiamento '!G96</f>
        <v>39873413.22994785</v>
      </c>
      <c r="J34" s="148">
        <f ca="1">'Financiamento '!H96</f>
        <v>40496565.253869377</v>
      </c>
      <c r="K34" s="148">
        <f ca="1">'Financiamento '!I96</f>
        <v>13116908.763741096</v>
      </c>
      <c r="L34" s="148">
        <f ca="1">'Financiamento '!J96</f>
        <v>13145250.074676365</v>
      </c>
      <c r="M34" s="148">
        <f ca="1">'Financiamento '!K96</f>
        <v>7473844.5448703207</v>
      </c>
      <c r="N34" s="148">
        <f ca="1">'Financiamento '!L96</f>
        <v>7395966.6063801851</v>
      </c>
      <c r="O34" s="148">
        <f ca="1">'Financiamento '!M96</f>
        <v>7315364.0746066598</v>
      </c>
      <c r="P34" s="148">
        <f ca="1">'Financiamento '!N96</f>
        <v>7238640.1034548385</v>
      </c>
      <c r="Q34" s="148">
        <f ca="1">'Financiamento '!O96</f>
        <v>7154323.1798859751</v>
      </c>
      <c r="R34" s="148">
        <f ca="1">'Financiamento '!P96</f>
        <v>3134296.4798324872</v>
      </c>
      <c r="S34" s="148">
        <f ca="1">'Financiamento '!Q96</f>
        <v>3001861.4173043547</v>
      </c>
      <c r="T34" s="148">
        <f ca="1">'Financiamento '!R96</f>
        <v>2878255.358944763</v>
      </c>
      <c r="U34" s="148">
        <f ca="1">'Financiamento '!S96</f>
        <v>2754649.3005851717</v>
      </c>
      <c r="V34" s="148">
        <f ca="1">'Financiamento '!T96</f>
        <v>0</v>
      </c>
      <c r="W34" s="148">
        <f ca="1">'Financiamento '!U96</f>
        <v>0</v>
      </c>
      <c r="X34" s="148">
        <f ca="1">'Financiamento '!V96</f>
        <v>0</v>
      </c>
      <c r="Y34" s="148">
        <f ca="1">'Financiamento '!W96</f>
        <v>0</v>
      </c>
      <c r="Z34" s="148">
        <f ca="1">'Financiamento '!X96</f>
        <v>0</v>
      </c>
      <c r="AA34" s="148">
        <f ca="1">'Financiamento '!Y96</f>
        <v>0</v>
      </c>
      <c r="AB34" s="148">
        <f ca="1">'Financiamento '!Z96</f>
        <v>0</v>
      </c>
      <c r="AC34" s="148">
        <f ca="1">'Financiamento '!AA96</f>
        <v>0</v>
      </c>
      <c r="AD34" s="148">
        <f ca="1">'Financiamento '!AB96</f>
        <v>0</v>
      </c>
      <c r="AE34" s="148">
        <f ca="1">'Financiamento '!AC96</f>
        <v>0</v>
      </c>
      <c r="AF34" s="148">
        <f ca="1">'Financiamento '!AD96</f>
        <v>0</v>
      </c>
      <c r="AG34" s="148">
        <f ca="1">'Financiamento '!AE96</f>
        <v>0</v>
      </c>
      <c r="AH34" s="148">
        <f>'Financiamento '!AF96</f>
        <v>0</v>
      </c>
      <c r="AI34" s="148">
        <f>'Financiamento '!AG96</f>
        <v>0</v>
      </c>
      <c r="AJ34" s="148">
        <f>'Financiamento '!AH96</f>
        <v>0</v>
      </c>
      <c r="AK34" s="148">
        <f>'Financiamento '!AI96</f>
        <v>0</v>
      </c>
      <c r="AL34" s="148">
        <f>'Financiamento '!AJ96</f>
        <v>0</v>
      </c>
      <c r="AM34" s="148">
        <f>'Financiamento '!AK96</f>
        <v>0</v>
      </c>
      <c r="AN34" s="148">
        <f>'Financiamento '!AL96</f>
        <v>0</v>
      </c>
      <c r="AO34" s="148">
        <f t="shared" ca="1" si="19"/>
        <v>244162096.82367462</v>
      </c>
      <c r="AP34" s="95"/>
      <c r="AQ34" s="95"/>
    </row>
    <row r="35" spans="1:45" x14ac:dyDescent="0.3">
      <c r="B35" s="553" t="s">
        <v>483</v>
      </c>
      <c r="C35" s="148">
        <f t="shared" ca="1" si="8"/>
        <v>-292342238.78170049</v>
      </c>
      <c r="D35" s="101"/>
      <c r="E35" s="101"/>
      <c r="F35" s="148">
        <f ca="1">-('Financiamento '!D99+'Financiamento '!D100+'Financiamento '!D101)</f>
        <v>-386532.03648599994</v>
      </c>
      <c r="G35" s="148">
        <f ca="1">-('Financiamento '!E99+'Financiamento '!E100+'Financiamento '!E101)</f>
        <v>-3807399.2563360003</v>
      </c>
      <c r="H35" s="148">
        <f ca="1">-('Financiamento '!F99+'Financiamento '!F100+'Financiamento '!F101)</f>
        <v>-6947336.8816970009</v>
      </c>
      <c r="I35" s="148">
        <f ca="1">-('Financiamento '!G99+'Financiamento '!G100+'Financiamento '!G101)</f>
        <v>-10053475.772314001</v>
      </c>
      <c r="J35" s="148">
        <f ca="1">-('Financiamento '!H99+'Financiamento '!H100+'Financiamento '!H101)</f>
        <v>-13208158.205590425</v>
      </c>
      <c r="K35" s="148">
        <f ca="1">-('Financiamento '!I99+'Financiamento '!I100+'Financiamento '!I101)</f>
        <v>-14005112.071036153</v>
      </c>
      <c r="L35" s="148">
        <f ca="1">-('Financiamento '!J99+'Financiamento '!J100+'Financiamento '!J101)</f>
        <v>-14786757.650410986</v>
      </c>
      <c r="M35" s="148">
        <f ca="1">-('Financiamento '!K99+'Financiamento '!K100+'Financiamento '!K101)</f>
        <v>-15107720.162641559</v>
      </c>
      <c r="N35" s="148">
        <f ca="1">-('Financiamento '!L99+'Financiamento '!L100+'Financiamento '!L101)</f>
        <v>-15402264.610191979</v>
      </c>
      <c r="O35" s="148">
        <f ca="1">-('Financiamento '!M99+'Financiamento '!M100+'Financiamento '!M101)</f>
        <v>-15539258.684538268</v>
      </c>
      <c r="P35" s="148">
        <f ca="1">-('Financiamento '!N99+'Financiamento '!N100+'Financiamento '!N101)</f>
        <v>-15636555.171419419</v>
      </c>
      <c r="Q35" s="148">
        <f ca="1">-('Financiamento '!O99+'Financiamento '!O100+'Financiamento '!O101)</f>
        <v>-15690935.730292398</v>
      </c>
      <c r="R35" s="148">
        <f ca="1">-('Financiamento '!P99+'Financiamento '!P100+'Financiamento '!P101)</f>
        <v>-15392977.08843936</v>
      </c>
      <c r="S35" s="148">
        <f ca="1">-('Financiamento '!Q99+'Financiamento '!Q100+'Financiamento '!Q101)</f>
        <v>-14991762.449323107</v>
      </c>
      <c r="T35" s="148">
        <f ca="1">-('Financiamento '!R99+'Financiamento '!R100+'Financiamento '!R101)</f>
        <v>-14531447.752030103</v>
      </c>
      <c r="U35" s="148">
        <f ca="1">-('Financiamento '!S99+'Financiamento '!S100+'Financiamento '!S101)</f>
        <v>-14008179.194268988</v>
      </c>
      <c r="V35" s="148">
        <f ca="1">-('Financiamento '!T99+'Financiamento '!T100+'Financiamento '!T101)</f>
        <v>-13212844.493980531</v>
      </c>
      <c r="W35" s="148">
        <f ca="1">-('Financiamento '!U99+'Financiamento '!U100+'Financiamento '!U101)</f>
        <v>-12332945.099648369</v>
      </c>
      <c r="X35" s="148">
        <f ca="1">-('Financiamento '!V99+'Financiamento '!V100+'Financiamento '!V101)</f>
        <v>-11384501.542497732</v>
      </c>
      <c r="Y35" s="148">
        <f ca="1">-('Financiamento '!W99+'Financiamento '!W100+'Financiamento '!W101)</f>
        <v>-10362174.23224506</v>
      </c>
      <c r="Z35" s="148">
        <f ca="1">-('Financiamento '!X99+'Financiamento '!X100+'Financiamento '!X101)</f>
        <v>-9260207.6245237049</v>
      </c>
      <c r="AA35" s="148">
        <f ca="1">-('Financiamento '!Y99+'Financiamento '!Y100+'Financiamento '!Y101)</f>
        <v>-8072397.8180608582</v>
      </c>
      <c r="AB35" s="148">
        <f ca="1">-('Financiamento '!Z99+'Financiamento '!Z100+'Financiamento '!Z101)</f>
        <v>-6792057.6276745535</v>
      </c>
      <c r="AC35" s="148">
        <f ca="1">-('Financiamento '!AA99+'Financiamento '!AA100+'Financiamento '!AA101)</f>
        <v>-5411978.9364571571</v>
      </c>
      <c r="AD35" s="148">
        <f ca="1">-('Financiamento '!AB99+'Financiamento '!AB100+'Financiamento '!AB101)</f>
        <v>-3924392.1151939258</v>
      </c>
      <c r="AE35" s="148">
        <f ca="1">-('Financiamento '!AC99+'Financiamento '!AC100+'Financiamento '!AC101)</f>
        <v>-3328941.3704672526</v>
      </c>
      <c r="AF35" s="148">
        <f ca="1">-('Financiamento '!AD99+'Financiamento '!AD100+'Financiamento '!AD101)</f>
        <v>-2687105.0127263712</v>
      </c>
      <c r="AG35" s="148">
        <f ca="1">-('Financiamento '!AE99+'Financiamento '!AE100+'Financiamento '!AE101)</f>
        <v>-1995269.6027174755</v>
      </c>
      <c r="AH35" s="148">
        <f ca="1">-('Financiamento '!AF99+'Financiamento '!AF100+'Financiamento '!AF101)</f>
        <v>-1249540.2142688869</v>
      </c>
      <c r="AI35" s="148">
        <f ca="1">-('Financiamento '!AG99+'Financiamento '!AG100+'Financiamento '!AG101)</f>
        <v>-1025526.8590328898</v>
      </c>
      <c r="AJ35" s="148">
        <f ca="1">-('Financiamento '!AH99+'Financiamento '!AH100+'Financiamento '!AH101)</f>
        <v>-784062.86342400813</v>
      </c>
      <c r="AK35" s="148">
        <f ca="1">-('Financiamento '!AI99+'Financiamento '!AI100+'Financiamento '!AI101)</f>
        <v>-523788.82255719474</v>
      </c>
      <c r="AL35" s="148">
        <f ca="1">-('Financiamento '!AJ99+'Financiamento '!AJ100+'Financiamento '!AJ101)</f>
        <v>-243239.43390685666</v>
      </c>
      <c r="AM35" s="148">
        <f ca="1">-('Financiamento '!AK99+'Financiamento '!AK100+'Financiamento '!AK101)</f>
        <v>-168160.16800746394</v>
      </c>
      <c r="AN35" s="148">
        <f ca="1">-('Financiamento '!AL99+'Financiamento '!AL100+'Financiamento '!AL101)</f>
        <v>-87232.227294508513</v>
      </c>
      <c r="AO35" s="148">
        <f t="shared" ca="1" si="19"/>
        <v>-292342238.78170049</v>
      </c>
      <c r="AP35" s="95"/>
      <c r="AQ35" s="95"/>
    </row>
    <row r="36" spans="1:45" x14ac:dyDescent="0.3">
      <c r="B36" s="553" t="s">
        <v>171</v>
      </c>
      <c r="C36" s="148">
        <f t="shared" ca="1" si="8"/>
        <v>-244162096.81815144</v>
      </c>
      <c r="D36" s="101"/>
      <c r="E36" s="101"/>
      <c r="F36" s="148">
        <f>-'Financiamento '!D102</f>
        <v>0</v>
      </c>
      <c r="G36" s="148">
        <f>-'Financiamento '!E102</f>
        <v>0</v>
      </c>
      <c r="H36" s="148">
        <f>-'Financiamento '!F102</f>
        <v>0</v>
      </c>
      <c r="I36" s="148">
        <f>-'Financiamento '!G102</f>
        <v>0</v>
      </c>
      <c r="J36" s="148">
        <f ca="1">-'Financiamento '!H102</f>
        <v>-2886435.523102751</v>
      </c>
      <c r="K36" s="148">
        <f ca="1">-'Financiamento '!I102</f>
        <v>-3111288.850352454</v>
      </c>
      <c r="L36" s="148">
        <f ca="1">-'Financiamento '!J102</f>
        <v>-3353658.2517949091</v>
      </c>
      <c r="M36" s="148">
        <f ca="1">-'Financiamento '!K102</f>
        <v>-3614908.2296097325</v>
      </c>
      <c r="N36" s="148">
        <f ca="1">-'Financiamento '!L102</f>
        <v>-5556775.1869777869</v>
      </c>
      <c r="O36" s="148">
        <f ca="1">-'Financiamento '!M102</f>
        <v>-5989647.9740433563</v>
      </c>
      <c r="P36" s="148">
        <f ca="1">-'Financiamento '!N102</f>
        <v>-6456241.5512213325</v>
      </c>
      <c r="Q36" s="148">
        <f ca="1">-'Financiamento '!O102</f>
        <v>-6959182.7680614758</v>
      </c>
      <c r="R36" s="148">
        <f ca="1">-'Financiamento '!P102</f>
        <v>-8152241.8937645946</v>
      </c>
      <c r="S36" s="148">
        <f ca="1">-'Financiamento '!Q102</f>
        <v>-8787301.5372888558</v>
      </c>
      <c r="T36" s="148">
        <f ca="1">-'Financiamento '!R102</f>
        <v>-9471832.3270436618</v>
      </c>
      <c r="U36" s="148">
        <f ca="1">-'Financiamento '!S102</f>
        <v>-10209688.06532036</v>
      </c>
      <c r="V36" s="148">
        <f ca="1">-'Financiamento '!T102</f>
        <v>-11295242.545984102</v>
      </c>
      <c r="W36" s="148">
        <f ca="1">-'Financiamento '!U102</f>
        <v>-12175141.940316264</v>
      </c>
      <c r="X36" s="148">
        <f ca="1">-'Financiamento '!V102</f>
        <v>-13123585.497466901</v>
      </c>
      <c r="Y36" s="148">
        <f ca="1">-'Financiamento '!W102</f>
        <v>-14145912.807719572</v>
      </c>
      <c r="Z36" s="148">
        <f ca="1">-'Financiamento '!X102</f>
        <v>-15247879.415440924</v>
      </c>
      <c r="AA36" s="148">
        <f ca="1">-'Financiamento '!Y102</f>
        <v>-16435689.221903773</v>
      </c>
      <c r="AB36" s="148">
        <f ca="1">-'Financiamento '!Z102</f>
        <v>-17716029.412290078</v>
      </c>
      <c r="AC36" s="148">
        <f ca="1">-'Financiamento '!AA102</f>
        <v>-19096108.103507474</v>
      </c>
      <c r="AD36" s="148">
        <f ca="1">-'Financiamento '!AB102</f>
        <v>-7643783.6293539563</v>
      </c>
      <c r="AE36" s="148">
        <f ca="1">-'Financiamento '!AC102</f>
        <v>-8239234.3740806282</v>
      </c>
      <c r="AF36" s="148">
        <f ca="1">-'Financiamento '!AD102</f>
        <v>-8881070.7318215109</v>
      </c>
      <c r="AG36" s="148">
        <f ca="1">-'Financiamento '!AE102</f>
        <v>-9572906.1418304052</v>
      </c>
      <c r="AH36" s="148">
        <f ca="1">-'Financiamento '!AF102</f>
        <v>-2875652.8271629955</v>
      </c>
      <c r="AI36" s="148">
        <f ca="1">-'Financiamento '!AG102</f>
        <v>-3099666.1823989926</v>
      </c>
      <c r="AJ36" s="148">
        <f ca="1">-'Financiamento '!AH102</f>
        <v>-3341130.1780078746</v>
      </c>
      <c r="AK36" s="148">
        <f ca="1">-'Financiamento '!AI102</f>
        <v>-3601404.2188746878</v>
      </c>
      <c r="AL36" s="148">
        <f ca="1">-'Financiamento '!AJ102</f>
        <v>-963790.31963276968</v>
      </c>
      <c r="AM36" s="148">
        <f ca="1">-'Financiamento '!AK102</f>
        <v>-1038869.5855321623</v>
      </c>
      <c r="AN36" s="148">
        <f ca="1">-'Financiamento '!AL102</f>
        <v>-1119797.5262451177</v>
      </c>
      <c r="AO36" s="148">
        <f t="shared" ca="1" si="19"/>
        <v>-244162096.81815144</v>
      </c>
      <c r="AP36" s="95"/>
      <c r="AQ36" s="95"/>
    </row>
    <row r="37" spans="1:45" x14ac:dyDescent="0.3">
      <c r="B37" s="553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  <c r="AB37" s="101"/>
      <c r="AC37" s="101"/>
      <c r="AD37" s="101"/>
      <c r="AE37" s="101"/>
      <c r="AF37" s="101"/>
      <c r="AG37" s="101"/>
      <c r="AH37" s="101"/>
      <c r="AI37" s="101"/>
      <c r="AJ37" s="101"/>
      <c r="AK37" s="101"/>
      <c r="AL37" s="101"/>
      <c r="AM37" s="101"/>
      <c r="AN37" s="101"/>
      <c r="AO37" s="101"/>
      <c r="AP37" s="95"/>
      <c r="AQ37" s="95"/>
    </row>
    <row r="38" spans="1:45" x14ac:dyDescent="0.3">
      <c r="B38" s="503" t="s">
        <v>268</v>
      </c>
      <c r="C38" s="148">
        <f t="shared" ca="1" si="8"/>
        <v>80022640.512704119</v>
      </c>
      <c r="D38" s="101"/>
      <c r="E38" s="101"/>
      <c r="F38" s="148">
        <f t="shared" ref="F38:AN38" ca="1" si="20">F39+F40</f>
        <v>374496.35175938334</v>
      </c>
      <c r="G38" s="148">
        <f t="shared" ca="1" si="20"/>
        <v>1195504.4845233834</v>
      </c>
      <c r="H38" s="148">
        <f t="shared" ca="1" si="20"/>
        <v>1949089.5146100237</v>
      </c>
      <c r="I38" s="148">
        <f t="shared" ca="1" si="20"/>
        <v>2694562.8483581035</v>
      </c>
      <c r="J38" s="148">
        <f t="shared" ca="1" si="20"/>
        <v>3451686.6323444452</v>
      </c>
      <c r="K38" s="148">
        <f t="shared" ca="1" si="20"/>
        <v>3642955.5600514198</v>
      </c>
      <c r="L38" s="148">
        <f t="shared" ca="1" si="20"/>
        <v>3830550.4991013799</v>
      </c>
      <c r="M38" s="148">
        <f t="shared" ca="1" si="20"/>
        <v>3907581.5020367173</v>
      </c>
      <c r="N38" s="148">
        <f t="shared" ca="1" si="20"/>
        <v>3978272.1694488181</v>
      </c>
      <c r="O38" s="148">
        <f t="shared" ca="1" si="20"/>
        <v>4011150.7472919272</v>
      </c>
      <c r="P38" s="148">
        <f t="shared" ca="1" si="20"/>
        <v>4034501.9041434042</v>
      </c>
      <c r="Q38" s="148">
        <f t="shared" ca="1" si="20"/>
        <v>4047553.2382729184</v>
      </c>
      <c r="R38" s="148">
        <f t="shared" ca="1" si="20"/>
        <v>3976043.1642281897</v>
      </c>
      <c r="S38" s="148">
        <f t="shared" ca="1" si="20"/>
        <v>3879751.650840289</v>
      </c>
      <c r="T38" s="148">
        <f t="shared" ca="1" si="20"/>
        <v>3769276.1234899675</v>
      </c>
      <c r="U38" s="148">
        <f t="shared" ca="1" si="20"/>
        <v>3643691.6696273005</v>
      </c>
      <c r="V38" s="148">
        <f t="shared" ca="1" si="20"/>
        <v>3452811.3415580709</v>
      </c>
      <c r="W38" s="148">
        <f t="shared" ca="1" si="20"/>
        <v>3241635.4869183521</v>
      </c>
      <c r="X38" s="148">
        <f t="shared" ca="1" si="20"/>
        <v>3014009.0332021993</v>
      </c>
      <c r="Y38" s="148">
        <f t="shared" ca="1" si="20"/>
        <v>2768650.4787415578</v>
      </c>
      <c r="Z38" s="148">
        <f t="shared" ca="1" si="20"/>
        <v>2504178.4928884325</v>
      </c>
      <c r="AA38" s="148">
        <f t="shared" ca="1" si="20"/>
        <v>2219104.1393373492</v>
      </c>
      <c r="AB38" s="148">
        <f t="shared" ca="1" si="20"/>
        <v>1911822.4936446361</v>
      </c>
      <c r="AC38" s="148">
        <f t="shared" ca="1" si="20"/>
        <v>1580603.607752461</v>
      </c>
      <c r="AD38" s="148">
        <f t="shared" ca="1" si="20"/>
        <v>1223582.7706492855</v>
      </c>
      <c r="AE38" s="148">
        <f t="shared" ca="1" si="20"/>
        <v>1080674.591914884</v>
      </c>
      <c r="AF38" s="148">
        <f t="shared" ca="1" si="20"/>
        <v>926633.86605707253</v>
      </c>
      <c r="AG38" s="148">
        <f t="shared" ca="1" si="20"/>
        <v>760593.36765493744</v>
      </c>
      <c r="AH38" s="148">
        <f t="shared" ca="1" si="20"/>
        <v>581618.31442727614</v>
      </c>
      <c r="AI38" s="148">
        <f t="shared" ca="1" si="20"/>
        <v>527855.10917063686</v>
      </c>
      <c r="AJ38" s="148">
        <f t="shared" ca="1" si="20"/>
        <v>469903.75022450526</v>
      </c>
      <c r="AK38" s="148">
        <f t="shared" ca="1" si="20"/>
        <v>407437.98041647009</v>
      </c>
      <c r="AL38" s="148">
        <f t="shared" ca="1" si="20"/>
        <v>340106.12714038894</v>
      </c>
      <c r="AM38" s="148">
        <f t="shared" ca="1" si="20"/>
        <v>322087.10332453466</v>
      </c>
      <c r="AN38" s="148">
        <f t="shared" ca="1" si="20"/>
        <v>302664.3975534254</v>
      </c>
      <c r="AO38" s="148">
        <f t="shared" ref="AO38:AO40" ca="1" si="21">SUM(F38:AN38)</f>
        <v>80022640.512704119</v>
      </c>
      <c r="AP38" s="95"/>
      <c r="AQ38" s="95"/>
    </row>
    <row r="39" spans="1:45" x14ac:dyDescent="0.3">
      <c r="B39" s="553" t="s">
        <v>484</v>
      </c>
      <c r="C39" s="148">
        <f t="shared" ca="1" si="8"/>
        <v>70162137.307608113</v>
      </c>
      <c r="D39" s="101"/>
      <c r="E39" s="101"/>
      <c r="F39" s="148">
        <f ca="1">-(IF(F35&gt;240000,240000*15%+(F35-240000)*10%,F35*15%)+F35*9%)</f>
        <v>92767.688756639982</v>
      </c>
      <c r="G39" s="148">
        <f t="shared" ref="G39:AI39" ca="1" si="22">-(IF(G35&gt;240000,240000*15%+(G35-240000)*10%,G35*15%)+G35*9%)</f>
        <v>913775.82152064005</v>
      </c>
      <c r="H39" s="148">
        <f t="shared" ca="1" si="22"/>
        <v>1667360.8516072803</v>
      </c>
      <c r="I39" s="148">
        <f t="shared" ca="1" si="22"/>
        <v>2412834.1853553602</v>
      </c>
      <c r="J39" s="148">
        <f t="shared" ca="1" si="22"/>
        <v>3169957.9693417018</v>
      </c>
      <c r="K39" s="148">
        <f t="shared" ca="1" si="22"/>
        <v>3361226.8970486764</v>
      </c>
      <c r="L39" s="148">
        <f t="shared" ca="1" si="22"/>
        <v>3548821.8360986365</v>
      </c>
      <c r="M39" s="148">
        <f t="shared" ca="1" si="22"/>
        <v>3625852.8390339739</v>
      </c>
      <c r="N39" s="148">
        <f t="shared" ca="1" si="22"/>
        <v>3696543.5064460747</v>
      </c>
      <c r="O39" s="148">
        <f t="shared" ca="1" si="22"/>
        <v>3729422.0842891838</v>
      </c>
      <c r="P39" s="148">
        <f t="shared" ca="1" si="22"/>
        <v>3752773.2411406608</v>
      </c>
      <c r="Q39" s="148">
        <f t="shared" ca="1" si="22"/>
        <v>3765824.575270175</v>
      </c>
      <c r="R39" s="148">
        <f t="shared" ca="1" si="22"/>
        <v>3694314.5012254464</v>
      </c>
      <c r="S39" s="148">
        <f t="shared" ca="1" si="22"/>
        <v>3598022.9878375456</v>
      </c>
      <c r="T39" s="148">
        <f t="shared" ca="1" si="22"/>
        <v>3487547.4604872242</v>
      </c>
      <c r="U39" s="148">
        <f t="shared" ca="1" si="22"/>
        <v>3361963.0066245571</v>
      </c>
      <c r="V39" s="148">
        <f t="shared" ca="1" si="22"/>
        <v>3171082.6785553275</v>
      </c>
      <c r="W39" s="148">
        <f t="shared" ca="1" si="22"/>
        <v>2959906.8239156087</v>
      </c>
      <c r="X39" s="148">
        <f t="shared" ca="1" si="22"/>
        <v>2732280.3701994559</v>
      </c>
      <c r="Y39" s="148">
        <f t="shared" ca="1" si="22"/>
        <v>2486921.8157388144</v>
      </c>
      <c r="Z39" s="148">
        <f t="shared" ca="1" si="22"/>
        <v>2222449.8298856891</v>
      </c>
      <c r="AA39" s="148">
        <f t="shared" ca="1" si="22"/>
        <v>1937375.4763346058</v>
      </c>
      <c r="AB39" s="148">
        <f t="shared" ca="1" si="22"/>
        <v>1630093.8306418927</v>
      </c>
      <c r="AC39" s="148">
        <f t="shared" ca="1" si="22"/>
        <v>1298874.9447497176</v>
      </c>
      <c r="AD39" s="148">
        <f t="shared" ca="1" si="22"/>
        <v>941854.10764654214</v>
      </c>
      <c r="AE39" s="148">
        <f t="shared" ca="1" si="22"/>
        <v>798945.92891214066</v>
      </c>
      <c r="AF39" s="148">
        <f t="shared" ca="1" si="22"/>
        <v>644905.20305432915</v>
      </c>
      <c r="AG39" s="148">
        <f t="shared" ca="1" si="22"/>
        <v>478864.70465219411</v>
      </c>
      <c r="AH39" s="148">
        <f t="shared" ca="1" si="22"/>
        <v>299889.65142453287</v>
      </c>
      <c r="AI39" s="148">
        <f t="shared" ca="1" si="22"/>
        <v>246126.44616789356</v>
      </c>
      <c r="AJ39" s="148">
        <f t="shared" ref="AJ39:AN39" ca="1" si="23">-(IF(AJ35&gt;240000,240000*15%+(AJ35-240000)*10%,AJ35*15%)+AJ35*9%)</f>
        <v>188175.08722176193</v>
      </c>
      <c r="AK39" s="148">
        <f t="shared" ca="1" si="23"/>
        <v>125709.31741372673</v>
      </c>
      <c r="AL39" s="148">
        <f t="shared" ca="1" si="23"/>
        <v>58377.464137645598</v>
      </c>
      <c r="AM39" s="148">
        <f t="shared" ca="1" si="23"/>
        <v>40358.44032179135</v>
      </c>
      <c r="AN39" s="148">
        <f t="shared" ca="1" si="23"/>
        <v>20935.734550682042</v>
      </c>
      <c r="AO39" s="148">
        <f t="shared" ca="1" si="21"/>
        <v>70162137.307608113</v>
      </c>
      <c r="AP39" s="95"/>
      <c r="AQ39" s="95"/>
    </row>
    <row r="40" spans="1:45" x14ac:dyDescent="0.3">
      <c r="B40" s="553" t="s">
        <v>640</v>
      </c>
      <c r="C40" s="148">
        <f t="shared" si="8"/>
        <v>9860503.205096012</v>
      </c>
      <c r="D40" s="101"/>
      <c r="E40" s="101"/>
      <c r="F40" s="148">
        <f>-(IF((F27)&gt;240000,240000*15%+((+F27)-240000)*10%,(+F27)*15%)+(+F27)*9%)</f>
        <v>281728.66300274333</v>
      </c>
      <c r="G40" s="148">
        <f t="shared" ref="G40:AN40" si="24">-(IF((G27)&gt;240000,240000*15%+((+G27)-240000)*10%,(+G27)*15%)+(+G27)*9%)</f>
        <v>281728.66300274333</v>
      </c>
      <c r="H40" s="148">
        <f t="shared" si="24"/>
        <v>281728.66300274333</v>
      </c>
      <c r="I40" s="148">
        <f t="shared" si="24"/>
        <v>281728.66300274333</v>
      </c>
      <c r="J40" s="148">
        <f t="shared" si="24"/>
        <v>281728.66300274333</v>
      </c>
      <c r="K40" s="148">
        <f t="shared" si="24"/>
        <v>281728.66300274333</v>
      </c>
      <c r="L40" s="148">
        <f t="shared" si="24"/>
        <v>281728.66300274333</v>
      </c>
      <c r="M40" s="148">
        <f t="shared" si="24"/>
        <v>281728.66300274333</v>
      </c>
      <c r="N40" s="148">
        <f t="shared" si="24"/>
        <v>281728.66300274333</v>
      </c>
      <c r="O40" s="148">
        <f t="shared" si="24"/>
        <v>281728.66300274333</v>
      </c>
      <c r="P40" s="148">
        <f t="shared" si="24"/>
        <v>281728.66300274333</v>
      </c>
      <c r="Q40" s="148">
        <f t="shared" si="24"/>
        <v>281728.66300274333</v>
      </c>
      <c r="R40" s="148">
        <f t="shared" si="24"/>
        <v>281728.66300274333</v>
      </c>
      <c r="S40" s="148">
        <f t="shared" si="24"/>
        <v>281728.66300274333</v>
      </c>
      <c r="T40" s="148">
        <f t="shared" si="24"/>
        <v>281728.66300274333</v>
      </c>
      <c r="U40" s="148">
        <f t="shared" si="24"/>
        <v>281728.66300274333</v>
      </c>
      <c r="V40" s="148">
        <f t="shared" si="24"/>
        <v>281728.66300274333</v>
      </c>
      <c r="W40" s="148">
        <f t="shared" si="24"/>
        <v>281728.66300274333</v>
      </c>
      <c r="X40" s="148">
        <f t="shared" si="24"/>
        <v>281728.66300274333</v>
      </c>
      <c r="Y40" s="148">
        <f t="shared" si="24"/>
        <v>281728.66300274333</v>
      </c>
      <c r="Z40" s="148">
        <f t="shared" si="24"/>
        <v>281728.66300274333</v>
      </c>
      <c r="AA40" s="148">
        <f t="shared" si="24"/>
        <v>281728.66300274333</v>
      </c>
      <c r="AB40" s="148">
        <f t="shared" si="24"/>
        <v>281728.66300274333</v>
      </c>
      <c r="AC40" s="148">
        <f t="shared" si="24"/>
        <v>281728.66300274333</v>
      </c>
      <c r="AD40" s="148">
        <f t="shared" si="24"/>
        <v>281728.66300274333</v>
      </c>
      <c r="AE40" s="148">
        <f t="shared" si="24"/>
        <v>281728.66300274333</v>
      </c>
      <c r="AF40" s="148">
        <f t="shared" si="24"/>
        <v>281728.66300274333</v>
      </c>
      <c r="AG40" s="148">
        <f t="shared" si="24"/>
        <v>281728.66300274333</v>
      </c>
      <c r="AH40" s="148">
        <f t="shared" si="24"/>
        <v>281728.66300274333</v>
      </c>
      <c r="AI40" s="148">
        <f t="shared" si="24"/>
        <v>281728.66300274333</v>
      </c>
      <c r="AJ40" s="148">
        <f t="shared" si="24"/>
        <v>281728.66300274333</v>
      </c>
      <c r="AK40" s="148">
        <f t="shared" si="24"/>
        <v>281728.66300274333</v>
      </c>
      <c r="AL40" s="148">
        <f t="shared" si="24"/>
        <v>281728.66300274333</v>
      </c>
      <c r="AM40" s="148">
        <f t="shared" si="24"/>
        <v>281728.66300274333</v>
      </c>
      <c r="AN40" s="148">
        <f t="shared" si="24"/>
        <v>281728.66300274333</v>
      </c>
      <c r="AO40" s="148">
        <f t="shared" si="21"/>
        <v>9860503.205096012</v>
      </c>
      <c r="AP40" s="95"/>
      <c r="AQ40" s="95"/>
    </row>
    <row r="41" spans="1:45" x14ac:dyDescent="0.3">
      <c r="B41" s="553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01"/>
      <c r="AF41" s="101"/>
      <c r="AG41" s="101"/>
      <c r="AH41" s="101"/>
      <c r="AI41" s="101"/>
      <c r="AJ41" s="101"/>
      <c r="AK41" s="101"/>
      <c r="AL41" s="101"/>
      <c r="AM41" s="101"/>
      <c r="AN41" s="101"/>
      <c r="AO41" s="101"/>
      <c r="AP41" s="95"/>
      <c r="AQ41" s="95"/>
    </row>
    <row r="42" spans="1:45" x14ac:dyDescent="0.3">
      <c r="B42" s="503" t="s">
        <v>272</v>
      </c>
      <c r="C42" s="148">
        <f t="shared" si="8"/>
        <v>-23075775.187372081</v>
      </c>
      <c r="D42" s="101"/>
      <c r="E42" s="101"/>
      <c r="F42" s="148">
        <f t="shared" ref="F42:AN42" si="25">-IF(F23&lt;0,0,F23*$J$14)</f>
        <v>0</v>
      </c>
      <c r="G42" s="148">
        <f t="shared" si="25"/>
        <v>0</v>
      </c>
      <c r="H42" s="148">
        <f t="shared" si="25"/>
        <v>0</v>
      </c>
      <c r="I42" s="148">
        <f t="shared" si="25"/>
        <v>0</v>
      </c>
      <c r="J42" s="148">
        <f t="shared" si="25"/>
        <v>0</v>
      </c>
      <c r="K42" s="148">
        <f t="shared" si="25"/>
        <v>-162837.78603873664</v>
      </c>
      <c r="L42" s="148">
        <f t="shared" si="25"/>
        <v>-182511.2379733001</v>
      </c>
      <c r="M42" s="148">
        <f t="shared" si="25"/>
        <v>-505230.73881226027</v>
      </c>
      <c r="N42" s="148">
        <f t="shared" si="25"/>
        <v>-512048.73428534449</v>
      </c>
      <c r="O42" s="148">
        <f t="shared" si="25"/>
        <v>-492161.1958679058</v>
      </c>
      <c r="P42" s="148">
        <f t="shared" si="25"/>
        <v>-537384.33074605209</v>
      </c>
      <c r="Q42" s="148">
        <f t="shared" si="25"/>
        <v>-568263.29616932</v>
      </c>
      <c r="R42" s="148">
        <f t="shared" si="25"/>
        <v>-799851.92160358338</v>
      </c>
      <c r="S42" s="148">
        <f t="shared" si="25"/>
        <v>-807836.40844619926</v>
      </c>
      <c r="T42" s="148">
        <f t="shared" si="25"/>
        <v>-814893.54817194073</v>
      </c>
      <c r="U42" s="148">
        <f t="shared" si="25"/>
        <v>-845854.14666811551</v>
      </c>
      <c r="V42" s="148">
        <f t="shared" si="25"/>
        <v>-822855.51483618212</v>
      </c>
      <c r="W42" s="148">
        <f t="shared" si="25"/>
        <v>-844918.46153366496</v>
      </c>
      <c r="X42" s="148">
        <f t="shared" si="25"/>
        <v>-843574.75104198069</v>
      </c>
      <c r="Y42" s="148">
        <f t="shared" si="25"/>
        <v>-848709.1100213381</v>
      </c>
      <c r="Z42" s="148">
        <f t="shared" si="25"/>
        <v>-864318.17906398186</v>
      </c>
      <c r="AA42" s="148">
        <f t="shared" si="25"/>
        <v>-867719.22308797343</v>
      </c>
      <c r="AB42" s="148">
        <f t="shared" si="25"/>
        <v>-878478.57392059546</v>
      </c>
      <c r="AC42" s="148">
        <f t="shared" si="25"/>
        <v>-881318.89874183945</v>
      </c>
      <c r="AD42" s="148">
        <f t="shared" si="25"/>
        <v>-885351.69086502725</v>
      </c>
      <c r="AE42" s="148">
        <f t="shared" si="25"/>
        <v>-894746.38650252752</v>
      </c>
      <c r="AF42" s="148">
        <f t="shared" si="25"/>
        <v>-893294.33835767861</v>
      </c>
      <c r="AG42" s="148">
        <f t="shared" si="25"/>
        <v>-906975.29273620772</v>
      </c>
      <c r="AH42" s="148">
        <f t="shared" si="25"/>
        <v>-897425.47607772972</v>
      </c>
      <c r="AI42" s="148">
        <f t="shared" si="25"/>
        <v>-898438.22982018185</v>
      </c>
      <c r="AJ42" s="148">
        <f t="shared" si="25"/>
        <v>-899539.59374668263</v>
      </c>
      <c r="AK42" s="148">
        <f t="shared" si="25"/>
        <v>-901294.36081357161</v>
      </c>
      <c r="AL42" s="148">
        <f t="shared" si="25"/>
        <v>-904547.55801698344</v>
      </c>
      <c r="AM42" s="148">
        <f t="shared" si="25"/>
        <v>-911894.41263695795</v>
      </c>
      <c r="AN42" s="148">
        <f t="shared" si="25"/>
        <v>-1001501.7907682173</v>
      </c>
      <c r="AO42" s="148">
        <f>SUM(F42:AN42)</f>
        <v>-23075775.187372081</v>
      </c>
      <c r="AP42" s="95"/>
      <c r="AQ42" s="95"/>
    </row>
    <row r="43" spans="1:45" x14ac:dyDescent="0.3">
      <c r="B43" s="553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  <c r="AO43" s="508"/>
      <c r="AP43" s="95"/>
      <c r="AQ43" s="95"/>
    </row>
    <row r="44" spans="1:45" s="18" customFormat="1" x14ac:dyDescent="0.3">
      <c r="A44" s="66"/>
      <c r="B44" s="554"/>
      <c r="C44" s="555"/>
      <c r="D44" s="555"/>
      <c r="E44" s="555"/>
      <c r="F44" s="555"/>
      <c r="G44" s="555"/>
      <c r="H44" s="555"/>
      <c r="I44" s="555"/>
      <c r="J44" s="555"/>
      <c r="K44" s="555"/>
      <c r="L44" s="555"/>
      <c r="M44" s="555"/>
      <c r="N44" s="555"/>
      <c r="O44" s="555"/>
      <c r="P44" s="555"/>
      <c r="Q44" s="555"/>
      <c r="R44" s="555"/>
      <c r="S44" s="555"/>
      <c r="T44" s="555"/>
      <c r="U44" s="555"/>
      <c r="V44" s="555"/>
      <c r="W44" s="555"/>
      <c r="X44" s="555"/>
      <c r="Y44" s="555"/>
      <c r="Z44" s="555"/>
      <c r="AA44" s="555"/>
      <c r="AB44" s="555"/>
      <c r="AC44" s="555"/>
      <c r="AD44" s="555"/>
      <c r="AE44" s="555"/>
      <c r="AF44" s="555"/>
      <c r="AG44" s="555"/>
      <c r="AH44" s="555"/>
      <c r="AI44" s="555"/>
      <c r="AJ44" s="555"/>
      <c r="AK44" s="555"/>
      <c r="AL44" s="555"/>
      <c r="AM44" s="555"/>
      <c r="AN44" s="555"/>
      <c r="AO44" s="556"/>
      <c r="AP44" s="75"/>
      <c r="AQ44" s="75"/>
      <c r="AR44" s="23"/>
      <c r="AS44" s="28"/>
    </row>
    <row r="45" spans="1:45" s="18" customFormat="1" x14ac:dyDescent="0.3">
      <c r="A45" s="66"/>
      <c r="B45" s="535" t="s">
        <v>258</v>
      </c>
      <c r="C45" s="535"/>
      <c r="D45" s="536">
        <f ca="1">MATCH(0,F45:AN45,1)+1</f>
        <v>25</v>
      </c>
      <c r="E45" s="535"/>
      <c r="F45" s="537">
        <f t="shared" ref="F45:AN45" ca="1" si="26">F22+F26+F33+F38+F42</f>
        <v>3306950.5630444828</v>
      </c>
      <c r="G45" s="537">
        <f t="shared" ca="1" si="26"/>
        <v>168462.02086669719</v>
      </c>
      <c r="H45" s="537">
        <f t="shared" ca="1" si="26"/>
        <v>903197.6946677058</v>
      </c>
      <c r="I45" s="537">
        <f t="shared" ca="1" si="26"/>
        <v>1285503.0095204725</v>
      </c>
      <c r="J45" s="537">
        <f t="shared" ca="1" si="26"/>
        <v>-884580.58411356248</v>
      </c>
      <c r="K45" s="537">
        <f t="shared" ca="1" si="26"/>
        <v>1563511.9079618084</v>
      </c>
      <c r="L45" s="537">
        <f t="shared" ca="1" si="26"/>
        <v>1129228.7638864543</v>
      </c>
      <c r="M45" s="537">
        <f t="shared" ca="1" si="26"/>
        <v>1084312.2629105938</v>
      </c>
      <c r="N45" s="537">
        <f t="shared" ca="1" si="26"/>
        <v>-1029744.4990973157</v>
      </c>
      <c r="O45" s="537">
        <f t="shared" ca="1" si="26"/>
        <v>-2025198.5443709246</v>
      </c>
      <c r="P45" s="537">
        <f t="shared" ca="1" si="26"/>
        <v>-1783221.8600456167</v>
      </c>
      <c r="Q45" s="537">
        <f t="shared" ca="1" si="26"/>
        <v>-1825108.8821559977</v>
      </c>
      <c r="R45" s="537">
        <f t="shared" ca="1" si="26"/>
        <v>-2411562.2568532904</v>
      </c>
      <c r="S45" s="537">
        <f t="shared" ca="1" si="26"/>
        <v>-2722428.5871676281</v>
      </c>
      <c r="T45" s="537">
        <f t="shared" ca="1" si="26"/>
        <v>-3046640.6105502588</v>
      </c>
      <c r="U45" s="537">
        <f t="shared" ca="1" si="26"/>
        <v>-2922166.9318607813</v>
      </c>
      <c r="V45" s="537">
        <f t="shared" ca="1" si="26"/>
        <v>-6594890.3456971971</v>
      </c>
      <c r="W45" s="537">
        <f t="shared" ca="1" si="26"/>
        <v>-6386870.2130847415</v>
      </c>
      <c r="X45" s="537">
        <f t="shared" ca="1" si="26"/>
        <v>-6640027.1661428958</v>
      </c>
      <c r="Y45" s="537">
        <f t="shared" ca="1" si="26"/>
        <v>-6787832.8999957461</v>
      </c>
      <c r="Z45" s="537">
        <f t="shared" ca="1" si="26"/>
        <v>-6755732.5740386415</v>
      </c>
      <c r="AA45" s="537">
        <f t="shared" ca="1" si="26"/>
        <v>-6976187.0911338851</v>
      </c>
      <c r="AB45" s="537">
        <f t="shared" ca="1" si="26"/>
        <v>-7079041.0710067777</v>
      </c>
      <c r="AC45" s="537">
        <f t="shared" ca="1" si="26"/>
        <v>-7356293.7852953169</v>
      </c>
      <c r="AD45" s="537">
        <f t="shared" ca="1" si="26"/>
        <v>5303219.7233588248</v>
      </c>
      <c r="AE45" s="537">
        <f t="shared" ca="1" si="26"/>
        <v>5338810.7617369276</v>
      </c>
      <c r="AF45" s="537">
        <f t="shared" ca="1" si="26"/>
        <v>5157181.1211269889</v>
      </c>
      <c r="AG45" s="537">
        <f t="shared" ca="1" si="26"/>
        <v>5251078.7559169056</v>
      </c>
      <c r="AH45" s="537">
        <f t="shared" ca="1" si="26"/>
        <v>12333639.889294161</v>
      </c>
      <c r="AI45" s="537">
        <f t="shared" ca="1" si="26"/>
        <v>12299119.005144112</v>
      </c>
      <c r="AJ45" s="537">
        <f t="shared" ca="1" si="26"/>
        <v>12262093.560801495</v>
      </c>
      <c r="AK45" s="537">
        <f t="shared" ca="1" si="26"/>
        <v>12232968.365264351</v>
      </c>
      <c r="AL45" s="537">
        <f t="shared" ca="1" si="26"/>
        <v>15145610.546745352</v>
      </c>
      <c r="AM45" s="537">
        <f t="shared" ca="1" si="26"/>
        <v>15267181.760709012</v>
      </c>
      <c r="AN45" s="537">
        <f t="shared" ca="1" si="26"/>
        <v>16950299.239431832</v>
      </c>
      <c r="AO45" s="534">
        <f ca="1">SUM(F45:AN45)</f>
        <v>53754841.049777612</v>
      </c>
      <c r="AP45" s="372">
        <f ca="1">AO45-D16</f>
        <v>0</v>
      </c>
      <c r="AQ45" s="373"/>
      <c r="AR45" s="34"/>
      <c r="AS45" s="28"/>
    </row>
    <row r="46" spans="1:45" s="18" customFormat="1" x14ac:dyDescent="0.3">
      <c r="A46" s="66"/>
      <c r="B46" s="535" t="s">
        <v>269</v>
      </c>
      <c r="C46" s="535"/>
      <c r="D46" s="536">
        <f ca="1">MATCH(0,F46:AN46,1)+1</f>
        <v>32</v>
      </c>
      <c r="E46" s="535"/>
      <c r="F46" s="537">
        <f ca="1">F45</f>
        <v>3306950.5630444828</v>
      </c>
      <c r="G46" s="537">
        <f ca="1">F46+G45</f>
        <v>3475412.58391118</v>
      </c>
      <c r="H46" s="537">
        <f t="shared" ref="H46:AI46" ca="1" si="27">G46+H45</f>
        <v>4378610.2785788858</v>
      </c>
      <c r="I46" s="537">
        <f t="shared" ca="1" si="27"/>
        <v>5664113.2880993579</v>
      </c>
      <c r="J46" s="537">
        <f t="shared" ca="1" si="27"/>
        <v>4779532.7039857954</v>
      </c>
      <c r="K46" s="537">
        <f t="shared" ca="1" si="27"/>
        <v>6343044.6119476035</v>
      </c>
      <c r="L46" s="537">
        <f t="shared" ca="1" si="27"/>
        <v>7472273.375834058</v>
      </c>
      <c r="M46" s="537">
        <f t="shared" ca="1" si="27"/>
        <v>8556585.6387446523</v>
      </c>
      <c r="N46" s="537">
        <f t="shared" ca="1" si="27"/>
        <v>7526841.1396473367</v>
      </c>
      <c r="O46" s="537">
        <f t="shared" ca="1" si="27"/>
        <v>5501642.5952764116</v>
      </c>
      <c r="P46" s="537">
        <f t="shared" ca="1" si="27"/>
        <v>3718420.7352307951</v>
      </c>
      <c r="Q46" s="537">
        <f t="shared" ca="1" si="27"/>
        <v>1893311.8530747974</v>
      </c>
      <c r="R46" s="537">
        <f t="shared" ca="1" si="27"/>
        <v>-518250.40377849294</v>
      </c>
      <c r="S46" s="537">
        <f t="shared" ca="1" si="27"/>
        <v>-3240678.990946121</v>
      </c>
      <c r="T46" s="537">
        <f t="shared" ca="1" si="27"/>
        <v>-6287319.6014963798</v>
      </c>
      <c r="U46" s="537">
        <f t="shared" ca="1" si="27"/>
        <v>-9209486.533357162</v>
      </c>
      <c r="V46" s="537">
        <f t="shared" ca="1" si="27"/>
        <v>-15804376.87905436</v>
      </c>
      <c r="W46" s="537">
        <f t="shared" ca="1" si="27"/>
        <v>-22191247.092139103</v>
      </c>
      <c r="X46" s="537">
        <f t="shared" ca="1" si="27"/>
        <v>-28831274.258281998</v>
      </c>
      <c r="Y46" s="537">
        <f t="shared" ca="1" si="27"/>
        <v>-35619107.158277743</v>
      </c>
      <c r="Z46" s="537">
        <f t="shared" ca="1" si="27"/>
        <v>-42374839.732316382</v>
      </c>
      <c r="AA46" s="537">
        <f t="shared" ca="1" si="27"/>
        <v>-49351026.823450267</v>
      </c>
      <c r="AB46" s="537">
        <f t="shared" ca="1" si="27"/>
        <v>-56430067.894457042</v>
      </c>
      <c r="AC46" s="537">
        <f t="shared" ca="1" si="27"/>
        <v>-63786361.679752357</v>
      </c>
      <c r="AD46" s="537">
        <f t="shared" ca="1" si="27"/>
        <v>-58483141.956393532</v>
      </c>
      <c r="AE46" s="537">
        <f t="shared" ca="1" si="27"/>
        <v>-53144331.194656603</v>
      </c>
      <c r="AF46" s="537">
        <f t="shared" ca="1" si="27"/>
        <v>-47987150.073529616</v>
      </c>
      <c r="AG46" s="537">
        <f t="shared" ca="1" si="27"/>
        <v>-42736071.317612708</v>
      </c>
      <c r="AH46" s="537">
        <f t="shared" ca="1" si="27"/>
        <v>-30402431.428318545</v>
      </c>
      <c r="AI46" s="537">
        <f t="shared" ca="1" si="27"/>
        <v>-18103312.423174433</v>
      </c>
      <c r="AJ46" s="537">
        <f t="shared" ref="AJ46" ca="1" si="28">AI46+AJ45</f>
        <v>-5841218.8623729385</v>
      </c>
      <c r="AK46" s="537">
        <f t="shared" ref="AK46" ca="1" si="29">AJ46+AK45</f>
        <v>6391749.502891412</v>
      </c>
      <c r="AL46" s="537">
        <f t="shared" ref="AL46" ca="1" si="30">AK46+AL45</f>
        <v>21537360.049636766</v>
      </c>
      <c r="AM46" s="537">
        <f t="shared" ref="AM46" ca="1" si="31">AL46+AM45</f>
        <v>36804541.810345776</v>
      </c>
      <c r="AN46" s="537">
        <f t="shared" ref="AN46" ca="1" si="32">AM46+AN45</f>
        <v>53754841.049777612</v>
      </c>
      <c r="AO46" s="557"/>
      <c r="AP46" s="95"/>
      <c r="AQ46" s="373"/>
      <c r="AR46" s="34"/>
      <c r="AS46" s="28"/>
    </row>
    <row r="47" spans="1:45" s="18" customFormat="1" x14ac:dyDescent="0.3">
      <c r="A47" s="66"/>
      <c r="B47" s="535" t="s">
        <v>270</v>
      </c>
      <c r="C47" s="535"/>
      <c r="D47" s="536">
        <f ca="1">MATCH(0,F47:AN47,1)+1</f>
        <v>25</v>
      </c>
      <c r="E47" s="535"/>
      <c r="F47" s="537">
        <f t="shared" ref="F47:AN47" ca="1" si="33">F45/(1+$D$2)^F20</f>
        <v>2934955.6620054943</v>
      </c>
      <c r="G47" s="537">
        <f t="shared" ca="1" si="33"/>
        <v>132693.5126203105</v>
      </c>
      <c r="H47" s="537">
        <f t="shared" ca="1" si="33"/>
        <v>631399.6652107971</v>
      </c>
      <c r="I47" s="537">
        <f t="shared" ca="1" si="33"/>
        <v>797569.36993151985</v>
      </c>
      <c r="J47" s="537">
        <f t="shared" ca="1" si="33"/>
        <v>-487087.08457427286</v>
      </c>
      <c r="K47" s="537">
        <f t="shared" ca="1" si="33"/>
        <v>764089.52683090465</v>
      </c>
      <c r="L47" s="537">
        <f t="shared" ca="1" si="33"/>
        <v>489777.49767748412</v>
      </c>
      <c r="M47" s="537">
        <f t="shared" ca="1" si="33"/>
        <v>417392.94844498608</v>
      </c>
      <c r="N47" s="537">
        <f t="shared" ca="1" si="33"/>
        <v>-351798.56304425414</v>
      </c>
      <c r="O47" s="537">
        <f t="shared" ca="1" si="33"/>
        <v>-614053.24310914194</v>
      </c>
      <c r="P47" s="537">
        <f t="shared" ca="1" si="33"/>
        <v>-479863.41960166593</v>
      </c>
      <c r="Q47" s="537">
        <f t="shared" ca="1" si="33"/>
        <v>-435887.9729447756</v>
      </c>
      <c r="R47" s="537">
        <f t="shared" ca="1" si="33"/>
        <v>-511161.84363544016</v>
      </c>
      <c r="S47" s="537">
        <f t="shared" ca="1" si="33"/>
        <v>-512141.87658093235</v>
      </c>
      <c r="T47" s="537">
        <f t="shared" ca="1" si="33"/>
        <v>-508661.49230627198</v>
      </c>
      <c r="U47" s="537">
        <f t="shared" ca="1" si="33"/>
        <v>-432998.60623194679</v>
      </c>
      <c r="V47" s="537">
        <f t="shared" ca="1" si="33"/>
        <v>-867287.12190338899</v>
      </c>
      <c r="W47" s="537">
        <f t="shared" ca="1" si="33"/>
        <v>-745447.82536181703</v>
      </c>
      <c r="X47" s="537">
        <f t="shared" ca="1" si="33"/>
        <v>-687816.92720899219</v>
      </c>
      <c r="Y47" s="537">
        <f t="shared" ca="1" si="33"/>
        <v>-624033.62023694592</v>
      </c>
      <c r="Z47" s="537">
        <f t="shared" ca="1" si="33"/>
        <v>-551217.67848777049</v>
      </c>
      <c r="AA47" s="537">
        <f t="shared" ca="1" si="33"/>
        <v>-505175.92985226569</v>
      </c>
      <c r="AB47" s="537">
        <f t="shared" ca="1" si="33"/>
        <v>-454959.56981504126</v>
      </c>
      <c r="AC47" s="537">
        <f t="shared" ca="1" si="33"/>
        <v>-419595.94261293398</v>
      </c>
      <c r="AD47" s="537">
        <f t="shared" ca="1" si="33"/>
        <v>268463.76612641476</v>
      </c>
      <c r="AE47" s="537">
        <f t="shared" ca="1" si="33"/>
        <v>239863.6437180244</v>
      </c>
      <c r="AF47" s="537">
        <f t="shared" ca="1" si="33"/>
        <v>205639.30428644514</v>
      </c>
      <c r="AG47" s="537">
        <f t="shared" ca="1" si="33"/>
        <v>185830.12367045728</v>
      </c>
      <c r="AH47" s="537">
        <f t="shared" ca="1" si="33"/>
        <v>387375.98209148657</v>
      </c>
      <c r="AI47" s="537">
        <f t="shared" ca="1" si="33"/>
        <v>342838.25213819335</v>
      </c>
      <c r="AJ47" s="537">
        <f t="shared" ca="1" si="33"/>
        <v>303356.80133603892</v>
      </c>
      <c r="AK47" s="537">
        <f t="shared" ca="1" si="33"/>
        <v>268593.07161035034</v>
      </c>
      <c r="AL47" s="537">
        <f t="shared" ca="1" si="33"/>
        <v>295136.94712665724</v>
      </c>
      <c r="AM47" s="537">
        <f t="shared" ca="1" si="33"/>
        <v>264039.87213835283</v>
      </c>
      <c r="AN47" s="537">
        <f t="shared" ca="1" si="33"/>
        <v>260172.77528268358</v>
      </c>
      <c r="AO47" s="534">
        <f ca="1">SUM(F47:AN47)</f>
        <v>4.7387446102220565E-3</v>
      </c>
      <c r="AP47" s="95"/>
      <c r="AQ47" s="373"/>
      <c r="AR47" s="34"/>
      <c r="AS47" s="28"/>
    </row>
    <row r="48" spans="1:45" s="18" customFormat="1" x14ac:dyDescent="0.3">
      <c r="A48"/>
      <c r="B48" s="535" t="s">
        <v>271</v>
      </c>
      <c r="C48" s="535"/>
      <c r="D48" s="536">
        <f ca="1">IF(AN48&gt;=0,35,MATCH(0,F48:AN48,1)+1)</f>
        <v>35</v>
      </c>
      <c r="E48" s="535"/>
      <c r="F48" s="537">
        <f ca="1">F47</f>
        <v>2934955.6620054943</v>
      </c>
      <c r="G48" s="537">
        <f ca="1">F48+G47</f>
        <v>3067649.1746258046</v>
      </c>
      <c r="H48" s="537">
        <f t="shared" ref="H48:AI48" ca="1" si="34">G48+H47</f>
        <v>3699048.8398366016</v>
      </c>
      <c r="I48" s="537">
        <f t="shared" ca="1" si="34"/>
        <v>4496618.2097681211</v>
      </c>
      <c r="J48" s="537">
        <f t="shared" ca="1" si="34"/>
        <v>4009531.1251938483</v>
      </c>
      <c r="K48" s="537">
        <f t="shared" ca="1" si="34"/>
        <v>4773620.6520247534</v>
      </c>
      <c r="L48" s="537">
        <f t="shared" ca="1" si="34"/>
        <v>5263398.1497022379</v>
      </c>
      <c r="M48" s="537">
        <f t="shared" ca="1" si="34"/>
        <v>5680791.0981472237</v>
      </c>
      <c r="N48" s="537">
        <f t="shared" ca="1" si="34"/>
        <v>5328992.53510297</v>
      </c>
      <c r="O48" s="537">
        <f t="shared" ca="1" si="34"/>
        <v>4714939.2919938285</v>
      </c>
      <c r="P48" s="537">
        <f t="shared" ca="1" si="34"/>
        <v>4235075.8723921627</v>
      </c>
      <c r="Q48" s="537">
        <f t="shared" ca="1" si="34"/>
        <v>3799187.8994473871</v>
      </c>
      <c r="R48" s="537">
        <f t="shared" ca="1" si="34"/>
        <v>3288026.0558119467</v>
      </c>
      <c r="S48" s="537">
        <f t="shared" ca="1" si="34"/>
        <v>2775884.1792310146</v>
      </c>
      <c r="T48" s="537">
        <f t="shared" ca="1" si="34"/>
        <v>2267222.6869247425</v>
      </c>
      <c r="U48" s="537">
        <f t="shared" ca="1" si="34"/>
        <v>1834224.0806927958</v>
      </c>
      <c r="V48" s="537">
        <f t="shared" ca="1" si="34"/>
        <v>966936.95878940681</v>
      </c>
      <c r="W48" s="537">
        <f t="shared" ca="1" si="34"/>
        <v>221489.13342758978</v>
      </c>
      <c r="X48" s="537">
        <f t="shared" ca="1" si="34"/>
        <v>-466327.7937814024</v>
      </c>
      <c r="Y48" s="537">
        <f t="shared" ca="1" si="34"/>
        <v>-1090361.4140183483</v>
      </c>
      <c r="Z48" s="537">
        <f t="shared" ca="1" si="34"/>
        <v>-1641579.0925061188</v>
      </c>
      <c r="AA48" s="537">
        <f t="shared" ca="1" si="34"/>
        <v>-2146755.0223583844</v>
      </c>
      <c r="AB48" s="537">
        <f t="shared" ca="1" si="34"/>
        <v>-2601714.5921734255</v>
      </c>
      <c r="AC48" s="537">
        <f t="shared" ca="1" si="34"/>
        <v>-3021310.5347863594</v>
      </c>
      <c r="AD48" s="537">
        <f t="shared" ca="1" si="34"/>
        <v>-2752846.7686599446</v>
      </c>
      <c r="AE48" s="537">
        <f t="shared" ca="1" si="34"/>
        <v>-2512983.1249419204</v>
      </c>
      <c r="AF48" s="537">
        <f t="shared" ca="1" si="34"/>
        <v>-2307343.8206554754</v>
      </c>
      <c r="AG48" s="537">
        <f t="shared" ca="1" si="34"/>
        <v>-2121513.696985018</v>
      </c>
      <c r="AH48" s="537">
        <f t="shared" ca="1" si="34"/>
        <v>-1734137.7148935315</v>
      </c>
      <c r="AI48" s="537">
        <f t="shared" ca="1" si="34"/>
        <v>-1391299.4627553383</v>
      </c>
      <c r="AJ48" s="537">
        <f t="shared" ref="AJ48" ca="1" si="35">AI48+AJ47</f>
        <v>-1087942.6614192994</v>
      </c>
      <c r="AK48" s="537">
        <f t="shared" ref="AK48" ca="1" si="36">AJ48+AK47</f>
        <v>-819349.58980894904</v>
      </c>
      <c r="AL48" s="537">
        <f t="shared" ref="AL48" ca="1" si="37">AK48+AL47</f>
        <v>-524212.6426822918</v>
      </c>
      <c r="AM48" s="537">
        <f t="shared" ref="AM48" ca="1" si="38">AL48+AM47</f>
        <v>-260172.77054393897</v>
      </c>
      <c r="AN48" s="537">
        <f t="shared" ref="AN48" ca="1" si="39">AM48+AN47</f>
        <v>4.7387446102220565E-3</v>
      </c>
      <c r="AO48" s="557"/>
      <c r="AP48" s="95"/>
      <c r="AQ48" s="95"/>
    </row>
    <row r="49" spans="2:43" x14ac:dyDescent="0.3">
      <c r="AP49" s="95"/>
      <c r="AQ49" s="95"/>
    </row>
    <row r="50" spans="2:43" x14ac:dyDescent="0.3">
      <c r="B50" s="4" t="s">
        <v>532</v>
      </c>
      <c r="C50" s="370">
        <f ca="1">IRR(F33:AI33)</f>
        <v>8.7505051693606006E-2</v>
      </c>
      <c r="AN50" s="558">
        <f ca="1">AN48</f>
        <v>4.7387446102220565E-3</v>
      </c>
      <c r="AO50"/>
      <c r="AP50" s="95"/>
      <c r="AQ50" s="95"/>
    </row>
    <row r="51" spans="2:43" x14ac:dyDescent="0.3">
      <c r="B51" s="374" t="s">
        <v>259</v>
      </c>
      <c r="C51" s="370">
        <f ca="1">IRR(F45:AN45)</f>
        <v>0.1267463442224066</v>
      </c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5"/>
      <c r="AC51" s="95"/>
      <c r="AD51" s="95"/>
      <c r="AE51" s="95"/>
      <c r="AF51" s="95"/>
      <c r="AG51" s="95"/>
      <c r="AH51" s="95"/>
      <c r="AI51" s="95"/>
      <c r="AJ51" s="95"/>
      <c r="AK51" s="95"/>
      <c r="AL51" s="95"/>
      <c r="AM51" s="95"/>
      <c r="AN51" s="95"/>
      <c r="AO51" s="369"/>
      <c r="AP51" s="95"/>
      <c r="AQ51" s="95"/>
    </row>
    <row r="52" spans="2:43" x14ac:dyDescent="0.3">
      <c r="B52" s="374" t="s">
        <v>531</v>
      </c>
      <c r="C52" s="370" cm="1">
        <f t="array" ref="C52">'FCD PROJETO'!D5:D5</f>
        <v>7.7755274343279002E-2</v>
      </c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369"/>
      <c r="AP52" s="95"/>
      <c r="AQ52" s="95"/>
    </row>
    <row r="53" spans="2:43" x14ac:dyDescent="0.3">
      <c r="B53" s="374" t="s">
        <v>260</v>
      </c>
      <c r="C53" s="375">
        <f>-SUM(F24:AN24)</f>
        <v>131279859.22558522</v>
      </c>
      <c r="D53" s="376">
        <f ca="1">1-D54</f>
        <v>0.34966752412817881</v>
      </c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369"/>
      <c r="AP53" s="95"/>
      <c r="AQ53" s="95"/>
    </row>
    <row r="54" spans="2:43" x14ac:dyDescent="0.3">
      <c r="B54" s="374" t="s">
        <v>261</v>
      </c>
      <c r="C54" s="375">
        <f ca="1">SUM(F34:AN34)</f>
        <v>244162096.82367462</v>
      </c>
      <c r="D54" s="376">
        <f ca="1">C54/(C54+C53)</f>
        <v>0.65033247587182119</v>
      </c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369"/>
      <c r="AP54" s="95"/>
      <c r="AQ54" s="95"/>
    </row>
    <row r="55" spans="2:43" x14ac:dyDescent="0.3">
      <c r="B55" s="374" t="s">
        <v>262</v>
      </c>
      <c r="C55" s="371">
        <f>'FCD PROJETO'!$H$8</f>
        <v>0.12674634436719204</v>
      </c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G55" s="95"/>
      <c r="AH55" s="95"/>
      <c r="AI55" s="95"/>
      <c r="AJ55" s="95"/>
      <c r="AK55" s="95"/>
      <c r="AL55" s="95"/>
      <c r="AM55" s="95"/>
      <c r="AN55" s="95"/>
      <c r="AO55" s="369"/>
      <c r="AP55" s="95"/>
      <c r="AQ55" s="95"/>
    </row>
    <row r="56" spans="2:43" x14ac:dyDescent="0.3">
      <c r="B56" s="374" t="s">
        <v>263</v>
      </c>
      <c r="C56" s="371">
        <f>'FCD PROJETO'!$H$9</f>
        <v>7.7899999999999997E-2</v>
      </c>
      <c r="D56" s="95"/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  <c r="AE56" s="95"/>
      <c r="AF56" s="95"/>
      <c r="AG56" s="95"/>
      <c r="AH56" s="95"/>
      <c r="AI56" s="95"/>
      <c r="AJ56" s="95"/>
      <c r="AK56" s="95"/>
      <c r="AL56" s="95"/>
      <c r="AM56" s="95"/>
      <c r="AN56" s="95"/>
      <c r="AO56" s="369"/>
      <c r="AP56" s="95"/>
      <c r="AQ56" s="95"/>
    </row>
    <row r="57" spans="2:43" x14ac:dyDescent="0.3">
      <c r="B57" s="374" t="s">
        <v>264</v>
      </c>
      <c r="C57" s="371">
        <f ca="1">C53/(C53+C54)*C55+C54/(C53+C54)*C56*(1-'FCD PROJETO'!J9)</f>
        <v>7.775527434164739E-2</v>
      </c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95"/>
      <c r="AD57" s="95"/>
      <c r="AE57" s="95"/>
      <c r="AF57" s="95"/>
      <c r="AG57" s="95"/>
      <c r="AH57" s="95"/>
      <c r="AI57" s="95"/>
      <c r="AJ57" s="95"/>
      <c r="AK57" s="95"/>
      <c r="AL57" s="95"/>
      <c r="AM57" s="95"/>
      <c r="AN57" s="95"/>
      <c r="AO57" s="369"/>
      <c r="AP57" s="95"/>
      <c r="AQ57" s="95"/>
    </row>
    <row r="59" spans="2:43" x14ac:dyDescent="0.3">
      <c r="AO59"/>
    </row>
    <row r="60" spans="2:43" x14ac:dyDescent="0.3">
      <c r="AO60"/>
    </row>
    <row r="61" spans="2:43" x14ac:dyDescent="0.3">
      <c r="AN61" s="71"/>
      <c r="AO61"/>
    </row>
    <row r="62" spans="2:43" x14ac:dyDescent="0.3">
      <c r="AN62" s="71"/>
      <c r="AO62"/>
    </row>
    <row r="63" spans="2:43" x14ac:dyDescent="0.3">
      <c r="AN63" s="71"/>
      <c r="AO63"/>
    </row>
    <row r="64" spans="2:43" x14ac:dyDescent="0.3">
      <c r="AN64" s="71"/>
      <c r="AO64"/>
    </row>
    <row r="65" spans="40:41" x14ac:dyDescent="0.3">
      <c r="AN65" s="71"/>
      <c r="AO65"/>
    </row>
    <row r="66" spans="40:41" x14ac:dyDescent="0.3">
      <c r="AN66" s="71"/>
      <c r="AO66"/>
    </row>
  </sheetData>
  <mergeCells count="16">
    <mergeCell ref="B16:C16"/>
    <mergeCell ref="B17:C17"/>
    <mergeCell ref="B15:C15"/>
    <mergeCell ref="G14:I14"/>
    <mergeCell ref="G15:I15"/>
    <mergeCell ref="B12:C12"/>
    <mergeCell ref="B13:C13"/>
    <mergeCell ref="B14:C14"/>
    <mergeCell ref="B1:E1"/>
    <mergeCell ref="G1:J1"/>
    <mergeCell ref="G8:I8"/>
    <mergeCell ref="B8:C8"/>
    <mergeCell ref="B11:C11"/>
    <mergeCell ref="B9:C9"/>
    <mergeCell ref="B7:C7"/>
    <mergeCell ref="B10:C10"/>
  </mergeCells>
  <phoneticPr fontId="2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68900-314D-4F0D-809B-D162F94530C2}">
  <dimension ref="A1:AG143"/>
  <sheetViews>
    <sheetView workbookViewId="0">
      <selection activeCell="E38" sqref="E38"/>
    </sheetView>
  </sheetViews>
  <sheetFormatPr defaultRowHeight="14.4" x14ac:dyDescent="0.3"/>
  <cols>
    <col min="1" max="1" width="17.109375" customWidth="1"/>
    <col min="2" max="2" width="15.5546875" customWidth="1"/>
    <col min="3" max="3" width="20.88671875" customWidth="1"/>
    <col min="4" max="4" width="14.33203125" customWidth="1"/>
    <col min="5" max="5" width="14.44140625" customWidth="1"/>
    <col min="6" max="6" width="13.33203125" customWidth="1"/>
    <col min="13" max="13" width="20.109375" customWidth="1"/>
    <col min="14" max="14" width="9.6640625" customWidth="1"/>
    <col min="15" max="20" width="10.77734375" customWidth="1"/>
    <col min="21" max="21" width="10.33203125" customWidth="1"/>
    <col min="28" max="28" width="157.109375" customWidth="1"/>
    <col min="29" max="29" width="8.88671875" style="14"/>
    <col min="30" max="30" width="13.33203125" customWidth="1"/>
    <col min="31" max="31" width="6.44140625" customWidth="1"/>
    <col min="32" max="32" width="15.6640625" customWidth="1"/>
    <col min="33" max="33" width="14.5546875" customWidth="1"/>
  </cols>
  <sheetData>
    <row r="1" spans="1:33" ht="15.6" thickTop="1" thickBot="1" x14ac:dyDescent="0.35">
      <c r="A1" s="318" t="s">
        <v>522</v>
      </c>
      <c r="B1" s="979" t="s">
        <v>26</v>
      </c>
      <c r="C1" s="980"/>
      <c r="D1" s="980"/>
      <c r="E1" s="980"/>
      <c r="F1" s="981"/>
      <c r="AA1" s="907" t="s">
        <v>1102</v>
      </c>
      <c r="AB1" s="907"/>
      <c r="AC1" s="907"/>
      <c r="AD1" s="907"/>
      <c r="AF1" s="907"/>
      <c r="AG1" s="907"/>
    </row>
    <row r="2" spans="1:33" ht="15.6" thickTop="1" thickBot="1" x14ac:dyDescent="0.35">
      <c r="A2" s="147" t="s">
        <v>528</v>
      </c>
      <c r="B2" s="974" t="s">
        <v>28</v>
      </c>
      <c r="C2" s="982" t="s">
        <v>29</v>
      </c>
      <c r="D2" s="983">
        <v>0</v>
      </c>
      <c r="E2" s="577" t="s">
        <v>30</v>
      </c>
      <c r="F2" s="578" t="s">
        <v>31</v>
      </c>
      <c r="I2" s="838" t="s">
        <v>935</v>
      </c>
      <c r="J2" s="838"/>
      <c r="K2" s="838" t="s">
        <v>943</v>
      </c>
      <c r="M2" s="868" t="s">
        <v>1030</v>
      </c>
      <c r="N2" s="868"/>
      <c r="O2" s="868"/>
      <c r="P2" s="868"/>
      <c r="Q2" s="868"/>
      <c r="R2" s="868"/>
      <c r="S2" s="868"/>
      <c r="T2" s="868"/>
      <c r="U2" s="868"/>
      <c r="V2" s="868"/>
      <c r="AA2" s="907" t="s">
        <v>1103</v>
      </c>
      <c r="AB2" s="907"/>
      <c r="AC2" s="907"/>
      <c r="AD2" s="907"/>
      <c r="AF2" s="907"/>
      <c r="AG2" s="907"/>
    </row>
    <row r="3" spans="1:33" ht="15.6" thickTop="1" thickBot="1" x14ac:dyDescent="0.35">
      <c r="A3" s="222" t="s">
        <v>524</v>
      </c>
      <c r="B3" s="975">
        <v>0</v>
      </c>
      <c r="C3" s="574" t="s">
        <v>40</v>
      </c>
      <c r="D3" s="574" t="s">
        <v>41</v>
      </c>
      <c r="E3" s="579" t="s">
        <v>42</v>
      </c>
      <c r="F3" s="580" t="s">
        <v>43</v>
      </c>
      <c r="M3" s="974" t="s">
        <v>28</v>
      </c>
      <c r="N3" s="869" t="s">
        <v>941</v>
      </c>
      <c r="O3" s="870" t="s">
        <v>1028</v>
      </c>
      <c r="P3" s="869"/>
      <c r="Q3" s="871"/>
      <c r="R3" s="897" t="s">
        <v>1029</v>
      </c>
      <c r="S3" s="898"/>
      <c r="T3" s="899"/>
      <c r="U3" s="869"/>
      <c r="V3" s="869"/>
      <c r="AA3" s="4" t="s">
        <v>89</v>
      </c>
      <c r="AB3" s="4" t="s">
        <v>907</v>
      </c>
      <c r="AC3" s="382" t="s">
        <v>18</v>
      </c>
      <c r="AD3" s="382" t="s">
        <v>1104</v>
      </c>
      <c r="AF3" s="382" t="s">
        <v>1328</v>
      </c>
      <c r="AG3" s="382" t="s">
        <v>1329</v>
      </c>
    </row>
    <row r="4" spans="1:33" ht="15.6" thickTop="1" thickBot="1" x14ac:dyDescent="0.35">
      <c r="B4" s="971" t="s">
        <v>672</v>
      </c>
      <c r="C4" s="575" t="s">
        <v>488</v>
      </c>
      <c r="D4" s="575" t="s">
        <v>488</v>
      </c>
      <c r="E4" s="581">
        <f>Histograma!F4</f>
        <v>2.6602586851936536</v>
      </c>
      <c r="F4" s="582">
        <f>Histograma!G4</f>
        <v>2.6602586851936536</v>
      </c>
      <c r="I4" s="583">
        <v>2.4232816184091615</v>
      </c>
      <c r="J4" s="583">
        <v>2.4232816184091615</v>
      </c>
      <c r="K4" s="847">
        <f>E4/I4-1</f>
        <v>9.7791798107255579E-2</v>
      </c>
      <c r="M4" s="975">
        <v>0</v>
      </c>
      <c r="N4" s="845" t="s">
        <v>1027</v>
      </c>
      <c r="O4" s="846" t="s">
        <v>3</v>
      </c>
      <c r="P4" s="846" t="s">
        <v>4</v>
      </c>
      <c r="Q4" s="846" t="s">
        <v>5</v>
      </c>
      <c r="R4" s="846" t="s">
        <v>3</v>
      </c>
      <c r="S4" s="846" t="s">
        <v>4</v>
      </c>
      <c r="T4" s="846" t="s">
        <v>5</v>
      </c>
      <c r="U4" s="894" t="s">
        <v>1098</v>
      </c>
      <c r="V4" s="894" t="s">
        <v>15</v>
      </c>
      <c r="AA4" s="96">
        <v>1</v>
      </c>
      <c r="AB4" s="96" t="s">
        <v>1105</v>
      </c>
      <c r="AC4" s="382"/>
      <c r="AD4" s="4"/>
    </row>
    <row r="5" spans="1:33" ht="15" customHeight="1" thickTop="1" x14ac:dyDescent="0.3">
      <c r="B5" s="972"/>
      <c r="C5" s="575">
        <v>0.01</v>
      </c>
      <c r="D5" s="575">
        <v>10</v>
      </c>
      <c r="E5" s="581">
        <f>Histograma!F5</f>
        <v>1.3920000000000001</v>
      </c>
      <c r="F5" s="582">
        <f>Histograma!G5</f>
        <v>1.3920000000000001</v>
      </c>
      <c r="I5" s="583">
        <v>1.268</v>
      </c>
      <c r="J5" s="583">
        <v>1.268</v>
      </c>
      <c r="K5" s="847">
        <f t="shared" ref="K5:K51" si="0">E5/I5-1</f>
        <v>9.7791798107255579E-2</v>
      </c>
      <c r="M5" s="971" t="s">
        <v>672</v>
      </c>
      <c r="N5" s="152" t="s">
        <v>936</v>
      </c>
      <c r="O5" s="272">
        <f>E4+10*(E5)</f>
        <v>16.580258685193655</v>
      </c>
      <c r="P5" s="272">
        <f>F4+10*(F5)</f>
        <v>16.580258685193655</v>
      </c>
      <c r="Q5" s="272">
        <f t="shared" ref="Q5:Q11" si="1">SUM(O5:P5)</f>
        <v>33.160517370387311</v>
      </c>
      <c r="R5" s="272">
        <f>6.35+10*1.14</f>
        <v>17.75</v>
      </c>
      <c r="S5" s="272">
        <f>6.35+10*1.14</f>
        <v>17.75</v>
      </c>
      <c r="T5" s="272">
        <f>R5+S5</f>
        <v>35.5</v>
      </c>
      <c r="U5" s="895">
        <f>Q5-T5</f>
        <v>-2.3394826296126894</v>
      </c>
      <c r="V5" s="896">
        <f>U5/T5</f>
        <v>-6.5900919144019424E-2</v>
      </c>
      <c r="AA5" s="4" t="s">
        <v>1106</v>
      </c>
      <c r="AB5" s="4" t="s">
        <v>1107</v>
      </c>
      <c r="AC5" s="382" t="s">
        <v>230</v>
      </c>
      <c r="AD5" s="905">
        <f>AG5</f>
        <v>79.94</v>
      </c>
      <c r="AF5" s="905">
        <v>72.849999999999994</v>
      </c>
      <c r="AG5" s="905">
        <f>TRUNC(AF5*'FCD PROJETO'!$S$19,2)</f>
        <v>79.94</v>
      </c>
    </row>
    <row r="6" spans="1:33" x14ac:dyDescent="0.3">
      <c r="B6" s="972"/>
      <c r="C6" s="576">
        <v>10.01</v>
      </c>
      <c r="D6" s="576">
        <v>15</v>
      </c>
      <c r="E6" s="583">
        <f>Histograma!F6</f>
        <v>2.0880000000000001</v>
      </c>
      <c r="F6" s="584">
        <f>Histograma!G6</f>
        <v>2.0880000000000001</v>
      </c>
      <c r="I6" s="583">
        <v>1.9019999999999999</v>
      </c>
      <c r="J6" s="583">
        <v>1.9019999999999999</v>
      </c>
      <c r="K6" s="847">
        <f t="shared" si="0"/>
        <v>9.7791798107255579E-2</v>
      </c>
      <c r="M6" s="972"/>
      <c r="N6" s="152" t="s">
        <v>937</v>
      </c>
      <c r="O6" s="272">
        <f t="shared" ref="O6:P8" si="2">O5+5*E6</f>
        <v>27.020258685193657</v>
      </c>
      <c r="P6" s="272">
        <f t="shared" si="2"/>
        <v>27.020258685193657</v>
      </c>
      <c r="Q6" s="272">
        <f t="shared" si="1"/>
        <v>54.040517370387313</v>
      </c>
      <c r="R6" s="272">
        <f>R5+5*2.02</f>
        <v>27.85</v>
      </c>
      <c r="S6" s="272">
        <f>S5+5*2.02</f>
        <v>27.85</v>
      </c>
      <c r="T6" s="272">
        <f t="shared" ref="T6:T11" si="3">R6+S6</f>
        <v>55.7</v>
      </c>
      <c r="U6" s="895">
        <f t="shared" ref="U6:U51" si="4">Q6-T6</f>
        <v>-1.6594826296126897</v>
      </c>
      <c r="V6" s="896">
        <f t="shared" ref="V6:V51" si="5">U6/T6</f>
        <v>-2.9793224948163187E-2</v>
      </c>
      <c r="AA6" s="4" t="s">
        <v>1108</v>
      </c>
      <c r="AB6" s="4" t="s">
        <v>1109</v>
      </c>
      <c r="AC6" s="382" t="s">
        <v>230</v>
      </c>
      <c r="AD6" s="905">
        <f t="shared" ref="AD6:AD15" si="6">AG6</f>
        <v>71.239999999999995</v>
      </c>
      <c r="AF6" s="905">
        <v>64.92</v>
      </c>
      <c r="AG6" s="905">
        <f>TRUNC(AF6*'FCD PROJETO'!$S$19,2)</f>
        <v>71.239999999999995</v>
      </c>
    </row>
    <row r="7" spans="1:33" x14ac:dyDescent="0.3">
      <c r="B7" s="972"/>
      <c r="C7" s="576">
        <v>15.01</v>
      </c>
      <c r="D7" s="576">
        <v>20</v>
      </c>
      <c r="E7" s="583">
        <f>Histograma!F7</f>
        <v>2.7840000000000003</v>
      </c>
      <c r="F7" s="584">
        <f>Histograma!G7</f>
        <v>2.7840000000000003</v>
      </c>
      <c r="I7" s="583">
        <v>2.536</v>
      </c>
      <c r="J7" s="583">
        <v>2.536</v>
      </c>
      <c r="K7" s="847">
        <f t="shared" si="0"/>
        <v>9.7791798107255579E-2</v>
      </c>
      <c r="M7" s="972"/>
      <c r="N7" s="152" t="s">
        <v>938</v>
      </c>
      <c r="O7" s="272">
        <f t="shared" si="2"/>
        <v>40.940258685193655</v>
      </c>
      <c r="P7" s="272">
        <f t="shared" si="2"/>
        <v>40.940258685193655</v>
      </c>
      <c r="Q7" s="272">
        <f t="shared" si="1"/>
        <v>81.880517370387309</v>
      </c>
      <c r="R7" s="272">
        <f>R6+5*2.02</f>
        <v>37.950000000000003</v>
      </c>
      <c r="S7" s="272">
        <f>S6+5*2.02</f>
        <v>37.950000000000003</v>
      </c>
      <c r="T7" s="272">
        <f t="shared" si="3"/>
        <v>75.900000000000006</v>
      </c>
      <c r="U7" s="895">
        <f t="shared" si="4"/>
        <v>5.9805173703873038</v>
      </c>
      <c r="V7" s="896">
        <f t="shared" si="5"/>
        <v>7.8794695262019807E-2</v>
      </c>
      <c r="AA7" s="4" t="s">
        <v>1110</v>
      </c>
      <c r="AB7" s="4" t="s">
        <v>1111</v>
      </c>
      <c r="AC7" s="382" t="s">
        <v>230</v>
      </c>
      <c r="AD7" s="905">
        <f t="shared" si="6"/>
        <v>91.15</v>
      </c>
      <c r="AF7" s="905">
        <v>83.06</v>
      </c>
      <c r="AG7" s="905">
        <f>TRUNC(AF7*'FCD PROJETO'!$S$19,2)</f>
        <v>91.15</v>
      </c>
    </row>
    <row r="8" spans="1:33" x14ac:dyDescent="0.3">
      <c r="B8" s="972"/>
      <c r="C8" s="576">
        <v>20.010000000000002</v>
      </c>
      <c r="D8" s="576">
        <v>30</v>
      </c>
      <c r="E8" s="583">
        <f>Histograma!F8</f>
        <v>3.48</v>
      </c>
      <c r="F8" s="584">
        <f>Histograma!G8</f>
        <v>3.48</v>
      </c>
      <c r="I8" s="583">
        <v>3.17</v>
      </c>
      <c r="J8" s="583">
        <v>3.17</v>
      </c>
      <c r="K8" s="847">
        <f t="shared" si="0"/>
        <v>9.7791798107255579E-2</v>
      </c>
      <c r="M8" s="972"/>
      <c r="N8" s="152" t="s">
        <v>939</v>
      </c>
      <c r="O8" s="272">
        <f t="shared" si="2"/>
        <v>58.340258685193653</v>
      </c>
      <c r="P8" s="272">
        <f t="shared" si="2"/>
        <v>58.340258685193653</v>
      </c>
      <c r="Q8" s="272">
        <f t="shared" si="1"/>
        <v>116.68051737038731</v>
      </c>
      <c r="R8" s="272">
        <f>R7+5*2.8</f>
        <v>51.95</v>
      </c>
      <c r="S8" s="272">
        <f>S7+5*2.8</f>
        <v>51.95</v>
      </c>
      <c r="T8" s="272">
        <f t="shared" si="3"/>
        <v>103.9</v>
      </c>
      <c r="U8" s="895">
        <f t="shared" si="4"/>
        <v>12.780517370387301</v>
      </c>
      <c r="V8" s="896">
        <f t="shared" si="5"/>
        <v>0.1230078668949692</v>
      </c>
      <c r="AA8" s="4" t="s">
        <v>1112</v>
      </c>
      <c r="AB8" s="4" t="s">
        <v>1113</v>
      </c>
      <c r="AC8" s="382" t="s">
        <v>230</v>
      </c>
      <c r="AD8" s="905">
        <f t="shared" si="6"/>
        <v>96.87</v>
      </c>
      <c r="AF8" s="905">
        <v>88.28</v>
      </c>
      <c r="AG8" s="905">
        <f>TRUNC(AF8*'FCD PROJETO'!$S$19,2)</f>
        <v>96.87</v>
      </c>
    </row>
    <row r="9" spans="1:33" x14ac:dyDescent="0.3">
      <c r="B9" s="972"/>
      <c r="C9" s="576">
        <v>30.01</v>
      </c>
      <c r="D9" s="576">
        <v>50</v>
      </c>
      <c r="E9" s="583">
        <f>Histograma!F9</f>
        <v>4.1760000000000002</v>
      </c>
      <c r="F9" s="584">
        <f>Histograma!G9</f>
        <v>4.1760000000000002</v>
      </c>
      <c r="I9" s="583">
        <v>3.8039999999999998</v>
      </c>
      <c r="J9" s="583">
        <v>3.8039999999999998</v>
      </c>
      <c r="K9" s="847">
        <f t="shared" si="0"/>
        <v>9.7791798107255579E-2</v>
      </c>
      <c r="M9" s="972"/>
      <c r="N9" s="152" t="s">
        <v>940</v>
      </c>
      <c r="O9" s="272">
        <f>O8+5*E8</f>
        <v>75.740258685193652</v>
      </c>
      <c r="P9" s="272">
        <f>P8+5*F8</f>
        <v>75.740258685193652</v>
      </c>
      <c r="Q9" s="272">
        <f t="shared" si="1"/>
        <v>151.4805173703873</v>
      </c>
      <c r="R9" s="272">
        <f>R8+5*2.8</f>
        <v>65.95</v>
      </c>
      <c r="S9" s="272">
        <f>S8+5*2.8</f>
        <v>65.95</v>
      </c>
      <c r="T9" s="272">
        <f t="shared" si="3"/>
        <v>131.9</v>
      </c>
      <c r="U9" s="895">
        <f t="shared" si="4"/>
        <v>19.580517370387298</v>
      </c>
      <c r="V9" s="896">
        <f t="shared" si="5"/>
        <v>0.14844971471104851</v>
      </c>
      <c r="AA9" s="4" t="s">
        <v>1114</v>
      </c>
      <c r="AB9" s="4" t="s">
        <v>1115</v>
      </c>
      <c r="AC9" s="382" t="s">
        <v>230</v>
      </c>
      <c r="AD9" s="905">
        <f t="shared" si="6"/>
        <v>94.61</v>
      </c>
      <c r="AF9" s="905">
        <v>86.22</v>
      </c>
      <c r="AG9" s="905">
        <f>TRUNC(AF9*'FCD PROJETO'!$S$19,2)</f>
        <v>94.61</v>
      </c>
    </row>
    <row r="10" spans="1:33" x14ac:dyDescent="0.3">
      <c r="B10" s="972"/>
      <c r="C10" s="576">
        <v>50.01</v>
      </c>
      <c r="D10" s="576">
        <v>100</v>
      </c>
      <c r="E10" s="583">
        <f>Histograma!F10</f>
        <v>4.8719999999999999</v>
      </c>
      <c r="F10" s="584">
        <f>Histograma!G10</f>
        <v>4.8719999999999999</v>
      </c>
      <c r="I10" s="583">
        <v>4.4379999999999997</v>
      </c>
      <c r="J10" s="583">
        <v>4.4379999999999997</v>
      </c>
      <c r="K10" s="847">
        <f t="shared" si="0"/>
        <v>9.7791798107255579E-2</v>
      </c>
      <c r="M10" s="972"/>
      <c r="N10" s="152" t="s">
        <v>942</v>
      </c>
      <c r="O10" s="272">
        <f>O9+10*E9</f>
        <v>117.50025868519366</v>
      </c>
      <c r="P10" s="272">
        <f>P9+10*F9</f>
        <v>117.50025868519366</v>
      </c>
      <c r="Q10" s="272">
        <f t="shared" si="1"/>
        <v>235.00051737038731</v>
      </c>
      <c r="R10" s="272">
        <f>R9+10*3.5</f>
        <v>100.95</v>
      </c>
      <c r="S10" s="272">
        <f>S9+10*3.5</f>
        <v>100.95</v>
      </c>
      <c r="T10" s="272">
        <f t="shared" si="3"/>
        <v>201.9</v>
      </c>
      <c r="U10" s="895">
        <f t="shared" si="4"/>
        <v>33.100517370387308</v>
      </c>
      <c r="V10" s="896">
        <f t="shared" si="5"/>
        <v>0.16394510832286927</v>
      </c>
      <c r="AA10" s="4" t="s">
        <v>1116</v>
      </c>
      <c r="AB10" s="4" t="s">
        <v>1117</v>
      </c>
      <c r="AC10" s="382" t="s">
        <v>230</v>
      </c>
      <c r="AD10" s="905">
        <f t="shared" si="6"/>
        <v>84.28</v>
      </c>
      <c r="AF10" s="905">
        <v>76.8</v>
      </c>
      <c r="AG10" s="905">
        <f>TRUNC(AF10*'FCD PROJETO'!$S$19,2)</f>
        <v>84.28</v>
      </c>
    </row>
    <row r="11" spans="1:33" ht="15" thickBot="1" x14ac:dyDescent="0.35">
      <c r="B11" s="976"/>
      <c r="C11" s="977" t="s">
        <v>47</v>
      </c>
      <c r="D11" s="978">
        <v>0</v>
      </c>
      <c r="E11" s="585">
        <f>Histograma!F11</f>
        <v>8.3520000000000003</v>
      </c>
      <c r="F11" s="586">
        <f>Histograma!G11</f>
        <v>8.3520000000000003</v>
      </c>
      <c r="I11" s="583">
        <v>7.6079999999999997</v>
      </c>
      <c r="J11" s="583">
        <v>7.6079999999999997</v>
      </c>
      <c r="K11" s="847">
        <f t="shared" si="0"/>
        <v>9.7791798107255579E-2</v>
      </c>
      <c r="M11" s="972"/>
      <c r="N11" s="152" t="s">
        <v>944</v>
      </c>
      <c r="O11" s="272">
        <f>O10+10*E10</f>
        <v>166.22025868519364</v>
      </c>
      <c r="P11" s="272">
        <f>P10+10*F10</f>
        <v>166.22025868519364</v>
      </c>
      <c r="Q11" s="272">
        <f t="shared" si="1"/>
        <v>332.44051737038728</v>
      </c>
      <c r="R11" s="272">
        <f>R10+10*3.5</f>
        <v>135.94999999999999</v>
      </c>
      <c r="S11" s="272">
        <f>S10+10*3.5</f>
        <v>135.94999999999999</v>
      </c>
      <c r="T11" s="272">
        <f t="shared" si="3"/>
        <v>271.89999999999998</v>
      </c>
      <c r="U11" s="895">
        <f t="shared" si="4"/>
        <v>60.540517370387306</v>
      </c>
      <c r="V11" s="896">
        <f t="shared" si="5"/>
        <v>0.22265729080686764</v>
      </c>
      <c r="AA11" s="4" t="s">
        <v>1118</v>
      </c>
      <c r="AB11" s="4" t="s">
        <v>1119</v>
      </c>
      <c r="AC11" s="382" t="s">
        <v>230</v>
      </c>
      <c r="AD11" s="905">
        <f t="shared" si="6"/>
        <v>64.28</v>
      </c>
      <c r="AF11" s="905">
        <v>58.58</v>
      </c>
      <c r="AG11" s="905">
        <f>TRUNC(AF11*'FCD PROJETO'!$S$19,2)</f>
        <v>64.28</v>
      </c>
    </row>
    <row r="12" spans="1:33" ht="15.6" thickTop="1" thickBot="1" x14ac:dyDescent="0.35">
      <c r="B12" s="973" t="s">
        <v>673</v>
      </c>
      <c r="C12" s="575" t="s">
        <v>488</v>
      </c>
      <c r="D12" s="575" t="s">
        <v>488</v>
      </c>
      <c r="E12" s="581">
        <f>Histograma!F28</f>
        <v>17.399999999999999</v>
      </c>
      <c r="F12" s="582">
        <f>Histograma!G28</f>
        <v>17.399999999999999</v>
      </c>
      <c r="I12" s="583">
        <v>15.85</v>
      </c>
      <c r="J12" s="583">
        <v>15.85</v>
      </c>
      <c r="K12" s="847">
        <f t="shared" si="0"/>
        <v>9.7791798107255357E-2</v>
      </c>
      <c r="M12" s="872"/>
      <c r="N12" s="845" t="s">
        <v>941</v>
      </c>
      <c r="O12" s="846" t="s">
        <v>3</v>
      </c>
      <c r="P12" s="846" t="s">
        <v>4</v>
      </c>
      <c r="Q12" s="846" t="s">
        <v>5</v>
      </c>
      <c r="R12" s="846" t="s">
        <v>3</v>
      </c>
      <c r="S12" s="846" t="s">
        <v>4</v>
      </c>
      <c r="T12" s="846" t="s">
        <v>5</v>
      </c>
      <c r="U12" s="894" t="s">
        <v>1098</v>
      </c>
      <c r="V12" s="894" t="s">
        <v>15</v>
      </c>
      <c r="AA12" s="4" t="s">
        <v>1120</v>
      </c>
      <c r="AB12" s="4" t="s">
        <v>1121</v>
      </c>
      <c r="AC12" s="382" t="s">
        <v>230</v>
      </c>
      <c r="AD12" s="905">
        <f t="shared" si="6"/>
        <v>8.69</v>
      </c>
      <c r="AF12" s="905">
        <v>7.92</v>
      </c>
      <c r="AG12" s="905">
        <f>TRUNC(AF12*'FCD PROJETO'!$S$19,2)</f>
        <v>8.69</v>
      </c>
    </row>
    <row r="13" spans="1:33" ht="15" thickTop="1" x14ac:dyDescent="0.3">
      <c r="B13" s="972"/>
      <c r="C13" s="575">
        <v>0.01</v>
      </c>
      <c r="D13" s="575">
        <v>10</v>
      </c>
      <c r="E13" s="581">
        <f>Histograma!F29</f>
        <v>4.7328000000000001</v>
      </c>
      <c r="F13" s="582">
        <f>Histograma!G29</f>
        <v>4.7328000000000001</v>
      </c>
      <c r="I13" s="583">
        <v>4.3112000000000004</v>
      </c>
      <c r="J13" s="583">
        <v>4.3112000000000004</v>
      </c>
      <c r="K13" s="847">
        <f t="shared" si="0"/>
        <v>9.7791798107255357E-2</v>
      </c>
      <c r="M13" s="973" t="s">
        <v>673</v>
      </c>
      <c r="N13" s="152" t="s">
        <v>936</v>
      </c>
      <c r="O13" s="272">
        <f>E12+10*(E13)</f>
        <v>64.728000000000009</v>
      </c>
      <c r="P13" s="272">
        <f>F12+10*(F13)</f>
        <v>64.728000000000009</v>
      </c>
      <c r="Q13" s="272">
        <f t="shared" ref="Q13:Q19" si="7">SUM(O13:P13)</f>
        <v>129.45600000000002</v>
      </c>
      <c r="R13" s="272">
        <f>15.99+10*2.85</f>
        <v>44.49</v>
      </c>
      <c r="S13" s="272">
        <f>15.99+10*2.85</f>
        <v>44.49</v>
      </c>
      <c r="T13" s="272">
        <f>R13+S13</f>
        <v>88.98</v>
      </c>
      <c r="U13" s="895">
        <f t="shared" si="4"/>
        <v>40.476000000000013</v>
      </c>
      <c r="V13" s="896">
        <f t="shared" si="5"/>
        <v>0.45488873904248156</v>
      </c>
      <c r="AA13" s="4" t="s">
        <v>1122</v>
      </c>
      <c r="AB13" s="4" t="s">
        <v>1123</v>
      </c>
      <c r="AC13" s="382" t="s">
        <v>1124</v>
      </c>
      <c r="AD13" s="905">
        <f t="shared" si="6"/>
        <v>18.75</v>
      </c>
      <c r="AF13" s="905">
        <v>17.09</v>
      </c>
      <c r="AG13" s="905">
        <f>TRUNC(AF13*'FCD PROJETO'!$S$19,2)</f>
        <v>18.75</v>
      </c>
    </row>
    <row r="14" spans="1:33" x14ac:dyDescent="0.3">
      <c r="B14" s="972"/>
      <c r="C14" s="576">
        <v>10.01</v>
      </c>
      <c r="D14" s="576">
        <v>15</v>
      </c>
      <c r="E14" s="583">
        <f>Histograma!F30</f>
        <v>6.6259199999999998</v>
      </c>
      <c r="F14" s="584">
        <f>Histograma!G30</f>
        <v>6.6259199999999998</v>
      </c>
      <c r="I14" s="583">
        <v>6.0356799999999993</v>
      </c>
      <c r="J14" s="583">
        <v>6.0356799999999993</v>
      </c>
      <c r="K14" s="847">
        <f t="shared" si="0"/>
        <v>9.7791798107255579E-2</v>
      </c>
      <c r="M14" s="972"/>
      <c r="N14" s="152" t="s">
        <v>937</v>
      </c>
      <c r="O14" s="272">
        <f t="shared" ref="O14:P16" si="8">O13+5*E14</f>
        <v>97.857600000000005</v>
      </c>
      <c r="P14" s="272">
        <f t="shared" si="8"/>
        <v>97.857600000000005</v>
      </c>
      <c r="Q14" s="272">
        <f t="shared" si="7"/>
        <v>195.71520000000001</v>
      </c>
      <c r="R14" s="272">
        <f>R13+5*5.05</f>
        <v>69.740000000000009</v>
      </c>
      <c r="S14" s="272">
        <f>S13+5*5.05</f>
        <v>69.740000000000009</v>
      </c>
      <c r="T14" s="272">
        <f t="shared" ref="T14:T19" si="9">R14+S14</f>
        <v>139.48000000000002</v>
      </c>
      <c r="U14" s="895">
        <f t="shared" si="4"/>
        <v>56.235199999999992</v>
      </c>
      <c r="V14" s="896">
        <f t="shared" si="5"/>
        <v>0.4031775164898192</v>
      </c>
      <c r="AA14" s="4" t="s">
        <v>1125</v>
      </c>
      <c r="AB14" s="4" t="s">
        <v>1126</v>
      </c>
      <c r="AC14" s="382" t="s">
        <v>230</v>
      </c>
      <c r="AD14" s="905">
        <f t="shared" si="6"/>
        <v>34.33</v>
      </c>
      <c r="AF14" s="905">
        <v>31.29</v>
      </c>
      <c r="AG14" s="905">
        <f>TRUNC(AF14*'FCD PROJETO'!$S$19,2)</f>
        <v>34.33</v>
      </c>
    </row>
    <row r="15" spans="1:33" x14ac:dyDescent="0.3">
      <c r="B15" s="972"/>
      <c r="C15" s="576">
        <v>15.01</v>
      </c>
      <c r="D15" s="576">
        <v>20</v>
      </c>
      <c r="E15" s="583">
        <f>Histograma!F31</f>
        <v>8.5190400000000022</v>
      </c>
      <c r="F15" s="584">
        <f>Histograma!G31</f>
        <v>8.5190400000000022</v>
      </c>
      <c r="I15" s="583">
        <v>7.7601600000000008</v>
      </c>
      <c r="J15" s="583">
        <v>7.7601600000000008</v>
      </c>
      <c r="K15" s="847">
        <f t="shared" si="0"/>
        <v>9.7791798107255579E-2</v>
      </c>
      <c r="M15" s="972"/>
      <c r="N15" s="152" t="s">
        <v>938</v>
      </c>
      <c r="O15" s="272">
        <f t="shared" si="8"/>
        <v>140.45280000000002</v>
      </c>
      <c r="P15" s="272">
        <f t="shared" si="8"/>
        <v>140.45280000000002</v>
      </c>
      <c r="Q15" s="272">
        <f t="shared" si="7"/>
        <v>280.90560000000005</v>
      </c>
      <c r="R15" s="272">
        <f>R14+5*5.05</f>
        <v>94.990000000000009</v>
      </c>
      <c r="S15" s="272">
        <f>S14+5*5.05</f>
        <v>94.990000000000009</v>
      </c>
      <c r="T15" s="272">
        <f t="shared" si="9"/>
        <v>189.98000000000002</v>
      </c>
      <c r="U15" s="895">
        <f t="shared" si="4"/>
        <v>90.925600000000031</v>
      </c>
      <c r="V15" s="896">
        <f t="shared" si="5"/>
        <v>0.47860616907042858</v>
      </c>
      <c r="AA15" s="4" t="s">
        <v>1127</v>
      </c>
      <c r="AB15" s="4" t="s">
        <v>1128</v>
      </c>
      <c r="AC15" s="382" t="s">
        <v>230</v>
      </c>
      <c r="AD15" s="905">
        <f t="shared" si="6"/>
        <v>15.48</v>
      </c>
      <c r="AF15" s="905">
        <v>14.11</v>
      </c>
      <c r="AG15" s="905">
        <f>TRUNC(AF15*'FCD PROJETO'!$S$19,2)</f>
        <v>15.48</v>
      </c>
    </row>
    <row r="16" spans="1:33" x14ac:dyDescent="0.3">
      <c r="B16" s="972"/>
      <c r="C16" s="576">
        <v>20.010000000000002</v>
      </c>
      <c r="D16" s="576">
        <v>30</v>
      </c>
      <c r="E16" s="583">
        <f>Histograma!F32</f>
        <v>10.412160000000002</v>
      </c>
      <c r="F16" s="584">
        <f>Histograma!G32</f>
        <v>10.412160000000002</v>
      </c>
      <c r="I16" s="583">
        <v>9.4846400000000006</v>
      </c>
      <c r="J16" s="583">
        <v>9.4846400000000006</v>
      </c>
      <c r="K16" s="847">
        <f t="shared" si="0"/>
        <v>9.7791798107255579E-2</v>
      </c>
      <c r="M16" s="972"/>
      <c r="N16" s="152" t="s">
        <v>939</v>
      </c>
      <c r="O16" s="272">
        <f t="shared" si="8"/>
        <v>192.51360000000003</v>
      </c>
      <c r="P16" s="272">
        <f t="shared" si="8"/>
        <v>192.51360000000003</v>
      </c>
      <c r="Q16" s="272">
        <f t="shared" si="7"/>
        <v>385.02720000000005</v>
      </c>
      <c r="R16" s="272">
        <f>R15+5*7.01</f>
        <v>130.04000000000002</v>
      </c>
      <c r="S16" s="272">
        <f>S15+5*7.01</f>
        <v>130.04000000000002</v>
      </c>
      <c r="T16" s="272">
        <f t="shared" si="9"/>
        <v>260.08000000000004</v>
      </c>
      <c r="U16" s="895">
        <f t="shared" si="4"/>
        <v>124.94720000000001</v>
      </c>
      <c r="V16" s="896">
        <f t="shared" si="5"/>
        <v>0.48041833282067054</v>
      </c>
      <c r="AA16" s="96">
        <v>2</v>
      </c>
      <c r="AB16" s="96" t="s">
        <v>1129</v>
      </c>
      <c r="AC16" s="382"/>
      <c r="AD16" s="906"/>
      <c r="AF16" s="906"/>
      <c r="AG16" s="906">
        <f>TRUNC(AF16*'FCD PROJETO'!$S$19,2)</f>
        <v>0</v>
      </c>
    </row>
    <row r="17" spans="2:33" x14ac:dyDescent="0.3">
      <c r="B17" s="972"/>
      <c r="C17" s="576">
        <v>30.01</v>
      </c>
      <c r="D17" s="576">
        <v>50</v>
      </c>
      <c r="E17" s="583">
        <f>Histograma!F33</f>
        <v>13.25184</v>
      </c>
      <c r="F17" s="584">
        <f>Histograma!G33</f>
        <v>13.25184</v>
      </c>
      <c r="I17" s="583">
        <v>12.071359999999999</v>
      </c>
      <c r="J17" s="583">
        <v>12.071359999999999</v>
      </c>
      <c r="K17" s="847">
        <f t="shared" si="0"/>
        <v>9.7791798107255579E-2</v>
      </c>
      <c r="M17" s="972"/>
      <c r="N17" s="152" t="s">
        <v>940</v>
      </c>
      <c r="O17" s="272">
        <f>O16+5*E16</f>
        <v>244.57440000000003</v>
      </c>
      <c r="P17" s="272">
        <f>P16+5*F16</f>
        <v>244.57440000000003</v>
      </c>
      <c r="Q17" s="272">
        <f t="shared" si="7"/>
        <v>489.14880000000005</v>
      </c>
      <c r="R17" s="272">
        <f>R16+5*7.01</f>
        <v>165.09000000000003</v>
      </c>
      <c r="S17" s="272">
        <f>S16+5*7.01</f>
        <v>165.09000000000003</v>
      </c>
      <c r="T17" s="272">
        <f t="shared" si="9"/>
        <v>330.18000000000006</v>
      </c>
      <c r="U17" s="895">
        <f t="shared" si="4"/>
        <v>158.96879999999999</v>
      </c>
      <c r="V17" s="896">
        <f t="shared" si="5"/>
        <v>0.48146102126113016</v>
      </c>
      <c r="AA17" s="4" t="s">
        <v>1100</v>
      </c>
      <c r="AB17" s="4" t="s">
        <v>1130</v>
      </c>
      <c r="AC17" s="382" t="s">
        <v>230</v>
      </c>
      <c r="AD17" s="905">
        <f>AG17</f>
        <v>116.25</v>
      </c>
      <c r="AF17" s="905">
        <v>105.94</v>
      </c>
      <c r="AG17" s="905">
        <f>TRUNC(AF17*'FCD PROJETO'!$S$19,2)</f>
        <v>116.25</v>
      </c>
    </row>
    <row r="18" spans="2:33" x14ac:dyDescent="0.3">
      <c r="B18" s="972"/>
      <c r="C18" s="576">
        <v>50.01</v>
      </c>
      <c r="D18" s="576">
        <v>100</v>
      </c>
      <c r="E18" s="583">
        <f>Histograma!F34</f>
        <v>17.038080000000004</v>
      </c>
      <c r="F18" s="584">
        <f>Histograma!G34</f>
        <v>17.038080000000004</v>
      </c>
      <c r="I18" s="583">
        <v>15.520320000000002</v>
      </c>
      <c r="J18" s="583">
        <v>15.520320000000002</v>
      </c>
      <c r="K18" s="847">
        <f t="shared" si="0"/>
        <v>9.7791798107255579E-2</v>
      </c>
      <c r="M18" s="972"/>
      <c r="N18" s="152" t="s">
        <v>942</v>
      </c>
      <c r="O18" s="272">
        <f>O17+10*E17</f>
        <v>377.09280000000001</v>
      </c>
      <c r="P18" s="272">
        <f>P17+10*F17</f>
        <v>377.09280000000001</v>
      </c>
      <c r="Q18" s="272">
        <f t="shared" si="7"/>
        <v>754.18560000000002</v>
      </c>
      <c r="R18" s="272">
        <f>R17+10*8.76</f>
        <v>252.69000000000003</v>
      </c>
      <c r="S18" s="272">
        <f>S17+10*8.76</f>
        <v>252.69000000000003</v>
      </c>
      <c r="T18" s="272">
        <f t="shared" si="9"/>
        <v>505.38000000000005</v>
      </c>
      <c r="U18" s="895">
        <f t="shared" si="4"/>
        <v>248.80559999999997</v>
      </c>
      <c r="V18" s="896">
        <f t="shared" si="5"/>
        <v>0.49231390241006756</v>
      </c>
      <c r="AA18" s="4" t="s">
        <v>1131</v>
      </c>
      <c r="AB18" s="4" t="s">
        <v>1119</v>
      </c>
      <c r="AC18" s="382" t="s">
        <v>230</v>
      </c>
      <c r="AD18" s="905">
        <f t="shared" ref="AD18:AD22" si="10">AG18</f>
        <v>77.14</v>
      </c>
      <c r="AF18" s="905">
        <v>70.3</v>
      </c>
      <c r="AG18" s="905">
        <f>TRUNC(AF18*'FCD PROJETO'!$S$19,2)</f>
        <v>77.14</v>
      </c>
    </row>
    <row r="19" spans="2:33" ht="15" thickBot="1" x14ac:dyDescent="0.35">
      <c r="B19" s="976"/>
      <c r="C19" s="977" t="s">
        <v>47</v>
      </c>
      <c r="D19" s="978">
        <v>0</v>
      </c>
      <c r="E19" s="585">
        <f>Histograma!F35</f>
        <v>22.71744</v>
      </c>
      <c r="F19" s="586">
        <f>Histograma!G35</f>
        <v>22.71744</v>
      </c>
      <c r="I19" s="583">
        <v>20.693760000000001</v>
      </c>
      <c r="J19" s="583">
        <v>20.693760000000001</v>
      </c>
      <c r="K19" s="847">
        <f t="shared" si="0"/>
        <v>9.7791798107255357E-2</v>
      </c>
      <c r="M19" s="972"/>
      <c r="N19" s="152" t="s">
        <v>944</v>
      </c>
      <c r="O19" s="272">
        <f>O18+10*E18</f>
        <v>547.47360000000003</v>
      </c>
      <c r="P19" s="272">
        <f>P18+10*F18</f>
        <v>547.47360000000003</v>
      </c>
      <c r="Q19" s="272">
        <f t="shared" si="7"/>
        <v>1094.9472000000001</v>
      </c>
      <c r="R19" s="272">
        <f>R18+10*8.76</f>
        <v>340.29</v>
      </c>
      <c r="S19" s="272">
        <f>S18+10*8.76</f>
        <v>340.29</v>
      </c>
      <c r="T19" s="272">
        <f t="shared" si="9"/>
        <v>680.58</v>
      </c>
      <c r="U19" s="895">
        <f t="shared" si="4"/>
        <v>414.36720000000003</v>
      </c>
      <c r="V19" s="896">
        <f t="shared" si="5"/>
        <v>0.60884422110552761</v>
      </c>
      <c r="AA19" s="4" t="s">
        <v>1132</v>
      </c>
      <c r="AB19" s="4" t="s">
        <v>1121</v>
      </c>
      <c r="AC19" s="382" t="s">
        <v>230</v>
      </c>
      <c r="AD19" s="905">
        <f t="shared" si="10"/>
        <v>10.42</v>
      </c>
      <c r="AF19" s="905">
        <v>9.5</v>
      </c>
      <c r="AG19" s="905">
        <f>TRUNC(AF19*'FCD PROJETO'!$S$19,2)</f>
        <v>10.42</v>
      </c>
    </row>
    <row r="20" spans="2:33" ht="15.6" thickTop="1" thickBot="1" x14ac:dyDescent="0.35">
      <c r="B20" s="973" t="s">
        <v>494</v>
      </c>
      <c r="C20" s="575" t="s">
        <v>488</v>
      </c>
      <c r="D20" s="575" t="s">
        <v>488</v>
      </c>
      <c r="E20" s="581">
        <f>Histograma!F52</f>
        <v>27.84</v>
      </c>
      <c r="F20" s="582">
        <f>Histograma!G52</f>
        <v>27.84</v>
      </c>
      <c r="I20" s="583">
        <v>25.36</v>
      </c>
      <c r="J20" s="583">
        <v>25.36</v>
      </c>
      <c r="K20" s="847">
        <f t="shared" si="0"/>
        <v>9.7791798107255579E-2</v>
      </c>
      <c r="M20" s="872"/>
      <c r="N20" s="845" t="s">
        <v>941</v>
      </c>
      <c r="O20" s="846" t="s">
        <v>3</v>
      </c>
      <c r="P20" s="846" t="s">
        <v>4</v>
      </c>
      <c r="Q20" s="846" t="s">
        <v>5</v>
      </c>
      <c r="R20" s="846" t="s">
        <v>3</v>
      </c>
      <c r="S20" s="846" t="s">
        <v>4</v>
      </c>
      <c r="T20" s="846" t="s">
        <v>5</v>
      </c>
      <c r="U20" s="894" t="s">
        <v>1098</v>
      </c>
      <c r="V20" s="894" t="s">
        <v>15</v>
      </c>
      <c r="AA20" s="4" t="s">
        <v>1133</v>
      </c>
      <c r="AB20" s="4" t="s">
        <v>1123</v>
      </c>
      <c r="AC20" s="382" t="s">
        <v>1124</v>
      </c>
      <c r="AD20" s="905">
        <f t="shared" si="10"/>
        <v>18.75</v>
      </c>
      <c r="AF20" s="905">
        <v>17.09</v>
      </c>
      <c r="AG20" s="905">
        <f>TRUNC(AF20*'FCD PROJETO'!$S$19,2)</f>
        <v>18.75</v>
      </c>
    </row>
    <row r="21" spans="2:33" ht="15" thickTop="1" x14ac:dyDescent="0.3">
      <c r="B21" s="972"/>
      <c r="C21" s="575">
        <v>0.01</v>
      </c>
      <c r="D21" s="575">
        <v>10</v>
      </c>
      <c r="E21" s="581">
        <f>Histograma!F53</f>
        <v>8.3520000000000003</v>
      </c>
      <c r="F21" s="582">
        <f>Histograma!G53</f>
        <v>8.3520000000000003</v>
      </c>
      <c r="I21" s="583">
        <v>7.6079999999999997</v>
      </c>
      <c r="J21" s="583">
        <v>7.6079999999999997</v>
      </c>
      <c r="K21" s="847">
        <f t="shared" si="0"/>
        <v>9.7791798107255579E-2</v>
      </c>
      <c r="M21" s="973" t="s">
        <v>494</v>
      </c>
      <c r="N21" s="152" t="s">
        <v>936</v>
      </c>
      <c r="O21" s="272">
        <f>E20+10*(E21)</f>
        <v>111.36000000000001</v>
      </c>
      <c r="P21" s="272">
        <f>F20+10*(F21)</f>
        <v>111.36000000000001</v>
      </c>
      <c r="Q21" s="272">
        <f t="shared" ref="Q21:Q27" si="11">SUM(O21:P21)</f>
        <v>222.72000000000003</v>
      </c>
      <c r="R21" s="272">
        <f>22.34+10*13.99</f>
        <v>162.24</v>
      </c>
      <c r="S21" s="272">
        <f>22.34+10*13.99</f>
        <v>162.24</v>
      </c>
      <c r="T21" s="272">
        <f>R21+S21</f>
        <v>324.48</v>
      </c>
      <c r="U21" s="895">
        <f t="shared" si="4"/>
        <v>-101.75999999999999</v>
      </c>
      <c r="V21" s="896">
        <f t="shared" si="5"/>
        <v>-0.31360946745562124</v>
      </c>
      <c r="AA21" s="4" t="s">
        <v>1134</v>
      </c>
      <c r="AB21" s="4" t="s">
        <v>1126</v>
      </c>
      <c r="AC21" s="382" t="s">
        <v>230</v>
      </c>
      <c r="AD21" s="905">
        <f t="shared" si="10"/>
        <v>41.2</v>
      </c>
      <c r="AF21" s="905">
        <v>37.549999999999997</v>
      </c>
      <c r="AG21" s="905">
        <f>TRUNC(AF21*'FCD PROJETO'!$S$19,2)</f>
        <v>41.2</v>
      </c>
    </row>
    <row r="22" spans="2:33" x14ac:dyDescent="0.3">
      <c r="B22" s="972"/>
      <c r="C22" s="576">
        <v>10.01</v>
      </c>
      <c r="D22" s="576">
        <v>15</v>
      </c>
      <c r="E22" s="583">
        <f>Histograma!F54</f>
        <v>11.6928</v>
      </c>
      <c r="F22" s="584">
        <f>Histograma!G54</f>
        <v>11.6928</v>
      </c>
      <c r="I22" s="583">
        <v>10.651199999999999</v>
      </c>
      <c r="J22" s="583">
        <v>10.651199999999999</v>
      </c>
      <c r="K22" s="847">
        <f t="shared" si="0"/>
        <v>9.7791798107255579E-2</v>
      </c>
      <c r="M22" s="972"/>
      <c r="N22" s="152" t="s">
        <v>937</v>
      </c>
      <c r="O22" s="272">
        <f t="shared" ref="O22:P24" si="12">O21+5*E22</f>
        <v>169.82400000000001</v>
      </c>
      <c r="P22" s="272">
        <f t="shared" si="12"/>
        <v>169.82400000000001</v>
      </c>
      <c r="Q22" s="272">
        <f t="shared" si="11"/>
        <v>339.64800000000002</v>
      </c>
      <c r="R22" s="272">
        <f>R21+5*7.06</f>
        <v>197.54000000000002</v>
      </c>
      <c r="S22" s="272">
        <f>S21+5*7.06</f>
        <v>197.54000000000002</v>
      </c>
      <c r="T22" s="272">
        <f t="shared" ref="T22:T27" si="13">R22+S22</f>
        <v>395.08000000000004</v>
      </c>
      <c r="U22" s="895">
        <f t="shared" si="4"/>
        <v>-55.432000000000016</v>
      </c>
      <c r="V22" s="896">
        <f t="shared" si="5"/>
        <v>-0.14030576085856031</v>
      </c>
      <c r="AA22" s="4" t="s">
        <v>1135</v>
      </c>
      <c r="AB22" s="4" t="s">
        <v>1128</v>
      </c>
      <c r="AC22" s="382" t="s">
        <v>230</v>
      </c>
      <c r="AD22" s="905">
        <f t="shared" si="10"/>
        <v>18.57</v>
      </c>
      <c r="AF22" s="905">
        <v>16.93</v>
      </c>
      <c r="AG22" s="905">
        <f>TRUNC(AF22*'FCD PROJETO'!$S$19,2)</f>
        <v>18.57</v>
      </c>
    </row>
    <row r="23" spans="2:33" x14ac:dyDescent="0.3">
      <c r="B23" s="972"/>
      <c r="C23" s="576">
        <v>15.01</v>
      </c>
      <c r="D23" s="576">
        <v>20</v>
      </c>
      <c r="E23" s="583">
        <f>Histograma!F55</f>
        <v>15.033600000000002</v>
      </c>
      <c r="F23" s="584">
        <f>Histograma!G55</f>
        <v>15.033600000000002</v>
      </c>
      <c r="I23" s="583">
        <v>13.6944</v>
      </c>
      <c r="J23" s="583">
        <v>13.6944</v>
      </c>
      <c r="K23" s="847">
        <f t="shared" si="0"/>
        <v>9.7791798107255579E-2</v>
      </c>
      <c r="M23" s="972"/>
      <c r="N23" s="152" t="s">
        <v>938</v>
      </c>
      <c r="O23" s="272">
        <f t="shared" si="12"/>
        <v>244.99200000000002</v>
      </c>
      <c r="P23" s="272">
        <f t="shared" si="12"/>
        <v>244.99200000000002</v>
      </c>
      <c r="Q23" s="272">
        <f t="shared" si="11"/>
        <v>489.98400000000004</v>
      </c>
      <c r="R23" s="272">
        <f>R22+5*7.06</f>
        <v>232.84000000000003</v>
      </c>
      <c r="S23" s="272">
        <f>S22+5*7.06</f>
        <v>232.84000000000003</v>
      </c>
      <c r="T23" s="272">
        <f t="shared" si="13"/>
        <v>465.68000000000006</v>
      </c>
      <c r="U23" s="895">
        <f t="shared" si="4"/>
        <v>24.303999999999974</v>
      </c>
      <c r="V23" s="896">
        <f t="shared" si="5"/>
        <v>5.2190345301494523E-2</v>
      </c>
      <c r="AC23"/>
    </row>
    <row r="24" spans="2:33" x14ac:dyDescent="0.3">
      <c r="B24" s="972"/>
      <c r="C24" s="576">
        <v>20.010000000000002</v>
      </c>
      <c r="D24" s="576">
        <v>30</v>
      </c>
      <c r="E24" s="583">
        <f>Histograma!F56</f>
        <v>18.374400000000001</v>
      </c>
      <c r="F24" s="584">
        <f>Histograma!G56</f>
        <v>18.374400000000001</v>
      </c>
      <c r="I24" s="583">
        <v>16.7376</v>
      </c>
      <c r="J24" s="583">
        <v>16.7376</v>
      </c>
      <c r="K24" s="847">
        <f t="shared" si="0"/>
        <v>9.7791798107255579E-2</v>
      </c>
      <c r="M24" s="972"/>
      <c r="N24" s="152" t="s">
        <v>939</v>
      </c>
      <c r="O24" s="272">
        <f t="shared" si="12"/>
        <v>336.86400000000003</v>
      </c>
      <c r="P24" s="272">
        <f t="shared" si="12"/>
        <v>336.86400000000003</v>
      </c>
      <c r="Q24" s="272">
        <f t="shared" si="11"/>
        <v>673.72800000000007</v>
      </c>
      <c r="R24" s="272">
        <f>R23+5*9.81</f>
        <v>281.89000000000004</v>
      </c>
      <c r="S24" s="272">
        <f>S23+5*9.81</f>
        <v>281.89000000000004</v>
      </c>
      <c r="T24" s="272">
        <f t="shared" si="13"/>
        <v>563.78000000000009</v>
      </c>
      <c r="U24" s="895">
        <f t="shared" si="4"/>
        <v>109.94799999999998</v>
      </c>
      <c r="V24" s="896">
        <f t="shared" si="5"/>
        <v>0.19501933378268113</v>
      </c>
      <c r="AA24" s="907" t="s">
        <v>1136</v>
      </c>
      <c r="AB24" s="907"/>
      <c r="AC24" s="907"/>
      <c r="AD24" s="907"/>
      <c r="AF24" s="907"/>
      <c r="AG24" s="907"/>
    </row>
    <row r="25" spans="2:33" x14ac:dyDescent="0.3">
      <c r="B25" s="972"/>
      <c r="C25" s="576">
        <v>30.01</v>
      </c>
      <c r="D25" s="576">
        <v>50</v>
      </c>
      <c r="E25" s="583">
        <f>Histograma!F57</f>
        <v>23.3856</v>
      </c>
      <c r="F25" s="584">
        <f>Histograma!G57</f>
        <v>23.3856</v>
      </c>
      <c r="I25" s="583">
        <v>21.302399999999999</v>
      </c>
      <c r="J25" s="583">
        <v>21.302399999999999</v>
      </c>
      <c r="K25" s="847">
        <f t="shared" si="0"/>
        <v>9.7791798107255579E-2</v>
      </c>
      <c r="M25" s="972"/>
      <c r="N25" s="152" t="s">
        <v>940</v>
      </c>
      <c r="O25" s="272">
        <f>O24+5*E24</f>
        <v>428.73600000000005</v>
      </c>
      <c r="P25" s="272">
        <f>P24+5*F24</f>
        <v>428.73600000000005</v>
      </c>
      <c r="Q25" s="272">
        <f t="shared" si="11"/>
        <v>857.47200000000009</v>
      </c>
      <c r="R25" s="272">
        <f>R24+5*9.81</f>
        <v>330.94000000000005</v>
      </c>
      <c r="S25" s="272">
        <f>S24+5*9.81</f>
        <v>330.94000000000005</v>
      </c>
      <c r="T25" s="272">
        <f t="shared" si="13"/>
        <v>661.88000000000011</v>
      </c>
      <c r="U25" s="895">
        <f t="shared" si="4"/>
        <v>195.59199999999998</v>
      </c>
      <c r="V25" s="896">
        <f t="shared" si="5"/>
        <v>0.29550976007735535</v>
      </c>
      <c r="AA25" s="907" t="s">
        <v>1137</v>
      </c>
      <c r="AB25" s="907"/>
      <c r="AC25" s="907"/>
      <c r="AD25" s="907"/>
      <c r="AF25" s="907"/>
      <c r="AG25" s="907"/>
    </row>
    <row r="26" spans="2:33" x14ac:dyDescent="0.3">
      <c r="B26" s="972"/>
      <c r="C26" s="576">
        <v>50.01</v>
      </c>
      <c r="D26" s="576">
        <v>100</v>
      </c>
      <c r="E26" s="583">
        <f>Histograma!F58</f>
        <v>30.067200000000003</v>
      </c>
      <c r="F26" s="584">
        <f>Histograma!G58</f>
        <v>30.067200000000003</v>
      </c>
      <c r="I26" s="583">
        <v>27.3888</v>
      </c>
      <c r="J26" s="583">
        <v>27.3888</v>
      </c>
      <c r="K26" s="847">
        <f t="shared" si="0"/>
        <v>9.7791798107255579E-2</v>
      </c>
      <c r="M26" s="972"/>
      <c r="N26" s="152" t="s">
        <v>942</v>
      </c>
      <c r="O26" s="272">
        <f>O25+10*E25</f>
        <v>662.5920000000001</v>
      </c>
      <c r="P26" s="272">
        <f>P25+10*F25</f>
        <v>662.5920000000001</v>
      </c>
      <c r="Q26" s="272">
        <f t="shared" si="11"/>
        <v>1325.1840000000002</v>
      </c>
      <c r="R26" s="272">
        <f>R25+10*12.26</f>
        <v>453.54000000000008</v>
      </c>
      <c r="S26" s="272">
        <f>S25+10*12.26</f>
        <v>453.54000000000008</v>
      </c>
      <c r="T26" s="272">
        <f t="shared" si="13"/>
        <v>907.08000000000015</v>
      </c>
      <c r="U26" s="895">
        <f t="shared" si="4"/>
        <v>418.10400000000004</v>
      </c>
      <c r="V26" s="896">
        <f t="shared" si="5"/>
        <v>0.46093398597698104</v>
      </c>
      <c r="AA26" s="4" t="s">
        <v>89</v>
      </c>
      <c r="AB26" s="4" t="s">
        <v>907</v>
      </c>
      <c r="AC26" s="382" t="s">
        <v>18</v>
      </c>
      <c r="AD26" s="906" t="s">
        <v>1104</v>
      </c>
      <c r="AF26" s="906" t="str">
        <f>AF3</f>
        <v>Preço Unitário Io</v>
      </c>
      <c r="AG26" s="906" t="str">
        <f>AG3</f>
        <v>Preço Unitário In</v>
      </c>
    </row>
    <row r="27" spans="2:33" ht="15" thickBot="1" x14ac:dyDescent="0.35">
      <c r="B27" s="976"/>
      <c r="C27" s="977" t="s">
        <v>47</v>
      </c>
      <c r="D27" s="978">
        <v>0</v>
      </c>
      <c r="E27" s="585">
        <f>Histograma!F59</f>
        <v>40.089599999999997</v>
      </c>
      <c r="F27" s="586">
        <f>Histograma!G59</f>
        <v>40.089599999999997</v>
      </c>
      <c r="I27" s="583">
        <v>36.5184</v>
      </c>
      <c r="J27" s="583">
        <v>36.5184</v>
      </c>
      <c r="K27" s="847">
        <f t="shared" si="0"/>
        <v>9.7791798107255357E-2</v>
      </c>
      <c r="M27" s="972"/>
      <c r="N27" s="152" t="s">
        <v>944</v>
      </c>
      <c r="O27" s="272">
        <f>O26+10*E26</f>
        <v>963.26400000000012</v>
      </c>
      <c r="P27" s="272">
        <f>P26+10*F26</f>
        <v>963.26400000000012</v>
      </c>
      <c r="Q27" s="272">
        <f t="shared" si="11"/>
        <v>1926.5280000000002</v>
      </c>
      <c r="R27" s="272">
        <f>R26+10*12.26</f>
        <v>576.1400000000001</v>
      </c>
      <c r="S27" s="272">
        <f>S26+10*12.26</f>
        <v>576.1400000000001</v>
      </c>
      <c r="T27" s="272">
        <f t="shared" si="13"/>
        <v>1152.2800000000002</v>
      </c>
      <c r="U27" s="895">
        <f t="shared" si="4"/>
        <v>774.24800000000005</v>
      </c>
      <c r="V27" s="896">
        <f t="shared" si="5"/>
        <v>0.67192696219668824</v>
      </c>
      <c r="AA27" s="96">
        <v>1</v>
      </c>
      <c r="AB27" s="96" t="s">
        <v>1138</v>
      </c>
      <c r="AC27" s="382" t="s">
        <v>1139</v>
      </c>
      <c r="AD27" s="906" t="s">
        <v>1139</v>
      </c>
      <c r="AF27" s="906" t="s">
        <v>1139</v>
      </c>
      <c r="AG27" s="906"/>
    </row>
    <row r="28" spans="2:33" ht="15.6" thickTop="1" thickBot="1" x14ac:dyDescent="0.35">
      <c r="B28" s="973" t="s">
        <v>501</v>
      </c>
      <c r="C28" s="575" t="s">
        <v>488</v>
      </c>
      <c r="D28" s="575" t="s">
        <v>488</v>
      </c>
      <c r="E28" s="581">
        <f>Histograma!F60</f>
        <v>27.84</v>
      </c>
      <c r="F28" s="582">
        <f>Histograma!G60</f>
        <v>27.84</v>
      </c>
      <c r="I28" s="583">
        <v>25.36</v>
      </c>
      <c r="J28" s="583">
        <v>25.36</v>
      </c>
      <c r="K28" s="847">
        <f t="shared" si="0"/>
        <v>9.7791798107255579E-2</v>
      </c>
      <c r="M28" s="872"/>
      <c r="N28" s="845" t="s">
        <v>941</v>
      </c>
      <c r="O28" s="846" t="s">
        <v>3</v>
      </c>
      <c r="P28" s="846" t="s">
        <v>4</v>
      </c>
      <c r="Q28" s="846" t="s">
        <v>5</v>
      </c>
      <c r="R28" s="846" t="s">
        <v>3</v>
      </c>
      <c r="S28" s="846" t="s">
        <v>4</v>
      </c>
      <c r="T28" s="846" t="s">
        <v>5</v>
      </c>
      <c r="U28" s="894" t="s">
        <v>1098</v>
      </c>
      <c r="V28" s="894" t="s">
        <v>15</v>
      </c>
      <c r="AA28" s="4" t="s">
        <v>1108</v>
      </c>
      <c r="AB28" s="4" t="s">
        <v>1140</v>
      </c>
      <c r="AC28" s="382" t="s">
        <v>1141</v>
      </c>
      <c r="AD28" s="905">
        <f>AG28</f>
        <v>355.84</v>
      </c>
      <c r="AF28" s="905">
        <v>324.26</v>
      </c>
      <c r="AG28" s="905">
        <f>TRUNC(AF28*'FCD PROJETO'!$S$19,2)</f>
        <v>355.84</v>
      </c>
    </row>
    <row r="29" spans="2:33" ht="15" thickTop="1" x14ac:dyDescent="0.3">
      <c r="B29" s="972"/>
      <c r="C29" s="575">
        <v>0.01</v>
      </c>
      <c r="D29" s="575">
        <v>10</v>
      </c>
      <c r="E29" s="581">
        <f>Histograma!F61</f>
        <v>8.3520000000000003</v>
      </c>
      <c r="F29" s="582">
        <f>Histograma!G61</f>
        <v>8.3520000000000003</v>
      </c>
      <c r="I29" s="583">
        <v>7.6079999999999997</v>
      </c>
      <c r="J29" s="583">
        <v>7.6079999999999997</v>
      </c>
      <c r="K29" s="847">
        <f t="shared" si="0"/>
        <v>9.7791798107255579E-2</v>
      </c>
      <c r="M29" s="973" t="s">
        <v>501</v>
      </c>
      <c r="N29" s="152" t="s">
        <v>936</v>
      </c>
      <c r="O29" s="272">
        <f>E28+10*(E29)</f>
        <v>111.36000000000001</v>
      </c>
      <c r="P29" s="272">
        <f>F28+10*(F29)</f>
        <v>111.36000000000001</v>
      </c>
      <c r="Q29" s="272">
        <f t="shared" ref="Q29:Q35" si="14">SUM(O29:P29)</f>
        <v>222.72000000000003</v>
      </c>
      <c r="R29" s="272">
        <f>22.34+10*13.99</f>
        <v>162.24</v>
      </c>
      <c r="S29" s="272">
        <f>22.34+10*13.99</f>
        <v>162.24</v>
      </c>
      <c r="T29" s="272">
        <f>R29+S29</f>
        <v>324.48</v>
      </c>
      <c r="U29" s="895">
        <f t="shared" si="4"/>
        <v>-101.75999999999999</v>
      </c>
      <c r="V29" s="896">
        <f t="shared" si="5"/>
        <v>-0.31360946745562124</v>
      </c>
      <c r="AA29" s="4" t="s">
        <v>1110</v>
      </c>
      <c r="AB29" s="4" t="s">
        <v>1142</v>
      </c>
      <c r="AC29" s="382" t="s">
        <v>1141</v>
      </c>
      <c r="AD29" s="905">
        <f t="shared" ref="AD29:AD38" si="15">AG29</f>
        <v>393.94</v>
      </c>
      <c r="AF29" s="905">
        <v>358.98</v>
      </c>
      <c r="AG29" s="905">
        <f>TRUNC(AF29*'FCD PROJETO'!$S$19,2)</f>
        <v>393.94</v>
      </c>
    </row>
    <row r="30" spans="2:33" x14ac:dyDescent="0.3">
      <c r="B30" s="972"/>
      <c r="C30" s="576">
        <v>10.01</v>
      </c>
      <c r="D30" s="576">
        <v>15</v>
      </c>
      <c r="E30" s="583">
        <f>Histograma!F62</f>
        <v>11.6928</v>
      </c>
      <c r="F30" s="584">
        <f>Histograma!G62</f>
        <v>11.6928</v>
      </c>
      <c r="I30" s="583">
        <v>10.651199999999999</v>
      </c>
      <c r="J30" s="583">
        <v>10.651199999999999</v>
      </c>
      <c r="K30" s="847">
        <f t="shared" si="0"/>
        <v>9.7791798107255579E-2</v>
      </c>
      <c r="M30" s="972"/>
      <c r="N30" s="152" t="s">
        <v>937</v>
      </c>
      <c r="O30" s="272">
        <f t="shared" ref="O30:P32" si="16">O29+5*E30</f>
        <v>169.82400000000001</v>
      </c>
      <c r="P30" s="272">
        <f t="shared" si="16"/>
        <v>169.82400000000001</v>
      </c>
      <c r="Q30" s="272">
        <f t="shared" si="14"/>
        <v>339.64800000000002</v>
      </c>
      <c r="R30" s="272">
        <f>R29+5*7.06</f>
        <v>197.54000000000002</v>
      </c>
      <c r="S30" s="272">
        <f>S29+5*7.06</f>
        <v>197.54000000000002</v>
      </c>
      <c r="T30" s="272">
        <f t="shared" ref="T30:T35" si="17">R30+S30</f>
        <v>395.08000000000004</v>
      </c>
      <c r="U30" s="895">
        <f t="shared" si="4"/>
        <v>-55.432000000000016</v>
      </c>
      <c r="V30" s="896">
        <f t="shared" si="5"/>
        <v>-0.14030576085856031</v>
      </c>
      <c r="AA30" s="4" t="s">
        <v>1112</v>
      </c>
      <c r="AB30" s="4" t="s">
        <v>1143</v>
      </c>
      <c r="AC30" s="382" t="s">
        <v>1141</v>
      </c>
      <c r="AD30" s="905">
        <f t="shared" si="15"/>
        <v>437.14</v>
      </c>
      <c r="AF30" s="905">
        <v>398.35</v>
      </c>
      <c r="AG30" s="905">
        <f>TRUNC(AF30*'FCD PROJETO'!$S$19,2)</f>
        <v>437.14</v>
      </c>
    </row>
    <row r="31" spans="2:33" x14ac:dyDescent="0.3">
      <c r="B31" s="972"/>
      <c r="C31" s="576">
        <v>15.01</v>
      </c>
      <c r="D31" s="576">
        <v>20</v>
      </c>
      <c r="E31" s="583">
        <f>Histograma!F63</f>
        <v>15.033600000000002</v>
      </c>
      <c r="F31" s="584">
        <f>Histograma!G63</f>
        <v>15.033600000000002</v>
      </c>
      <c r="I31" s="583">
        <v>13.6944</v>
      </c>
      <c r="J31" s="583">
        <v>13.6944</v>
      </c>
      <c r="K31" s="847">
        <f t="shared" si="0"/>
        <v>9.7791798107255579E-2</v>
      </c>
      <c r="M31" s="972"/>
      <c r="N31" s="152" t="s">
        <v>938</v>
      </c>
      <c r="O31" s="272">
        <f t="shared" si="16"/>
        <v>244.99200000000002</v>
      </c>
      <c r="P31" s="272">
        <f t="shared" si="16"/>
        <v>244.99200000000002</v>
      </c>
      <c r="Q31" s="272">
        <f t="shared" si="14"/>
        <v>489.98400000000004</v>
      </c>
      <c r="R31" s="272">
        <f>R30+5*7.06</f>
        <v>232.84000000000003</v>
      </c>
      <c r="S31" s="272">
        <f>S30+5*7.06</f>
        <v>232.84000000000003</v>
      </c>
      <c r="T31" s="272">
        <f t="shared" si="17"/>
        <v>465.68000000000006</v>
      </c>
      <c r="U31" s="895">
        <f t="shared" si="4"/>
        <v>24.303999999999974</v>
      </c>
      <c r="V31" s="896">
        <f t="shared" si="5"/>
        <v>5.2190345301494523E-2</v>
      </c>
      <c r="AA31" s="4" t="s">
        <v>1114</v>
      </c>
      <c r="AB31" s="4" t="s">
        <v>1144</v>
      </c>
      <c r="AC31" s="382" t="s">
        <v>1141</v>
      </c>
      <c r="AD31" s="905">
        <f t="shared" si="15"/>
        <v>658.75</v>
      </c>
      <c r="AF31" s="905">
        <v>600.29</v>
      </c>
      <c r="AG31" s="905">
        <f>TRUNC(AF31*'FCD PROJETO'!$S$19,2)</f>
        <v>658.75</v>
      </c>
    </row>
    <row r="32" spans="2:33" x14ac:dyDescent="0.3">
      <c r="B32" s="972"/>
      <c r="C32" s="576">
        <v>20.010000000000002</v>
      </c>
      <c r="D32" s="576">
        <v>30</v>
      </c>
      <c r="E32" s="583">
        <f>Histograma!F64</f>
        <v>18.374400000000001</v>
      </c>
      <c r="F32" s="584">
        <f>Histograma!G64</f>
        <v>18.374400000000001</v>
      </c>
      <c r="I32" s="583">
        <v>16.7376</v>
      </c>
      <c r="J32" s="583">
        <v>16.7376</v>
      </c>
      <c r="K32" s="847">
        <f t="shared" si="0"/>
        <v>9.7791798107255579E-2</v>
      </c>
      <c r="M32" s="972"/>
      <c r="N32" s="152" t="s">
        <v>939</v>
      </c>
      <c r="O32" s="272">
        <f t="shared" si="16"/>
        <v>336.86400000000003</v>
      </c>
      <c r="P32" s="272">
        <f t="shared" si="16"/>
        <v>336.86400000000003</v>
      </c>
      <c r="Q32" s="272">
        <f t="shared" si="14"/>
        <v>673.72800000000007</v>
      </c>
      <c r="R32" s="272">
        <f>R31+5*9.81</f>
        <v>281.89000000000004</v>
      </c>
      <c r="S32" s="272">
        <f>S31+5*9.81</f>
        <v>281.89000000000004</v>
      </c>
      <c r="T32" s="272">
        <f t="shared" si="17"/>
        <v>563.78000000000009</v>
      </c>
      <c r="U32" s="895">
        <f t="shared" si="4"/>
        <v>109.94799999999998</v>
      </c>
      <c r="V32" s="896">
        <f t="shared" si="5"/>
        <v>0.19501933378268113</v>
      </c>
      <c r="AA32" s="4" t="s">
        <v>1116</v>
      </c>
      <c r="AB32" s="4" t="s">
        <v>1145</v>
      </c>
      <c r="AC32" s="382" t="s">
        <v>1141</v>
      </c>
      <c r="AD32" s="905">
        <f t="shared" si="15"/>
        <v>988.13</v>
      </c>
      <c r="AF32" s="905">
        <v>900.43</v>
      </c>
      <c r="AG32" s="905">
        <f>TRUNC(AF32*'FCD PROJETO'!$S$19,2)</f>
        <v>988.13</v>
      </c>
    </row>
    <row r="33" spans="2:33" x14ac:dyDescent="0.3">
      <c r="B33" s="972"/>
      <c r="C33" s="576">
        <v>30.01</v>
      </c>
      <c r="D33" s="576">
        <v>50</v>
      </c>
      <c r="E33" s="583">
        <f>Histograma!F65</f>
        <v>23.3856</v>
      </c>
      <c r="F33" s="584">
        <f>Histograma!G65</f>
        <v>23.3856</v>
      </c>
      <c r="I33" s="583">
        <v>21.302399999999999</v>
      </c>
      <c r="J33" s="583">
        <v>21.302399999999999</v>
      </c>
      <c r="K33" s="847">
        <f t="shared" si="0"/>
        <v>9.7791798107255579E-2</v>
      </c>
      <c r="M33" s="972"/>
      <c r="N33" s="152" t="s">
        <v>940</v>
      </c>
      <c r="O33" s="272">
        <f>O32+5*E32</f>
        <v>428.73600000000005</v>
      </c>
      <c r="P33" s="272">
        <f>P32+5*F32</f>
        <v>428.73600000000005</v>
      </c>
      <c r="Q33" s="272">
        <f t="shared" si="14"/>
        <v>857.47200000000009</v>
      </c>
      <c r="R33" s="272">
        <f>R32+5*9.81</f>
        <v>330.94000000000005</v>
      </c>
      <c r="S33" s="272">
        <f>S32+5*9.81</f>
        <v>330.94000000000005</v>
      </c>
      <c r="T33" s="272">
        <f t="shared" si="17"/>
        <v>661.88000000000011</v>
      </c>
      <c r="U33" s="895">
        <f t="shared" si="4"/>
        <v>195.59199999999998</v>
      </c>
      <c r="V33" s="896">
        <f t="shared" si="5"/>
        <v>0.29550976007735535</v>
      </c>
      <c r="AA33" s="4" t="s">
        <v>1118</v>
      </c>
      <c r="AB33" s="4" t="s">
        <v>1146</v>
      </c>
      <c r="AC33" s="382" t="s">
        <v>1141</v>
      </c>
      <c r="AD33" s="905">
        <f t="shared" si="15"/>
        <v>1119.8800000000001</v>
      </c>
      <c r="AF33" s="905">
        <v>1020.49</v>
      </c>
      <c r="AG33" s="905">
        <f>TRUNC(AF33*'FCD PROJETO'!$S$19,2)</f>
        <v>1119.8800000000001</v>
      </c>
    </row>
    <row r="34" spans="2:33" x14ac:dyDescent="0.3">
      <c r="B34" s="972"/>
      <c r="C34" s="576">
        <v>50.01</v>
      </c>
      <c r="D34" s="576">
        <v>100</v>
      </c>
      <c r="E34" s="583">
        <f>Histograma!F66</f>
        <v>30.067200000000003</v>
      </c>
      <c r="F34" s="584">
        <f>Histograma!G66</f>
        <v>30.067200000000003</v>
      </c>
      <c r="I34" s="583">
        <v>27.3888</v>
      </c>
      <c r="J34" s="583">
        <v>27.3888</v>
      </c>
      <c r="K34" s="847">
        <f t="shared" si="0"/>
        <v>9.7791798107255579E-2</v>
      </c>
      <c r="M34" s="972"/>
      <c r="N34" s="152" t="s">
        <v>942</v>
      </c>
      <c r="O34" s="272">
        <f>O33+10*E33</f>
        <v>662.5920000000001</v>
      </c>
      <c r="P34" s="272">
        <f>P33+10*F33</f>
        <v>662.5920000000001</v>
      </c>
      <c r="Q34" s="272">
        <f t="shared" si="14"/>
        <v>1325.1840000000002</v>
      </c>
      <c r="R34" s="272">
        <f>R33+10*12.26</f>
        <v>453.54000000000008</v>
      </c>
      <c r="S34" s="272">
        <f>S33+10*12.26</f>
        <v>453.54000000000008</v>
      </c>
      <c r="T34" s="272">
        <f t="shared" si="17"/>
        <v>907.08000000000015</v>
      </c>
      <c r="U34" s="895">
        <f t="shared" si="4"/>
        <v>418.10400000000004</v>
      </c>
      <c r="V34" s="896">
        <f t="shared" si="5"/>
        <v>0.46093398597698104</v>
      </c>
      <c r="AA34" s="4" t="s">
        <v>1120</v>
      </c>
      <c r="AB34" s="4" t="s">
        <v>1146</v>
      </c>
      <c r="AC34" s="906" t="s">
        <v>1141</v>
      </c>
      <c r="AD34" s="905">
        <f t="shared" si="15"/>
        <v>1317.5</v>
      </c>
      <c r="AF34" s="71">
        <v>1200.57</v>
      </c>
      <c r="AG34" s="71">
        <f>TRUNC(AF34*'FCD PROJETO'!$S$19,2)</f>
        <v>1317.5</v>
      </c>
    </row>
    <row r="35" spans="2:33" ht="15" thickBot="1" x14ac:dyDescent="0.35">
      <c r="B35" s="976"/>
      <c r="C35" s="977" t="s">
        <v>47</v>
      </c>
      <c r="D35" s="978">
        <v>0</v>
      </c>
      <c r="E35" s="585">
        <f>Histograma!F67</f>
        <v>40.089599999999997</v>
      </c>
      <c r="F35" s="586">
        <f>Histograma!G67</f>
        <v>40.089599999999997</v>
      </c>
      <c r="I35" s="583">
        <v>36.5184</v>
      </c>
      <c r="J35" s="583">
        <v>36.5184</v>
      </c>
      <c r="K35" s="847">
        <f t="shared" si="0"/>
        <v>9.7791798107255357E-2</v>
      </c>
      <c r="M35" s="972"/>
      <c r="N35" s="152" t="s">
        <v>944</v>
      </c>
      <c r="O35" s="272">
        <f>O34+10*E34</f>
        <v>963.26400000000012</v>
      </c>
      <c r="P35" s="272">
        <f>P34+10*F34</f>
        <v>963.26400000000012</v>
      </c>
      <c r="Q35" s="272">
        <f t="shared" si="14"/>
        <v>1926.5280000000002</v>
      </c>
      <c r="R35" s="272">
        <f>R34+10*12.26</f>
        <v>576.1400000000001</v>
      </c>
      <c r="S35" s="272">
        <f>S34+10*12.26</f>
        <v>576.1400000000001</v>
      </c>
      <c r="T35" s="272">
        <f t="shared" si="17"/>
        <v>1152.2800000000002</v>
      </c>
      <c r="U35" s="895">
        <f t="shared" si="4"/>
        <v>774.24800000000005</v>
      </c>
      <c r="V35" s="896">
        <f t="shared" si="5"/>
        <v>0.67192696219668824</v>
      </c>
      <c r="AA35" s="4" t="s">
        <v>1122</v>
      </c>
      <c r="AB35" s="4" t="s">
        <v>1147</v>
      </c>
      <c r="AC35" s="382" t="s">
        <v>1141</v>
      </c>
      <c r="AD35" s="905">
        <f t="shared" si="15"/>
        <v>502.99</v>
      </c>
      <c r="AF35" s="905">
        <v>458.35</v>
      </c>
      <c r="AG35" s="905">
        <f>TRUNC(AF35*'FCD PROJETO'!$S$19,2)</f>
        <v>502.99</v>
      </c>
    </row>
    <row r="36" spans="2:33" ht="15.6" thickTop="1" thickBot="1" x14ac:dyDescent="0.35">
      <c r="B36" s="973" t="s">
        <v>502</v>
      </c>
      <c r="C36" s="575" t="s">
        <v>488</v>
      </c>
      <c r="D36" s="575" t="s">
        <v>488</v>
      </c>
      <c r="E36" s="581">
        <f>Histograma!F68</f>
        <v>20.88</v>
      </c>
      <c r="F36" s="582">
        <f>Histograma!G68</f>
        <v>20.88</v>
      </c>
      <c r="I36" s="583">
        <v>19.02</v>
      </c>
      <c r="J36" s="583">
        <v>19.02</v>
      </c>
      <c r="K36" s="847">
        <f t="shared" si="0"/>
        <v>9.7791798107255579E-2</v>
      </c>
      <c r="M36" s="872"/>
      <c r="N36" s="845" t="s">
        <v>941</v>
      </c>
      <c r="O36" s="846" t="s">
        <v>3</v>
      </c>
      <c r="P36" s="846" t="s">
        <v>4</v>
      </c>
      <c r="Q36" s="846" t="s">
        <v>5</v>
      </c>
      <c r="R36" s="846" t="s">
        <v>3</v>
      </c>
      <c r="S36" s="846" t="s">
        <v>4</v>
      </c>
      <c r="T36" s="846" t="s">
        <v>5</v>
      </c>
      <c r="U36" s="894" t="s">
        <v>1098</v>
      </c>
      <c r="V36" s="894" t="s">
        <v>15</v>
      </c>
      <c r="AA36" s="4" t="s">
        <v>1125</v>
      </c>
      <c r="AB36" s="4" t="s">
        <v>1148</v>
      </c>
      <c r="AC36" s="382" t="s">
        <v>1141</v>
      </c>
      <c r="AD36" s="905">
        <f t="shared" si="15"/>
        <v>779.64</v>
      </c>
      <c r="AF36" s="905">
        <v>710.45</v>
      </c>
      <c r="AG36" s="905">
        <f>TRUNC(AF36*'FCD PROJETO'!$S$19,2)</f>
        <v>779.64</v>
      </c>
    </row>
    <row r="37" spans="2:33" ht="15" thickTop="1" x14ac:dyDescent="0.3">
      <c r="B37" s="972"/>
      <c r="C37" s="575">
        <v>0.01</v>
      </c>
      <c r="D37" s="575">
        <v>10</v>
      </c>
      <c r="E37" s="581">
        <f>Histograma!F69</f>
        <v>5.0529599999999997</v>
      </c>
      <c r="F37" s="582">
        <f>Histograma!G69</f>
        <v>5.0529599999999997</v>
      </c>
      <c r="I37" s="583">
        <v>4.6028399999999996</v>
      </c>
      <c r="J37" s="583">
        <v>4.6028399999999996</v>
      </c>
      <c r="K37" s="847">
        <f t="shared" si="0"/>
        <v>9.7791798107255579E-2</v>
      </c>
      <c r="M37" s="973" t="s">
        <v>502</v>
      </c>
      <c r="N37" s="152" t="s">
        <v>936</v>
      </c>
      <c r="O37" s="272">
        <f>E36+10*(E37)</f>
        <v>71.409599999999998</v>
      </c>
      <c r="P37" s="272">
        <f>F36+10*(F37)</f>
        <v>71.409599999999998</v>
      </c>
      <c r="Q37" s="272">
        <f t="shared" ref="Q37:Q43" si="18">SUM(O37:P37)</f>
        <v>142.8192</v>
      </c>
      <c r="R37" s="272">
        <f>15.99+10*2.85</f>
        <v>44.49</v>
      </c>
      <c r="S37" s="272">
        <f>15.99+10*2.85</f>
        <v>44.49</v>
      </c>
      <c r="T37" s="272">
        <f>R37+S37</f>
        <v>88.98</v>
      </c>
      <c r="U37" s="895">
        <f t="shared" si="4"/>
        <v>53.839199999999991</v>
      </c>
      <c r="V37" s="896">
        <f t="shared" si="5"/>
        <v>0.60507080242751166</v>
      </c>
      <c r="AA37" s="4" t="s">
        <v>1127</v>
      </c>
      <c r="AB37" s="4" t="s">
        <v>1149</v>
      </c>
      <c r="AC37" s="382" t="s">
        <v>1141</v>
      </c>
      <c r="AD37" s="905">
        <f t="shared" si="15"/>
        <v>930.54</v>
      </c>
      <c r="AF37" s="905">
        <v>847.95</v>
      </c>
      <c r="AG37" s="905">
        <f>TRUNC(AF37*'FCD PROJETO'!$S$19,2)</f>
        <v>930.54</v>
      </c>
    </row>
    <row r="38" spans="2:33" x14ac:dyDescent="0.3">
      <c r="B38" s="972"/>
      <c r="C38" s="576">
        <v>10.01</v>
      </c>
      <c r="D38" s="576">
        <v>15</v>
      </c>
      <c r="E38" s="583">
        <f>Histograma!F70</f>
        <v>7.0741439999999995</v>
      </c>
      <c r="F38" s="584">
        <f>Histograma!G70</f>
        <v>7.0741439999999995</v>
      </c>
      <c r="I38" s="583">
        <v>6.4439759999999993</v>
      </c>
      <c r="J38" s="583">
        <v>6.4439759999999993</v>
      </c>
      <c r="K38" s="847">
        <f t="shared" si="0"/>
        <v>9.7791798107255579E-2</v>
      </c>
      <c r="M38" s="972"/>
      <c r="N38" s="152" t="s">
        <v>937</v>
      </c>
      <c r="O38" s="272">
        <f t="shared" ref="O38:P40" si="19">O37+5*E38</f>
        <v>106.78031999999999</v>
      </c>
      <c r="P38" s="272">
        <f t="shared" si="19"/>
        <v>106.78031999999999</v>
      </c>
      <c r="Q38" s="272">
        <f t="shared" si="18"/>
        <v>213.56063999999998</v>
      </c>
      <c r="R38" s="272">
        <f>R37+5*5.05</f>
        <v>69.740000000000009</v>
      </c>
      <c r="S38" s="272">
        <f>S37+5*5.05</f>
        <v>69.740000000000009</v>
      </c>
      <c r="T38" s="272">
        <f t="shared" ref="T38:T43" si="20">R38+S38</f>
        <v>139.48000000000002</v>
      </c>
      <c r="U38" s="895">
        <f t="shared" si="4"/>
        <v>74.08063999999996</v>
      </c>
      <c r="V38" s="896">
        <f t="shared" si="5"/>
        <v>0.53112016059650091</v>
      </c>
      <c r="AA38" s="4" t="s">
        <v>1150</v>
      </c>
      <c r="AB38" s="4" t="s">
        <v>1151</v>
      </c>
      <c r="AC38" s="382" t="s">
        <v>1141</v>
      </c>
      <c r="AD38" s="905">
        <f t="shared" si="15"/>
        <v>1257.48</v>
      </c>
      <c r="AF38" s="905">
        <v>1145.8800000000001</v>
      </c>
      <c r="AG38" s="905">
        <f>TRUNC(AF38*'FCD PROJETO'!$S$19,2)</f>
        <v>1257.48</v>
      </c>
    </row>
    <row r="39" spans="2:33" x14ac:dyDescent="0.3">
      <c r="B39" s="972"/>
      <c r="C39" s="576">
        <v>15.01</v>
      </c>
      <c r="D39" s="576">
        <v>20</v>
      </c>
      <c r="E39" s="583">
        <f>Histograma!F71</f>
        <v>9.0953280000000003</v>
      </c>
      <c r="F39" s="584">
        <f>Histograma!G71</f>
        <v>9.0953280000000003</v>
      </c>
      <c r="I39" s="583">
        <v>8.2851119999999998</v>
      </c>
      <c r="J39" s="583">
        <v>8.2851119999999998</v>
      </c>
      <c r="K39" s="847">
        <f t="shared" si="0"/>
        <v>9.7791798107255579E-2</v>
      </c>
      <c r="M39" s="972"/>
      <c r="N39" s="152" t="s">
        <v>938</v>
      </c>
      <c r="O39" s="272">
        <f t="shared" si="19"/>
        <v>152.25695999999999</v>
      </c>
      <c r="P39" s="272">
        <f t="shared" si="19"/>
        <v>152.25695999999999</v>
      </c>
      <c r="Q39" s="272">
        <f t="shared" si="18"/>
        <v>304.51391999999998</v>
      </c>
      <c r="R39" s="272">
        <f>R38+5*5.05</f>
        <v>94.990000000000009</v>
      </c>
      <c r="S39" s="272">
        <f>S38+5*5.05</f>
        <v>94.990000000000009</v>
      </c>
      <c r="T39" s="272">
        <f t="shared" si="20"/>
        <v>189.98000000000002</v>
      </c>
      <c r="U39" s="895">
        <f t="shared" si="4"/>
        <v>114.53391999999997</v>
      </c>
      <c r="V39" s="896">
        <f t="shared" si="5"/>
        <v>0.60287356563848804</v>
      </c>
      <c r="AA39" s="96">
        <v>2</v>
      </c>
      <c r="AB39" s="96" t="s">
        <v>1152</v>
      </c>
      <c r="AC39" s="382"/>
      <c r="AD39" s="906"/>
      <c r="AF39" s="906"/>
      <c r="AG39" s="906"/>
    </row>
    <row r="40" spans="2:33" x14ac:dyDescent="0.3">
      <c r="B40" s="972"/>
      <c r="C40" s="576">
        <v>20.010000000000002</v>
      </c>
      <c r="D40" s="576">
        <v>30</v>
      </c>
      <c r="E40" s="583">
        <f>Histograma!F72</f>
        <v>11.116512</v>
      </c>
      <c r="F40" s="584">
        <f>Histograma!G72</f>
        <v>11.116512</v>
      </c>
      <c r="I40" s="583">
        <v>10.126248</v>
      </c>
      <c r="J40" s="583">
        <v>10.126248</v>
      </c>
      <c r="K40" s="847">
        <f t="shared" si="0"/>
        <v>9.7791798107255579E-2</v>
      </c>
      <c r="M40" s="972"/>
      <c r="N40" s="152" t="s">
        <v>939</v>
      </c>
      <c r="O40" s="272">
        <f t="shared" si="19"/>
        <v>207.83951999999999</v>
      </c>
      <c r="P40" s="272">
        <f t="shared" si="19"/>
        <v>207.83951999999999</v>
      </c>
      <c r="Q40" s="272">
        <f t="shared" si="18"/>
        <v>415.67903999999999</v>
      </c>
      <c r="R40" s="272">
        <f>R39+5*7.01</f>
        <v>130.04000000000002</v>
      </c>
      <c r="S40" s="272">
        <f>S39+5*7.01</f>
        <v>130.04000000000002</v>
      </c>
      <c r="T40" s="272">
        <f t="shared" si="20"/>
        <v>260.08000000000004</v>
      </c>
      <c r="U40" s="895">
        <f t="shared" si="4"/>
        <v>155.59903999999995</v>
      </c>
      <c r="V40" s="896">
        <f t="shared" si="5"/>
        <v>0.59827376191940906</v>
      </c>
      <c r="AA40" s="4" t="s">
        <v>1100</v>
      </c>
      <c r="AB40" s="4" t="s">
        <v>1153</v>
      </c>
      <c r="AC40" s="382" t="s">
        <v>1154</v>
      </c>
      <c r="AD40" s="905">
        <f>AG40</f>
        <v>7467.74</v>
      </c>
      <c r="AF40" s="905">
        <v>6804.94</v>
      </c>
      <c r="AG40" s="905">
        <f>TRUNC(AF40*'FCD PROJETO'!$S$19,2)</f>
        <v>7467.74</v>
      </c>
    </row>
    <row r="41" spans="2:33" x14ac:dyDescent="0.3">
      <c r="B41" s="972"/>
      <c r="C41" s="576">
        <v>30.01</v>
      </c>
      <c r="D41" s="576">
        <v>50</v>
      </c>
      <c r="E41" s="583">
        <f>Histograma!F73</f>
        <v>14.148287999999999</v>
      </c>
      <c r="F41" s="584">
        <f>Histograma!G73</f>
        <v>14.148287999999999</v>
      </c>
      <c r="I41" s="583">
        <v>12.887951999999999</v>
      </c>
      <c r="J41" s="583">
        <v>12.887951999999999</v>
      </c>
      <c r="K41" s="847">
        <f t="shared" si="0"/>
        <v>9.7791798107255579E-2</v>
      </c>
      <c r="M41" s="972"/>
      <c r="N41" s="152" t="s">
        <v>940</v>
      </c>
      <c r="O41" s="272">
        <f>O40+5*E40</f>
        <v>263.42207999999999</v>
      </c>
      <c r="P41" s="272">
        <f>P40+5*F40</f>
        <v>263.42207999999999</v>
      </c>
      <c r="Q41" s="272">
        <f t="shared" si="18"/>
        <v>526.84415999999999</v>
      </c>
      <c r="R41" s="272">
        <f>R40+5*7.01</f>
        <v>165.09000000000003</v>
      </c>
      <c r="S41" s="272">
        <f>S40+5*7.01</f>
        <v>165.09000000000003</v>
      </c>
      <c r="T41" s="272">
        <f t="shared" si="20"/>
        <v>330.18000000000006</v>
      </c>
      <c r="U41" s="895">
        <f t="shared" si="4"/>
        <v>196.66415999999992</v>
      </c>
      <c r="V41" s="896">
        <f t="shared" si="5"/>
        <v>0.59562711248409927</v>
      </c>
      <c r="AA41" s="4" t="s">
        <v>1131</v>
      </c>
      <c r="AB41" s="4" t="s">
        <v>1155</v>
      </c>
      <c r="AC41" s="382" t="s">
        <v>1141</v>
      </c>
      <c r="AD41" s="905">
        <f t="shared" ref="AD41:AD42" si="21">AG41</f>
        <v>1361.36</v>
      </c>
      <c r="AF41" s="905">
        <v>1240.54</v>
      </c>
      <c r="AG41" s="905">
        <f>TRUNC(AF41*'FCD PROJETO'!$S$19,2)</f>
        <v>1361.36</v>
      </c>
    </row>
    <row r="42" spans="2:33" x14ac:dyDescent="0.3">
      <c r="B42" s="972"/>
      <c r="C42" s="576">
        <v>50.01</v>
      </c>
      <c r="D42" s="576">
        <v>100</v>
      </c>
      <c r="E42" s="583">
        <f>Histograma!F74</f>
        <v>18.190656000000001</v>
      </c>
      <c r="F42" s="584">
        <f>Histograma!G74</f>
        <v>18.190656000000001</v>
      </c>
      <c r="I42" s="583">
        <v>16.570224</v>
      </c>
      <c r="J42" s="583">
        <v>16.570224</v>
      </c>
      <c r="K42" s="847">
        <f t="shared" si="0"/>
        <v>9.7791798107255579E-2</v>
      </c>
      <c r="M42" s="972"/>
      <c r="N42" s="152" t="s">
        <v>942</v>
      </c>
      <c r="O42" s="272">
        <f>O41+10*E41</f>
        <v>404.90495999999996</v>
      </c>
      <c r="P42" s="272">
        <f>P41+10*F41</f>
        <v>404.90495999999996</v>
      </c>
      <c r="Q42" s="272">
        <f t="shared" si="18"/>
        <v>809.80991999999992</v>
      </c>
      <c r="R42" s="272">
        <f>R41+10*8.76</f>
        <v>252.69000000000003</v>
      </c>
      <c r="S42" s="272">
        <f>S41+10*8.76</f>
        <v>252.69000000000003</v>
      </c>
      <c r="T42" s="272">
        <f t="shared" si="20"/>
        <v>505.38000000000005</v>
      </c>
      <c r="U42" s="895">
        <f t="shared" si="4"/>
        <v>304.42991999999987</v>
      </c>
      <c r="V42" s="896">
        <f t="shared" si="5"/>
        <v>0.60237825002968026</v>
      </c>
      <c r="AA42" s="4" t="s">
        <v>1132</v>
      </c>
      <c r="AB42" s="4" t="s">
        <v>1156</v>
      </c>
      <c r="AC42" s="382" t="s">
        <v>1154</v>
      </c>
      <c r="AD42" s="905">
        <f t="shared" si="21"/>
        <v>974.17</v>
      </c>
      <c r="AF42" s="905">
        <v>887.71</v>
      </c>
      <c r="AG42" s="905">
        <f>TRUNC(AF42*'FCD PROJETO'!$S$19,2)</f>
        <v>974.17</v>
      </c>
    </row>
    <row r="43" spans="2:33" ht="15" thickBot="1" x14ac:dyDescent="0.35">
      <c r="B43" s="976"/>
      <c r="C43" s="977" t="s">
        <v>47</v>
      </c>
      <c r="D43" s="978">
        <v>0</v>
      </c>
      <c r="E43" s="585">
        <f>Histograma!F75</f>
        <v>24.254207999999998</v>
      </c>
      <c r="F43" s="586">
        <f>Histograma!G75</f>
        <v>24.254207999999998</v>
      </c>
      <c r="I43" s="583">
        <v>22.093631999999999</v>
      </c>
      <c r="J43" s="583">
        <v>22.093631999999999</v>
      </c>
      <c r="K43" s="847">
        <f t="shared" si="0"/>
        <v>9.7791798107255579E-2</v>
      </c>
      <c r="M43" s="972"/>
      <c r="N43" s="152" t="s">
        <v>944</v>
      </c>
      <c r="O43" s="272">
        <f>O42+10*E42</f>
        <v>586.81151999999997</v>
      </c>
      <c r="P43" s="272">
        <f>P42+10*F42</f>
        <v>586.81151999999997</v>
      </c>
      <c r="Q43" s="272">
        <f t="shared" si="18"/>
        <v>1173.6230399999999</v>
      </c>
      <c r="R43" s="272">
        <f>R42+10*8.76</f>
        <v>340.29</v>
      </c>
      <c r="S43" s="272">
        <f>S42+10*8.76</f>
        <v>340.29</v>
      </c>
      <c r="T43" s="272">
        <f t="shared" si="20"/>
        <v>680.58</v>
      </c>
      <c r="U43" s="895">
        <f t="shared" si="4"/>
        <v>493.04303999999991</v>
      </c>
      <c r="V43" s="896">
        <f t="shared" si="5"/>
        <v>0.72444538481883081</v>
      </c>
      <c r="AA43" s="96">
        <v>3</v>
      </c>
      <c r="AB43" s="96" t="s">
        <v>1157</v>
      </c>
      <c r="AC43" s="382"/>
      <c r="AD43" s="906" t="s">
        <v>1139</v>
      </c>
      <c r="AF43" s="906" t="s">
        <v>1139</v>
      </c>
      <c r="AG43" s="906" t="s">
        <v>1139</v>
      </c>
    </row>
    <row r="44" spans="2:33" ht="15.6" thickTop="1" thickBot="1" x14ac:dyDescent="0.35">
      <c r="B44" s="973" t="s">
        <v>495</v>
      </c>
      <c r="C44" s="575" t="s">
        <v>488</v>
      </c>
      <c r="D44" s="575" t="s">
        <v>488</v>
      </c>
      <c r="E44" s="581">
        <f>Histograma!F76</f>
        <v>20.88</v>
      </c>
      <c r="F44" s="582">
        <f>Histograma!G76</f>
        <v>20.88</v>
      </c>
      <c r="I44" s="583">
        <v>19.02</v>
      </c>
      <c r="J44" s="583">
        <v>19.02</v>
      </c>
      <c r="K44" s="847">
        <f t="shared" si="0"/>
        <v>9.7791798107255579E-2</v>
      </c>
      <c r="M44" s="872"/>
      <c r="N44" s="845" t="s">
        <v>941</v>
      </c>
      <c r="O44" s="846" t="s">
        <v>3</v>
      </c>
      <c r="P44" s="846" t="s">
        <v>4</v>
      </c>
      <c r="Q44" s="846" t="s">
        <v>5</v>
      </c>
      <c r="R44" s="846" t="s">
        <v>3</v>
      </c>
      <c r="S44" s="846" t="s">
        <v>4</v>
      </c>
      <c r="T44" s="846" t="s">
        <v>5</v>
      </c>
      <c r="U44" s="894" t="s">
        <v>1098</v>
      </c>
      <c r="V44" s="894" t="s">
        <v>15</v>
      </c>
      <c r="AA44" s="4" t="s">
        <v>1158</v>
      </c>
      <c r="AB44" s="4" t="s">
        <v>1159</v>
      </c>
      <c r="AC44" s="382" t="s">
        <v>1160</v>
      </c>
      <c r="AD44" s="905">
        <f>AG44</f>
        <v>217.75</v>
      </c>
      <c r="AF44" s="905">
        <v>198.43</v>
      </c>
      <c r="AG44" s="905">
        <f>TRUNC(AF44*'FCD PROJETO'!$S$19,2)</f>
        <v>217.75</v>
      </c>
    </row>
    <row r="45" spans="2:33" ht="15" thickTop="1" x14ac:dyDescent="0.3">
      <c r="B45" s="972"/>
      <c r="C45" s="575">
        <v>0.01</v>
      </c>
      <c r="D45" s="575">
        <v>10</v>
      </c>
      <c r="E45" s="581">
        <f>Histograma!F77</f>
        <v>5.0546323968918179</v>
      </c>
      <c r="F45" s="582">
        <f>Histograma!G77</f>
        <v>5.0546323968918179</v>
      </c>
      <c r="I45" s="583">
        <v>4.6043634190077762</v>
      </c>
      <c r="J45" s="583">
        <v>4.6043634190077762</v>
      </c>
      <c r="K45" s="847">
        <f t="shared" si="0"/>
        <v>9.7791798107255579E-2</v>
      </c>
      <c r="M45" s="973" t="s">
        <v>495</v>
      </c>
      <c r="N45" s="152" t="s">
        <v>936</v>
      </c>
      <c r="O45" s="272">
        <f>E44+10*(E45)</f>
        <v>71.426323968918183</v>
      </c>
      <c r="P45" s="272">
        <f>F44+10*(F45)</f>
        <v>71.426323968918183</v>
      </c>
      <c r="Q45" s="272">
        <f t="shared" ref="Q45:Q51" si="22">SUM(O45:P45)</f>
        <v>142.85264793783637</v>
      </c>
      <c r="R45" s="272">
        <f>15.99+10*2.85</f>
        <v>44.49</v>
      </c>
      <c r="S45" s="272">
        <f>15.99+10*2.85</f>
        <v>44.49</v>
      </c>
      <c r="T45" s="272">
        <f>R45+S45</f>
        <v>88.98</v>
      </c>
      <c r="U45" s="895">
        <f t="shared" si="4"/>
        <v>53.872647937836362</v>
      </c>
      <c r="V45" s="896">
        <f t="shared" si="5"/>
        <v>0.60544670642657183</v>
      </c>
      <c r="AA45" s="4" t="s">
        <v>1161</v>
      </c>
      <c r="AB45" s="4" t="s">
        <v>1162</v>
      </c>
      <c r="AC45" s="382" t="s">
        <v>1160</v>
      </c>
      <c r="AD45" s="905">
        <f t="shared" ref="AD45:AD46" si="23">AG45</f>
        <v>203.26</v>
      </c>
      <c r="AF45" s="905">
        <v>185.22</v>
      </c>
      <c r="AG45" s="905">
        <f>TRUNC(AF45*'FCD PROJETO'!$S$19,2)</f>
        <v>203.26</v>
      </c>
    </row>
    <row r="46" spans="2:33" x14ac:dyDescent="0.3">
      <c r="B46" s="972"/>
      <c r="C46" s="576">
        <v>10.01</v>
      </c>
      <c r="D46" s="576">
        <v>15</v>
      </c>
      <c r="E46" s="583">
        <f>Histograma!F78</f>
        <v>7.0764853556485434</v>
      </c>
      <c r="F46" s="584">
        <f>Histograma!G78</f>
        <v>7.0764853556485434</v>
      </c>
      <c r="I46" s="583">
        <v>6.4461087866108855</v>
      </c>
      <c r="J46" s="583">
        <v>6.4461087866108855</v>
      </c>
      <c r="K46" s="847">
        <f t="shared" si="0"/>
        <v>9.7791798107255579E-2</v>
      </c>
      <c r="M46" s="972"/>
      <c r="N46" s="152" t="s">
        <v>937</v>
      </c>
      <c r="O46" s="272">
        <f t="shared" ref="O46:P48" si="24">O45+5*E46</f>
        <v>106.8087507471609</v>
      </c>
      <c r="P46" s="272">
        <f t="shared" si="24"/>
        <v>106.8087507471609</v>
      </c>
      <c r="Q46" s="272">
        <f t="shared" si="22"/>
        <v>213.6175014943218</v>
      </c>
      <c r="R46" s="272">
        <f>R45+5*5.05</f>
        <v>69.740000000000009</v>
      </c>
      <c r="S46" s="272">
        <f>S45+5*5.05</f>
        <v>69.740000000000009</v>
      </c>
      <c r="T46" s="272">
        <f t="shared" ref="T46:T51" si="25">R46+S46</f>
        <v>139.48000000000002</v>
      </c>
      <c r="U46" s="895">
        <f t="shared" si="4"/>
        <v>74.137501494321782</v>
      </c>
      <c r="V46" s="896">
        <f t="shared" si="5"/>
        <v>0.53152782832177925</v>
      </c>
      <c r="AA46" s="4" t="s">
        <v>1163</v>
      </c>
      <c r="AB46" s="4" t="s">
        <v>1164</v>
      </c>
      <c r="AC46" s="382" t="s">
        <v>1160</v>
      </c>
      <c r="AD46" s="905">
        <f t="shared" si="23"/>
        <v>316.29000000000002</v>
      </c>
      <c r="AF46" s="905">
        <v>288.22000000000003</v>
      </c>
      <c r="AG46" s="905">
        <f>TRUNC(AF46*'FCD PROJETO'!$S$19,2)</f>
        <v>316.29000000000002</v>
      </c>
    </row>
    <row r="47" spans="2:33" x14ac:dyDescent="0.3">
      <c r="B47" s="972"/>
      <c r="C47" s="576">
        <v>15.01</v>
      </c>
      <c r="D47" s="576">
        <v>20</v>
      </c>
      <c r="E47" s="583">
        <f>Histograma!F79</f>
        <v>9.0983383144052716</v>
      </c>
      <c r="F47" s="584">
        <f>Histograma!G79</f>
        <v>9.0983383144052716</v>
      </c>
      <c r="I47" s="583">
        <v>8.2878541542139974</v>
      </c>
      <c r="J47" s="583">
        <v>8.2878541542139974</v>
      </c>
      <c r="K47" s="847">
        <f t="shared" si="0"/>
        <v>9.7791798107255579E-2</v>
      </c>
      <c r="M47" s="972"/>
      <c r="N47" s="152" t="s">
        <v>938</v>
      </c>
      <c r="O47" s="272">
        <f t="shared" si="24"/>
        <v>152.30044231918725</v>
      </c>
      <c r="P47" s="272">
        <f t="shared" si="24"/>
        <v>152.30044231918725</v>
      </c>
      <c r="Q47" s="272">
        <f t="shared" si="22"/>
        <v>304.60088463837451</v>
      </c>
      <c r="R47" s="272">
        <f>R46+5*5.05</f>
        <v>94.990000000000009</v>
      </c>
      <c r="S47" s="272">
        <f>S46+5*5.05</f>
        <v>94.990000000000009</v>
      </c>
      <c r="T47" s="272">
        <f t="shared" si="25"/>
        <v>189.98000000000002</v>
      </c>
      <c r="U47" s="895">
        <f t="shared" si="4"/>
        <v>114.62088463837449</v>
      </c>
      <c r="V47" s="896">
        <f t="shared" si="5"/>
        <v>0.60333132244643894</v>
      </c>
      <c r="AA47" s="96">
        <v>4</v>
      </c>
      <c r="AB47" s="96" t="s">
        <v>1165</v>
      </c>
      <c r="AC47" s="382"/>
      <c r="AD47" s="906" t="s">
        <v>1139</v>
      </c>
      <c r="AF47" s="906" t="s">
        <v>1139</v>
      </c>
      <c r="AG47" s="906" t="s">
        <v>1139</v>
      </c>
    </row>
    <row r="48" spans="2:33" x14ac:dyDescent="0.3">
      <c r="B48" s="972"/>
      <c r="C48" s="576">
        <v>20.010000000000002</v>
      </c>
      <c r="D48" s="576">
        <v>30</v>
      </c>
      <c r="E48" s="583">
        <f>Histograma!F80</f>
        <v>11.120191273162</v>
      </c>
      <c r="F48" s="584">
        <f>Histograma!G80</f>
        <v>11.120191273162</v>
      </c>
      <c r="I48" s="583">
        <v>10.129599521817109</v>
      </c>
      <c r="J48" s="583">
        <v>10.129599521817109</v>
      </c>
      <c r="K48" s="847">
        <f t="shared" si="0"/>
        <v>9.7791798107255579E-2</v>
      </c>
      <c r="M48" s="972"/>
      <c r="N48" s="152" t="s">
        <v>939</v>
      </c>
      <c r="O48" s="272">
        <f t="shared" si="24"/>
        <v>207.90139868499725</v>
      </c>
      <c r="P48" s="272">
        <f t="shared" si="24"/>
        <v>207.90139868499725</v>
      </c>
      <c r="Q48" s="272">
        <f t="shared" si="22"/>
        <v>415.80279736999449</v>
      </c>
      <c r="R48" s="272">
        <f>R47+5*7.01</f>
        <v>130.04000000000002</v>
      </c>
      <c r="S48" s="272">
        <f>S47+5*7.01</f>
        <v>130.04000000000002</v>
      </c>
      <c r="T48" s="272">
        <f t="shared" si="25"/>
        <v>260.08000000000004</v>
      </c>
      <c r="U48" s="895">
        <f t="shared" si="4"/>
        <v>155.72279736999445</v>
      </c>
      <c r="V48" s="896">
        <f t="shared" si="5"/>
        <v>0.5987496053906276</v>
      </c>
      <c r="AA48" s="4" t="s">
        <v>1166</v>
      </c>
      <c r="AB48" s="4" t="s">
        <v>1167</v>
      </c>
      <c r="AC48" s="382" t="s">
        <v>1154</v>
      </c>
      <c r="AD48" s="905">
        <f>AG48</f>
        <v>3781.04</v>
      </c>
      <c r="AF48" s="905">
        <v>3445.46</v>
      </c>
      <c r="AG48" s="905">
        <f>TRUNC(AF48*'FCD PROJETO'!$S$19,2)</f>
        <v>3781.04</v>
      </c>
    </row>
    <row r="49" spans="2:33" x14ac:dyDescent="0.3">
      <c r="B49" s="972"/>
      <c r="C49" s="576">
        <v>30.01</v>
      </c>
      <c r="D49" s="576">
        <v>50</v>
      </c>
      <c r="E49" s="583">
        <f>Histograma!F81</f>
        <v>14.152970711297087</v>
      </c>
      <c r="F49" s="584">
        <f>Histograma!G81</f>
        <v>14.152970711297087</v>
      </c>
      <c r="I49" s="583">
        <v>12.892217573221771</v>
      </c>
      <c r="J49" s="583">
        <v>12.892217573221771</v>
      </c>
      <c r="K49" s="847">
        <f t="shared" si="0"/>
        <v>9.7791798107255579E-2</v>
      </c>
      <c r="M49" s="972"/>
      <c r="N49" s="152" t="s">
        <v>940</v>
      </c>
      <c r="O49" s="272">
        <f>O48+5*E48</f>
        <v>263.50235505080724</v>
      </c>
      <c r="P49" s="272">
        <f>P48+5*F48</f>
        <v>263.50235505080724</v>
      </c>
      <c r="Q49" s="272">
        <f t="shared" si="22"/>
        <v>527.00471010161448</v>
      </c>
      <c r="R49" s="272">
        <f>R48+5*7.01</f>
        <v>165.09000000000003</v>
      </c>
      <c r="S49" s="272">
        <f>S48+5*7.01</f>
        <v>165.09000000000003</v>
      </c>
      <c r="T49" s="272">
        <f t="shared" si="25"/>
        <v>330.18000000000006</v>
      </c>
      <c r="U49" s="895">
        <f t="shared" si="4"/>
        <v>196.82471010161441</v>
      </c>
      <c r="V49" s="896">
        <f t="shared" si="5"/>
        <v>0.5961133627161378</v>
      </c>
      <c r="AA49" s="4" t="s">
        <v>1168</v>
      </c>
      <c r="AB49" s="4" t="s">
        <v>1169</v>
      </c>
      <c r="AC49" s="382" t="s">
        <v>1154</v>
      </c>
      <c r="AD49" s="905">
        <f t="shared" ref="AD49:AD52" si="26">AG49</f>
        <v>5671.58</v>
      </c>
      <c r="AF49" s="905">
        <v>5168.2</v>
      </c>
      <c r="AG49" s="905">
        <f>TRUNC(AF49*'FCD PROJETO'!$S$19,2)</f>
        <v>5671.58</v>
      </c>
    </row>
    <row r="50" spans="2:33" x14ac:dyDescent="0.3">
      <c r="B50" s="972"/>
      <c r="C50" s="576">
        <v>50.01</v>
      </c>
      <c r="D50" s="576">
        <v>100</v>
      </c>
      <c r="E50" s="583">
        <f>Histograma!F82</f>
        <v>18.196676628810543</v>
      </c>
      <c r="F50" s="584">
        <f>Histograma!G82</f>
        <v>18.196676628810543</v>
      </c>
      <c r="I50" s="583">
        <v>16.575708308427995</v>
      </c>
      <c r="J50" s="583">
        <v>16.575708308427995</v>
      </c>
      <c r="K50" s="847">
        <f t="shared" si="0"/>
        <v>9.7791798107255579E-2</v>
      </c>
      <c r="M50" s="972"/>
      <c r="N50" s="152" t="s">
        <v>942</v>
      </c>
      <c r="O50" s="272">
        <f>O49+10*E49</f>
        <v>405.03206216377811</v>
      </c>
      <c r="P50" s="272">
        <f>P49+10*F49</f>
        <v>405.03206216377811</v>
      </c>
      <c r="Q50" s="272">
        <f t="shared" si="22"/>
        <v>810.06412432755621</v>
      </c>
      <c r="R50" s="272">
        <f>R49+10*8.76</f>
        <v>252.69000000000003</v>
      </c>
      <c r="S50" s="272">
        <f>S49+10*8.76</f>
        <v>252.69000000000003</v>
      </c>
      <c r="T50" s="272">
        <f t="shared" si="25"/>
        <v>505.38000000000005</v>
      </c>
      <c r="U50" s="895">
        <f t="shared" si="4"/>
        <v>304.68412432755616</v>
      </c>
      <c r="V50" s="896">
        <f t="shared" si="5"/>
        <v>0.60288124644338148</v>
      </c>
      <c r="AA50" s="4" t="s">
        <v>1170</v>
      </c>
      <c r="AB50" s="4" t="s">
        <v>1171</v>
      </c>
      <c r="AC50" s="382" t="s">
        <v>1154</v>
      </c>
      <c r="AD50" s="905">
        <f t="shared" si="26"/>
        <v>6616.85</v>
      </c>
      <c r="AF50" s="905">
        <v>6029.57</v>
      </c>
      <c r="AG50" s="905">
        <f>TRUNC(AF50*'FCD PROJETO'!$S$19,2)</f>
        <v>6616.85</v>
      </c>
    </row>
    <row r="51" spans="2:33" ht="15" thickBot="1" x14ac:dyDescent="0.35">
      <c r="B51" s="976"/>
      <c r="C51" s="977" t="s">
        <v>47</v>
      </c>
      <c r="D51" s="978">
        <v>0</v>
      </c>
      <c r="E51" s="585">
        <f>Histograma!F83</f>
        <v>24.262235505080724</v>
      </c>
      <c r="F51" s="586">
        <f>Histograma!G83</f>
        <v>24.262235505080724</v>
      </c>
      <c r="I51" s="583">
        <v>22.100944411237325</v>
      </c>
      <c r="J51" s="583">
        <v>22.100944411237325</v>
      </c>
      <c r="K51" s="847">
        <f t="shared" si="0"/>
        <v>9.7791798107255579E-2</v>
      </c>
      <c r="M51" s="972"/>
      <c r="N51" s="152" t="s">
        <v>944</v>
      </c>
      <c r="O51" s="272">
        <f>O50+10*E50</f>
        <v>586.99882845188358</v>
      </c>
      <c r="P51" s="272">
        <f>P50+10*F50</f>
        <v>586.99882845188358</v>
      </c>
      <c r="Q51" s="272">
        <f t="shared" si="22"/>
        <v>1173.9976569037672</v>
      </c>
      <c r="R51" s="272">
        <f>R50+10*8.76</f>
        <v>340.29</v>
      </c>
      <c r="S51" s="272">
        <f>S50+10*8.76</f>
        <v>340.29</v>
      </c>
      <c r="T51" s="272">
        <f t="shared" si="25"/>
        <v>680.58</v>
      </c>
      <c r="U51" s="895">
        <f t="shared" si="4"/>
        <v>493.41765690376712</v>
      </c>
      <c r="V51" s="896">
        <f t="shared" si="5"/>
        <v>0.72499582253925632</v>
      </c>
      <c r="AA51" s="4" t="s">
        <v>1172</v>
      </c>
      <c r="AB51" s="4" t="s">
        <v>1173</v>
      </c>
      <c r="AC51" s="382" t="s">
        <v>1154</v>
      </c>
      <c r="AD51" s="905">
        <f t="shared" si="26"/>
        <v>11343.14</v>
      </c>
      <c r="AF51" s="905">
        <v>10336.379999999999</v>
      </c>
      <c r="AG51" s="905">
        <f>TRUNC(AF51*'FCD PROJETO'!$S$19,2)</f>
        <v>11343.14</v>
      </c>
    </row>
    <row r="52" spans="2:33" ht="15.6" thickTop="1" thickBot="1" x14ac:dyDescent="0.35">
      <c r="AA52" s="4" t="s">
        <v>1174</v>
      </c>
      <c r="AB52" s="4" t="s">
        <v>1175</v>
      </c>
      <c r="AC52" s="382" t="s">
        <v>1154</v>
      </c>
      <c r="AD52" s="905">
        <f t="shared" si="26"/>
        <v>1813.01</v>
      </c>
      <c r="AF52" s="905">
        <v>1652.1</v>
      </c>
      <c r="AG52" s="905">
        <f>TRUNC(AF52*'FCD PROJETO'!$S$19,2)</f>
        <v>1813.01</v>
      </c>
    </row>
    <row r="53" spans="2:33" ht="20.399999999999999" customHeight="1" thickBot="1" x14ac:dyDescent="0.35">
      <c r="B53" s="900" t="s">
        <v>1099</v>
      </c>
      <c r="C53" s="900"/>
      <c r="D53" s="900"/>
      <c r="E53" s="900"/>
      <c r="F53" s="901"/>
      <c r="AA53" s="4" t="s">
        <v>1176</v>
      </c>
      <c r="AB53" s="4" t="s">
        <v>1177</v>
      </c>
      <c r="AC53" s="382" t="s">
        <v>1154</v>
      </c>
      <c r="AD53" s="905">
        <f>AG53</f>
        <v>2719.52</v>
      </c>
      <c r="AF53" s="905">
        <v>2478.15</v>
      </c>
      <c r="AG53" s="905">
        <f>TRUNC(AF53*'FCD PROJETO'!$S$19,2)</f>
        <v>2719.52</v>
      </c>
    </row>
    <row r="54" spans="2:33" ht="31.2" thickBot="1" x14ac:dyDescent="0.35">
      <c r="B54" s="902" t="s">
        <v>1100</v>
      </c>
      <c r="C54" s="903" t="s">
        <v>1101</v>
      </c>
      <c r="D54" s="901"/>
      <c r="E54" s="902">
        <f>TRUNC(I54*'FCD PROJETO'!S19,2)</f>
        <v>11.87</v>
      </c>
      <c r="F54" s="902">
        <f>TRUNC(J54*'FCD PROJETO'!S19,2)</f>
        <v>11.87</v>
      </c>
      <c r="I54" s="382">
        <v>10.82</v>
      </c>
      <c r="J54" s="382">
        <v>10.82</v>
      </c>
      <c r="K54" s="904">
        <f>F54/J54-1</f>
        <v>9.7042513863216273E-2</v>
      </c>
      <c r="AA54" s="4" t="s">
        <v>1178</v>
      </c>
      <c r="AB54" s="4" t="s">
        <v>1179</v>
      </c>
      <c r="AC54" s="382" t="s">
        <v>1154</v>
      </c>
      <c r="AD54" s="905">
        <f t="shared" ref="AD54:AD55" si="27">AG54</f>
        <v>3172.78</v>
      </c>
      <c r="AF54" s="905">
        <v>2891.18</v>
      </c>
      <c r="AG54" s="905">
        <f>TRUNC(AF54*'FCD PROJETO'!$S$19,2)</f>
        <v>3172.78</v>
      </c>
    </row>
    <row r="55" spans="2:33" x14ac:dyDescent="0.3">
      <c r="AA55" s="4" t="s">
        <v>1180</v>
      </c>
      <c r="AB55" s="4" t="s">
        <v>1181</v>
      </c>
      <c r="AC55" s="382" t="s">
        <v>1154</v>
      </c>
      <c r="AD55" s="905">
        <f t="shared" si="27"/>
        <v>5439.04</v>
      </c>
      <c r="AF55" s="905">
        <v>4956.3</v>
      </c>
      <c r="AG55" s="905">
        <f>TRUNC(AF55*'FCD PROJETO'!$S$19,2)</f>
        <v>5439.04</v>
      </c>
    </row>
    <row r="56" spans="2:33" x14ac:dyDescent="0.3">
      <c r="AA56" s="96">
        <v>5</v>
      </c>
      <c r="AB56" s="96" t="s">
        <v>1182</v>
      </c>
      <c r="AC56" s="382"/>
      <c r="AD56" s="906" t="s">
        <v>1139</v>
      </c>
      <c r="AF56" s="906" t="s">
        <v>1139</v>
      </c>
      <c r="AG56" s="906" t="s">
        <v>1139</v>
      </c>
    </row>
    <row r="57" spans="2:33" x14ac:dyDescent="0.3">
      <c r="AA57" s="4" t="s">
        <v>1183</v>
      </c>
      <c r="AB57" s="4" t="s">
        <v>1184</v>
      </c>
      <c r="AC57" s="382" t="s">
        <v>1154</v>
      </c>
      <c r="AD57" s="905">
        <f>AG57</f>
        <v>198.21</v>
      </c>
      <c r="AF57" s="905">
        <v>180.62</v>
      </c>
      <c r="AG57" s="905">
        <f>TRUNC(AF57*'FCD PROJETO'!$S$19,2)</f>
        <v>198.21</v>
      </c>
    </row>
    <row r="58" spans="2:33" x14ac:dyDescent="0.3">
      <c r="AA58" s="4" t="s">
        <v>1185</v>
      </c>
      <c r="AB58" s="4" t="s">
        <v>1186</v>
      </c>
      <c r="AC58" s="382" t="s">
        <v>1154</v>
      </c>
      <c r="AD58" s="905">
        <f t="shared" ref="AD58:AD121" si="28">AG58</f>
        <v>307.95</v>
      </c>
      <c r="AF58" s="905">
        <v>280.62</v>
      </c>
      <c r="AG58" s="905">
        <f>TRUNC(AF58*'FCD PROJETO'!$S$19,2)</f>
        <v>307.95</v>
      </c>
    </row>
    <row r="59" spans="2:33" x14ac:dyDescent="0.3">
      <c r="AA59" s="4" t="s">
        <v>1187</v>
      </c>
      <c r="AB59" s="4" t="s">
        <v>1188</v>
      </c>
      <c r="AC59" s="382" t="s">
        <v>1154</v>
      </c>
      <c r="AD59" s="905">
        <f t="shared" si="28"/>
        <v>812.27</v>
      </c>
      <c r="AF59" s="905">
        <v>740.18</v>
      </c>
      <c r="AG59" s="905">
        <f>TRUNC(AF59*'FCD PROJETO'!$S$19,2)</f>
        <v>812.27</v>
      </c>
    </row>
    <row r="60" spans="2:33" x14ac:dyDescent="0.3">
      <c r="AA60" s="4" t="s">
        <v>1189</v>
      </c>
      <c r="AB60" s="4" t="s">
        <v>1190</v>
      </c>
      <c r="AC60" s="382" t="s">
        <v>1154</v>
      </c>
      <c r="AD60" s="905">
        <f t="shared" si="28"/>
        <v>948.25</v>
      </c>
      <c r="AF60" s="905">
        <v>864.09</v>
      </c>
      <c r="AG60" s="905">
        <f>TRUNC(AF60*'FCD PROJETO'!$S$19,2)</f>
        <v>948.25</v>
      </c>
    </row>
    <row r="61" spans="2:33" x14ac:dyDescent="0.3">
      <c r="AA61" s="4" t="s">
        <v>1191</v>
      </c>
      <c r="AB61" s="4" t="s">
        <v>1192</v>
      </c>
      <c r="AC61" s="382" t="s">
        <v>1154</v>
      </c>
      <c r="AD61" s="905">
        <f t="shared" si="28"/>
        <v>1222.72</v>
      </c>
      <c r="AF61" s="905">
        <v>1114.2</v>
      </c>
      <c r="AG61" s="905">
        <f>TRUNC(AF61*'FCD PROJETO'!$S$19,2)</f>
        <v>1222.72</v>
      </c>
    </row>
    <row r="62" spans="2:33" x14ac:dyDescent="0.3">
      <c r="AA62" s="4" t="s">
        <v>1193</v>
      </c>
      <c r="AB62" s="4" t="s">
        <v>1194</v>
      </c>
      <c r="AC62" s="382" t="s">
        <v>1154</v>
      </c>
      <c r="AD62" s="905">
        <f t="shared" si="28"/>
        <v>1854.25</v>
      </c>
      <c r="AF62" s="905">
        <v>1689.68</v>
      </c>
      <c r="AG62" s="905">
        <f>TRUNC(AF62*'FCD PROJETO'!$S$19,2)</f>
        <v>1854.25</v>
      </c>
    </row>
    <row r="63" spans="2:33" x14ac:dyDescent="0.3">
      <c r="AA63" s="4" t="s">
        <v>1195</v>
      </c>
      <c r="AB63" s="4" t="s">
        <v>1196</v>
      </c>
      <c r="AC63" s="382" t="s">
        <v>1154</v>
      </c>
      <c r="AD63" s="905">
        <f t="shared" si="28"/>
        <v>1405.35</v>
      </c>
      <c r="AF63" s="905">
        <v>1280.6199999999999</v>
      </c>
      <c r="AG63" s="905">
        <f>TRUNC(AF63*'FCD PROJETO'!$S$19,2)</f>
        <v>1405.35</v>
      </c>
    </row>
    <row r="64" spans="2:33" x14ac:dyDescent="0.3">
      <c r="AA64" s="96">
        <v>6</v>
      </c>
      <c r="AB64" s="96" t="s">
        <v>1197</v>
      </c>
      <c r="AC64" s="382"/>
      <c r="AD64" s="382"/>
      <c r="AF64" s="382"/>
      <c r="AG64" s="382"/>
    </row>
    <row r="65" spans="27:33" x14ac:dyDescent="0.3">
      <c r="AA65" s="4" t="s">
        <v>1198</v>
      </c>
      <c r="AB65" s="4" t="s">
        <v>1199</v>
      </c>
      <c r="AC65" s="382" t="s">
        <v>1154</v>
      </c>
      <c r="AD65" s="905">
        <f t="shared" si="28"/>
        <v>3863.15</v>
      </c>
      <c r="AF65" s="905">
        <v>3520.28</v>
      </c>
      <c r="AG65" s="905">
        <f>TRUNC(AF65*'FCD PROJETO'!$S$19,2)</f>
        <v>3863.15</v>
      </c>
    </row>
    <row r="66" spans="27:33" x14ac:dyDescent="0.3">
      <c r="AA66" s="4" t="s">
        <v>1200</v>
      </c>
      <c r="AB66" s="4" t="s">
        <v>624</v>
      </c>
      <c r="AC66" s="382" t="s">
        <v>1141</v>
      </c>
      <c r="AD66" s="905">
        <f t="shared" si="28"/>
        <v>57</v>
      </c>
      <c r="AF66" s="905">
        <v>51.95</v>
      </c>
      <c r="AG66" s="905">
        <f>TRUNC(AF66*'FCD PROJETO'!$S$19,2)</f>
        <v>57</v>
      </c>
    </row>
    <row r="67" spans="27:33" x14ac:dyDescent="0.3">
      <c r="AA67" s="4" t="s">
        <v>1201</v>
      </c>
      <c r="AB67" s="4" t="s">
        <v>1202</v>
      </c>
      <c r="AC67" s="382" t="s">
        <v>1154</v>
      </c>
      <c r="AD67" s="905">
        <f t="shared" si="28"/>
        <v>1306.25</v>
      </c>
      <c r="AF67" s="905">
        <v>1190.32</v>
      </c>
      <c r="AG67" s="905">
        <f>TRUNC(AF67*'FCD PROJETO'!$S$19,2)</f>
        <v>1306.25</v>
      </c>
    </row>
    <row r="68" spans="27:33" x14ac:dyDescent="0.3">
      <c r="AA68" s="96">
        <v>7</v>
      </c>
      <c r="AB68" s="96" t="s">
        <v>1203</v>
      </c>
      <c r="AC68" s="382"/>
      <c r="AD68" s="382"/>
      <c r="AF68" s="382"/>
      <c r="AG68" s="382"/>
    </row>
    <row r="69" spans="27:33" x14ac:dyDescent="0.3">
      <c r="AA69" s="4" t="s">
        <v>1204</v>
      </c>
      <c r="AB69" s="4" t="s">
        <v>1205</v>
      </c>
      <c r="AC69" s="382" t="s">
        <v>1154</v>
      </c>
      <c r="AD69" s="905">
        <f t="shared" si="28"/>
        <v>887.16</v>
      </c>
      <c r="AF69" s="905">
        <v>808.42</v>
      </c>
      <c r="AG69" s="905">
        <f>TRUNC(AF69*'FCD PROJETO'!$S$19,2)</f>
        <v>887.16</v>
      </c>
    </row>
    <row r="70" spans="27:33" x14ac:dyDescent="0.3">
      <c r="AA70" s="4" t="s">
        <v>1206</v>
      </c>
      <c r="AB70" s="4" t="s">
        <v>1207</v>
      </c>
      <c r="AC70" s="382" t="s">
        <v>1154</v>
      </c>
      <c r="AD70" s="905">
        <f t="shared" si="28"/>
        <v>3896.23</v>
      </c>
      <c r="AF70" s="905">
        <v>3550.42</v>
      </c>
      <c r="AG70" s="905">
        <f>TRUNC(AF70*'FCD PROJETO'!$S$19,2)</f>
        <v>3896.23</v>
      </c>
    </row>
    <row r="71" spans="27:33" x14ac:dyDescent="0.3">
      <c r="AA71" s="4" t="s">
        <v>1208</v>
      </c>
      <c r="AB71" s="4" t="s">
        <v>1209</v>
      </c>
      <c r="AC71" s="382" t="s">
        <v>1154</v>
      </c>
      <c r="AD71" s="905">
        <f t="shared" si="28"/>
        <v>1160.6300000000001</v>
      </c>
      <c r="AF71" s="905">
        <v>1057.6199999999999</v>
      </c>
      <c r="AG71" s="905">
        <f>TRUNC(AF71*'FCD PROJETO'!$S$19,2)</f>
        <v>1160.6300000000001</v>
      </c>
    </row>
    <row r="72" spans="27:33" x14ac:dyDescent="0.3">
      <c r="AA72" s="4" t="s">
        <v>1210</v>
      </c>
      <c r="AB72" s="4" t="s">
        <v>1211</v>
      </c>
      <c r="AC72" s="382" t="s">
        <v>1154</v>
      </c>
      <c r="AD72" s="905">
        <f t="shared" si="28"/>
        <v>4266.3500000000004</v>
      </c>
      <c r="AF72" s="905">
        <v>3887.69</v>
      </c>
      <c r="AG72" s="905">
        <f>TRUNC(AF72*'FCD PROJETO'!$S$19,2)</f>
        <v>4266.3500000000004</v>
      </c>
    </row>
    <row r="73" spans="27:33" x14ac:dyDescent="0.3">
      <c r="AA73" s="96">
        <v>8</v>
      </c>
      <c r="AB73" s="96" t="s">
        <v>1212</v>
      </c>
      <c r="AC73" s="382"/>
      <c r="AD73" s="382"/>
      <c r="AF73" s="382"/>
      <c r="AG73" s="382"/>
    </row>
    <row r="74" spans="27:33" x14ac:dyDescent="0.3">
      <c r="AA74" s="4" t="s">
        <v>1213</v>
      </c>
      <c r="AB74" s="4" t="s">
        <v>1214</v>
      </c>
      <c r="AC74" s="382" t="s">
        <v>1154</v>
      </c>
      <c r="AD74" s="905">
        <f t="shared" si="28"/>
        <v>238.95</v>
      </c>
      <c r="AF74" s="905">
        <v>217.75</v>
      </c>
      <c r="AG74" s="905">
        <f>TRUNC(AF74*'FCD PROJETO'!$S$19,2)</f>
        <v>238.95</v>
      </c>
    </row>
    <row r="75" spans="27:33" x14ac:dyDescent="0.3">
      <c r="AA75" s="4" t="s">
        <v>1215</v>
      </c>
      <c r="AB75" s="4" t="s">
        <v>1216</v>
      </c>
      <c r="AC75" s="382" t="s">
        <v>1154</v>
      </c>
      <c r="AD75" s="905">
        <f t="shared" si="28"/>
        <v>420.94</v>
      </c>
      <c r="AF75" s="905">
        <v>383.58</v>
      </c>
      <c r="AG75" s="905">
        <f>TRUNC(AF75*'FCD PROJETO'!$S$19,2)</f>
        <v>420.94</v>
      </c>
    </row>
    <row r="76" spans="27:33" x14ac:dyDescent="0.3">
      <c r="AA76" s="4" t="s">
        <v>1217</v>
      </c>
      <c r="AB76" s="4" t="s">
        <v>1218</v>
      </c>
      <c r="AC76" s="382" t="s">
        <v>1154</v>
      </c>
      <c r="AD76" s="905">
        <f t="shared" si="28"/>
        <v>522.66</v>
      </c>
      <c r="AF76" s="905">
        <v>476.28</v>
      </c>
      <c r="AG76" s="905">
        <f>TRUNC(AF76*'FCD PROJETO'!$S$19,2)</f>
        <v>522.66</v>
      </c>
    </row>
    <row r="77" spans="27:33" x14ac:dyDescent="0.3">
      <c r="AA77" s="4" t="s">
        <v>1219</v>
      </c>
      <c r="AB77" s="4" t="s">
        <v>1220</v>
      </c>
      <c r="AC77" s="382" t="s">
        <v>1154</v>
      </c>
      <c r="AD77" s="905">
        <f t="shared" si="28"/>
        <v>1240.9100000000001</v>
      </c>
      <c r="AF77" s="905">
        <v>1130.78</v>
      </c>
      <c r="AG77" s="905">
        <f>TRUNC(AF77*'FCD PROJETO'!$S$19,2)</f>
        <v>1240.9100000000001</v>
      </c>
    </row>
    <row r="78" spans="27:33" x14ac:dyDescent="0.3">
      <c r="AA78" s="4" t="s">
        <v>1221</v>
      </c>
      <c r="AB78" s="4" t="s">
        <v>1222</v>
      </c>
      <c r="AC78" s="382" t="s">
        <v>1154</v>
      </c>
      <c r="AD78" s="905">
        <f t="shared" si="28"/>
        <v>1357.19</v>
      </c>
      <c r="AF78" s="905">
        <v>1236.74</v>
      </c>
      <c r="AG78" s="905">
        <f>TRUNC(AF78*'FCD PROJETO'!$S$19,2)</f>
        <v>1357.19</v>
      </c>
    </row>
    <row r="79" spans="27:33" x14ac:dyDescent="0.3">
      <c r="AA79" s="4" t="s">
        <v>1223</v>
      </c>
      <c r="AB79" s="4" t="s">
        <v>1224</v>
      </c>
      <c r="AC79" s="382" t="s">
        <v>1154</v>
      </c>
      <c r="AD79" s="905">
        <f t="shared" si="28"/>
        <v>2232.71</v>
      </c>
      <c r="AF79" s="905">
        <v>2034.55</v>
      </c>
      <c r="AG79" s="905">
        <f>TRUNC(AF79*'FCD PROJETO'!$S$19,2)</f>
        <v>2232.71</v>
      </c>
    </row>
    <row r="80" spans="27:33" x14ac:dyDescent="0.3">
      <c r="AA80" s="4" t="s">
        <v>1225</v>
      </c>
      <c r="AB80" s="4" t="s">
        <v>1226</v>
      </c>
      <c r="AC80" s="382" t="s">
        <v>1154</v>
      </c>
      <c r="AD80" s="905">
        <f t="shared" si="28"/>
        <v>5842.62</v>
      </c>
      <c r="AF80" s="905">
        <v>5324.06</v>
      </c>
      <c r="AG80" s="905">
        <f>TRUNC(AF80*'FCD PROJETO'!$S$19,2)</f>
        <v>5842.62</v>
      </c>
    </row>
    <row r="81" spans="27:33" x14ac:dyDescent="0.3">
      <c r="AA81" s="4" t="s">
        <v>1227</v>
      </c>
      <c r="AB81" s="4" t="s">
        <v>1228</v>
      </c>
      <c r="AC81" s="382" t="s">
        <v>1154</v>
      </c>
      <c r="AD81" s="905">
        <f t="shared" si="28"/>
        <v>7476.77</v>
      </c>
      <c r="AF81" s="905">
        <v>6813.17</v>
      </c>
      <c r="AG81" s="905">
        <f>TRUNC(AF81*'FCD PROJETO'!$S$19,2)</f>
        <v>7476.77</v>
      </c>
    </row>
    <row r="82" spans="27:33" x14ac:dyDescent="0.3">
      <c r="AA82" s="4" t="s">
        <v>1229</v>
      </c>
      <c r="AB82" s="4" t="s">
        <v>1230</v>
      </c>
      <c r="AC82" s="382" t="s">
        <v>1154</v>
      </c>
      <c r="AD82" s="905">
        <f t="shared" si="28"/>
        <v>332.75</v>
      </c>
      <c r="AF82" s="905">
        <v>303.22000000000003</v>
      </c>
      <c r="AG82" s="905">
        <f>TRUNC(AF82*'FCD PROJETO'!$S$19,2)</f>
        <v>332.75</v>
      </c>
    </row>
    <row r="83" spans="27:33" x14ac:dyDescent="0.3">
      <c r="AA83" s="4" t="s">
        <v>1231</v>
      </c>
      <c r="AB83" s="4" t="s">
        <v>1232</v>
      </c>
      <c r="AC83" s="382" t="s">
        <v>1154</v>
      </c>
      <c r="AD83" s="905">
        <f t="shared" si="28"/>
        <v>369.84</v>
      </c>
      <c r="AF83" s="905">
        <v>337.02</v>
      </c>
      <c r="AG83" s="905">
        <f>TRUNC(AF83*'FCD PROJETO'!$S$19,2)</f>
        <v>369.84</v>
      </c>
    </row>
    <row r="84" spans="27:33" x14ac:dyDescent="0.3">
      <c r="AA84" s="4" t="s">
        <v>1233</v>
      </c>
      <c r="AB84" s="4" t="s">
        <v>1234</v>
      </c>
      <c r="AC84" s="382" t="s">
        <v>1154</v>
      </c>
      <c r="AD84" s="905">
        <f t="shared" si="28"/>
        <v>456.14</v>
      </c>
      <c r="AF84" s="905">
        <v>415.66</v>
      </c>
      <c r="AG84" s="905">
        <f>TRUNC(AF84*'FCD PROJETO'!$S$19,2)</f>
        <v>456.14</v>
      </c>
    </row>
    <row r="85" spans="27:33" x14ac:dyDescent="0.3">
      <c r="AA85" s="4" t="s">
        <v>1235</v>
      </c>
      <c r="AB85" s="4" t="s">
        <v>1236</v>
      </c>
      <c r="AC85" s="382" t="s">
        <v>1154</v>
      </c>
      <c r="AD85" s="905">
        <f t="shared" si="28"/>
        <v>542.35</v>
      </c>
      <c r="AF85" s="905">
        <v>494.22</v>
      </c>
      <c r="AG85" s="905">
        <f>TRUNC(AF85*'FCD PROJETO'!$S$19,2)</f>
        <v>542.35</v>
      </c>
    </row>
    <row r="86" spans="27:33" x14ac:dyDescent="0.3">
      <c r="AA86" s="4" t="s">
        <v>1237</v>
      </c>
      <c r="AB86" s="4" t="s">
        <v>1238</v>
      </c>
      <c r="AC86" s="382" t="s">
        <v>1154</v>
      </c>
      <c r="AD86" s="905">
        <f t="shared" si="28"/>
        <v>196.08</v>
      </c>
      <c r="AF86" s="905">
        <v>178.68</v>
      </c>
      <c r="AG86" s="905">
        <f>TRUNC(AF86*'FCD PROJETO'!$S$19,2)</f>
        <v>196.08</v>
      </c>
    </row>
    <row r="87" spans="27:33" x14ac:dyDescent="0.3">
      <c r="AA87" s="4" t="s">
        <v>1239</v>
      </c>
      <c r="AB87" s="4" t="s">
        <v>1240</v>
      </c>
      <c r="AC87" s="382" t="s">
        <v>1154</v>
      </c>
      <c r="AD87" s="905">
        <f t="shared" si="28"/>
        <v>64.900000000000006</v>
      </c>
      <c r="AF87" s="905">
        <v>59.14</v>
      </c>
      <c r="AG87" s="905">
        <f>TRUNC(AF87*'FCD PROJETO'!$S$19,2)</f>
        <v>64.900000000000006</v>
      </c>
    </row>
    <row r="88" spans="27:33" x14ac:dyDescent="0.3">
      <c r="AA88" s="4" t="s">
        <v>1241</v>
      </c>
      <c r="AB88" s="4" t="s">
        <v>1242</v>
      </c>
      <c r="AC88" s="382" t="s">
        <v>1154</v>
      </c>
      <c r="AD88" s="905">
        <f t="shared" si="28"/>
        <v>64.900000000000006</v>
      </c>
      <c r="AF88" s="905">
        <v>59.14</v>
      </c>
      <c r="AG88" s="905">
        <f>TRUNC(AF88*'FCD PROJETO'!$S$19,2)</f>
        <v>64.900000000000006</v>
      </c>
    </row>
    <row r="89" spans="27:33" x14ac:dyDescent="0.3">
      <c r="AA89" s="4" t="s">
        <v>1243</v>
      </c>
      <c r="AB89" s="4" t="s">
        <v>1244</v>
      </c>
      <c r="AC89" s="382" t="s">
        <v>1154</v>
      </c>
      <c r="AD89" s="905">
        <f t="shared" si="28"/>
        <v>33.99</v>
      </c>
      <c r="AF89" s="905">
        <v>30.98</v>
      </c>
      <c r="AG89" s="905">
        <f>TRUNC(AF89*'FCD PROJETO'!$S$19,2)</f>
        <v>33.99</v>
      </c>
    </row>
    <row r="90" spans="27:33" x14ac:dyDescent="0.3">
      <c r="AA90" s="4" t="s">
        <v>1245</v>
      </c>
      <c r="AB90" s="4" t="s">
        <v>1246</v>
      </c>
      <c r="AC90" s="382" t="s">
        <v>1154</v>
      </c>
      <c r="AD90" s="905">
        <f t="shared" si="28"/>
        <v>51.27</v>
      </c>
      <c r="AF90" s="905">
        <v>46.72</v>
      </c>
      <c r="AG90" s="905">
        <f>TRUNC(AF90*'FCD PROJETO'!$S$19,2)</f>
        <v>51.27</v>
      </c>
    </row>
    <row r="91" spans="27:33" x14ac:dyDescent="0.3">
      <c r="AA91" s="4" t="s">
        <v>1247</v>
      </c>
      <c r="AB91" s="4" t="s">
        <v>1248</v>
      </c>
      <c r="AC91" s="382" t="s">
        <v>609</v>
      </c>
      <c r="AD91" s="905">
        <f t="shared" si="28"/>
        <v>55.11</v>
      </c>
      <c r="AF91" s="905">
        <v>50.22</v>
      </c>
      <c r="AG91" s="905">
        <f>TRUNC(AF91*'FCD PROJETO'!$S$19,2)</f>
        <v>55.11</v>
      </c>
    </row>
    <row r="92" spans="27:33" x14ac:dyDescent="0.3">
      <c r="AA92" s="96">
        <v>9</v>
      </c>
      <c r="AB92" s="96" t="s">
        <v>1249</v>
      </c>
      <c r="AC92" s="382"/>
      <c r="AD92" s="382"/>
      <c r="AF92" s="382"/>
      <c r="AG92" s="382"/>
    </row>
    <row r="93" spans="27:33" x14ac:dyDescent="0.3">
      <c r="AA93" s="4" t="s">
        <v>1250</v>
      </c>
      <c r="AB93" s="4" t="s">
        <v>1251</v>
      </c>
      <c r="AC93" s="382" t="s">
        <v>1154</v>
      </c>
      <c r="AD93" s="905">
        <f t="shared" si="28"/>
        <v>102.14</v>
      </c>
      <c r="AF93" s="905">
        <v>93.08</v>
      </c>
      <c r="AG93" s="905">
        <f>TRUNC(AF93*'FCD PROJETO'!$S$19,2)</f>
        <v>102.14</v>
      </c>
    </row>
    <row r="94" spans="27:33" x14ac:dyDescent="0.3">
      <c r="AA94" s="4" t="s">
        <v>1252</v>
      </c>
      <c r="AB94" s="4" t="s">
        <v>1253</v>
      </c>
      <c r="AC94" s="382" t="s">
        <v>1154</v>
      </c>
      <c r="AD94" s="905">
        <f t="shared" si="28"/>
        <v>454.47</v>
      </c>
      <c r="AF94" s="905">
        <v>414.14</v>
      </c>
      <c r="AG94" s="905">
        <f>TRUNC(AF94*'FCD PROJETO'!$S$19,2)</f>
        <v>454.47</v>
      </c>
    </row>
    <row r="95" spans="27:33" x14ac:dyDescent="0.3">
      <c r="AA95" s="4" t="s">
        <v>1254</v>
      </c>
      <c r="AB95" s="4" t="s">
        <v>1255</v>
      </c>
      <c r="AC95" s="382" t="s">
        <v>1154</v>
      </c>
      <c r="AD95" s="905">
        <f t="shared" si="28"/>
        <v>102.14</v>
      </c>
      <c r="AF95" s="905">
        <v>93.08</v>
      </c>
      <c r="AG95" s="905">
        <f>TRUNC(AF95*'FCD PROJETO'!$S$19,2)</f>
        <v>102.14</v>
      </c>
    </row>
    <row r="96" spans="27:33" x14ac:dyDescent="0.3">
      <c r="AA96" s="4" t="s">
        <v>1256</v>
      </c>
      <c r="AB96" s="4" t="s">
        <v>1257</v>
      </c>
      <c r="AC96" s="382" t="s">
        <v>1154</v>
      </c>
      <c r="AD96" s="905">
        <f t="shared" si="28"/>
        <v>167.04</v>
      </c>
      <c r="AF96" s="905">
        <v>152.22</v>
      </c>
      <c r="AG96" s="905">
        <f>TRUNC(AF96*'FCD PROJETO'!$S$19,2)</f>
        <v>167.04</v>
      </c>
    </row>
    <row r="97" spans="27:33" x14ac:dyDescent="0.3">
      <c r="AA97" s="4" t="s">
        <v>1258</v>
      </c>
      <c r="AB97" s="4" t="s">
        <v>1259</v>
      </c>
      <c r="AC97" s="382" t="s">
        <v>1154</v>
      </c>
      <c r="AD97" s="905">
        <f t="shared" si="28"/>
        <v>102.14</v>
      </c>
      <c r="AF97" s="905">
        <v>93.08</v>
      </c>
      <c r="AG97" s="905">
        <f>TRUNC(AF97*'FCD PROJETO'!$S$19,2)</f>
        <v>102.14</v>
      </c>
    </row>
    <row r="98" spans="27:33" x14ac:dyDescent="0.3">
      <c r="AA98" s="4" t="s">
        <v>1260</v>
      </c>
      <c r="AB98" s="4" t="s">
        <v>1261</v>
      </c>
      <c r="AC98" s="382" t="s">
        <v>1154</v>
      </c>
      <c r="AD98" s="905">
        <f t="shared" si="28"/>
        <v>405.98</v>
      </c>
      <c r="AF98" s="905">
        <v>369.95</v>
      </c>
      <c r="AG98" s="905">
        <f>TRUNC(AF98*'FCD PROJETO'!$S$19,2)</f>
        <v>405.98</v>
      </c>
    </row>
    <row r="99" spans="27:33" x14ac:dyDescent="0.3">
      <c r="AA99" s="4" t="s">
        <v>1262</v>
      </c>
      <c r="AB99" s="4" t="s">
        <v>1263</v>
      </c>
      <c r="AC99" s="382" t="s">
        <v>1154</v>
      </c>
      <c r="AD99" s="905">
        <f t="shared" si="28"/>
        <v>454.47</v>
      </c>
      <c r="AF99" s="905">
        <v>414.14</v>
      </c>
      <c r="AG99" s="905">
        <f>TRUNC(AF99*'FCD PROJETO'!$S$19,2)</f>
        <v>454.47</v>
      </c>
    </row>
    <row r="100" spans="27:33" x14ac:dyDescent="0.3">
      <c r="AA100" s="96">
        <v>10</v>
      </c>
      <c r="AB100" s="96" t="s">
        <v>1264</v>
      </c>
      <c r="AC100" s="382"/>
      <c r="AD100" s="382"/>
      <c r="AF100" s="382"/>
      <c r="AG100" s="382"/>
    </row>
    <row r="101" spans="27:33" x14ac:dyDescent="0.3">
      <c r="AA101" s="4" t="s">
        <v>1265</v>
      </c>
      <c r="AB101" s="4" t="s">
        <v>1266</v>
      </c>
      <c r="AC101" s="382" t="s">
        <v>609</v>
      </c>
      <c r="AD101" s="905">
        <f t="shared" si="28"/>
        <v>180.98</v>
      </c>
      <c r="AF101" s="905">
        <v>164.92</v>
      </c>
      <c r="AG101" s="905">
        <f>TRUNC(AF101*'FCD PROJETO'!$S$19,2)</f>
        <v>180.98</v>
      </c>
    </row>
    <row r="102" spans="27:33" x14ac:dyDescent="0.3">
      <c r="AA102" s="4" t="s">
        <v>1267</v>
      </c>
      <c r="AB102" s="4" t="s">
        <v>1268</v>
      </c>
      <c r="AC102" s="382" t="s">
        <v>609</v>
      </c>
      <c r="AD102" s="905">
        <f t="shared" si="28"/>
        <v>707.73</v>
      </c>
      <c r="AF102" s="905">
        <v>644.91999999999996</v>
      </c>
      <c r="AG102" s="905">
        <f>TRUNC(AF102*'FCD PROJETO'!$S$19,2)</f>
        <v>707.73</v>
      </c>
    </row>
    <row r="103" spans="27:33" x14ac:dyDescent="0.3">
      <c r="AA103" s="4" t="s">
        <v>1269</v>
      </c>
      <c r="AB103" s="4" t="s">
        <v>1270</v>
      </c>
      <c r="AC103" s="382" t="s">
        <v>1154</v>
      </c>
      <c r="AD103" s="905">
        <f t="shared" si="28"/>
        <v>543.08000000000004</v>
      </c>
      <c r="AF103" s="905">
        <v>494.88</v>
      </c>
      <c r="AG103" s="905">
        <f>TRUNC(AF103*'FCD PROJETO'!$S$19,2)</f>
        <v>543.08000000000004</v>
      </c>
    </row>
    <row r="104" spans="27:33" x14ac:dyDescent="0.3">
      <c r="AA104" s="4" t="s">
        <v>1271</v>
      </c>
      <c r="AB104" s="4" t="s">
        <v>1272</v>
      </c>
      <c r="AC104" s="382" t="s">
        <v>1273</v>
      </c>
      <c r="AD104" s="905">
        <f t="shared" si="28"/>
        <v>18.75</v>
      </c>
      <c r="AF104" s="905">
        <v>17.09</v>
      </c>
      <c r="AG104" s="905">
        <f>TRUNC(AF104*'FCD PROJETO'!$S$19,2)</f>
        <v>18.75</v>
      </c>
    </row>
    <row r="105" spans="27:33" x14ac:dyDescent="0.3">
      <c r="AC105"/>
    </row>
    <row r="106" spans="27:33" x14ac:dyDescent="0.3">
      <c r="AA106" s="907" t="s">
        <v>1274</v>
      </c>
      <c r="AB106" s="907"/>
      <c r="AC106" s="907"/>
      <c r="AD106" s="907"/>
      <c r="AF106" s="907"/>
      <c r="AG106" s="907"/>
    </row>
    <row r="107" spans="27:33" x14ac:dyDescent="0.3">
      <c r="AA107" s="907" t="s">
        <v>1275</v>
      </c>
      <c r="AB107" s="907"/>
      <c r="AC107" s="907"/>
      <c r="AD107" s="907"/>
      <c r="AF107" s="907"/>
      <c r="AG107" s="907"/>
    </row>
    <row r="108" spans="27:33" x14ac:dyDescent="0.3">
      <c r="AA108" s="4" t="s">
        <v>89</v>
      </c>
      <c r="AB108" s="4" t="s">
        <v>907</v>
      </c>
      <c r="AC108" s="382" t="s">
        <v>18</v>
      </c>
      <c r="AD108" s="906" t="s">
        <v>1104</v>
      </c>
      <c r="AF108" s="906" t="str">
        <f>AF26</f>
        <v>Preço Unitário Io</v>
      </c>
      <c r="AG108" s="906" t="str">
        <f>AG26</f>
        <v>Preço Unitário In</v>
      </c>
    </row>
    <row r="109" spans="27:33" x14ac:dyDescent="0.3">
      <c r="AA109" s="96">
        <v>1</v>
      </c>
      <c r="AB109" s="96" t="s">
        <v>1276</v>
      </c>
      <c r="AC109" s="382"/>
      <c r="AD109" s="905"/>
      <c r="AF109" s="906"/>
      <c r="AG109" s="906">
        <f>TRUNC(AF109*'FCD PROJETO'!$S$19,2)</f>
        <v>0</v>
      </c>
    </row>
    <row r="110" spans="27:33" x14ac:dyDescent="0.3">
      <c r="AA110" s="4" t="s">
        <v>1106</v>
      </c>
      <c r="AB110" s="4" t="s">
        <v>1277</v>
      </c>
      <c r="AC110" s="382" t="s">
        <v>18</v>
      </c>
      <c r="AD110" s="905">
        <f t="shared" si="28"/>
        <v>88.47</v>
      </c>
      <c r="AF110" s="905">
        <v>80.62</v>
      </c>
      <c r="AG110" s="905">
        <f>TRUNC(AF110*'FCD PROJETO'!$S$19,2)</f>
        <v>88.47</v>
      </c>
    </row>
    <row r="111" spans="27:33" x14ac:dyDescent="0.3">
      <c r="AA111" s="4" t="s">
        <v>1108</v>
      </c>
      <c r="AB111" s="4" t="s">
        <v>1278</v>
      </c>
      <c r="AC111" s="382" t="s">
        <v>1279</v>
      </c>
      <c r="AD111" s="905">
        <f t="shared" si="28"/>
        <v>114.8</v>
      </c>
      <c r="AF111" s="905">
        <v>104.62</v>
      </c>
      <c r="AG111" s="905">
        <f>TRUNC(AF111*'FCD PROJETO'!$S$19,2)</f>
        <v>114.8</v>
      </c>
    </row>
    <row r="112" spans="27:33" x14ac:dyDescent="0.3">
      <c r="AA112" s="4" t="s">
        <v>1110</v>
      </c>
      <c r="AB112" s="4" t="s">
        <v>1280</v>
      </c>
      <c r="AC112" s="382" t="s">
        <v>1279</v>
      </c>
      <c r="AD112" s="905">
        <f t="shared" si="28"/>
        <v>141.13999999999999</v>
      </c>
      <c r="AF112" s="905">
        <v>128.62</v>
      </c>
      <c r="AG112" s="905">
        <f>TRUNC(AF112*'FCD PROJETO'!$S$19,2)</f>
        <v>141.13999999999999</v>
      </c>
    </row>
    <row r="113" spans="27:33" x14ac:dyDescent="0.3">
      <c r="AA113" s="4" t="s">
        <v>1112</v>
      </c>
      <c r="AB113" s="4" t="s">
        <v>1281</v>
      </c>
      <c r="AC113" s="382" t="s">
        <v>1279</v>
      </c>
      <c r="AD113" s="905">
        <f t="shared" si="28"/>
        <v>141.13999999999999</v>
      </c>
      <c r="AF113" s="905">
        <v>128.62</v>
      </c>
      <c r="AG113" s="905">
        <f>TRUNC(AF113*'FCD PROJETO'!$S$19,2)</f>
        <v>141.13999999999999</v>
      </c>
    </row>
    <row r="114" spans="27:33" x14ac:dyDescent="0.3">
      <c r="AA114" s="4" t="s">
        <v>1114</v>
      </c>
      <c r="AB114" s="4" t="s">
        <v>1282</v>
      </c>
      <c r="AC114" s="382" t="s">
        <v>18</v>
      </c>
      <c r="AD114" s="905">
        <f t="shared" si="28"/>
        <v>33.19</v>
      </c>
      <c r="AF114" s="905">
        <v>30.25</v>
      </c>
      <c r="AG114" s="905">
        <f>TRUNC(AF114*'FCD PROJETO'!$S$19,2)</f>
        <v>33.19</v>
      </c>
    </row>
    <row r="115" spans="27:33" x14ac:dyDescent="0.3">
      <c r="AA115" s="4" t="s">
        <v>1116</v>
      </c>
      <c r="AB115" s="4" t="s">
        <v>1283</v>
      </c>
      <c r="AC115" s="382" t="s">
        <v>18</v>
      </c>
      <c r="AD115" s="905">
        <f t="shared" si="28"/>
        <v>7.18</v>
      </c>
      <c r="AF115" s="905">
        <v>6.55</v>
      </c>
      <c r="AG115" s="905">
        <f>TRUNC(AF115*'FCD PROJETO'!$S$19,2)</f>
        <v>7.18</v>
      </c>
    </row>
    <row r="116" spans="27:33" x14ac:dyDescent="0.3">
      <c r="AA116" s="4" t="s">
        <v>1118</v>
      </c>
      <c r="AB116" s="4" t="s">
        <v>1284</v>
      </c>
      <c r="AC116" s="382" t="s">
        <v>18</v>
      </c>
      <c r="AD116" s="905">
        <f t="shared" si="28"/>
        <v>1.68</v>
      </c>
      <c r="AF116" s="905">
        <v>1.54</v>
      </c>
      <c r="AG116" s="905">
        <f>TRUNC(AF116*'FCD PROJETO'!$S$19,2)</f>
        <v>1.68</v>
      </c>
    </row>
    <row r="117" spans="27:33" x14ac:dyDescent="0.3">
      <c r="AA117" s="4" t="s">
        <v>1120</v>
      </c>
      <c r="AB117" s="4" t="s">
        <v>1285</v>
      </c>
      <c r="AC117" s="382" t="s">
        <v>1279</v>
      </c>
      <c r="AD117" s="905">
        <f t="shared" si="28"/>
        <v>175.56</v>
      </c>
      <c r="AF117" s="905">
        <v>159.97999999999999</v>
      </c>
      <c r="AG117" s="905">
        <f>TRUNC(AF117*'FCD PROJETO'!$S$19,2)</f>
        <v>175.56</v>
      </c>
    </row>
    <row r="118" spans="27:33" x14ac:dyDescent="0.3">
      <c r="AA118" s="4" t="s">
        <v>1122</v>
      </c>
      <c r="AB118" s="4" t="s">
        <v>1286</v>
      </c>
      <c r="AC118" s="382" t="s">
        <v>1279</v>
      </c>
      <c r="AD118" s="905">
        <f t="shared" si="28"/>
        <v>193.12</v>
      </c>
      <c r="AF118" s="905">
        <v>175.98</v>
      </c>
      <c r="AG118" s="905">
        <f>TRUNC(AF118*'FCD PROJETO'!$S$19,2)</f>
        <v>193.12</v>
      </c>
    </row>
    <row r="119" spans="27:33" x14ac:dyDescent="0.3">
      <c r="AA119" s="4" t="s">
        <v>1125</v>
      </c>
      <c r="AB119" s="4" t="s">
        <v>1287</v>
      </c>
      <c r="AC119" s="382" t="s">
        <v>1279</v>
      </c>
      <c r="AD119" s="905">
        <f t="shared" si="28"/>
        <v>212.43</v>
      </c>
      <c r="AF119" s="905">
        <v>193.58</v>
      </c>
      <c r="AG119" s="905">
        <f>TRUNC(AF119*'FCD PROJETO'!$S$19,2)</f>
        <v>212.43</v>
      </c>
    </row>
    <row r="120" spans="27:33" x14ac:dyDescent="0.3">
      <c r="AA120" s="4" t="s">
        <v>1127</v>
      </c>
      <c r="AB120" s="4" t="s">
        <v>1288</v>
      </c>
      <c r="AC120" s="382" t="s">
        <v>1279</v>
      </c>
      <c r="AD120" s="905">
        <f t="shared" si="28"/>
        <v>233.68</v>
      </c>
      <c r="AF120" s="905">
        <v>212.94</v>
      </c>
      <c r="AG120" s="905">
        <f>TRUNC(AF120*'FCD PROJETO'!$S$19,2)</f>
        <v>233.68</v>
      </c>
    </row>
    <row r="121" spans="27:33" x14ac:dyDescent="0.3">
      <c r="AA121" s="4" t="s">
        <v>1150</v>
      </c>
      <c r="AB121" s="4" t="s">
        <v>1289</v>
      </c>
      <c r="AC121" s="382" t="s">
        <v>1279</v>
      </c>
      <c r="AD121" s="905">
        <f t="shared" si="28"/>
        <v>257.04000000000002</v>
      </c>
      <c r="AF121" s="905">
        <v>234.23</v>
      </c>
      <c r="AG121" s="905">
        <f>TRUNC(AF121*'FCD PROJETO'!$S$19,2)</f>
        <v>257.04000000000002</v>
      </c>
    </row>
    <row r="122" spans="27:33" x14ac:dyDescent="0.3">
      <c r="AA122" s="4" t="s">
        <v>1290</v>
      </c>
      <c r="AB122" s="4" t="s">
        <v>1291</v>
      </c>
      <c r="AC122" s="382" t="s">
        <v>1279</v>
      </c>
      <c r="AD122" s="905">
        <f t="shared" ref="AD122:AD131" si="29">AG122</f>
        <v>282.75</v>
      </c>
      <c r="AF122" s="905">
        <v>257.66000000000003</v>
      </c>
      <c r="AG122" s="905">
        <f>TRUNC(AF122*'FCD PROJETO'!$S$19,2)</f>
        <v>282.75</v>
      </c>
    </row>
    <row r="123" spans="27:33" x14ac:dyDescent="0.3">
      <c r="AA123" s="4" t="s">
        <v>1292</v>
      </c>
      <c r="AB123" s="4" t="s">
        <v>1293</v>
      </c>
      <c r="AC123" s="382" t="s">
        <v>1279</v>
      </c>
      <c r="AD123" s="905">
        <f t="shared" si="29"/>
        <v>311.02</v>
      </c>
      <c r="AF123" s="905">
        <v>283.42</v>
      </c>
      <c r="AG123" s="905">
        <f>TRUNC(AF123*'FCD PROJETO'!$S$19,2)</f>
        <v>311.02</v>
      </c>
    </row>
    <row r="124" spans="27:33" x14ac:dyDescent="0.3">
      <c r="AA124" s="4" t="s">
        <v>1294</v>
      </c>
      <c r="AB124" s="4" t="s">
        <v>1295</v>
      </c>
      <c r="AC124" s="382" t="s">
        <v>1279</v>
      </c>
      <c r="AD124" s="905">
        <f t="shared" si="29"/>
        <v>342.13</v>
      </c>
      <c r="AF124" s="905">
        <v>311.77</v>
      </c>
      <c r="AG124" s="905">
        <f>TRUNC(AF124*'FCD PROJETO'!$S$19,2)</f>
        <v>342.13</v>
      </c>
    </row>
    <row r="125" spans="27:33" x14ac:dyDescent="0.3">
      <c r="AA125" s="4" t="s">
        <v>1296</v>
      </c>
      <c r="AB125" s="4" t="s">
        <v>1297</v>
      </c>
      <c r="AC125" s="382" t="s">
        <v>1279</v>
      </c>
      <c r="AD125" s="905">
        <f t="shared" si="29"/>
        <v>376.34</v>
      </c>
      <c r="AF125" s="905">
        <v>342.94</v>
      </c>
      <c r="AG125" s="905">
        <f>TRUNC(AF125*'FCD PROJETO'!$S$19,2)</f>
        <v>376.34</v>
      </c>
    </row>
    <row r="126" spans="27:33" x14ac:dyDescent="0.3">
      <c r="AA126" s="4" t="s">
        <v>1298</v>
      </c>
      <c r="AB126" s="4" t="s">
        <v>1299</v>
      </c>
      <c r="AC126" s="382" t="s">
        <v>1279</v>
      </c>
      <c r="AD126" s="905">
        <f t="shared" si="29"/>
        <v>413.97</v>
      </c>
      <c r="AF126" s="905">
        <v>377.23</v>
      </c>
      <c r="AG126" s="905">
        <f>TRUNC(AF126*'FCD PROJETO'!$S$19,2)</f>
        <v>413.97</v>
      </c>
    </row>
    <row r="127" spans="27:33" x14ac:dyDescent="0.3">
      <c r="AA127" s="4" t="s">
        <v>1300</v>
      </c>
      <c r="AB127" s="4" t="s">
        <v>1301</v>
      </c>
      <c r="AC127" s="382" t="s">
        <v>1279</v>
      </c>
      <c r="AD127" s="905">
        <f t="shared" si="29"/>
        <v>455.36</v>
      </c>
      <c r="AF127" s="905">
        <v>414.95</v>
      </c>
      <c r="AG127" s="905">
        <f>TRUNC(AF127*'FCD PROJETO'!$S$19,2)</f>
        <v>455.36</v>
      </c>
    </row>
    <row r="128" spans="27:33" x14ac:dyDescent="0.3">
      <c r="AA128" s="4" t="s">
        <v>1302</v>
      </c>
      <c r="AB128" s="4" t="s">
        <v>1303</v>
      </c>
      <c r="AC128" s="382" t="s">
        <v>1304</v>
      </c>
      <c r="AD128" s="905">
        <f t="shared" si="29"/>
        <v>1.68</v>
      </c>
      <c r="AF128" s="905">
        <v>1.54</v>
      </c>
      <c r="AG128" s="905">
        <f>TRUNC(AF128*'FCD PROJETO'!$S$19,2)</f>
        <v>1.68</v>
      </c>
    </row>
    <row r="129" spans="27:33" x14ac:dyDescent="0.3">
      <c r="AA129" s="4" t="s">
        <v>1305</v>
      </c>
      <c r="AB129" s="4" t="s">
        <v>1306</v>
      </c>
      <c r="AC129" s="382" t="s">
        <v>1304</v>
      </c>
      <c r="AD129" s="905">
        <f t="shared" si="29"/>
        <v>38.74</v>
      </c>
      <c r="AF129" s="905">
        <v>35.31</v>
      </c>
      <c r="AG129" s="905">
        <f>TRUNC(AF129*'FCD PROJETO'!$S$19,2)</f>
        <v>38.74</v>
      </c>
    </row>
    <row r="130" spans="27:33" x14ac:dyDescent="0.3">
      <c r="AA130" s="4" t="s">
        <v>1307</v>
      </c>
      <c r="AB130" s="4" t="s">
        <v>1308</v>
      </c>
      <c r="AC130" s="382" t="s">
        <v>18</v>
      </c>
      <c r="AD130" s="905">
        <f t="shared" si="29"/>
        <v>179.37</v>
      </c>
      <c r="AF130" s="905">
        <v>163.44999999999999</v>
      </c>
      <c r="AG130" s="905">
        <f>TRUNC(AF130*'FCD PROJETO'!$S$19,2)</f>
        <v>179.37</v>
      </c>
    </row>
    <row r="131" spans="27:33" x14ac:dyDescent="0.3">
      <c r="AA131" s="4" t="s">
        <v>1309</v>
      </c>
      <c r="AB131" s="4" t="s">
        <v>1310</v>
      </c>
      <c r="AC131" s="382" t="s">
        <v>18</v>
      </c>
      <c r="AD131" s="905">
        <f t="shared" si="29"/>
        <v>156.9</v>
      </c>
      <c r="AF131" s="905">
        <v>142.97999999999999</v>
      </c>
      <c r="AG131" s="905">
        <f>TRUNC(AF131*'FCD PROJETO'!$S$19,2)</f>
        <v>156.9</v>
      </c>
    </row>
    <row r="132" spans="27:33" x14ac:dyDescent="0.3">
      <c r="AA132" s="4" t="s">
        <v>1311</v>
      </c>
      <c r="AB132" s="4" t="s">
        <v>1312</v>
      </c>
      <c r="AC132" s="382" t="s">
        <v>18</v>
      </c>
      <c r="AD132" s="905">
        <f>AG132</f>
        <v>195.65</v>
      </c>
      <c r="AF132" s="905">
        <v>178.29</v>
      </c>
      <c r="AG132" s="905">
        <f>TRUNC(AF132*'FCD PROJETO'!$S$19,2)</f>
        <v>195.65</v>
      </c>
    </row>
    <row r="133" spans="27:33" x14ac:dyDescent="0.3">
      <c r="AA133" s="96">
        <v>2</v>
      </c>
      <c r="AB133" s="96" t="s">
        <v>1313</v>
      </c>
      <c r="AC133" s="382"/>
      <c r="AD133" s="905"/>
      <c r="AF133" s="906"/>
      <c r="AG133" s="906"/>
    </row>
    <row r="134" spans="27:33" x14ac:dyDescent="0.3">
      <c r="AA134" s="4" t="s">
        <v>1100</v>
      </c>
      <c r="AB134" s="4" t="s">
        <v>1314</v>
      </c>
      <c r="AC134" s="382" t="s">
        <v>18</v>
      </c>
      <c r="AD134" s="905">
        <f t="shared" ref="AD134:AD143" si="30">AG134</f>
        <v>1200.79</v>
      </c>
      <c r="AF134" s="905">
        <v>1094.22</v>
      </c>
      <c r="AG134" s="905">
        <f>TRUNC(AF134*'FCD PROJETO'!$S$19,2)</f>
        <v>1200.79</v>
      </c>
    </row>
    <row r="135" spans="27:33" x14ac:dyDescent="0.3">
      <c r="AA135" s="4" t="s">
        <v>1131</v>
      </c>
      <c r="AB135" s="4" t="s">
        <v>1315</v>
      </c>
      <c r="AC135" s="382" t="s">
        <v>18</v>
      </c>
      <c r="AD135" s="905">
        <f t="shared" si="30"/>
        <v>955.45</v>
      </c>
      <c r="AF135" s="905">
        <v>870.65</v>
      </c>
      <c r="AG135" s="905">
        <f>TRUNC(AF135*'FCD PROJETO'!$S$19,2)</f>
        <v>955.45</v>
      </c>
    </row>
    <row r="136" spans="27:33" x14ac:dyDescent="0.3">
      <c r="AA136" s="4" t="s">
        <v>1132</v>
      </c>
      <c r="AB136" s="4" t="s">
        <v>1316</v>
      </c>
      <c r="AC136" s="382" t="s">
        <v>18</v>
      </c>
      <c r="AD136" s="905">
        <f t="shared" si="30"/>
        <v>297.01</v>
      </c>
      <c r="AF136" s="905">
        <v>270.64999999999998</v>
      </c>
      <c r="AG136" s="905">
        <f>TRUNC(AF136*'FCD PROJETO'!$S$19,2)</f>
        <v>297.01</v>
      </c>
    </row>
    <row r="137" spans="27:33" x14ac:dyDescent="0.3">
      <c r="AA137" s="4" t="s">
        <v>1133</v>
      </c>
      <c r="AB137" s="4" t="s">
        <v>1317</v>
      </c>
      <c r="AC137" s="382" t="s">
        <v>18</v>
      </c>
      <c r="AD137" s="905">
        <f t="shared" si="30"/>
        <v>505.81</v>
      </c>
      <c r="AF137" s="905">
        <v>460.92</v>
      </c>
      <c r="AG137" s="905">
        <f>TRUNC(AF137*'FCD PROJETO'!$S$19,2)</f>
        <v>505.81</v>
      </c>
    </row>
    <row r="138" spans="27:33" x14ac:dyDescent="0.3">
      <c r="AA138" s="4" t="s">
        <v>1134</v>
      </c>
      <c r="AB138" s="4" t="s">
        <v>1318</v>
      </c>
      <c r="AC138" s="382" t="s">
        <v>18</v>
      </c>
      <c r="AD138" s="905">
        <f t="shared" si="30"/>
        <v>297.01</v>
      </c>
      <c r="AF138" s="905">
        <v>270.64999999999998</v>
      </c>
      <c r="AG138" s="905">
        <f>TRUNC(AF138*'FCD PROJETO'!$S$19,2)</f>
        <v>297.01</v>
      </c>
    </row>
    <row r="139" spans="27:33" x14ac:dyDescent="0.3">
      <c r="AA139" s="4" t="s">
        <v>1135</v>
      </c>
      <c r="AB139" s="4" t="s">
        <v>1319</v>
      </c>
      <c r="AC139" s="382" t="s">
        <v>18</v>
      </c>
      <c r="AD139" s="905">
        <f t="shared" si="30"/>
        <v>593.91</v>
      </c>
      <c r="AF139" s="905">
        <v>541.20000000000005</v>
      </c>
      <c r="AG139" s="905">
        <f>TRUNC(AF139*'FCD PROJETO'!$S$19,2)</f>
        <v>593.91</v>
      </c>
    </row>
    <row r="140" spans="27:33" x14ac:dyDescent="0.3">
      <c r="AA140" s="4" t="s">
        <v>1320</v>
      </c>
      <c r="AB140" s="4" t="s">
        <v>1321</v>
      </c>
      <c r="AC140" s="382" t="s">
        <v>18</v>
      </c>
      <c r="AD140" s="905">
        <f t="shared" si="30"/>
        <v>593.91</v>
      </c>
      <c r="AF140" s="905">
        <v>541.20000000000005</v>
      </c>
      <c r="AG140" s="905">
        <f>TRUNC(AF140*'FCD PROJETO'!$S$19,2)</f>
        <v>593.91</v>
      </c>
    </row>
    <row r="141" spans="27:33" x14ac:dyDescent="0.3">
      <c r="AA141" s="4" t="s">
        <v>1322</v>
      </c>
      <c r="AB141" s="4" t="s">
        <v>1323</v>
      </c>
      <c r="AC141" s="382" t="s">
        <v>18</v>
      </c>
      <c r="AD141" s="905">
        <f t="shared" si="30"/>
        <v>1688.81</v>
      </c>
      <c r="AF141" s="905">
        <v>1538.92</v>
      </c>
      <c r="AG141" s="905">
        <f>TRUNC(AF141*'FCD PROJETO'!$S$19,2)</f>
        <v>1688.81</v>
      </c>
    </row>
    <row r="142" spans="27:33" x14ac:dyDescent="0.3">
      <c r="AA142" s="4" t="s">
        <v>1324</v>
      </c>
      <c r="AB142" s="4" t="s">
        <v>1325</v>
      </c>
      <c r="AC142" s="382" t="s">
        <v>1160</v>
      </c>
      <c r="AD142" s="905">
        <f t="shared" si="30"/>
        <v>1.28</v>
      </c>
      <c r="AF142" s="905">
        <v>1.17</v>
      </c>
      <c r="AG142" s="905">
        <f>TRUNC(AF142*'FCD PROJETO'!$S$19,2)</f>
        <v>1.28</v>
      </c>
    </row>
    <row r="143" spans="27:33" x14ac:dyDescent="0.3">
      <c r="AA143" s="4" t="s">
        <v>1326</v>
      </c>
      <c r="AB143" s="4" t="s">
        <v>1327</v>
      </c>
      <c r="AC143" s="382" t="s">
        <v>18</v>
      </c>
      <c r="AD143" s="905">
        <f t="shared" si="30"/>
        <v>121.05</v>
      </c>
      <c r="AF143" s="905">
        <v>110.31</v>
      </c>
      <c r="AG143" s="905">
        <f>TRUNC(AF143*'FCD PROJETO'!$S$19,2)</f>
        <v>121.05</v>
      </c>
    </row>
  </sheetData>
  <mergeCells count="22">
    <mergeCell ref="C43:D43"/>
    <mergeCell ref="M45:M51"/>
    <mergeCell ref="M3:M4"/>
    <mergeCell ref="B12:B19"/>
    <mergeCell ref="C19:D19"/>
    <mergeCell ref="B1:F1"/>
    <mergeCell ref="B2:B3"/>
    <mergeCell ref="C2:D2"/>
    <mergeCell ref="B4:B11"/>
    <mergeCell ref="C11:D11"/>
    <mergeCell ref="B44:B51"/>
    <mergeCell ref="C51:D51"/>
    <mergeCell ref="B20:B27"/>
    <mergeCell ref="C27:D27"/>
    <mergeCell ref="B28:B35"/>
    <mergeCell ref="C35:D35"/>
    <mergeCell ref="B36:B43"/>
    <mergeCell ref="M5:M11"/>
    <mergeCell ref="M13:M19"/>
    <mergeCell ref="M21:M27"/>
    <mergeCell ref="M29:M35"/>
    <mergeCell ref="M37:M43"/>
  </mergeCells>
  <phoneticPr fontId="2" type="noConversion"/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P20"/>
  <sheetViews>
    <sheetView showGridLines="0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G22" sqref="G22"/>
    </sheetView>
  </sheetViews>
  <sheetFormatPr defaultRowHeight="14.4" x14ac:dyDescent="0.3"/>
  <cols>
    <col min="1" max="1" width="14.88671875" bestFit="1" customWidth="1"/>
    <col min="2" max="2" width="46.6640625" customWidth="1"/>
    <col min="3" max="40" width="8.6640625" customWidth="1"/>
  </cols>
  <sheetData>
    <row r="1" spans="1:42" x14ac:dyDescent="0.3">
      <c r="A1" s="318" t="s">
        <v>522</v>
      </c>
      <c r="B1" s="984" t="s">
        <v>356</v>
      </c>
      <c r="C1" s="447">
        <v>-4</v>
      </c>
      <c r="D1" s="448">
        <v>-3</v>
      </c>
      <c r="E1" s="448">
        <v>-2</v>
      </c>
      <c r="F1" s="448">
        <v>-1</v>
      </c>
      <c r="G1" s="448">
        <v>0</v>
      </c>
      <c r="H1" s="448">
        <f t="shared" ref="H1:AN1" si="0">G1+1</f>
        <v>1</v>
      </c>
      <c r="I1" s="448">
        <f t="shared" si="0"/>
        <v>2</v>
      </c>
      <c r="J1" s="448">
        <f t="shared" si="0"/>
        <v>3</v>
      </c>
      <c r="K1" s="448">
        <f t="shared" si="0"/>
        <v>4</v>
      </c>
      <c r="L1" s="448">
        <f t="shared" si="0"/>
        <v>5</v>
      </c>
      <c r="M1" s="448">
        <f t="shared" si="0"/>
        <v>6</v>
      </c>
      <c r="N1" s="448">
        <f t="shared" si="0"/>
        <v>7</v>
      </c>
      <c r="O1" s="448">
        <f t="shared" si="0"/>
        <v>8</v>
      </c>
      <c r="P1" s="448">
        <f t="shared" si="0"/>
        <v>9</v>
      </c>
      <c r="Q1" s="448">
        <f t="shared" si="0"/>
        <v>10</v>
      </c>
      <c r="R1" s="448">
        <f t="shared" si="0"/>
        <v>11</v>
      </c>
      <c r="S1" s="448">
        <f t="shared" si="0"/>
        <v>12</v>
      </c>
      <c r="T1" s="448">
        <f t="shared" si="0"/>
        <v>13</v>
      </c>
      <c r="U1" s="448">
        <f t="shared" si="0"/>
        <v>14</v>
      </c>
      <c r="V1" s="448">
        <f t="shared" si="0"/>
        <v>15</v>
      </c>
      <c r="W1" s="448">
        <f t="shared" si="0"/>
        <v>16</v>
      </c>
      <c r="X1" s="448">
        <f t="shared" si="0"/>
        <v>17</v>
      </c>
      <c r="Y1" s="448">
        <f t="shared" si="0"/>
        <v>18</v>
      </c>
      <c r="Z1" s="448">
        <f t="shared" si="0"/>
        <v>19</v>
      </c>
      <c r="AA1" s="448">
        <f t="shared" si="0"/>
        <v>20</v>
      </c>
      <c r="AB1" s="448">
        <f t="shared" si="0"/>
        <v>21</v>
      </c>
      <c r="AC1" s="448">
        <f t="shared" si="0"/>
        <v>22</v>
      </c>
      <c r="AD1" s="448">
        <f t="shared" si="0"/>
        <v>23</v>
      </c>
      <c r="AE1" s="448">
        <f t="shared" si="0"/>
        <v>24</v>
      </c>
      <c r="AF1" s="448">
        <f t="shared" si="0"/>
        <v>25</v>
      </c>
      <c r="AG1" s="448">
        <f t="shared" si="0"/>
        <v>26</v>
      </c>
      <c r="AH1" s="448">
        <f t="shared" si="0"/>
        <v>27</v>
      </c>
      <c r="AI1" s="448">
        <f t="shared" si="0"/>
        <v>28</v>
      </c>
      <c r="AJ1" s="448">
        <f t="shared" si="0"/>
        <v>29</v>
      </c>
      <c r="AK1" s="448">
        <f t="shared" si="0"/>
        <v>30</v>
      </c>
      <c r="AL1" s="448">
        <f t="shared" si="0"/>
        <v>31</v>
      </c>
      <c r="AM1" s="448">
        <f t="shared" si="0"/>
        <v>32</v>
      </c>
      <c r="AN1" s="449">
        <f t="shared" si="0"/>
        <v>33</v>
      </c>
      <c r="AO1" s="449">
        <f t="shared" ref="AO1:AO2" si="1">AN1+1</f>
        <v>34</v>
      </c>
      <c r="AP1" s="449">
        <f t="shared" ref="AP1:AP2" si="2">AO1+1</f>
        <v>35</v>
      </c>
    </row>
    <row r="2" spans="1:42" x14ac:dyDescent="0.3">
      <c r="A2" s="147" t="s">
        <v>523</v>
      </c>
      <c r="B2" s="984"/>
      <c r="C2" s="450">
        <v>2022</v>
      </c>
      <c r="D2" s="451">
        <v>2023</v>
      </c>
      <c r="E2" s="451">
        <f>D2+1</f>
        <v>2024</v>
      </c>
      <c r="F2" s="451">
        <f t="shared" ref="F2:AN2" si="3">E2+1</f>
        <v>2025</v>
      </c>
      <c r="G2" s="451">
        <f t="shared" si="3"/>
        <v>2026</v>
      </c>
      <c r="H2" s="451">
        <f t="shared" si="3"/>
        <v>2027</v>
      </c>
      <c r="I2" s="451">
        <f t="shared" si="3"/>
        <v>2028</v>
      </c>
      <c r="J2" s="451">
        <f t="shared" si="3"/>
        <v>2029</v>
      </c>
      <c r="K2" s="451">
        <f t="shared" si="3"/>
        <v>2030</v>
      </c>
      <c r="L2" s="451">
        <f t="shared" si="3"/>
        <v>2031</v>
      </c>
      <c r="M2" s="451">
        <f t="shared" si="3"/>
        <v>2032</v>
      </c>
      <c r="N2" s="451">
        <f t="shared" si="3"/>
        <v>2033</v>
      </c>
      <c r="O2" s="451">
        <f t="shared" si="3"/>
        <v>2034</v>
      </c>
      <c r="P2" s="451">
        <f t="shared" si="3"/>
        <v>2035</v>
      </c>
      <c r="Q2" s="451">
        <f t="shared" si="3"/>
        <v>2036</v>
      </c>
      <c r="R2" s="451">
        <f t="shared" si="3"/>
        <v>2037</v>
      </c>
      <c r="S2" s="451">
        <f t="shared" si="3"/>
        <v>2038</v>
      </c>
      <c r="T2" s="451">
        <f t="shared" si="3"/>
        <v>2039</v>
      </c>
      <c r="U2" s="451">
        <f t="shared" si="3"/>
        <v>2040</v>
      </c>
      <c r="V2" s="451">
        <f t="shared" si="3"/>
        <v>2041</v>
      </c>
      <c r="W2" s="451">
        <f t="shared" si="3"/>
        <v>2042</v>
      </c>
      <c r="X2" s="451">
        <f t="shared" si="3"/>
        <v>2043</v>
      </c>
      <c r="Y2" s="451">
        <f t="shared" si="3"/>
        <v>2044</v>
      </c>
      <c r="Z2" s="451">
        <f t="shared" si="3"/>
        <v>2045</v>
      </c>
      <c r="AA2" s="451">
        <f t="shared" si="3"/>
        <v>2046</v>
      </c>
      <c r="AB2" s="451">
        <f t="shared" si="3"/>
        <v>2047</v>
      </c>
      <c r="AC2" s="451">
        <f t="shared" si="3"/>
        <v>2048</v>
      </c>
      <c r="AD2" s="451">
        <f t="shared" si="3"/>
        <v>2049</v>
      </c>
      <c r="AE2" s="451">
        <f t="shared" si="3"/>
        <v>2050</v>
      </c>
      <c r="AF2" s="451">
        <f t="shared" si="3"/>
        <v>2051</v>
      </c>
      <c r="AG2" s="451">
        <f t="shared" si="3"/>
        <v>2052</v>
      </c>
      <c r="AH2" s="451">
        <f t="shared" si="3"/>
        <v>2053</v>
      </c>
      <c r="AI2" s="451">
        <f t="shared" si="3"/>
        <v>2054</v>
      </c>
      <c r="AJ2" s="451">
        <f t="shared" si="3"/>
        <v>2055</v>
      </c>
      <c r="AK2" s="451">
        <f t="shared" si="3"/>
        <v>2056</v>
      </c>
      <c r="AL2" s="451">
        <f t="shared" si="3"/>
        <v>2057</v>
      </c>
      <c r="AM2" s="451">
        <f t="shared" si="3"/>
        <v>2058</v>
      </c>
      <c r="AN2" s="452">
        <f t="shared" si="3"/>
        <v>2059</v>
      </c>
      <c r="AO2" s="452">
        <f t="shared" si="1"/>
        <v>2060</v>
      </c>
      <c r="AP2" s="452">
        <f t="shared" si="2"/>
        <v>2061</v>
      </c>
    </row>
    <row r="3" spans="1:42" x14ac:dyDescent="0.3">
      <c r="B3" s="453" t="s">
        <v>357</v>
      </c>
      <c r="C3" s="454">
        <v>7.7299999999999994E-2</v>
      </c>
      <c r="D3" s="456">
        <v>7.9694750000000036</v>
      </c>
      <c r="E3" s="456">
        <v>7.9694750000000036</v>
      </c>
      <c r="F3" s="456">
        <v>6.1203104000000064</v>
      </c>
      <c r="G3" s="456">
        <v>6.1197799999999969</v>
      </c>
      <c r="H3" s="456">
        <v>6.1197799999999969</v>
      </c>
      <c r="I3" s="456">
        <v>6.1197799999999969</v>
      </c>
      <c r="J3" s="456">
        <v>6.1197799999999969</v>
      </c>
      <c r="K3" s="456">
        <v>6.1197799999999969</v>
      </c>
      <c r="L3" s="456">
        <v>6.1197799999999969</v>
      </c>
      <c r="M3" s="456">
        <v>6.1197799999999969</v>
      </c>
      <c r="N3" s="456">
        <v>6.1197799999999969</v>
      </c>
      <c r="O3" s="456">
        <v>6.1197799999999969</v>
      </c>
      <c r="P3" s="456">
        <v>6.1197799999999969</v>
      </c>
      <c r="Q3" s="456">
        <v>6.1197799999999969</v>
      </c>
      <c r="R3" s="456">
        <v>6.1197799999999969</v>
      </c>
      <c r="S3" s="456">
        <v>6.1197799999999969</v>
      </c>
      <c r="T3" s="456">
        <v>6.1197799999999969</v>
      </c>
      <c r="U3" s="456">
        <v>6.1197799999999969</v>
      </c>
      <c r="V3" s="456">
        <v>6.1197799999999969</v>
      </c>
      <c r="W3" s="456">
        <v>6.1197799999999969</v>
      </c>
      <c r="X3" s="456">
        <v>6.1197799999999969</v>
      </c>
      <c r="Y3" s="456">
        <v>6.1197799999999969</v>
      </c>
      <c r="Z3" s="456">
        <v>6.1197799999999969</v>
      </c>
      <c r="AA3" s="456">
        <v>6.1197799999999969</v>
      </c>
      <c r="AB3" s="456">
        <v>6.1197799999999969</v>
      </c>
      <c r="AC3" s="456">
        <v>6.1197799999999969</v>
      </c>
      <c r="AD3" s="456">
        <v>6.1197799999999969</v>
      </c>
      <c r="AE3" s="456">
        <v>6.1197799999999969</v>
      </c>
      <c r="AF3" s="456">
        <v>6.1197799999999969</v>
      </c>
      <c r="AG3" s="456">
        <v>6.1197799999999969</v>
      </c>
      <c r="AH3" s="456">
        <v>6.1197799999999969</v>
      </c>
      <c r="AI3" s="456">
        <v>6.1197799999999969</v>
      </c>
      <c r="AJ3" s="456">
        <v>6.1197799999999969</v>
      </c>
      <c r="AK3" s="456">
        <v>6.1197799999999969</v>
      </c>
      <c r="AL3" s="456">
        <v>6.1197799999999969</v>
      </c>
      <c r="AM3" s="456">
        <v>6.1197799999999969</v>
      </c>
      <c r="AN3" s="456">
        <v>6.1197799999999969</v>
      </c>
      <c r="AO3" s="456">
        <v>6.1197799999999969</v>
      </c>
      <c r="AP3" s="456">
        <v>6.1197799999999969</v>
      </c>
    </row>
    <row r="4" spans="1:42" x14ac:dyDescent="0.3">
      <c r="B4" s="453" t="s">
        <v>358</v>
      </c>
      <c r="C4" s="454">
        <v>4.2500000000000003E-2</v>
      </c>
      <c r="D4" s="457">
        <v>4.3389999999999818</v>
      </c>
      <c r="E4" s="457">
        <v>4.3389999999999818</v>
      </c>
      <c r="F4" s="457">
        <v>4.3389999999999818</v>
      </c>
      <c r="G4" s="457">
        <v>4.3389999999999818</v>
      </c>
      <c r="H4" s="457">
        <v>4.3389999999999818</v>
      </c>
      <c r="I4" s="457">
        <v>4.3389999999999818</v>
      </c>
      <c r="J4" s="457">
        <v>4.3389999999999818</v>
      </c>
      <c r="K4" s="457">
        <v>4.3389999999999818</v>
      </c>
      <c r="L4" s="457">
        <v>4.3389999999999818</v>
      </c>
      <c r="M4" s="457">
        <v>4.3389999999999818</v>
      </c>
      <c r="N4" s="457">
        <v>4.3389999999999818</v>
      </c>
      <c r="O4" s="457">
        <v>4.3389999999999818</v>
      </c>
      <c r="P4" s="457">
        <v>4.3389999999999818</v>
      </c>
      <c r="Q4" s="457">
        <v>4.3389999999999818</v>
      </c>
      <c r="R4" s="457">
        <v>4.3389999999999818</v>
      </c>
      <c r="S4" s="457">
        <v>4.3389999999999818</v>
      </c>
      <c r="T4" s="457">
        <v>4.3389999999999818</v>
      </c>
      <c r="U4" s="457">
        <v>4.3389999999999818</v>
      </c>
      <c r="V4" s="457">
        <v>4.3389999999999818</v>
      </c>
      <c r="W4" s="457">
        <v>4.3389999999999818</v>
      </c>
      <c r="X4" s="457">
        <v>4.3389999999999818</v>
      </c>
      <c r="Y4" s="457">
        <v>4.3389999999999818</v>
      </c>
      <c r="Z4" s="457">
        <v>4.3389999999999818</v>
      </c>
      <c r="AA4" s="457">
        <v>4.3389999999999818</v>
      </c>
      <c r="AB4" s="457">
        <v>4.3389999999999818</v>
      </c>
      <c r="AC4" s="457">
        <v>4.3389999999999818</v>
      </c>
      <c r="AD4" s="457">
        <v>4.3389999999999818</v>
      </c>
      <c r="AE4" s="457">
        <v>4.3389999999999818</v>
      </c>
      <c r="AF4" s="457">
        <v>4.3389999999999818</v>
      </c>
      <c r="AG4" s="457">
        <v>4.3389999999999818</v>
      </c>
      <c r="AH4" s="457">
        <v>4.3389999999999818</v>
      </c>
      <c r="AI4" s="457">
        <v>4.3389999999999818</v>
      </c>
      <c r="AJ4" s="457">
        <v>4.3389999999999818</v>
      </c>
      <c r="AK4" s="457">
        <v>4.3389999999999818</v>
      </c>
      <c r="AL4" s="457">
        <v>4.3389999999999818</v>
      </c>
      <c r="AM4" s="457">
        <v>4.3389999999999818</v>
      </c>
      <c r="AN4" s="457">
        <v>4.3389999999999818</v>
      </c>
      <c r="AO4" s="457">
        <v>4.3389999999999818</v>
      </c>
      <c r="AP4" s="457">
        <v>4.3389999999999818</v>
      </c>
    </row>
    <row r="5" spans="1:42" x14ac:dyDescent="0.3">
      <c r="B5" s="453" t="s">
        <v>359</v>
      </c>
      <c r="C5" s="454">
        <v>2.5000000000000001E-2</v>
      </c>
      <c r="D5" s="457">
        <v>4.309509740972195</v>
      </c>
      <c r="E5" s="457">
        <v>4.309509740972195</v>
      </c>
      <c r="F5" s="457">
        <v>1.5824501543632685</v>
      </c>
      <c r="G5" s="457">
        <v>2.0500619854377788</v>
      </c>
      <c r="H5" s="457">
        <v>2.0500619854377788</v>
      </c>
      <c r="I5" s="457">
        <v>2.0500619854377788</v>
      </c>
      <c r="J5" s="457">
        <v>2.0500619854377788</v>
      </c>
      <c r="K5" s="457">
        <v>2.0500619854377788</v>
      </c>
      <c r="L5" s="457">
        <v>2.0500619854377788</v>
      </c>
      <c r="M5" s="457">
        <v>2.0500619854377788</v>
      </c>
      <c r="N5" s="457">
        <v>2.0500619854377788</v>
      </c>
      <c r="O5" s="457">
        <v>2.0500619854377788</v>
      </c>
      <c r="P5" s="457">
        <v>2.0500619854377788</v>
      </c>
      <c r="Q5" s="457">
        <v>2.0500619854377788</v>
      </c>
      <c r="R5" s="457">
        <v>2.0500619854377788</v>
      </c>
      <c r="S5" s="457">
        <v>2.0500619854377788</v>
      </c>
      <c r="T5" s="457">
        <v>2.0500619854377788</v>
      </c>
      <c r="U5" s="457">
        <v>2.0500619854377788</v>
      </c>
      <c r="V5" s="457">
        <v>2.0500619854377788</v>
      </c>
      <c r="W5" s="457">
        <v>2.0500619854377788</v>
      </c>
      <c r="X5" s="457">
        <v>2.0500619854377788</v>
      </c>
      <c r="Y5" s="457">
        <v>2.0500619854377788</v>
      </c>
      <c r="Z5" s="457">
        <v>2.0500619854377788</v>
      </c>
      <c r="AA5" s="457">
        <v>2.0500619854377788</v>
      </c>
      <c r="AB5" s="457">
        <v>2.0500619854377788</v>
      </c>
      <c r="AC5" s="457">
        <v>2.0500619854377788</v>
      </c>
      <c r="AD5" s="457">
        <v>2.0500619854377788</v>
      </c>
      <c r="AE5" s="457">
        <v>2.0500619854377788</v>
      </c>
      <c r="AF5" s="457">
        <v>2.0500619854377788</v>
      </c>
      <c r="AG5" s="457">
        <v>2.0500619854377788</v>
      </c>
      <c r="AH5" s="457">
        <v>2.0500619854377788</v>
      </c>
      <c r="AI5" s="457">
        <v>2.0500619854377788</v>
      </c>
      <c r="AJ5" s="457">
        <v>2.0500619854377788</v>
      </c>
      <c r="AK5" s="457">
        <v>2.0500619854377788</v>
      </c>
      <c r="AL5" s="457">
        <v>2.0500619854377788</v>
      </c>
      <c r="AM5" s="457">
        <v>2.0500619854377788</v>
      </c>
      <c r="AN5" s="457">
        <v>2.0500619854377788</v>
      </c>
      <c r="AO5" s="457">
        <v>2.0500619854377788</v>
      </c>
      <c r="AP5" s="457">
        <v>2.0500619854377788</v>
      </c>
    </row>
    <row r="6" spans="1:42" x14ac:dyDescent="0.3">
      <c r="B6" s="453" t="s">
        <v>360</v>
      </c>
      <c r="C6" s="454">
        <v>5.8000000000000003E-2</v>
      </c>
      <c r="D6" s="455">
        <v>4.6199999999999998E-2</v>
      </c>
      <c r="E6" s="455">
        <v>5.4800000000000001E-2</v>
      </c>
      <c r="F6" s="455">
        <v>3.7999999999999999E-2</v>
      </c>
      <c r="G6" s="455">
        <v>3.7499999999999999E-2</v>
      </c>
      <c r="H6" s="455">
        <v>3.5000000000000003E-2</v>
      </c>
      <c r="I6" s="455">
        <v>3.5000000000000003E-2</v>
      </c>
      <c r="J6" s="455">
        <v>3.5000000000000003E-2</v>
      </c>
      <c r="K6" s="455">
        <v>3.5000000000000003E-2</v>
      </c>
      <c r="L6" s="455">
        <v>3.5000000000000003E-2</v>
      </c>
      <c r="M6" s="455">
        <v>3.5000000000000003E-2</v>
      </c>
      <c r="N6" s="455">
        <v>3.5000000000000003E-2</v>
      </c>
      <c r="O6" s="455">
        <v>3.5000000000000003E-2</v>
      </c>
      <c r="P6" s="455">
        <v>3.5000000000000003E-2</v>
      </c>
      <c r="Q6" s="455">
        <v>3.5000000000000003E-2</v>
      </c>
      <c r="R6" s="455">
        <v>3.5000000000000003E-2</v>
      </c>
      <c r="S6" s="455">
        <v>3.5000000000000003E-2</v>
      </c>
      <c r="T6" s="455">
        <v>3.5000000000000003E-2</v>
      </c>
      <c r="U6" s="455">
        <v>3.5000000000000003E-2</v>
      </c>
      <c r="V6" s="455">
        <v>3.5000000000000003E-2</v>
      </c>
      <c r="W6" s="455">
        <v>3.5000000000000003E-2</v>
      </c>
      <c r="X6" s="455">
        <v>3.5000000000000003E-2</v>
      </c>
      <c r="Y6" s="455">
        <v>3.5000000000000003E-2</v>
      </c>
      <c r="Z6" s="455">
        <v>3.5000000000000003E-2</v>
      </c>
      <c r="AA6" s="455">
        <v>3.5000000000000003E-2</v>
      </c>
      <c r="AB6" s="455">
        <v>3.5000000000000003E-2</v>
      </c>
      <c r="AC6" s="455">
        <v>3.5000000000000003E-2</v>
      </c>
      <c r="AD6" s="455">
        <v>3.5000000000000003E-2</v>
      </c>
      <c r="AE6" s="455">
        <v>3.5000000000000003E-2</v>
      </c>
      <c r="AF6" s="455">
        <v>3.5000000000000003E-2</v>
      </c>
      <c r="AG6" s="455">
        <v>3.5000000000000003E-2</v>
      </c>
      <c r="AH6" s="455">
        <v>3.5000000000000003E-2</v>
      </c>
      <c r="AI6" s="455">
        <v>3.5000000000000003E-2</v>
      </c>
      <c r="AJ6" s="455">
        <v>3.5000000000000003E-2</v>
      </c>
      <c r="AK6" s="455">
        <v>3.5000000000000003E-2</v>
      </c>
      <c r="AL6" s="455">
        <v>3.5000000000000003E-2</v>
      </c>
      <c r="AM6" s="455">
        <v>3.5000000000000003E-2</v>
      </c>
      <c r="AN6" s="455">
        <v>3.5000000000000003E-2</v>
      </c>
      <c r="AO6" s="455">
        <v>1.0349999999999999</v>
      </c>
      <c r="AP6" s="455">
        <v>2.0350000000000001</v>
      </c>
    </row>
    <row r="7" spans="1:42" x14ac:dyDescent="0.3">
      <c r="B7" s="453" t="s">
        <v>361</v>
      </c>
      <c r="C7" s="458">
        <f>C6</f>
        <v>5.8000000000000003E-2</v>
      </c>
      <c r="D7" s="458">
        <f t="shared" ref="D7:E7" si="4">D6</f>
        <v>4.6199999999999998E-2</v>
      </c>
      <c r="E7" s="458">
        <f t="shared" si="4"/>
        <v>5.4800000000000001E-2</v>
      </c>
      <c r="F7" s="458">
        <f>(1+F6)*(1+E7)-1</f>
        <v>9.4882399999999922E-2</v>
      </c>
      <c r="G7" s="458">
        <f>(1+G6)*(1+F7)-1</f>
        <v>0.13594049000000008</v>
      </c>
      <c r="H7" s="458">
        <f>(1+H6)*(1+G7)-1</f>
        <v>0.17569840715000007</v>
      </c>
      <c r="I7" s="458">
        <f>(1+I6)*(1+H7)-1</f>
        <v>0.21684785140024987</v>
      </c>
      <c r="J7" s="458">
        <f>(1+J6)*(1+I7)-1</f>
        <v>0.25943752619925853</v>
      </c>
      <c r="K7" s="458">
        <f t="shared" ref="K7:AN7" si="5">(1+K6)*(1+J7)-1</f>
        <v>0.30351783961623258</v>
      </c>
      <c r="L7" s="458">
        <f t="shared" si="5"/>
        <v>0.3491409640028007</v>
      </c>
      <c r="M7" s="458">
        <f t="shared" si="5"/>
        <v>0.39636089774289851</v>
      </c>
      <c r="N7" s="458">
        <f t="shared" si="5"/>
        <v>0.4452335291638998</v>
      </c>
      <c r="O7" s="458">
        <f t="shared" si="5"/>
        <v>0.49581670268463607</v>
      </c>
      <c r="P7" s="458">
        <f t="shared" si="5"/>
        <v>0.54817028727859829</v>
      </c>
      <c r="Q7" s="458">
        <f t="shared" si="5"/>
        <v>0.60235624733334903</v>
      </c>
      <c r="R7" s="458">
        <f t="shared" si="5"/>
        <v>0.65843871599001602</v>
      </c>
      <c r="S7" s="458">
        <f t="shared" si="5"/>
        <v>0.71648407104966649</v>
      </c>
      <c r="T7" s="458">
        <f t="shared" si="5"/>
        <v>0.77656101353640472</v>
      </c>
      <c r="U7" s="458">
        <f t="shared" si="5"/>
        <v>0.83874064901017875</v>
      </c>
      <c r="V7" s="458">
        <f t="shared" si="5"/>
        <v>0.90309657172553481</v>
      </c>
      <c r="W7" s="458">
        <f t="shared" si="5"/>
        <v>0.96970495173592841</v>
      </c>
      <c r="X7" s="458">
        <f t="shared" si="5"/>
        <v>1.0386446250466856</v>
      </c>
      <c r="Y7" s="458">
        <f t="shared" si="5"/>
        <v>1.1099971869233194</v>
      </c>
      <c r="Z7" s="458">
        <f t="shared" si="5"/>
        <v>1.1838470884656354</v>
      </c>
      <c r="AA7" s="458">
        <f t="shared" si="5"/>
        <v>1.2602817365619323</v>
      </c>
      <c r="AB7" s="458">
        <f t="shared" si="5"/>
        <v>1.3393915973415997</v>
      </c>
      <c r="AC7" s="458">
        <f t="shared" si="5"/>
        <v>1.4212703032485554</v>
      </c>
      <c r="AD7" s="458">
        <f t="shared" si="5"/>
        <v>1.5060147638622547</v>
      </c>
      <c r="AE7" s="458">
        <f t="shared" si="5"/>
        <v>1.5937252805974333</v>
      </c>
      <c r="AF7" s="458">
        <f t="shared" si="5"/>
        <v>1.6845056654183432</v>
      </c>
      <c r="AG7" s="458">
        <f t="shared" si="5"/>
        <v>1.778463363707985</v>
      </c>
      <c r="AH7" s="458">
        <f t="shared" si="5"/>
        <v>1.8757095814377642</v>
      </c>
      <c r="AI7" s="458">
        <f t="shared" si="5"/>
        <v>1.9763594167880858</v>
      </c>
      <c r="AJ7" s="458">
        <f t="shared" si="5"/>
        <v>2.0805319963756688</v>
      </c>
      <c r="AK7" s="458">
        <f t="shared" si="5"/>
        <v>2.1883506162488171</v>
      </c>
      <c r="AL7" s="458">
        <f t="shared" si="5"/>
        <v>2.2999428878175254</v>
      </c>
      <c r="AM7" s="458">
        <f t="shared" si="5"/>
        <v>2.4154408888911387</v>
      </c>
      <c r="AN7" s="458">
        <f t="shared" si="5"/>
        <v>2.5349813200023283</v>
      </c>
      <c r="AO7" s="458">
        <f t="shared" ref="AO7" si="6">(1+AO6)*(1+AN7)-1</f>
        <v>6.1936869862047388</v>
      </c>
      <c r="AP7" s="458">
        <f t="shared" ref="AP7" si="7">(1+AP6)*(1+AO7)-1</f>
        <v>20.832840003131384</v>
      </c>
    </row>
    <row r="8" spans="1:42" x14ac:dyDescent="0.3">
      <c r="B8" s="453" t="s">
        <v>362</v>
      </c>
      <c r="C8" s="454">
        <v>0.13750000000000001</v>
      </c>
      <c r="D8" s="455">
        <v>0.13039999999999999</v>
      </c>
      <c r="E8" s="454">
        <v>0.125</v>
      </c>
      <c r="F8" s="454">
        <v>0.09</v>
      </c>
      <c r="G8" s="454">
        <v>8.5000000000000006E-2</v>
      </c>
      <c r="H8" s="454">
        <v>8.5000000000000006E-2</v>
      </c>
      <c r="I8" s="454">
        <v>8.5000000000000006E-2</v>
      </c>
      <c r="J8" s="454">
        <v>8.5000000000000006E-2</v>
      </c>
      <c r="K8" s="454">
        <v>8.5000000000000006E-2</v>
      </c>
      <c r="L8" s="454">
        <v>8.5000000000000006E-2</v>
      </c>
      <c r="M8" s="454">
        <v>8.5000000000000006E-2</v>
      </c>
      <c r="N8" s="454">
        <v>8.5000000000000006E-2</v>
      </c>
      <c r="O8" s="454">
        <v>8.5000000000000006E-2</v>
      </c>
      <c r="P8" s="454">
        <v>8.5000000000000006E-2</v>
      </c>
      <c r="Q8" s="454">
        <v>8.5000000000000006E-2</v>
      </c>
      <c r="R8" s="454">
        <v>8.5000000000000006E-2</v>
      </c>
      <c r="S8" s="454">
        <v>8.5000000000000006E-2</v>
      </c>
      <c r="T8" s="454">
        <v>8.5000000000000006E-2</v>
      </c>
      <c r="U8" s="454">
        <v>8.5000000000000006E-2</v>
      </c>
      <c r="V8" s="454">
        <v>8.5000000000000006E-2</v>
      </c>
      <c r="W8" s="454">
        <v>8.5000000000000006E-2</v>
      </c>
      <c r="X8" s="454">
        <v>8.5000000000000006E-2</v>
      </c>
      <c r="Y8" s="454">
        <v>8.5000000000000006E-2</v>
      </c>
      <c r="Z8" s="454">
        <v>8.5000000000000006E-2</v>
      </c>
      <c r="AA8" s="454">
        <v>8.5000000000000006E-2</v>
      </c>
      <c r="AB8" s="454">
        <v>8.5000000000000006E-2</v>
      </c>
      <c r="AC8" s="454">
        <v>8.5000000000000006E-2</v>
      </c>
      <c r="AD8" s="454">
        <v>8.5000000000000006E-2</v>
      </c>
      <c r="AE8" s="454">
        <v>8.5000000000000006E-2</v>
      </c>
      <c r="AF8" s="454">
        <v>8.5000000000000006E-2</v>
      </c>
      <c r="AG8" s="454">
        <v>8.5000000000000006E-2</v>
      </c>
      <c r="AH8" s="454">
        <v>8.5000000000000006E-2</v>
      </c>
      <c r="AI8" s="454">
        <v>8.5000000000000006E-2</v>
      </c>
      <c r="AJ8" s="454">
        <v>8.5000000000000006E-2</v>
      </c>
      <c r="AK8" s="454">
        <v>8.5000000000000006E-2</v>
      </c>
      <c r="AL8" s="454">
        <v>8.5000000000000006E-2</v>
      </c>
      <c r="AM8" s="454">
        <v>8.5000000000000006E-2</v>
      </c>
      <c r="AN8" s="454">
        <v>8.5000000000000006E-2</v>
      </c>
      <c r="AO8" s="454">
        <v>1.085</v>
      </c>
      <c r="AP8" s="454">
        <v>2.085</v>
      </c>
    </row>
    <row r="9" spans="1:42" x14ac:dyDescent="0.3">
      <c r="B9" s="453" t="s">
        <v>363</v>
      </c>
      <c r="C9" s="458">
        <f>(1+C8)/(1+C6)-1</f>
        <v>7.5141776937618143E-2</v>
      </c>
      <c r="D9" s="458">
        <f>(1+D8)/(1+D6)-1</f>
        <v>8.0481743452494703E-2</v>
      </c>
      <c r="E9" s="458">
        <f>(1+E8)/(1+E6)-1</f>
        <v>6.6552901023890776E-2</v>
      </c>
      <c r="F9" s="458">
        <f>(1+F8)/(1+F6)-1</f>
        <v>5.0096339113680166E-2</v>
      </c>
      <c r="G9" s="458">
        <f t="shared" ref="G9:AM9" si="8">(1+G8)/(1+G6)-1</f>
        <v>4.5783132530120341E-2</v>
      </c>
      <c r="H9" s="458">
        <f t="shared" si="8"/>
        <v>4.8309178743961345E-2</v>
      </c>
      <c r="I9" s="458">
        <f t="shared" si="8"/>
        <v>4.8309178743961345E-2</v>
      </c>
      <c r="J9" s="458">
        <f t="shared" si="8"/>
        <v>4.8309178743961345E-2</v>
      </c>
      <c r="K9" s="458">
        <f t="shared" si="8"/>
        <v>4.8309178743961345E-2</v>
      </c>
      <c r="L9" s="458">
        <f t="shared" si="8"/>
        <v>4.8309178743961345E-2</v>
      </c>
      <c r="M9" s="458">
        <f t="shared" si="8"/>
        <v>4.8309178743961345E-2</v>
      </c>
      <c r="N9" s="458">
        <f t="shared" si="8"/>
        <v>4.8309178743961345E-2</v>
      </c>
      <c r="O9" s="458">
        <f t="shared" si="8"/>
        <v>4.8309178743961345E-2</v>
      </c>
      <c r="P9" s="458">
        <f t="shared" si="8"/>
        <v>4.8309178743961345E-2</v>
      </c>
      <c r="Q9" s="458">
        <f t="shared" si="8"/>
        <v>4.8309178743961345E-2</v>
      </c>
      <c r="R9" s="458">
        <f t="shared" si="8"/>
        <v>4.8309178743961345E-2</v>
      </c>
      <c r="S9" s="458">
        <f t="shared" si="8"/>
        <v>4.8309178743961345E-2</v>
      </c>
      <c r="T9" s="458">
        <f t="shared" si="8"/>
        <v>4.8309178743961345E-2</v>
      </c>
      <c r="U9" s="458">
        <f t="shared" si="8"/>
        <v>4.8309178743961345E-2</v>
      </c>
      <c r="V9" s="458">
        <f t="shared" si="8"/>
        <v>4.8309178743961345E-2</v>
      </c>
      <c r="W9" s="458">
        <f t="shared" si="8"/>
        <v>4.8309178743961345E-2</v>
      </c>
      <c r="X9" s="458">
        <f t="shared" si="8"/>
        <v>4.8309178743961345E-2</v>
      </c>
      <c r="Y9" s="458">
        <f t="shared" si="8"/>
        <v>4.8309178743961345E-2</v>
      </c>
      <c r="Z9" s="458">
        <f t="shared" si="8"/>
        <v>4.8309178743961345E-2</v>
      </c>
      <c r="AA9" s="458">
        <f t="shared" si="8"/>
        <v>4.8309178743961345E-2</v>
      </c>
      <c r="AB9" s="458">
        <f t="shared" si="8"/>
        <v>4.8309178743961345E-2</v>
      </c>
      <c r="AC9" s="458">
        <f t="shared" si="8"/>
        <v>4.8309178743961345E-2</v>
      </c>
      <c r="AD9" s="458">
        <f t="shared" si="8"/>
        <v>4.8309178743961345E-2</v>
      </c>
      <c r="AE9" s="458">
        <f t="shared" si="8"/>
        <v>4.8309178743961345E-2</v>
      </c>
      <c r="AF9" s="458">
        <f t="shared" si="8"/>
        <v>4.8309178743961345E-2</v>
      </c>
      <c r="AG9" s="458">
        <f t="shared" si="8"/>
        <v>4.8309178743961345E-2</v>
      </c>
      <c r="AH9" s="458">
        <f t="shared" si="8"/>
        <v>4.8309178743961345E-2</v>
      </c>
      <c r="AI9" s="458">
        <f t="shared" si="8"/>
        <v>4.8309178743961345E-2</v>
      </c>
      <c r="AJ9" s="458">
        <f t="shared" si="8"/>
        <v>4.8309178743961345E-2</v>
      </c>
      <c r="AK9" s="458">
        <f t="shared" si="8"/>
        <v>4.8309178743961345E-2</v>
      </c>
      <c r="AL9" s="458">
        <f t="shared" si="8"/>
        <v>4.8309178743961345E-2</v>
      </c>
      <c r="AM9" s="458">
        <f t="shared" si="8"/>
        <v>4.8309178743961345E-2</v>
      </c>
      <c r="AN9" s="458">
        <f t="shared" ref="AN9:AP9" si="9">(1+AN8)/(1+AN6)-1</f>
        <v>4.8309178743961345E-2</v>
      </c>
      <c r="AO9" s="458">
        <f t="shared" si="9"/>
        <v>2.457002457002444E-2</v>
      </c>
      <c r="AP9" s="458">
        <f t="shared" si="9"/>
        <v>1.6474464579901094E-2</v>
      </c>
    </row>
    <row r="10" spans="1:42" x14ac:dyDescent="0.3">
      <c r="B10" s="453" t="s">
        <v>364</v>
      </c>
      <c r="C10" s="454">
        <v>2.9000000000000001E-2</v>
      </c>
      <c r="D10" s="454">
        <v>1.4999999999999999E-2</v>
      </c>
      <c r="E10" s="454">
        <v>1.4999999999999999E-2</v>
      </c>
      <c r="F10" s="454">
        <v>1.7999999999999999E-2</v>
      </c>
      <c r="G10" s="454">
        <v>0.02</v>
      </c>
      <c r="H10" s="454">
        <v>0.02</v>
      </c>
      <c r="I10" s="454">
        <v>0.02</v>
      </c>
      <c r="J10" s="454">
        <v>0.02</v>
      </c>
      <c r="K10" s="454">
        <v>0.02</v>
      </c>
      <c r="L10" s="454">
        <v>0.02</v>
      </c>
      <c r="M10" s="454">
        <v>0.02</v>
      </c>
      <c r="N10" s="454">
        <v>0.02</v>
      </c>
      <c r="O10" s="454">
        <v>0.02</v>
      </c>
      <c r="P10" s="454">
        <v>0.02</v>
      </c>
      <c r="Q10" s="454">
        <v>0.02</v>
      </c>
      <c r="R10" s="454">
        <v>0.02</v>
      </c>
      <c r="S10" s="454">
        <v>0.02</v>
      </c>
      <c r="T10" s="454">
        <v>0.02</v>
      </c>
      <c r="U10" s="454">
        <v>0.02</v>
      </c>
      <c r="V10" s="454">
        <v>0.02</v>
      </c>
      <c r="W10" s="454">
        <v>0.02</v>
      </c>
      <c r="X10" s="454">
        <v>0.02</v>
      </c>
      <c r="Y10" s="454">
        <v>0.02</v>
      </c>
      <c r="Z10" s="454">
        <v>0.02</v>
      </c>
      <c r="AA10" s="454">
        <v>0.02</v>
      </c>
      <c r="AB10" s="454">
        <v>0.02</v>
      </c>
      <c r="AC10" s="454">
        <v>0.02</v>
      </c>
      <c r="AD10" s="454">
        <v>0.02</v>
      </c>
      <c r="AE10" s="454">
        <v>0.02</v>
      </c>
      <c r="AF10" s="454">
        <v>0.02</v>
      </c>
      <c r="AG10" s="454">
        <v>0.02</v>
      </c>
      <c r="AH10" s="454">
        <v>0.02</v>
      </c>
      <c r="AI10" s="454">
        <v>0.02</v>
      </c>
      <c r="AJ10" s="454">
        <v>0.02</v>
      </c>
      <c r="AK10" s="454">
        <v>0.02</v>
      </c>
      <c r="AL10" s="454">
        <v>0.02</v>
      </c>
      <c r="AM10" s="454">
        <v>0.02</v>
      </c>
      <c r="AN10" s="454">
        <v>0.02</v>
      </c>
      <c r="AO10" s="454">
        <v>0.02</v>
      </c>
      <c r="AP10" s="454">
        <v>0.02</v>
      </c>
    </row>
    <row r="11" spans="1:42" x14ac:dyDescent="0.3">
      <c r="B11" s="453" t="s">
        <v>365</v>
      </c>
      <c r="C11" s="454">
        <v>2.35E-2</v>
      </c>
      <c r="D11" s="454">
        <v>2.5085721583038512E-2</v>
      </c>
      <c r="E11" s="454">
        <v>2.5085721583038512E-2</v>
      </c>
      <c r="F11" s="454">
        <v>2.5085721583038512E-2</v>
      </c>
      <c r="G11" s="454">
        <v>2.5085721583038512E-2</v>
      </c>
      <c r="H11" s="454">
        <v>2.5085721583038512E-2</v>
      </c>
      <c r="I11" s="454">
        <v>2.5085721583038512E-2</v>
      </c>
      <c r="J11" s="454">
        <v>2.5085721583038512E-2</v>
      </c>
      <c r="K11" s="454">
        <v>2.5085721583038512E-2</v>
      </c>
      <c r="L11" s="454">
        <v>2.5085721583038512E-2</v>
      </c>
      <c r="M11" s="454">
        <v>2.5085721583038512E-2</v>
      </c>
      <c r="N11" s="454">
        <v>2.5085721583038512E-2</v>
      </c>
      <c r="O11" s="454">
        <v>2.5085721583038512E-2</v>
      </c>
      <c r="P11" s="454">
        <v>2.5085721583038512E-2</v>
      </c>
      <c r="Q11" s="454">
        <v>2.5085721583038512E-2</v>
      </c>
      <c r="R11" s="454">
        <v>2.5085721583038512E-2</v>
      </c>
      <c r="S11" s="454">
        <v>2.5085721583038512E-2</v>
      </c>
      <c r="T11" s="454">
        <v>2.5085721583038512E-2</v>
      </c>
      <c r="U11" s="454">
        <v>2.5085721583038512E-2</v>
      </c>
      <c r="V11" s="454">
        <v>2.5085721583038512E-2</v>
      </c>
      <c r="W11" s="454">
        <v>2.5085721583038512E-2</v>
      </c>
      <c r="X11" s="454">
        <v>2.5085721583038512E-2</v>
      </c>
      <c r="Y11" s="454">
        <v>2.5085721583038512E-2</v>
      </c>
      <c r="Z11" s="454">
        <v>2.5085721583038512E-2</v>
      </c>
      <c r="AA11" s="454">
        <v>2.5085721583038512E-2</v>
      </c>
      <c r="AB11" s="454">
        <v>2.5085721583038512E-2</v>
      </c>
      <c r="AC11" s="454">
        <v>2.5085721583038512E-2</v>
      </c>
      <c r="AD11" s="454">
        <v>2.5085721583038512E-2</v>
      </c>
      <c r="AE11" s="454">
        <v>2.5085721583038512E-2</v>
      </c>
      <c r="AF11" s="454">
        <v>2.5085721583038512E-2</v>
      </c>
      <c r="AG11" s="454">
        <v>2.5085721583038512E-2</v>
      </c>
      <c r="AH11" s="454">
        <v>2.5085721583038512E-2</v>
      </c>
      <c r="AI11" s="454">
        <v>2.5085721583038501E-2</v>
      </c>
      <c r="AJ11" s="454">
        <v>2.5085721583038501E-2</v>
      </c>
      <c r="AK11" s="454">
        <v>2.5085721583038501E-2</v>
      </c>
      <c r="AL11" s="454">
        <v>2.5085721583038501E-2</v>
      </c>
      <c r="AM11" s="454">
        <v>2.5085721583038501E-2</v>
      </c>
      <c r="AN11" s="454">
        <v>2.5085721583038501E-2</v>
      </c>
      <c r="AO11" s="454">
        <v>2.5085721583038501E-2</v>
      </c>
      <c r="AP11" s="454">
        <v>2.5085721583038501E-2</v>
      </c>
    </row>
    <row r="12" spans="1:42" x14ac:dyDescent="0.3">
      <c r="B12" s="453" t="s">
        <v>366</v>
      </c>
      <c r="C12" s="454">
        <v>3.9050000000000001E-2</v>
      </c>
      <c r="D12" s="454">
        <v>3.39E-2</v>
      </c>
      <c r="E12" s="454">
        <v>3.3929600607655958E-2</v>
      </c>
      <c r="F12" s="454">
        <v>3.3929600607655958E-2</v>
      </c>
      <c r="G12" s="454">
        <v>3.3929600607655958E-2</v>
      </c>
      <c r="H12" s="454">
        <v>3.3929600607655958E-2</v>
      </c>
      <c r="I12" s="454">
        <v>3.3929600607655958E-2</v>
      </c>
      <c r="J12" s="454">
        <v>3.3929600607655958E-2</v>
      </c>
      <c r="K12" s="454">
        <v>3.3929600607655958E-2</v>
      </c>
      <c r="L12" s="454">
        <v>3.3929600607655958E-2</v>
      </c>
      <c r="M12" s="454">
        <v>3.3929600607655958E-2</v>
      </c>
      <c r="N12" s="454">
        <v>3.3929600607655958E-2</v>
      </c>
      <c r="O12" s="454">
        <v>3.3929600607655958E-2</v>
      </c>
      <c r="P12" s="454">
        <v>3.3929600607655958E-2</v>
      </c>
      <c r="Q12" s="454">
        <v>3.3929600607655958E-2</v>
      </c>
      <c r="R12" s="454">
        <v>3.3929600607655958E-2</v>
      </c>
      <c r="S12" s="454">
        <v>3.3929600607655958E-2</v>
      </c>
      <c r="T12" s="454">
        <v>3.3929600607655958E-2</v>
      </c>
      <c r="U12" s="454">
        <v>3.3929600607655958E-2</v>
      </c>
      <c r="V12" s="454">
        <v>3.3929600607655958E-2</v>
      </c>
      <c r="W12" s="454">
        <v>3.3929600607655958E-2</v>
      </c>
      <c r="X12" s="454">
        <v>3.3929600607655958E-2</v>
      </c>
      <c r="Y12" s="454">
        <v>3.3929600607655958E-2</v>
      </c>
      <c r="Z12" s="454">
        <v>3.3929600607655958E-2</v>
      </c>
      <c r="AA12" s="454">
        <v>3.3929600607655958E-2</v>
      </c>
      <c r="AB12" s="454">
        <v>3.3929600607655958E-2</v>
      </c>
      <c r="AC12" s="454">
        <v>3.3929600607655958E-2</v>
      </c>
      <c r="AD12" s="454">
        <v>3.3929600607655958E-2</v>
      </c>
      <c r="AE12" s="454">
        <v>3.3929600607655958E-2</v>
      </c>
      <c r="AF12" s="454">
        <v>3.3929600607655958E-2</v>
      </c>
      <c r="AG12" s="454">
        <v>3.3929600607655958E-2</v>
      </c>
      <c r="AH12" s="454">
        <v>3.3929600607655958E-2</v>
      </c>
      <c r="AI12" s="454">
        <v>3.3929600607655999E-2</v>
      </c>
      <c r="AJ12" s="454">
        <v>3.3929600607655999E-2</v>
      </c>
      <c r="AK12" s="454">
        <v>3.3929600607655999E-2</v>
      </c>
      <c r="AL12" s="454">
        <v>3.3929600607655999E-2</v>
      </c>
      <c r="AM12" s="454">
        <v>3.3929600607655999E-2</v>
      </c>
      <c r="AN12" s="454">
        <v>3.3929600607655999E-2</v>
      </c>
      <c r="AO12" s="454">
        <v>3.3929600607655999E-2</v>
      </c>
      <c r="AP12" s="454">
        <v>3.3929600607655999E-2</v>
      </c>
    </row>
    <row r="13" spans="1:42" x14ac:dyDescent="0.3">
      <c r="B13" s="453" t="s">
        <v>367</v>
      </c>
      <c r="C13" s="454">
        <v>6.6400000000000001E-2</v>
      </c>
      <c r="D13" s="454">
        <v>6.9199999999999998E-2</v>
      </c>
      <c r="E13" s="454">
        <v>6.9195521118268835E-2</v>
      </c>
      <c r="F13" s="454">
        <v>6.9195521118268835E-2</v>
      </c>
      <c r="G13" s="454">
        <v>6.9195521118268835E-2</v>
      </c>
      <c r="H13" s="454">
        <v>6.9195521118268835E-2</v>
      </c>
      <c r="I13" s="454">
        <v>6.9195521118268835E-2</v>
      </c>
      <c r="J13" s="454">
        <v>6.9195521118268835E-2</v>
      </c>
      <c r="K13" s="454">
        <v>6.9195521118268835E-2</v>
      </c>
      <c r="L13" s="454">
        <v>6.9195521118268835E-2</v>
      </c>
      <c r="M13" s="454">
        <v>6.9195521118268835E-2</v>
      </c>
      <c r="N13" s="454">
        <v>6.9195521118268835E-2</v>
      </c>
      <c r="O13" s="454">
        <v>6.9195521118268835E-2</v>
      </c>
      <c r="P13" s="454">
        <v>6.9195521118268835E-2</v>
      </c>
      <c r="Q13" s="454">
        <v>6.9195521118268835E-2</v>
      </c>
      <c r="R13" s="454">
        <v>6.9195521118268835E-2</v>
      </c>
      <c r="S13" s="454">
        <v>6.9195521118268835E-2</v>
      </c>
      <c r="T13" s="454">
        <v>6.9195521118268835E-2</v>
      </c>
      <c r="U13" s="454">
        <v>6.9195521118268835E-2</v>
      </c>
      <c r="V13" s="454">
        <v>6.9195521118268835E-2</v>
      </c>
      <c r="W13" s="454">
        <v>6.9195521118268835E-2</v>
      </c>
      <c r="X13" s="454">
        <v>6.9195521118268835E-2</v>
      </c>
      <c r="Y13" s="454">
        <v>6.9195521118268835E-2</v>
      </c>
      <c r="Z13" s="454">
        <v>6.9195521118268835E-2</v>
      </c>
      <c r="AA13" s="454">
        <v>6.9195521118268835E-2</v>
      </c>
      <c r="AB13" s="454">
        <v>6.9195521118268835E-2</v>
      </c>
      <c r="AC13" s="454">
        <v>6.9195521118268835E-2</v>
      </c>
      <c r="AD13" s="454">
        <v>6.9195521118268835E-2</v>
      </c>
      <c r="AE13" s="454">
        <v>6.9195521118268835E-2</v>
      </c>
      <c r="AF13" s="454">
        <v>6.9195521118268835E-2</v>
      </c>
      <c r="AG13" s="454">
        <v>6.9195521118268835E-2</v>
      </c>
      <c r="AH13" s="454">
        <v>6.9195521118268835E-2</v>
      </c>
      <c r="AI13" s="454">
        <v>6.9195521118268793E-2</v>
      </c>
      <c r="AJ13" s="454">
        <v>6.9195521118268793E-2</v>
      </c>
      <c r="AK13" s="454">
        <v>6.9195521118268793E-2</v>
      </c>
      <c r="AL13" s="454">
        <v>6.9195521118268793E-2</v>
      </c>
      <c r="AM13" s="454">
        <v>6.9195521118268793E-2</v>
      </c>
      <c r="AN13" s="454">
        <v>6.9195521118268793E-2</v>
      </c>
      <c r="AO13" s="454">
        <v>6.9195521118268793E-2</v>
      </c>
      <c r="AP13" s="454">
        <v>6.9195521118268793E-2</v>
      </c>
    </row>
    <row r="14" spans="1:42" x14ac:dyDescent="0.3">
      <c r="B14" s="453" t="s">
        <v>368</v>
      </c>
      <c r="C14" s="454">
        <v>2.5600000000000001E-2</v>
      </c>
      <c r="D14" s="454">
        <v>1.95E-2</v>
      </c>
      <c r="E14" s="454">
        <v>3.032213438735178E-2</v>
      </c>
      <c r="F14" s="454">
        <v>3.032213438735178E-2</v>
      </c>
      <c r="G14" s="454">
        <v>3.032213438735178E-2</v>
      </c>
      <c r="H14" s="454">
        <v>3.032213438735178E-2</v>
      </c>
      <c r="I14" s="454">
        <v>3.032213438735178E-2</v>
      </c>
      <c r="J14" s="454">
        <v>3.032213438735178E-2</v>
      </c>
      <c r="K14" s="454">
        <v>3.032213438735178E-2</v>
      </c>
      <c r="L14" s="454">
        <v>3.032213438735178E-2</v>
      </c>
      <c r="M14" s="454">
        <v>3.032213438735178E-2</v>
      </c>
      <c r="N14" s="454">
        <v>3.032213438735178E-2</v>
      </c>
      <c r="O14" s="454">
        <v>3.032213438735178E-2</v>
      </c>
      <c r="P14" s="454">
        <v>3.032213438735178E-2</v>
      </c>
      <c r="Q14" s="454">
        <v>3.032213438735178E-2</v>
      </c>
      <c r="R14" s="454">
        <v>3.032213438735178E-2</v>
      </c>
      <c r="S14" s="454">
        <v>3.032213438735178E-2</v>
      </c>
      <c r="T14" s="454">
        <v>3.032213438735178E-2</v>
      </c>
      <c r="U14" s="454">
        <v>3.032213438735178E-2</v>
      </c>
      <c r="V14" s="454">
        <v>3.032213438735178E-2</v>
      </c>
      <c r="W14" s="454">
        <v>3.032213438735178E-2</v>
      </c>
      <c r="X14" s="454">
        <v>3.032213438735178E-2</v>
      </c>
      <c r="Y14" s="454">
        <v>3.032213438735178E-2</v>
      </c>
      <c r="Z14" s="454">
        <v>3.032213438735178E-2</v>
      </c>
      <c r="AA14" s="454">
        <v>3.032213438735178E-2</v>
      </c>
      <c r="AB14" s="454">
        <v>3.032213438735178E-2</v>
      </c>
      <c r="AC14" s="454">
        <v>3.032213438735178E-2</v>
      </c>
      <c r="AD14" s="454">
        <v>3.032213438735178E-2</v>
      </c>
      <c r="AE14" s="454">
        <v>3.032213438735178E-2</v>
      </c>
      <c r="AF14" s="454">
        <v>3.032213438735178E-2</v>
      </c>
      <c r="AG14" s="454">
        <v>3.032213438735178E-2</v>
      </c>
      <c r="AH14" s="454">
        <v>3.032213438735178E-2</v>
      </c>
      <c r="AI14" s="454">
        <v>3.0322134387351801E-2</v>
      </c>
      <c r="AJ14" s="454">
        <v>3.0322134387351801E-2</v>
      </c>
      <c r="AK14" s="454">
        <v>3.0322134387351801E-2</v>
      </c>
      <c r="AL14" s="454">
        <v>3.0322134387351801E-2</v>
      </c>
      <c r="AM14" s="454">
        <v>3.0322134387351801E-2</v>
      </c>
      <c r="AN14" s="454">
        <v>3.0322134387351801E-2</v>
      </c>
      <c r="AO14" s="454">
        <v>3.0322134387351801E-2</v>
      </c>
      <c r="AP14" s="454">
        <v>3.0322134387351801E-2</v>
      </c>
    </row>
    <row r="15" spans="1:42" x14ac:dyDescent="0.3"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</row>
    <row r="16" spans="1:42" x14ac:dyDescent="0.3">
      <c r="B16" s="81"/>
      <c r="C16" s="81"/>
      <c r="D16" s="81"/>
      <c r="E16" s="81"/>
      <c r="F16" s="123"/>
      <c r="G16" s="122"/>
      <c r="H16" s="122"/>
      <c r="I16" s="122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1"/>
    </row>
    <row r="19" spans="5:5" x14ac:dyDescent="0.3">
      <c r="E19" s="2"/>
    </row>
    <row r="20" spans="5:5" x14ac:dyDescent="0.3">
      <c r="E20" s="67"/>
    </row>
  </sheetData>
  <mergeCells count="1">
    <mergeCell ref="B1:B2"/>
  </mergeCell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L196"/>
  <sheetViews>
    <sheetView showGridLines="0" zoomScale="78" zoomScaleNormal="78" workbookViewId="0">
      <selection activeCell="I9" sqref="I9"/>
    </sheetView>
  </sheetViews>
  <sheetFormatPr defaultRowHeight="14.4" x14ac:dyDescent="0.3"/>
  <cols>
    <col min="1" max="1" width="15.33203125" customWidth="1"/>
    <col min="2" max="2" width="21.44140625" customWidth="1"/>
    <col min="3" max="3" width="14" customWidth="1"/>
    <col min="4" max="4" width="18.6640625" customWidth="1"/>
    <col min="5" max="5" width="18" customWidth="1"/>
    <col min="6" max="7" width="14.44140625" customWidth="1"/>
    <col min="8" max="8" width="4.88671875" customWidth="1"/>
    <col min="9" max="10" width="10.6640625" customWidth="1"/>
    <col min="11" max="11" width="16.33203125" customWidth="1"/>
    <col min="12" max="12" width="13.6640625" customWidth="1"/>
    <col min="13" max="13" width="15.33203125" customWidth="1"/>
    <col min="14" max="17" width="10.6640625" customWidth="1"/>
    <col min="18" max="18" width="17.5546875" customWidth="1"/>
    <col min="19" max="19" width="15.5546875" customWidth="1"/>
    <col min="20" max="20" width="20.88671875" customWidth="1"/>
    <col min="21" max="21" width="14.33203125" customWidth="1"/>
    <col min="22" max="22" width="17.88671875" customWidth="1"/>
    <col min="23" max="23" width="23.44140625" customWidth="1"/>
    <col min="24" max="24" width="22" customWidth="1"/>
    <col min="25" max="26" width="12.6640625" customWidth="1"/>
    <col min="28" max="28" width="53.5546875" customWidth="1"/>
    <col min="30" max="30" width="11.5546875" bestFit="1" customWidth="1"/>
  </cols>
  <sheetData>
    <row r="1" spans="1:64" ht="22.2" thickTop="1" thickBot="1" x14ac:dyDescent="0.45">
      <c r="A1" s="318" t="s">
        <v>522</v>
      </c>
      <c r="B1" s="1040" t="s">
        <v>26</v>
      </c>
      <c r="C1" s="1040"/>
      <c r="D1" s="1040"/>
      <c r="E1" s="1040"/>
      <c r="F1" s="1040"/>
      <c r="G1" s="1040"/>
      <c r="I1" s="1055" t="s">
        <v>27</v>
      </c>
      <c r="J1" s="1056"/>
      <c r="K1" s="1056"/>
      <c r="L1" s="1056"/>
      <c r="M1" s="1056"/>
      <c r="N1" s="1057"/>
      <c r="O1" s="1055" t="s">
        <v>64</v>
      </c>
      <c r="P1" s="1056"/>
      <c r="Q1" s="1056"/>
      <c r="R1" s="1056"/>
      <c r="S1" s="1056"/>
      <c r="T1" s="1056"/>
      <c r="U1" s="1056"/>
      <c r="V1" s="1057"/>
      <c r="W1" s="1056" t="s">
        <v>109</v>
      </c>
      <c r="X1" s="1056"/>
      <c r="Y1" s="1056"/>
      <c r="Z1" s="1057"/>
    </row>
    <row r="2" spans="1:64" ht="21.75" customHeight="1" thickTop="1" x14ac:dyDescent="0.3">
      <c r="A2" s="147" t="s">
        <v>528</v>
      </c>
      <c r="B2" s="1046" t="s">
        <v>28</v>
      </c>
      <c r="C2" s="1047" t="s">
        <v>29</v>
      </c>
      <c r="D2" s="1047"/>
      <c r="E2" s="1058" t="s">
        <v>153</v>
      </c>
      <c r="F2" s="381" t="s">
        <v>30</v>
      </c>
      <c r="G2" s="381" t="s">
        <v>31</v>
      </c>
      <c r="I2" s="1048" t="s">
        <v>32</v>
      </c>
      <c r="J2" s="1049"/>
      <c r="K2" s="1050" t="s">
        <v>33</v>
      </c>
      <c r="L2" s="1051"/>
      <c r="M2" s="1051"/>
      <c r="N2" s="1051"/>
      <c r="O2" s="1048" t="s">
        <v>34</v>
      </c>
      <c r="P2" s="1051"/>
      <c r="Q2" s="1051"/>
      <c r="R2" s="1049"/>
      <c r="S2" s="1050" t="s">
        <v>35</v>
      </c>
      <c r="T2" s="1051"/>
      <c r="U2" s="1051"/>
      <c r="V2" s="1052"/>
      <c r="W2" s="1053" t="s">
        <v>36</v>
      </c>
      <c r="X2" s="1042" t="s">
        <v>37</v>
      </c>
      <c r="Y2" s="1042" t="s">
        <v>38</v>
      </c>
      <c r="Z2" s="1044" t="s">
        <v>39</v>
      </c>
    </row>
    <row r="3" spans="1:64" ht="21.75" customHeight="1" thickBot="1" x14ac:dyDescent="0.35">
      <c r="A3" s="222" t="s">
        <v>524</v>
      </c>
      <c r="B3" s="1046"/>
      <c r="C3" s="380" t="s">
        <v>40</v>
      </c>
      <c r="D3" s="380" t="s">
        <v>41</v>
      </c>
      <c r="E3" s="1058"/>
      <c r="F3" s="381" t="s">
        <v>42</v>
      </c>
      <c r="G3" s="381" t="s">
        <v>43</v>
      </c>
      <c r="I3" s="181" t="s">
        <v>40</v>
      </c>
      <c r="J3" s="182" t="s">
        <v>41</v>
      </c>
      <c r="K3" s="182" t="s">
        <v>3</v>
      </c>
      <c r="L3" s="182" t="s">
        <v>15</v>
      </c>
      <c r="M3" s="182" t="s">
        <v>4</v>
      </c>
      <c r="N3" s="183" t="s">
        <v>15</v>
      </c>
      <c r="O3" s="181" t="s">
        <v>15</v>
      </c>
      <c r="P3" s="184" t="s">
        <v>44</v>
      </c>
      <c r="Q3" s="184" t="s">
        <v>45</v>
      </c>
      <c r="R3" s="182" t="s">
        <v>46</v>
      </c>
      <c r="S3" s="182" t="s">
        <v>15</v>
      </c>
      <c r="T3" s="185" t="s">
        <v>44</v>
      </c>
      <c r="U3" s="185" t="s">
        <v>45</v>
      </c>
      <c r="V3" s="186" t="s">
        <v>46</v>
      </c>
      <c r="W3" s="1054"/>
      <c r="X3" s="1043"/>
      <c r="Y3" s="1043"/>
      <c r="Z3" s="1045"/>
    </row>
    <row r="4" spans="1:64" ht="21.75" customHeight="1" thickTop="1" thickBot="1" x14ac:dyDescent="0.35">
      <c r="B4" s="166"/>
      <c r="C4" s="377" t="s">
        <v>488</v>
      </c>
      <c r="D4" s="377" t="s">
        <v>488</v>
      </c>
      <c r="E4" s="223">
        <v>0.76444215091771661</v>
      </c>
      <c r="F4" s="378">
        <f>E4*$F$13</f>
        <v>2.6602586851936536</v>
      </c>
      <c r="G4" s="379">
        <f t="shared" ref="G4:G11" si="0">F4*$G$85</f>
        <v>2.6602586851936536</v>
      </c>
      <c r="H4" s="5"/>
      <c r="I4" s="187" t="str">
        <f t="shared" ref="I4" si="1">C4</f>
        <v>TBO</v>
      </c>
      <c r="J4" s="188" t="str">
        <f t="shared" ref="J4" si="2">D4</f>
        <v>TBO</v>
      </c>
      <c r="K4" s="323">
        <v>0</v>
      </c>
      <c r="L4" s="324">
        <v>3.1002886908497552E-2</v>
      </c>
      <c r="M4" s="325">
        <f t="shared" ref="M4:M67" si="3">K4</f>
        <v>0</v>
      </c>
      <c r="N4" s="326">
        <f t="shared" ref="N4:N67" si="4">L4</f>
        <v>3.1002886908497552E-2</v>
      </c>
      <c r="O4" s="998">
        <v>0.04</v>
      </c>
      <c r="P4" s="1011">
        <f>ROUND(O4*$L$88,0)</f>
        <v>997</v>
      </c>
      <c r="Q4" s="1011">
        <f>ROUND(P4/$P$88,0)</f>
        <v>753</v>
      </c>
      <c r="R4" s="192">
        <f t="shared" ref="R4" si="5">ROUND(K4*L4*$P$4,0)</f>
        <v>0</v>
      </c>
      <c r="S4" s="1012">
        <f>O4</f>
        <v>0.04</v>
      </c>
      <c r="T4" s="1011">
        <f>ROUND(S4*$L$89,0)</f>
        <v>997</v>
      </c>
      <c r="U4" s="1011">
        <f>ROUND(T4/$P$89,0)</f>
        <v>753</v>
      </c>
      <c r="V4" s="192">
        <f t="shared" ref="V4:V11" si="6">ROUND(M4*N4*$T$4*(1-$S$89),0)</f>
        <v>0</v>
      </c>
      <c r="W4" s="193">
        <f>P4*F4</f>
        <v>2652.2779091380726</v>
      </c>
      <c r="X4" s="194">
        <f>T4*G4</f>
        <v>2652.2779091380726</v>
      </c>
      <c r="Y4" s="195">
        <f t="shared" ref="Y4:Y11" si="7">(W4+X4)/$W$86</f>
        <v>9.8505642111981545E-4</v>
      </c>
      <c r="Z4" s="985">
        <f>SUM(Y4:Y11)</f>
        <v>7.5950023612277517E-3</v>
      </c>
    </row>
    <row r="5" spans="1:64" ht="15" thickTop="1" x14ac:dyDescent="0.3">
      <c r="B5" s="1041" t="s">
        <v>496</v>
      </c>
      <c r="C5" s="179">
        <v>0.01</v>
      </c>
      <c r="D5" s="179">
        <v>10</v>
      </c>
      <c r="E5" s="224">
        <v>0.4</v>
      </c>
      <c r="F5" s="169">
        <f t="shared" ref="F5:F11" si="8">$F$13*E5</f>
        <v>1.3920000000000001</v>
      </c>
      <c r="G5" s="170">
        <f t="shared" si="0"/>
        <v>1.3920000000000001</v>
      </c>
      <c r="H5" s="5"/>
      <c r="I5" s="187">
        <f t="shared" ref="I5:J10" si="9">C5</f>
        <v>0.01</v>
      </c>
      <c r="J5" s="188">
        <f t="shared" si="9"/>
        <v>10</v>
      </c>
      <c r="K5" s="323">
        <v>6.5788592879631915</v>
      </c>
      <c r="L5" s="324">
        <v>0.60826283419103</v>
      </c>
      <c r="M5" s="325">
        <f t="shared" si="3"/>
        <v>6.5788592879631915</v>
      </c>
      <c r="N5" s="326">
        <f t="shared" si="4"/>
        <v>0.60826283419103</v>
      </c>
      <c r="O5" s="999"/>
      <c r="P5" s="989"/>
      <c r="Q5" s="989"/>
      <c r="R5" s="192">
        <f t="shared" ref="R5:R11" si="10">ROUND(K5*L5*$P$4*(1-$S$89),0)</f>
        <v>3790</v>
      </c>
      <c r="S5" s="1003"/>
      <c r="T5" s="989"/>
      <c r="U5" s="989"/>
      <c r="V5" s="192">
        <f t="shared" si="6"/>
        <v>3790</v>
      </c>
      <c r="W5" s="193">
        <f>ROUND(L5*P4*K5*F5,2)</f>
        <v>5553.62</v>
      </c>
      <c r="X5" s="194">
        <f>ROUND(N5*T4*M5*G5,2)</f>
        <v>5553.62</v>
      </c>
      <c r="Y5" s="195">
        <f t="shared" si="7"/>
        <v>2.0626153174262397E-3</v>
      </c>
      <c r="Z5" s="986"/>
    </row>
    <row r="6" spans="1:64" x14ac:dyDescent="0.3">
      <c r="B6" s="996"/>
      <c r="C6" s="180">
        <v>10.01</v>
      </c>
      <c r="D6" s="180">
        <v>15</v>
      </c>
      <c r="E6" s="177">
        <v>0.6</v>
      </c>
      <c r="F6" s="171">
        <f t="shared" si="8"/>
        <v>2.0880000000000001</v>
      </c>
      <c r="G6" s="172">
        <f t="shared" si="0"/>
        <v>2.0880000000000001</v>
      </c>
      <c r="H6" s="5"/>
      <c r="I6" s="189">
        <f t="shared" si="9"/>
        <v>10.01</v>
      </c>
      <c r="J6" s="176">
        <f t="shared" si="9"/>
        <v>15</v>
      </c>
      <c r="K6" s="327">
        <v>12.531642070742564</v>
      </c>
      <c r="L6" s="328">
        <v>0.20891766034893899</v>
      </c>
      <c r="M6" s="329">
        <f t="shared" si="3"/>
        <v>12.531642070742564</v>
      </c>
      <c r="N6" s="330">
        <f t="shared" si="4"/>
        <v>0.20891766034893899</v>
      </c>
      <c r="O6" s="999"/>
      <c r="P6" s="989"/>
      <c r="Q6" s="989"/>
      <c r="R6" s="196">
        <f t="shared" si="10"/>
        <v>2480</v>
      </c>
      <c r="S6" s="1003"/>
      <c r="T6" s="989"/>
      <c r="U6" s="989"/>
      <c r="V6" s="196">
        <f t="shared" si="6"/>
        <v>2480</v>
      </c>
      <c r="W6" s="193">
        <f>ROUND(L6*P4*(J5*F5+(K6-J5)*F6),2)</f>
        <v>4000.45</v>
      </c>
      <c r="X6" s="194">
        <f>ROUND(N6*T4*(J5*G5+(M6-J5)*G6),2)</f>
        <v>4000.45</v>
      </c>
      <c r="Y6" s="195">
        <f t="shared" si="7"/>
        <v>1.4857677418688713E-3</v>
      </c>
      <c r="Z6" s="986"/>
    </row>
    <row r="7" spans="1:64" x14ac:dyDescent="0.3">
      <c r="B7" s="996"/>
      <c r="C7" s="180">
        <v>15.01</v>
      </c>
      <c r="D7" s="180">
        <v>20</v>
      </c>
      <c r="E7" s="177">
        <v>0.8</v>
      </c>
      <c r="F7" s="171">
        <f t="shared" si="8"/>
        <v>2.7840000000000003</v>
      </c>
      <c r="G7" s="172">
        <f t="shared" si="0"/>
        <v>2.7840000000000003</v>
      </c>
      <c r="H7" s="5"/>
      <c r="I7" s="190">
        <f t="shared" si="9"/>
        <v>15.01</v>
      </c>
      <c r="J7" s="191">
        <f t="shared" si="9"/>
        <v>20</v>
      </c>
      <c r="K7" s="327">
        <v>17.65704853273138</v>
      </c>
      <c r="L7" s="328">
        <v>0.11120873603614911</v>
      </c>
      <c r="M7" s="329">
        <f t="shared" si="3"/>
        <v>17.65704853273138</v>
      </c>
      <c r="N7" s="330">
        <f t="shared" si="4"/>
        <v>0.11120873603614911</v>
      </c>
      <c r="O7" s="999"/>
      <c r="P7" s="989"/>
      <c r="Q7" s="989"/>
      <c r="R7" s="196">
        <f t="shared" si="10"/>
        <v>1860</v>
      </c>
      <c r="S7" s="1003"/>
      <c r="T7" s="989"/>
      <c r="U7" s="989"/>
      <c r="V7" s="196">
        <f t="shared" si="6"/>
        <v>1860</v>
      </c>
      <c r="W7" s="193">
        <f>ROUND(L7*P4*(J5*F5+(J6-J5)*F6+(K7-J6)*F7),2)</f>
        <v>3521.09</v>
      </c>
      <c r="X7" s="194">
        <f>ROUND(N7*T4*(J5*G5+(J6-J5)*G6+(M7-J6)*G7),2)</f>
        <v>3521.09</v>
      </c>
      <c r="Y7" s="195">
        <f t="shared" si="7"/>
        <v>1.3077333645507541E-3</v>
      </c>
      <c r="Z7" s="986"/>
      <c r="AA7" s="3"/>
      <c r="BL7" s="97"/>
    </row>
    <row r="8" spans="1:64" x14ac:dyDescent="0.3">
      <c r="A8" s="43"/>
      <c r="B8" s="996"/>
      <c r="C8" s="180">
        <v>20.010000000000002</v>
      </c>
      <c r="D8" s="180">
        <v>30</v>
      </c>
      <c r="E8" s="177">
        <v>1</v>
      </c>
      <c r="F8" s="171">
        <f t="shared" si="8"/>
        <v>3.48</v>
      </c>
      <c r="G8" s="172">
        <f t="shared" si="0"/>
        <v>3.48</v>
      </c>
      <c r="H8" s="5"/>
      <c r="I8" s="189">
        <f t="shared" si="9"/>
        <v>20.010000000000002</v>
      </c>
      <c r="J8" s="176">
        <f t="shared" si="9"/>
        <v>30</v>
      </c>
      <c r="K8" s="327">
        <v>23.847932960893857</v>
      </c>
      <c r="L8" s="328">
        <v>5.6169197941508722E-2</v>
      </c>
      <c r="M8" s="329">
        <f t="shared" si="3"/>
        <v>23.847932960893857</v>
      </c>
      <c r="N8" s="330">
        <f t="shared" si="4"/>
        <v>5.6169197941508722E-2</v>
      </c>
      <c r="O8" s="999"/>
      <c r="P8" s="989"/>
      <c r="Q8" s="989"/>
      <c r="R8" s="196">
        <f t="shared" si="10"/>
        <v>1269</v>
      </c>
      <c r="S8" s="1003"/>
      <c r="T8" s="989"/>
      <c r="U8" s="989"/>
      <c r="V8" s="196">
        <f t="shared" si="6"/>
        <v>1269</v>
      </c>
      <c r="W8" s="193">
        <f>ROUND(L8*P4*(J5*F5+(J6-J5)*F6+(J7-J6)*F7+(K8-J7)*F8),2)</f>
        <v>2893.6</v>
      </c>
      <c r="X8" s="194">
        <f>ROUND(N8*T4*(J5*G5+(J6-J5)*G6+(J7-J6)*G7+(M8-J7)*G8),2)</f>
        <v>2893.6</v>
      </c>
      <c r="Y8" s="195">
        <f t="shared" si="7"/>
        <v>1.0746834825761517E-3</v>
      </c>
      <c r="Z8" s="986"/>
    </row>
    <row r="9" spans="1:64" s="80" customFormat="1" x14ac:dyDescent="0.3">
      <c r="A9" s="78"/>
      <c r="B9" s="996"/>
      <c r="C9" s="180">
        <v>30.01</v>
      </c>
      <c r="D9" s="180">
        <v>50</v>
      </c>
      <c r="E9" s="177">
        <v>1.2</v>
      </c>
      <c r="F9" s="171">
        <f t="shared" si="8"/>
        <v>4.1760000000000002</v>
      </c>
      <c r="G9" s="172">
        <f t="shared" si="0"/>
        <v>4.1760000000000002</v>
      </c>
      <c r="H9" s="79"/>
      <c r="I9" s="191">
        <f t="shared" si="9"/>
        <v>30.01</v>
      </c>
      <c r="J9" s="191">
        <f t="shared" si="9"/>
        <v>50</v>
      </c>
      <c r="K9" s="331">
        <v>36.986238532110093</v>
      </c>
      <c r="L9" s="328">
        <v>1.3681435923183131E-2</v>
      </c>
      <c r="M9" s="332">
        <f t="shared" si="3"/>
        <v>36.986238532110093</v>
      </c>
      <c r="N9" s="333">
        <f t="shared" si="4"/>
        <v>1.3681435923183131E-2</v>
      </c>
      <c r="O9" s="999"/>
      <c r="P9" s="989"/>
      <c r="Q9" s="989"/>
      <c r="R9" s="197">
        <f t="shared" si="10"/>
        <v>479</v>
      </c>
      <c r="S9" s="1003"/>
      <c r="T9" s="989"/>
      <c r="U9" s="989"/>
      <c r="V9" s="197">
        <f t="shared" si="6"/>
        <v>479</v>
      </c>
      <c r="W9" s="198">
        <f>ROUND(L9*P4*(J5*F5+(J6-J5)*F6+(J7-J6)*F7+(J8-J7)*F8+(K9-J8)*F9),2)</f>
        <v>1394.79</v>
      </c>
      <c r="X9" s="199">
        <f>ROUND(N9*T4*(10*G5+(J6-J5)*G6+(J7-J6)*G7+(J8-J7)*G8+(M9-J8)*G9),2)</f>
        <v>1394.79</v>
      </c>
      <c r="Y9" s="200">
        <f t="shared" si="7"/>
        <v>5.180252193331458E-4</v>
      </c>
      <c r="Z9" s="986"/>
    </row>
    <row r="10" spans="1:64" x14ac:dyDescent="0.3">
      <c r="A10" s="43"/>
      <c r="B10" s="996"/>
      <c r="C10" s="180">
        <v>50.01</v>
      </c>
      <c r="D10" s="180">
        <v>100</v>
      </c>
      <c r="E10" s="177">
        <v>1.4</v>
      </c>
      <c r="F10" s="171">
        <f t="shared" si="8"/>
        <v>4.8719999999999999</v>
      </c>
      <c r="G10" s="172">
        <f t="shared" si="0"/>
        <v>4.8719999999999999</v>
      </c>
      <c r="H10" s="5"/>
      <c r="I10" s="189">
        <f t="shared" si="9"/>
        <v>50.01</v>
      </c>
      <c r="J10" s="176">
        <f>D10</f>
        <v>100</v>
      </c>
      <c r="K10" s="327">
        <v>61.78846153846154</v>
      </c>
      <c r="L10" s="328">
        <v>1.6317308899209239E-3</v>
      </c>
      <c r="M10" s="329">
        <f t="shared" si="3"/>
        <v>61.78846153846154</v>
      </c>
      <c r="N10" s="330">
        <f t="shared" si="4"/>
        <v>1.6317308899209239E-3</v>
      </c>
      <c r="O10" s="999"/>
      <c r="P10" s="989"/>
      <c r="Q10" s="989"/>
      <c r="R10" s="196">
        <f t="shared" si="10"/>
        <v>95</v>
      </c>
      <c r="S10" s="1003"/>
      <c r="T10" s="989"/>
      <c r="U10" s="989"/>
      <c r="V10" s="196">
        <f t="shared" si="6"/>
        <v>95</v>
      </c>
      <c r="W10" s="193">
        <f>ROUND(L10*P4*(J5*F5+(J6-J5)*F6+(J7-J6)*F7+(J8-J7)*F8+(J9-J8)*F9+(K10-J9)*F10),2)</f>
        <v>348.2</v>
      </c>
      <c r="X10" s="194">
        <f>ROUND(N10*T4*(J5*G5+(J6-J5)*G6+(J7-J6)*G7+(J8-J7)*G8+(J9-J8)*G9+(M10-J9)*G10),2)</f>
        <v>348.2</v>
      </c>
      <c r="Y10" s="195">
        <f t="shared" si="7"/>
        <v>1.293215332571938E-4</v>
      </c>
      <c r="Z10" s="986"/>
    </row>
    <row r="11" spans="1:64" ht="15" thickBot="1" x14ac:dyDescent="0.35">
      <c r="A11" s="43"/>
      <c r="B11" s="997"/>
      <c r="C11" s="993" t="s">
        <v>47</v>
      </c>
      <c r="D11" s="994"/>
      <c r="E11" s="178">
        <v>2.4</v>
      </c>
      <c r="F11" s="173">
        <f t="shared" si="8"/>
        <v>8.3520000000000003</v>
      </c>
      <c r="G11" s="174">
        <f t="shared" si="0"/>
        <v>8.3520000000000003</v>
      </c>
      <c r="H11" s="5"/>
      <c r="I11" s="991" t="s">
        <v>47</v>
      </c>
      <c r="J11" s="992"/>
      <c r="K11" s="327">
        <v>134</v>
      </c>
      <c r="L11" s="328">
        <v>1.2551776076314799E-4</v>
      </c>
      <c r="M11" s="329">
        <f t="shared" si="3"/>
        <v>134</v>
      </c>
      <c r="N11" s="330">
        <f t="shared" si="4"/>
        <v>1.2551776076314799E-4</v>
      </c>
      <c r="O11" s="1001"/>
      <c r="P11" s="990"/>
      <c r="Q11" s="990"/>
      <c r="R11" s="196">
        <f t="shared" si="10"/>
        <v>16</v>
      </c>
      <c r="S11" s="1004"/>
      <c r="T11" s="990"/>
      <c r="U11" s="990"/>
      <c r="V11" s="196">
        <f t="shared" si="6"/>
        <v>16</v>
      </c>
      <c r="W11" s="193">
        <f>ROUND(L11*P4*(J5*F5+(J6-J5)*F6+(J7-J6)*F7+(J8-J7)*F8+(J9-J8)*F9+(J10-J9)*F10+(K11-J10)*F11),2)</f>
        <v>85.62</v>
      </c>
      <c r="X11" s="194">
        <f>ROUND(N11*T4*(J5*G5+(J6-J5)*G6+(J7-J6)*G7+(J8-J7)*G8+(J9-J8)*G9+(J10-J9)*G10+(M11-J10)*G11),2)</f>
        <v>85.62</v>
      </c>
      <c r="Y11" s="195">
        <f t="shared" si="7"/>
        <v>3.1799281095579943E-5</v>
      </c>
      <c r="Z11" s="987"/>
    </row>
    <row r="12" spans="1:64" ht="16.8" hidden="1" thickTop="1" thickBot="1" x14ac:dyDescent="0.35">
      <c r="A12" s="43"/>
      <c r="B12" s="168"/>
      <c r="C12" s="167" t="s">
        <v>488</v>
      </c>
      <c r="D12" s="167" t="s">
        <v>488</v>
      </c>
      <c r="E12" s="223">
        <v>4.18</v>
      </c>
      <c r="F12" s="169">
        <f t="shared" ref="F12" si="11">$F$13*E12</f>
        <v>14.546399999999998</v>
      </c>
      <c r="G12" s="170">
        <f t="shared" ref="G12" si="12">F12*$G$85</f>
        <v>14.546399999999998</v>
      </c>
      <c r="H12" s="5"/>
      <c r="I12" s="187" t="str">
        <f t="shared" ref="I12" si="13">C12</f>
        <v>TBO</v>
      </c>
      <c r="J12" s="188" t="str">
        <f t="shared" ref="J12" si="14">D12</f>
        <v>TBO</v>
      </c>
      <c r="K12" s="327">
        <v>0</v>
      </c>
      <c r="L12" s="328">
        <v>3.1002886908497552E-2</v>
      </c>
      <c r="M12" s="329">
        <f t="shared" si="3"/>
        <v>0</v>
      </c>
      <c r="N12" s="330">
        <f t="shared" si="4"/>
        <v>3.1002886908497552E-2</v>
      </c>
      <c r="O12" s="998">
        <v>0</v>
      </c>
      <c r="P12" s="988">
        <f>ROUND(O12*$L$88,0)</f>
        <v>0</v>
      </c>
      <c r="Q12" s="988">
        <f>ROUND(P12/$P$88,0)</f>
        <v>0</v>
      </c>
      <c r="R12" s="196">
        <f t="shared" ref="R12" si="15">ROUND(K12*L12*$P$12,0)</f>
        <v>0</v>
      </c>
      <c r="S12" s="1002">
        <f>O12</f>
        <v>0</v>
      </c>
      <c r="T12" s="988">
        <f>ROUND(S12*$L$89,0)</f>
        <v>0</v>
      </c>
      <c r="U12" s="988">
        <f>ROUND(T12/$P$89,0)</f>
        <v>0</v>
      </c>
      <c r="V12" s="196">
        <f t="shared" ref="V12" si="16">ROUND(M12*N12*$T$12*(1-$S$89),0)</f>
        <v>0</v>
      </c>
      <c r="W12" s="193">
        <f>P12*F12</f>
        <v>0</v>
      </c>
      <c r="X12" s="194">
        <f>T12*G12</f>
        <v>0</v>
      </c>
      <c r="Y12" s="195">
        <f t="shared" ref="Y12" si="17">(W12+X12)/$W$86</f>
        <v>0</v>
      </c>
      <c r="Z12" s="985">
        <f>SUM(Y12:Y19)</f>
        <v>0</v>
      </c>
    </row>
    <row r="13" spans="1:64" ht="17.399999999999999" hidden="1" customHeight="1" thickTop="1" x14ac:dyDescent="0.3">
      <c r="A13" s="43"/>
      <c r="B13" s="995" t="s">
        <v>497</v>
      </c>
      <c r="C13" s="179">
        <v>0.01</v>
      </c>
      <c r="D13" s="179">
        <v>10</v>
      </c>
      <c r="E13" s="224">
        <v>1</v>
      </c>
      <c r="F13" s="170">
        <f>'FCD PROJETO'!K15</f>
        <v>3.48</v>
      </c>
      <c r="G13" s="170">
        <f t="shared" ref="G13:G19" si="18">F13*$G$85</f>
        <v>3.48</v>
      </c>
      <c r="H13" s="5"/>
      <c r="I13" s="187">
        <f t="shared" ref="I13:J18" si="19">C13</f>
        <v>0.01</v>
      </c>
      <c r="J13" s="188">
        <f t="shared" si="19"/>
        <v>10</v>
      </c>
      <c r="K13" s="327">
        <v>6.5788592879631915</v>
      </c>
      <c r="L13" s="328">
        <v>0.60826283419103</v>
      </c>
      <c r="M13" s="329">
        <f t="shared" si="3"/>
        <v>6.5788592879631915</v>
      </c>
      <c r="N13" s="330">
        <f t="shared" si="4"/>
        <v>0.60826283419103</v>
      </c>
      <c r="O13" s="999"/>
      <c r="P13" s="989"/>
      <c r="Q13" s="989"/>
      <c r="R13" s="196">
        <f t="shared" ref="R13:R19" si="20">ROUND(K13*L13*$P$12*(1-$S$89),0)</f>
        <v>0</v>
      </c>
      <c r="S13" s="1003"/>
      <c r="T13" s="989"/>
      <c r="U13" s="989"/>
      <c r="V13" s="196">
        <f t="shared" ref="V13:V19" si="21">ROUND(M13*N13*$T$12*(1-$S$89),0)</f>
        <v>0</v>
      </c>
      <c r="W13" s="193">
        <f>ROUND(L13*P12*K13*F13,2)</f>
        <v>0</v>
      </c>
      <c r="X13" s="194">
        <f>ROUND(N13*T12*M13*G13,2)</f>
        <v>0</v>
      </c>
      <c r="Y13" s="195">
        <f t="shared" ref="Y13:Y19" si="22">(W13+X13)/$W$86</f>
        <v>0</v>
      </c>
      <c r="Z13" s="986"/>
    </row>
    <row r="14" spans="1:64" hidden="1" x14ac:dyDescent="0.3">
      <c r="A14" s="43"/>
      <c r="B14" s="996"/>
      <c r="C14" s="180">
        <v>10.01</v>
      </c>
      <c r="D14" s="180">
        <v>15</v>
      </c>
      <c r="E14" s="177">
        <v>1.4</v>
      </c>
      <c r="F14" s="171">
        <f t="shared" ref="F14:F27" si="23">$F$13*E14</f>
        <v>4.8719999999999999</v>
      </c>
      <c r="G14" s="172">
        <f t="shared" si="18"/>
        <v>4.8719999999999999</v>
      </c>
      <c r="H14" s="5"/>
      <c r="I14" s="189">
        <f t="shared" si="19"/>
        <v>10.01</v>
      </c>
      <c r="J14" s="176">
        <f t="shared" si="19"/>
        <v>15</v>
      </c>
      <c r="K14" s="327">
        <v>12.531642070742564</v>
      </c>
      <c r="L14" s="328">
        <v>0.20891766034893899</v>
      </c>
      <c r="M14" s="329">
        <f t="shared" si="3"/>
        <v>12.531642070742564</v>
      </c>
      <c r="N14" s="330">
        <f t="shared" si="4"/>
        <v>0.20891766034893899</v>
      </c>
      <c r="O14" s="999"/>
      <c r="P14" s="989"/>
      <c r="Q14" s="989"/>
      <c r="R14" s="196">
        <f t="shared" si="20"/>
        <v>0</v>
      </c>
      <c r="S14" s="1003"/>
      <c r="T14" s="989"/>
      <c r="U14" s="989"/>
      <c r="V14" s="196">
        <f t="shared" si="21"/>
        <v>0</v>
      </c>
      <c r="W14" s="193">
        <f>ROUND(L14*P12*(J13*F13+(K14-J13)*F14),2)</f>
        <v>0</v>
      </c>
      <c r="X14" s="194">
        <f>ROUND(N14*T12*(J13*G13+(M14-J13)*G14),2)</f>
        <v>0</v>
      </c>
      <c r="Y14" s="195">
        <f t="shared" si="22"/>
        <v>0</v>
      </c>
      <c r="Z14" s="986"/>
    </row>
    <row r="15" spans="1:64" hidden="1" x14ac:dyDescent="0.3">
      <c r="A15" s="43"/>
      <c r="B15" s="996"/>
      <c r="C15" s="180">
        <v>15.01</v>
      </c>
      <c r="D15" s="180">
        <v>20</v>
      </c>
      <c r="E15" s="177">
        <v>1.8</v>
      </c>
      <c r="F15" s="171">
        <f t="shared" si="23"/>
        <v>6.2640000000000002</v>
      </c>
      <c r="G15" s="172">
        <f t="shared" si="18"/>
        <v>6.2640000000000002</v>
      </c>
      <c r="H15" s="5"/>
      <c r="I15" s="190">
        <f t="shared" si="19"/>
        <v>15.01</v>
      </c>
      <c r="J15" s="191">
        <f t="shared" si="19"/>
        <v>20</v>
      </c>
      <c r="K15" s="327">
        <v>17.65704853273138</v>
      </c>
      <c r="L15" s="328">
        <v>0.11120873603614911</v>
      </c>
      <c r="M15" s="329">
        <f t="shared" si="3"/>
        <v>17.65704853273138</v>
      </c>
      <c r="N15" s="330">
        <f t="shared" si="4"/>
        <v>0.11120873603614911</v>
      </c>
      <c r="O15" s="999"/>
      <c r="P15" s="989"/>
      <c r="Q15" s="989"/>
      <c r="R15" s="196">
        <f t="shared" si="20"/>
        <v>0</v>
      </c>
      <c r="S15" s="1003"/>
      <c r="T15" s="989"/>
      <c r="U15" s="989"/>
      <c r="V15" s="196">
        <f t="shared" si="21"/>
        <v>0</v>
      </c>
      <c r="W15" s="193">
        <f>ROUND(L15*P12*(J13*F13+(J14-J13)*F14+(K15-J14)*F15),2)</f>
        <v>0</v>
      </c>
      <c r="X15" s="194">
        <f>ROUND(N15*T12*(J13*G13+(J14-J13)*G14+(M15-J14)*G15),2)</f>
        <v>0</v>
      </c>
      <c r="Y15" s="195">
        <f t="shared" si="22"/>
        <v>0</v>
      </c>
      <c r="Z15" s="986"/>
    </row>
    <row r="16" spans="1:64" hidden="1" x14ac:dyDescent="0.3">
      <c r="A16" s="43"/>
      <c r="B16" s="996"/>
      <c r="C16" s="180">
        <v>20.010000000000002</v>
      </c>
      <c r="D16" s="180">
        <v>30</v>
      </c>
      <c r="E16" s="177">
        <v>2.2000000000000002</v>
      </c>
      <c r="F16" s="171">
        <f>$F$13*E16</f>
        <v>7.6560000000000006</v>
      </c>
      <c r="G16" s="172">
        <f t="shared" si="18"/>
        <v>7.6560000000000006</v>
      </c>
      <c r="H16" s="5"/>
      <c r="I16" s="189">
        <f t="shared" si="19"/>
        <v>20.010000000000002</v>
      </c>
      <c r="J16" s="176">
        <f t="shared" si="19"/>
        <v>30</v>
      </c>
      <c r="K16" s="327">
        <v>23.847932960893857</v>
      </c>
      <c r="L16" s="328">
        <v>5.6169197941508722E-2</v>
      </c>
      <c r="M16" s="329">
        <f t="shared" si="3"/>
        <v>23.847932960893857</v>
      </c>
      <c r="N16" s="330">
        <f t="shared" si="4"/>
        <v>5.6169197941508722E-2</v>
      </c>
      <c r="O16" s="999"/>
      <c r="P16" s="989"/>
      <c r="Q16" s="989"/>
      <c r="R16" s="196">
        <f t="shared" si="20"/>
        <v>0</v>
      </c>
      <c r="S16" s="1003"/>
      <c r="T16" s="989"/>
      <c r="U16" s="989"/>
      <c r="V16" s="196">
        <f t="shared" si="21"/>
        <v>0</v>
      </c>
      <c r="W16" s="193">
        <f>ROUND(L16*P12*(J13*F13+(J14-J13)*F14+(J15-J14)*F15+(K16-J15)*F16),2)</f>
        <v>0</v>
      </c>
      <c r="X16" s="194">
        <f>ROUND(N16*T12*(J13*G13+(J14-J13)*G14+(J15-J14)*G15+(M16-J15)*G16),2)</f>
        <v>0</v>
      </c>
      <c r="Y16" s="195">
        <f t="shared" si="22"/>
        <v>0</v>
      </c>
      <c r="Z16" s="986"/>
    </row>
    <row r="17" spans="1:63" hidden="1" x14ac:dyDescent="0.3">
      <c r="A17" s="43"/>
      <c r="B17" s="996"/>
      <c r="C17" s="180">
        <v>30.01</v>
      </c>
      <c r="D17" s="180">
        <v>50</v>
      </c>
      <c r="E17" s="177">
        <v>2.8</v>
      </c>
      <c r="F17" s="171">
        <f t="shared" si="23"/>
        <v>9.7439999999999998</v>
      </c>
      <c r="G17" s="172">
        <f t="shared" si="18"/>
        <v>9.7439999999999998</v>
      </c>
      <c r="H17" s="5"/>
      <c r="I17" s="190">
        <f t="shared" si="19"/>
        <v>30.01</v>
      </c>
      <c r="J17" s="191">
        <f t="shared" si="19"/>
        <v>50</v>
      </c>
      <c r="K17" s="327">
        <v>36.986238532110093</v>
      </c>
      <c r="L17" s="328">
        <v>1.3681435923183131E-2</v>
      </c>
      <c r="M17" s="329">
        <f t="shared" si="3"/>
        <v>36.986238532110093</v>
      </c>
      <c r="N17" s="330">
        <f t="shared" si="4"/>
        <v>1.3681435923183131E-2</v>
      </c>
      <c r="O17" s="999"/>
      <c r="P17" s="989"/>
      <c r="Q17" s="989"/>
      <c r="R17" s="196">
        <f t="shared" si="20"/>
        <v>0</v>
      </c>
      <c r="S17" s="1003"/>
      <c r="T17" s="989"/>
      <c r="U17" s="989"/>
      <c r="V17" s="196">
        <f t="shared" si="21"/>
        <v>0</v>
      </c>
      <c r="W17" s="193">
        <f>ROUND(L17*P12*(J13*F13+(J14-J13)*F14+(J15-J14)*F15+(J16-J15)*F16+(K17-J16)*F17),2)</f>
        <v>0</v>
      </c>
      <c r="X17" s="194">
        <f>ROUND(N17*T12*(10*G13+(J14-J13)*G14+(J15-J14)*G15+(J16-J15)*G16+(M17-J16)*G17),2)</f>
        <v>0</v>
      </c>
      <c r="Y17" s="195">
        <f t="shared" si="22"/>
        <v>0</v>
      </c>
      <c r="Z17" s="986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</row>
    <row r="18" spans="1:63" hidden="1" x14ac:dyDescent="0.3">
      <c r="A18" s="43"/>
      <c r="B18" s="996"/>
      <c r="C18" s="180">
        <v>50.01</v>
      </c>
      <c r="D18" s="180">
        <v>100</v>
      </c>
      <c r="E18" s="177">
        <v>3.6</v>
      </c>
      <c r="F18" s="171">
        <f t="shared" si="23"/>
        <v>12.528</v>
      </c>
      <c r="G18" s="172">
        <f t="shared" si="18"/>
        <v>12.528</v>
      </c>
      <c r="H18" s="5"/>
      <c r="I18" s="189">
        <f t="shared" si="19"/>
        <v>50.01</v>
      </c>
      <c r="J18" s="176">
        <f t="shared" si="19"/>
        <v>100</v>
      </c>
      <c r="K18" s="327">
        <v>61.78846153846154</v>
      </c>
      <c r="L18" s="328">
        <v>1.6317308899209239E-3</v>
      </c>
      <c r="M18" s="329">
        <f t="shared" si="3"/>
        <v>61.78846153846154</v>
      </c>
      <c r="N18" s="330">
        <f t="shared" si="4"/>
        <v>1.6317308899209239E-3</v>
      </c>
      <c r="O18" s="999"/>
      <c r="P18" s="989"/>
      <c r="Q18" s="989"/>
      <c r="R18" s="196">
        <f t="shared" si="20"/>
        <v>0</v>
      </c>
      <c r="S18" s="1003"/>
      <c r="T18" s="989"/>
      <c r="U18" s="989"/>
      <c r="V18" s="196">
        <f t="shared" si="21"/>
        <v>0</v>
      </c>
      <c r="W18" s="193">
        <f>ROUND(L18*P12*(J13*F13+(J14-J13)*F14+(J15-J14)*F15+(J16-J15)*F16+(J17-J16)*F17+(K18-J17)*F18),2)</f>
        <v>0</v>
      </c>
      <c r="X18" s="194">
        <f>ROUND(N18*T12*(J13*G13+(J14-J13)*G14+(J15-J14)*G15+(J16-J15)*G16+(J17-J16)*G17+(M18-J17)*G18),2)</f>
        <v>0</v>
      </c>
      <c r="Y18" s="195">
        <f t="shared" si="22"/>
        <v>0</v>
      </c>
      <c r="Z18" s="986"/>
    </row>
    <row r="19" spans="1:63" ht="15" hidden="1" thickBot="1" x14ac:dyDescent="0.35">
      <c r="A19" s="43"/>
      <c r="B19" s="997"/>
      <c r="C19" s="993" t="s">
        <v>47</v>
      </c>
      <c r="D19" s="994"/>
      <c r="E19" s="178">
        <v>4.8</v>
      </c>
      <c r="F19" s="173">
        <f t="shared" si="23"/>
        <v>16.704000000000001</v>
      </c>
      <c r="G19" s="174">
        <f t="shared" si="18"/>
        <v>16.704000000000001</v>
      </c>
      <c r="H19" s="5"/>
      <c r="I19" s="991" t="s">
        <v>47</v>
      </c>
      <c r="J19" s="992"/>
      <c r="K19" s="327">
        <v>134</v>
      </c>
      <c r="L19" s="328">
        <v>1.2551776076314799E-4</v>
      </c>
      <c r="M19" s="329">
        <f t="shared" si="3"/>
        <v>134</v>
      </c>
      <c r="N19" s="330">
        <f t="shared" si="4"/>
        <v>1.2551776076314799E-4</v>
      </c>
      <c r="O19" s="1000"/>
      <c r="P19" s="990"/>
      <c r="Q19" s="990"/>
      <c r="R19" s="196">
        <f t="shared" si="20"/>
        <v>0</v>
      </c>
      <c r="S19" s="1004"/>
      <c r="T19" s="990"/>
      <c r="U19" s="990"/>
      <c r="V19" s="196">
        <f t="shared" si="21"/>
        <v>0</v>
      </c>
      <c r="W19" s="193">
        <f>ROUND(L19*P12*(J13*F13+(J14-J13)*F14+(J15-J14)*F15+(J16-J15)*F16+(J17-J16)*F17+(J18-J17)*F18+(K19-J18)*F19),2)</f>
        <v>0</v>
      </c>
      <c r="X19" s="194">
        <f>ROUND(N19*T12*(J13*G13+(J14-J13)*G14+(J15-J14)*G15+(J16-J15)*G16+(J17-J16)*G17+(J18-J17)*G18+(M19-J18)*G19),2)</f>
        <v>0</v>
      </c>
      <c r="Y19" s="195">
        <f t="shared" si="22"/>
        <v>0</v>
      </c>
      <c r="Z19" s="98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</row>
    <row r="20" spans="1:63" ht="16.8" hidden="1" thickTop="1" thickBot="1" x14ac:dyDescent="0.35">
      <c r="A20" s="43"/>
      <c r="B20" s="168"/>
      <c r="C20" s="167" t="s">
        <v>488</v>
      </c>
      <c r="D20" s="167" t="s">
        <v>488</v>
      </c>
      <c r="E20" s="223">
        <v>5</v>
      </c>
      <c r="F20" s="169">
        <f t="shared" si="23"/>
        <v>17.399999999999999</v>
      </c>
      <c r="G20" s="170">
        <f t="shared" ref="G20:G27" si="24">F20*$G$85</f>
        <v>17.399999999999999</v>
      </c>
      <c r="H20" s="5"/>
      <c r="I20" s="187" t="str">
        <f t="shared" ref="I20" si="25">C20</f>
        <v>TBO</v>
      </c>
      <c r="J20" s="188" t="str">
        <f t="shared" ref="J20" si="26">D20</f>
        <v>TBO</v>
      </c>
      <c r="K20" s="327">
        <v>0</v>
      </c>
      <c r="L20" s="328">
        <v>3.1002886908497552E-2</v>
      </c>
      <c r="M20" s="329">
        <f t="shared" si="3"/>
        <v>0</v>
      </c>
      <c r="N20" s="330">
        <f t="shared" si="4"/>
        <v>3.1002886908497552E-2</v>
      </c>
      <c r="O20" s="998">
        <v>0</v>
      </c>
      <c r="P20" s="988">
        <f>ROUND(O20*$L$88,0)</f>
        <v>0</v>
      </c>
      <c r="Q20" s="988">
        <f>ROUND(P20/$P$88,0)</f>
        <v>0</v>
      </c>
      <c r="R20" s="196">
        <f t="shared" ref="R20" si="27">ROUND(K20*L20*$P$20,0)</f>
        <v>0</v>
      </c>
      <c r="S20" s="1002">
        <f>O20</f>
        <v>0</v>
      </c>
      <c r="T20" s="988">
        <f>ROUND(S20*$L$89,0)</f>
        <v>0</v>
      </c>
      <c r="U20" s="988">
        <f>ROUND(T20/$P$89,0)</f>
        <v>0</v>
      </c>
      <c r="V20" s="196">
        <f t="shared" ref="V20:V27" si="28">ROUND(M20*N20*$T$20*(1-$S$89),0)</f>
        <v>0</v>
      </c>
      <c r="W20" s="193">
        <f>P20*F20</f>
        <v>0</v>
      </c>
      <c r="X20" s="194">
        <f>T20*G20</f>
        <v>0</v>
      </c>
      <c r="Y20" s="195">
        <f t="shared" ref="Y20" si="29">(W20+X20)/$W$86</f>
        <v>0</v>
      </c>
      <c r="Z20" s="985">
        <f>SUM(Y20:Y27)</f>
        <v>0</v>
      </c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</row>
    <row r="21" spans="1:63" ht="15" hidden="1" thickTop="1" x14ac:dyDescent="0.3">
      <c r="A21" s="43"/>
      <c r="B21" s="995" t="s">
        <v>498</v>
      </c>
      <c r="C21" s="179">
        <v>0.01</v>
      </c>
      <c r="D21" s="179">
        <v>10</v>
      </c>
      <c r="E21" s="224">
        <v>1.21</v>
      </c>
      <c r="F21" s="169">
        <f t="shared" si="23"/>
        <v>4.2107999999999999</v>
      </c>
      <c r="G21" s="170">
        <f t="shared" si="24"/>
        <v>4.2107999999999999</v>
      </c>
      <c r="H21" s="5"/>
      <c r="I21" s="187">
        <f t="shared" ref="I21:J26" si="30">C21</f>
        <v>0.01</v>
      </c>
      <c r="J21" s="188">
        <f t="shared" si="30"/>
        <v>10</v>
      </c>
      <c r="K21" s="327">
        <v>6.5788592879631915</v>
      </c>
      <c r="L21" s="328">
        <v>0.60826283419103</v>
      </c>
      <c r="M21" s="329">
        <f t="shared" si="3"/>
        <v>6.5788592879631915</v>
      </c>
      <c r="N21" s="330">
        <f t="shared" si="4"/>
        <v>0.60826283419103</v>
      </c>
      <c r="O21" s="999"/>
      <c r="P21" s="989"/>
      <c r="Q21" s="989"/>
      <c r="R21" s="196">
        <f>ROUND(K21*L21*$P$20*(1-$S$89),0)</f>
        <v>0</v>
      </c>
      <c r="S21" s="1003"/>
      <c r="T21" s="989"/>
      <c r="U21" s="989"/>
      <c r="V21" s="196">
        <f t="shared" si="28"/>
        <v>0</v>
      </c>
      <c r="W21" s="193">
        <f>ROUND(L21*P20*K21*F21,2)</f>
        <v>0</v>
      </c>
      <c r="X21" s="194">
        <f>ROUND(N21*T20*M21*G21,2)</f>
        <v>0</v>
      </c>
      <c r="Y21" s="195">
        <f t="shared" ref="Y21:Y27" si="31">(W21+X21)/$W$86</f>
        <v>0</v>
      </c>
      <c r="Z21" s="986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  <c r="BJ21" s="67"/>
      <c r="BK21" s="67"/>
    </row>
    <row r="22" spans="1:63" hidden="1" x14ac:dyDescent="0.3">
      <c r="A22" s="43"/>
      <c r="B22" s="996"/>
      <c r="C22" s="180">
        <v>10.01</v>
      </c>
      <c r="D22" s="180">
        <v>15</v>
      </c>
      <c r="E22" s="177">
        <v>1.694</v>
      </c>
      <c r="F22" s="171">
        <f t="shared" si="23"/>
        <v>5.8951199999999995</v>
      </c>
      <c r="G22" s="172">
        <f t="shared" si="24"/>
        <v>5.8951199999999995</v>
      </c>
      <c r="H22" s="5"/>
      <c r="I22" s="189">
        <f t="shared" si="30"/>
        <v>10.01</v>
      </c>
      <c r="J22" s="176">
        <f t="shared" si="30"/>
        <v>15</v>
      </c>
      <c r="K22" s="327">
        <v>12.531642070742564</v>
      </c>
      <c r="L22" s="328">
        <v>0.20891766034893899</v>
      </c>
      <c r="M22" s="329">
        <f t="shared" si="3"/>
        <v>12.531642070742564</v>
      </c>
      <c r="N22" s="330">
        <f t="shared" si="4"/>
        <v>0.20891766034893899</v>
      </c>
      <c r="O22" s="999"/>
      <c r="P22" s="989"/>
      <c r="Q22" s="989"/>
      <c r="R22" s="196">
        <f t="shared" ref="R22:R27" si="32">ROUND(K22*L22*$P$20*(1-$S$89),0)</f>
        <v>0</v>
      </c>
      <c r="S22" s="1003"/>
      <c r="T22" s="989"/>
      <c r="U22" s="989"/>
      <c r="V22" s="196">
        <f t="shared" si="28"/>
        <v>0</v>
      </c>
      <c r="W22" s="193">
        <f>ROUND(L22*P20*(J21*F21+(K22-J21)*F22),2)</f>
        <v>0</v>
      </c>
      <c r="X22" s="194">
        <f>ROUND(N22*T20*(J21*G21+(M22-J21)*G22),2)</f>
        <v>0</v>
      </c>
      <c r="Y22" s="195">
        <f t="shared" si="31"/>
        <v>0</v>
      </c>
      <c r="Z22" s="986"/>
    </row>
    <row r="23" spans="1:63" hidden="1" x14ac:dyDescent="0.3">
      <c r="A23" s="43"/>
      <c r="B23" s="996"/>
      <c r="C23" s="180">
        <v>15.01</v>
      </c>
      <c r="D23" s="180">
        <v>20</v>
      </c>
      <c r="E23" s="177">
        <v>2.1779999999999999</v>
      </c>
      <c r="F23" s="171">
        <f t="shared" si="23"/>
        <v>7.57944</v>
      </c>
      <c r="G23" s="172">
        <f t="shared" si="24"/>
        <v>7.57944</v>
      </c>
      <c r="H23" s="5"/>
      <c r="I23" s="190">
        <f t="shared" si="30"/>
        <v>15.01</v>
      </c>
      <c r="J23" s="191">
        <f t="shared" si="30"/>
        <v>20</v>
      </c>
      <c r="K23" s="327">
        <v>17.65704853273138</v>
      </c>
      <c r="L23" s="328">
        <v>0.11120873603614911</v>
      </c>
      <c r="M23" s="329">
        <f t="shared" si="3"/>
        <v>17.65704853273138</v>
      </c>
      <c r="N23" s="330">
        <f t="shared" si="4"/>
        <v>0.11120873603614911</v>
      </c>
      <c r="O23" s="999"/>
      <c r="P23" s="989"/>
      <c r="Q23" s="989"/>
      <c r="R23" s="196">
        <f t="shared" si="32"/>
        <v>0</v>
      </c>
      <c r="S23" s="1003"/>
      <c r="T23" s="989"/>
      <c r="U23" s="989"/>
      <c r="V23" s="196">
        <f t="shared" si="28"/>
        <v>0</v>
      </c>
      <c r="W23" s="193">
        <f>ROUND(L23*P20*(J21*F21+(J22-J21)*F22+(K23-J22)*F23),2)</f>
        <v>0</v>
      </c>
      <c r="X23" s="194">
        <f>ROUND(N23*T20*(J21*G21+(J22-J21)*G22+(M23-J22)*G23),2)</f>
        <v>0</v>
      </c>
      <c r="Y23" s="195">
        <f t="shared" si="31"/>
        <v>0</v>
      </c>
      <c r="Z23" s="986"/>
    </row>
    <row r="24" spans="1:63" hidden="1" x14ac:dyDescent="0.3">
      <c r="A24" s="43"/>
      <c r="B24" s="996"/>
      <c r="C24" s="180">
        <v>20.010000000000002</v>
      </c>
      <c r="D24" s="180">
        <v>30</v>
      </c>
      <c r="E24" s="177">
        <v>2.6619999999999999</v>
      </c>
      <c r="F24" s="171">
        <f t="shared" si="23"/>
        <v>9.2637599999999996</v>
      </c>
      <c r="G24" s="172">
        <f t="shared" si="24"/>
        <v>9.2637599999999996</v>
      </c>
      <c r="H24" s="5"/>
      <c r="I24" s="189">
        <f t="shared" si="30"/>
        <v>20.010000000000002</v>
      </c>
      <c r="J24" s="176">
        <f t="shared" si="30"/>
        <v>30</v>
      </c>
      <c r="K24" s="327">
        <v>23.847932960893857</v>
      </c>
      <c r="L24" s="328">
        <v>5.6169197941508722E-2</v>
      </c>
      <c r="M24" s="329">
        <f t="shared" si="3"/>
        <v>23.847932960893857</v>
      </c>
      <c r="N24" s="330">
        <f t="shared" si="4"/>
        <v>5.6169197941508722E-2</v>
      </c>
      <c r="O24" s="999"/>
      <c r="P24" s="989"/>
      <c r="Q24" s="989"/>
      <c r="R24" s="196">
        <f t="shared" si="32"/>
        <v>0</v>
      </c>
      <c r="S24" s="1003"/>
      <c r="T24" s="989"/>
      <c r="U24" s="989"/>
      <c r="V24" s="196">
        <f t="shared" si="28"/>
        <v>0</v>
      </c>
      <c r="W24" s="193">
        <f>ROUND(L24*P20*(J21*F21+(J22-J21)*F22+(J23-J22)*F23+(K24-J23)*F24),2)</f>
        <v>0</v>
      </c>
      <c r="X24" s="194">
        <f>ROUND(N24*T20*(J21*G21+(J22-J21)*G22+(J23-J22)*G23+(M24-J23)*G24),2)</f>
        <v>0</v>
      </c>
      <c r="Y24" s="195">
        <f t="shared" si="31"/>
        <v>0</v>
      </c>
      <c r="Z24" s="986"/>
    </row>
    <row r="25" spans="1:63" hidden="1" x14ac:dyDescent="0.3">
      <c r="A25" s="43"/>
      <c r="B25" s="996"/>
      <c r="C25" s="180">
        <v>30.01</v>
      </c>
      <c r="D25" s="180">
        <v>50</v>
      </c>
      <c r="E25" s="177">
        <v>3.3879999999999999</v>
      </c>
      <c r="F25" s="171">
        <f t="shared" si="23"/>
        <v>11.790239999999999</v>
      </c>
      <c r="G25" s="172">
        <f t="shared" si="24"/>
        <v>11.790239999999999</v>
      </c>
      <c r="H25" s="5"/>
      <c r="I25" s="190">
        <f t="shared" si="30"/>
        <v>30.01</v>
      </c>
      <c r="J25" s="191">
        <f t="shared" si="30"/>
        <v>50</v>
      </c>
      <c r="K25" s="327">
        <v>36.986238532110093</v>
      </c>
      <c r="L25" s="328">
        <v>1.3681435923183131E-2</v>
      </c>
      <c r="M25" s="329">
        <f t="shared" si="3"/>
        <v>36.986238532110093</v>
      </c>
      <c r="N25" s="330">
        <f t="shared" si="4"/>
        <v>1.3681435923183131E-2</v>
      </c>
      <c r="O25" s="999"/>
      <c r="P25" s="989"/>
      <c r="Q25" s="989"/>
      <c r="R25" s="196">
        <f t="shared" si="32"/>
        <v>0</v>
      </c>
      <c r="S25" s="1003"/>
      <c r="T25" s="989"/>
      <c r="U25" s="989"/>
      <c r="V25" s="196">
        <f t="shared" si="28"/>
        <v>0</v>
      </c>
      <c r="W25" s="193">
        <f>ROUND(L25*P20*(J21*F21+(J22-J21)*F22+(J23-J22)*F23+(J24-J23)*F24+(K25-J24)*F25),2)</f>
        <v>0</v>
      </c>
      <c r="X25" s="194">
        <f>ROUND(N25*T20*(10*G21+(J22-J21)*G22+(J23-J22)*G23+(J24-J23)*G24+(M25-J24)*G25),2)</f>
        <v>0</v>
      </c>
      <c r="Y25" s="195">
        <f t="shared" si="31"/>
        <v>0</v>
      </c>
      <c r="Z25" s="986"/>
    </row>
    <row r="26" spans="1:63" hidden="1" x14ac:dyDescent="0.3">
      <c r="A26" s="43"/>
      <c r="B26" s="996"/>
      <c r="C26" s="180">
        <v>50.01</v>
      </c>
      <c r="D26" s="180">
        <v>100</v>
      </c>
      <c r="E26" s="177">
        <v>4.3559999999999999</v>
      </c>
      <c r="F26" s="171">
        <f t="shared" si="23"/>
        <v>15.15888</v>
      </c>
      <c r="G26" s="172">
        <f t="shared" si="24"/>
        <v>15.15888</v>
      </c>
      <c r="H26" s="5"/>
      <c r="I26" s="189">
        <f t="shared" si="30"/>
        <v>50.01</v>
      </c>
      <c r="J26" s="176">
        <f t="shared" si="30"/>
        <v>100</v>
      </c>
      <c r="K26" s="327">
        <v>61.78846153846154</v>
      </c>
      <c r="L26" s="328">
        <v>1.6317308899209239E-3</v>
      </c>
      <c r="M26" s="329">
        <f t="shared" si="3"/>
        <v>61.78846153846154</v>
      </c>
      <c r="N26" s="330">
        <f t="shared" si="4"/>
        <v>1.6317308899209239E-3</v>
      </c>
      <c r="O26" s="999"/>
      <c r="P26" s="989"/>
      <c r="Q26" s="989"/>
      <c r="R26" s="196">
        <f t="shared" si="32"/>
        <v>0</v>
      </c>
      <c r="S26" s="1003"/>
      <c r="T26" s="989"/>
      <c r="U26" s="989"/>
      <c r="V26" s="196">
        <f t="shared" si="28"/>
        <v>0</v>
      </c>
      <c r="W26" s="193">
        <f>ROUND(L26*P20*(J21*F21+(J22-J21)*F22+(J23-J22)*F23+(J24-J23)*F24+(J25-J24)*F25+(K26-J25)*F26),2)</f>
        <v>0</v>
      </c>
      <c r="X26" s="194">
        <f>ROUND(N26*T20*(J21*G21+(J22-J21)*G22+(J23-J22)*G23+(J24-J23)*G24+(J25-J24)*G25+(M26-J25)*G26),2)</f>
        <v>0</v>
      </c>
      <c r="Y26" s="195">
        <f t="shared" si="31"/>
        <v>0</v>
      </c>
      <c r="Z26" s="986"/>
    </row>
    <row r="27" spans="1:63" ht="15" hidden="1" thickBot="1" x14ac:dyDescent="0.35">
      <c r="A27" s="43"/>
      <c r="B27" s="997"/>
      <c r="C27" s="993" t="s">
        <v>47</v>
      </c>
      <c r="D27" s="994"/>
      <c r="E27" s="178">
        <v>5.8079999999999998</v>
      </c>
      <c r="F27" s="173">
        <f t="shared" si="23"/>
        <v>20.211839999999999</v>
      </c>
      <c r="G27" s="174">
        <f t="shared" si="24"/>
        <v>20.211839999999999</v>
      </c>
      <c r="H27" s="5"/>
      <c r="I27" s="991" t="s">
        <v>47</v>
      </c>
      <c r="J27" s="992"/>
      <c r="K27" s="327">
        <v>134</v>
      </c>
      <c r="L27" s="328">
        <v>1.2551776076314799E-4</v>
      </c>
      <c r="M27" s="329">
        <f t="shared" si="3"/>
        <v>134</v>
      </c>
      <c r="N27" s="330">
        <f t="shared" si="4"/>
        <v>1.2551776076314799E-4</v>
      </c>
      <c r="O27" s="1000"/>
      <c r="P27" s="990"/>
      <c r="Q27" s="990"/>
      <c r="R27" s="196">
        <f t="shared" si="32"/>
        <v>0</v>
      </c>
      <c r="S27" s="1004"/>
      <c r="T27" s="990"/>
      <c r="U27" s="990"/>
      <c r="V27" s="196">
        <f t="shared" si="28"/>
        <v>0</v>
      </c>
      <c r="W27" s="193">
        <f>ROUND(L27*P20*(J21*F21+(J22-J21)*F22+(J23-J22)*F23+(J24-J23)*F24+(J25-J24)*F25+(J26-J25)*F26+(K27-J26)*F27),2)</f>
        <v>0</v>
      </c>
      <c r="X27" s="194">
        <f>ROUND(N27*T20*(J21*G21+(J22-J21)*G22+(J23-J22)*G23+(J24-J23)*G24+(J25-J24)*G25+(J26-J25)*G26+(M27-J26)*G27),2)</f>
        <v>0</v>
      </c>
      <c r="Y27" s="195">
        <f t="shared" si="31"/>
        <v>0</v>
      </c>
      <c r="Z27" s="987"/>
    </row>
    <row r="28" spans="1:63" ht="16.8" thickTop="1" thickBot="1" x14ac:dyDescent="0.35">
      <c r="A28" s="43"/>
      <c r="B28" s="168"/>
      <c r="C28" s="167" t="s">
        <v>488</v>
      </c>
      <c r="D28" s="167" t="s">
        <v>488</v>
      </c>
      <c r="E28" s="223">
        <v>5</v>
      </c>
      <c r="F28" s="169">
        <f t="shared" ref="F28:F59" si="33">$F$13*E28</f>
        <v>17.399999999999999</v>
      </c>
      <c r="G28" s="170">
        <f t="shared" ref="G28:G52" si="34">F28*$G$85</f>
        <v>17.399999999999999</v>
      </c>
      <c r="H28" s="5"/>
      <c r="I28" s="187" t="str">
        <f t="shared" ref="I28" si="35">C28</f>
        <v>TBO</v>
      </c>
      <c r="J28" s="188" t="str">
        <f t="shared" ref="J28" si="36">D28</f>
        <v>TBO</v>
      </c>
      <c r="K28" s="327">
        <v>0</v>
      </c>
      <c r="L28" s="328">
        <v>3.1002886908497552E-2</v>
      </c>
      <c r="M28" s="329">
        <f t="shared" si="3"/>
        <v>0</v>
      </c>
      <c r="N28" s="330">
        <f t="shared" si="4"/>
        <v>3.1002886908497552E-2</v>
      </c>
      <c r="O28" s="998">
        <v>0.86530000000000007</v>
      </c>
      <c r="P28" s="988">
        <f>ROUND(O28*$L$88,0)</f>
        <v>21561</v>
      </c>
      <c r="Q28" s="988">
        <f>ROUND(P28/$P$88,0)</f>
        <v>16279</v>
      </c>
      <c r="R28" s="196">
        <f t="shared" ref="R28" si="37">ROUND(K28*L28*$P$28,0)</f>
        <v>0</v>
      </c>
      <c r="S28" s="1002">
        <f>O28</f>
        <v>0.86530000000000007</v>
      </c>
      <c r="T28" s="988">
        <f>ROUND(S28*$L$89,0)</f>
        <v>21561</v>
      </c>
      <c r="U28" s="988">
        <f>ROUND(T28/$P$89,0)</f>
        <v>16279</v>
      </c>
      <c r="V28" s="196">
        <f t="shared" ref="V28:V35" si="38">ROUND(M28*N28*$T$28*(1-$S$89),0)</f>
        <v>0</v>
      </c>
      <c r="W28" s="193">
        <f>P28*F28</f>
        <v>375161.39999999997</v>
      </c>
      <c r="X28" s="194">
        <f>T28*G28</f>
        <v>375161.39999999997</v>
      </c>
      <c r="Y28" s="195">
        <f t="shared" ref="Y28:Y35" si="39">(W28+X28)/$W$86</f>
        <v>0.13933500134094023</v>
      </c>
      <c r="Z28" s="985">
        <f>SUM(Y28:Y35)</f>
        <v>0.65803561185222559</v>
      </c>
    </row>
    <row r="29" spans="1:63" ht="15" thickTop="1" x14ac:dyDescent="0.3">
      <c r="A29" s="43"/>
      <c r="B29" s="995" t="s">
        <v>503</v>
      </c>
      <c r="C29" s="179">
        <v>0.01</v>
      </c>
      <c r="D29" s="179">
        <v>10</v>
      </c>
      <c r="E29" s="224">
        <v>1.36</v>
      </c>
      <c r="F29" s="169">
        <f t="shared" si="33"/>
        <v>4.7328000000000001</v>
      </c>
      <c r="G29" s="170">
        <f t="shared" si="34"/>
        <v>4.7328000000000001</v>
      </c>
      <c r="H29" s="5"/>
      <c r="I29" s="187">
        <f t="shared" ref="I29:J34" si="40">C29</f>
        <v>0.01</v>
      </c>
      <c r="J29" s="188">
        <f t="shared" si="40"/>
        <v>10</v>
      </c>
      <c r="K29" s="327">
        <v>6.5788592879631915</v>
      </c>
      <c r="L29" s="328">
        <v>0.38826283419103003</v>
      </c>
      <c r="M29" s="329">
        <f t="shared" si="3"/>
        <v>6.5788592879631915</v>
      </c>
      <c r="N29" s="330">
        <f t="shared" si="4"/>
        <v>0.38826283419103003</v>
      </c>
      <c r="O29" s="999"/>
      <c r="P29" s="989"/>
      <c r="Q29" s="989"/>
      <c r="R29" s="196">
        <f t="shared" ref="R29:R35" si="41">ROUND(K29*L29*$P$28*(1-$S$89),0)</f>
        <v>52320</v>
      </c>
      <c r="S29" s="1003"/>
      <c r="T29" s="989"/>
      <c r="U29" s="989"/>
      <c r="V29" s="196">
        <f t="shared" si="38"/>
        <v>52320</v>
      </c>
      <c r="W29" s="193">
        <f>ROUND(L29*P28*K29*F29,2)</f>
        <v>260653.45</v>
      </c>
      <c r="X29" s="194">
        <f>ROUND(N29*T28*M29*G29,2)</f>
        <v>260653.45</v>
      </c>
      <c r="Y29" s="195">
        <f t="shared" si="39"/>
        <v>9.6806731196948034E-2</v>
      </c>
      <c r="Z29" s="986"/>
    </row>
    <row r="30" spans="1:63" x14ac:dyDescent="0.3">
      <c r="A30" s="43"/>
      <c r="B30" s="996"/>
      <c r="C30" s="180">
        <v>10.01</v>
      </c>
      <c r="D30" s="180">
        <v>15</v>
      </c>
      <c r="E30" s="177">
        <v>1.9039999999999999</v>
      </c>
      <c r="F30" s="171">
        <f t="shared" si="33"/>
        <v>6.6259199999999998</v>
      </c>
      <c r="G30" s="172">
        <f t="shared" si="34"/>
        <v>6.6259199999999998</v>
      </c>
      <c r="H30" s="5"/>
      <c r="I30" s="189">
        <f t="shared" si="40"/>
        <v>10.01</v>
      </c>
      <c r="J30" s="176">
        <f t="shared" si="40"/>
        <v>15</v>
      </c>
      <c r="K30" s="327">
        <v>12.531642070742564</v>
      </c>
      <c r="L30" s="328">
        <v>0.37791766034890001</v>
      </c>
      <c r="M30" s="329">
        <f t="shared" si="3"/>
        <v>12.531642070742564</v>
      </c>
      <c r="N30" s="330">
        <f t="shared" si="4"/>
        <v>0.37791766034890001</v>
      </c>
      <c r="O30" s="999"/>
      <c r="P30" s="989"/>
      <c r="Q30" s="989"/>
      <c r="R30" s="196">
        <f t="shared" si="41"/>
        <v>97006</v>
      </c>
      <c r="S30" s="1003"/>
      <c r="T30" s="989"/>
      <c r="U30" s="989"/>
      <c r="V30" s="196">
        <f t="shared" si="38"/>
        <v>97006</v>
      </c>
      <c r="W30" s="193">
        <f>ROUND(L30*P28*(J29*F29+(K30-J29)*F30),2)</f>
        <v>522324.95</v>
      </c>
      <c r="X30" s="194">
        <f>ROUND(N30*T28*(J29*G29+(M30-J29)*G30),2)</f>
        <v>522324.95</v>
      </c>
      <c r="Y30" s="195">
        <f t="shared" si="39"/>
        <v>0.19399156631960685</v>
      </c>
      <c r="Z30" s="986"/>
    </row>
    <row r="31" spans="1:63" x14ac:dyDescent="0.3">
      <c r="A31" s="43"/>
      <c r="B31" s="996"/>
      <c r="C31" s="180">
        <v>15.01</v>
      </c>
      <c r="D31" s="180">
        <v>20</v>
      </c>
      <c r="E31" s="177">
        <v>2.4480000000000004</v>
      </c>
      <c r="F31" s="171">
        <f t="shared" si="33"/>
        <v>8.5190400000000022</v>
      </c>
      <c r="G31" s="172">
        <f t="shared" si="34"/>
        <v>8.5190400000000022</v>
      </c>
      <c r="H31" s="5"/>
      <c r="I31" s="190">
        <f t="shared" si="40"/>
        <v>15.01</v>
      </c>
      <c r="J31" s="191">
        <f t="shared" si="40"/>
        <v>20</v>
      </c>
      <c r="K31" s="327">
        <v>17.65704853273138</v>
      </c>
      <c r="L31" s="328">
        <v>0.13120873603614899</v>
      </c>
      <c r="M31" s="329">
        <f t="shared" si="3"/>
        <v>17.65704853273138</v>
      </c>
      <c r="N31" s="330">
        <f t="shared" si="4"/>
        <v>0.13120873603614899</v>
      </c>
      <c r="O31" s="999"/>
      <c r="P31" s="989"/>
      <c r="Q31" s="989"/>
      <c r="R31" s="196">
        <f t="shared" si="41"/>
        <v>47454</v>
      </c>
      <c r="S31" s="1003"/>
      <c r="T31" s="989"/>
      <c r="U31" s="989"/>
      <c r="V31" s="196">
        <f t="shared" si="38"/>
        <v>47454</v>
      </c>
      <c r="W31" s="193">
        <f>ROUND(L31*P28*(J29*F29+(J30-J29)*F30+(K31-J30)*F31),2)</f>
        <v>291649.52</v>
      </c>
      <c r="X31" s="194">
        <f>ROUND(N31*T28*(J29*G29+(J30-J29)*G30+(M31-J30)*G31),2)</f>
        <v>291649.52</v>
      </c>
      <c r="Y31" s="195">
        <f t="shared" si="39"/>
        <v>0.10831867633579728</v>
      </c>
      <c r="Z31" s="986"/>
    </row>
    <row r="32" spans="1:63" x14ac:dyDescent="0.3">
      <c r="A32" s="43"/>
      <c r="B32" s="996"/>
      <c r="C32" s="180">
        <v>20.010000000000002</v>
      </c>
      <c r="D32" s="180">
        <v>30</v>
      </c>
      <c r="E32" s="177">
        <v>2.9920000000000004</v>
      </c>
      <c r="F32" s="171">
        <f t="shared" si="33"/>
        <v>10.412160000000002</v>
      </c>
      <c r="G32" s="172">
        <f t="shared" si="34"/>
        <v>10.412160000000002</v>
      </c>
      <c r="H32" s="5"/>
      <c r="I32" s="189">
        <f t="shared" si="40"/>
        <v>20.010000000000002</v>
      </c>
      <c r="J32" s="176">
        <f t="shared" si="40"/>
        <v>30</v>
      </c>
      <c r="K32" s="327">
        <v>23.847932960893857</v>
      </c>
      <c r="L32" s="328">
        <v>5.6169197941508722E-2</v>
      </c>
      <c r="M32" s="329">
        <f t="shared" si="3"/>
        <v>23.847932960893857</v>
      </c>
      <c r="N32" s="330">
        <f t="shared" si="4"/>
        <v>5.6169197941508722E-2</v>
      </c>
      <c r="O32" s="999"/>
      <c r="P32" s="989"/>
      <c r="Q32" s="989"/>
      <c r="R32" s="196">
        <f t="shared" si="41"/>
        <v>27437</v>
      </c>
      <c r="S32" s="1003"/>
      <c r="T32" s="989"/>
      <c r="U32" s="989"/>
      <c r="V32" s="196">
        <f t="shared" si="38"/>
        <v>27437</v>
      </c>
      <c r="W32" s="193">
        <f>ROUND(L32*P28*(J29*F29+(J30-J29)*F30+(J31-J30)*F31+(K32-J31)*F32),2)</f>
        <v>197546.46</v>
      </c>
      <c r="X32" s="194">
        <f>ROUND(N32*T28*(J29*G29+(J30-J29)*G30+(J31-J30)*G31+(M32-J31)*G32),2)</f>
        <v>197546.46</v>
      </c>
      <c r="Y32" s="195">
        <f t="shared" si="39"/>
        <v>7.3368785458733224E-2</v>
      </c>
      <c r="Z32" s="986"/>
    </row>
    <row r="33" spans="1:26" x14ac:dyDescent="0.3">
      <c r="A33" s="43"/>
      <c r="B33" s="996"/>
      <c r="C33" s="180">
        <v>30.01</v>
      </c>
      <c r="D33" s="180">
        <v>50</v>
      </c>
      <c r="E33" s="177">
        <v>3.8079999999999998</v>
      </c>
      <c r="F33" s="171">
        <f t="shared" si="33"/>
        <v>13.25184</v>
      </c>
      <c r="G33" s="172">
        <f t="shared" si="34"/>
        <v>13.25184</v>
      </c>
      <c r="H33" s="5"/>
      <c r="I33" s="190">
        <f t="shared" si="40"/>
        <v>30.01</v>
      </c>
      <c r="J33" s="191">
        <f t="shared" si="40"/>
        <v>50</v>
      </c>
      <c r="K33" s="327">
        <v>36.986238532110093</v>
      </c>
      <c r="L33" s="328">
        <v>1.3681435923183131E-2</v>
      </c>
      <c r="M33" s="329">
        <f t="shared" si="3"/>
        <v>36.986238532110093</v>
      </c>
      <c r="N33" s="330">
        <f t="shared" si="4"/>
        <v>1.3681435923183131E-2</v>
      </c>
      <c r="O33" s="999"/>
      <c r="P33" s="989"/>
      <c r="Q33" s="989"/>
      <c r="R33" s="196">
        <f t="shared" si="41"/>
        <v>10365</v>
      </c>
      <c r="S33" s="1003"/>
      <c r="T33" s="989"/>
      <c r="U33" s="989"/>
      <c r="V33" s="196">
        <f t="shared" si="38"/>
        <v>10365</v>
      </c>
      <c r="W33" s="193">
        <f>ROUND(L33*P28*(J29*F29+(J30-J29)*F30+(J31-J30)*F31+(J32-J31)*F32+(K33-J32)*F33),2)</f>
        <v>94323.04</v>
      </c>
      <c r="X33" s="194">
        <f>ROUND(N33*T28*(10*G29+(J30-J29)*G30+(J31-J30)*G31+(J32-J31)*G32+(M33-J32)*G33),2)</f>
        <v>94323.04</v>
      </c>
      <c r="Y33" s="195">
        <f t="shared" si="39"/>
        <v>3.5031591482709998E-2</v>
      </c>
      <c r="Z33" s="986"/>
    </row>
    <row r="34" spans="1:26" x14ac:dyDescent="0.3">
      <c r="A34" s="43"/>
      <c r="B34" s="996"/>
      <c r="C34" s="180">
        <v>50.01</v>
      </c>
      <c r="D34" s="180">
        <v>100</v>
      </c>
      <c r="E34" s="177">
        <v>4.8960000000000008</v>
      </c>
      <c r="F34" s="171">
        <f t="shared" si="33"/>
        <v>17.038080000000004</v>
      </c>
      <c r="G34" s="172">
        <f t="shared" si="34"/>
        <v>17.038080000000004</v>
      </c>
      <c r="H34" s="5"/>
      <c r="I34" s="189">
        <f t="shared" si="40"/>
        <v>50.01</v>
      </c>
      <c r="J34" s="176">
        <f t="shared" si="40"/>
        <v>100</v>
      </c>
      <c r="K34" s="327">
        <v>61.78846153846154</v>
      </c>
      <c r="L34" s="328">
        <v>1.6317308899209239E-3</v>
      </c>
      <c r="M34" s="329">
        <f t="shared" si="3"/>
        <v>61.78846153846154</v>
      </c>
      <c r="N34" s="330">
        <f t="shared" si="4"/>
        <v>1.6317308899209239E-3</v>
      </c>
      <c r="O34" s="999"/>
      <c r="P34" s="989"/>
      <c r="Q34" s="989"/>
      <c r="R34" s="196">
        <f t="shared" si="41"/>
        <v>2065</v>
      </c>
      <c r="S34" s="1003"/>
      <c r="T34" s="989"/>
      <c r="U34" s="989"/>
      <c r="V34" s="196">
        <f t="shared" si="38"/>
        <v>2065</v>
      </c>
      <c r="W34" s="193">
        <f>ROUND(L34*P28*(J29*F29+(J30-J29)*F30+(J31-J30)*F31+(J32-J31)*F32+(J33-J32)*F33+(K34-J33)*F34),2)</f>
        <v>24383.200000000001</v>
      </c>
      <c r="X34" s="194">
        <f>ROUND(N34*T28*(J29*G29+(J30-J29)*G30+(J31-J30)*G31+(J32-J31)*G32+(J33-J32)*G33+(M34-J33)*G34),2)</f>
        <v>24383.200000000001</v>
      </c>
      <c r="Y34" s="195">
        <f t="shared" si="39"/>
        <v>9.0559242094107074E-3</v>
      </c>
      <c r="Z34" s="986"/>
    </row>
    <row r="35" spans="1:26" ht="15" thickBot="1" x14ac:dyDescent="0.35">
      <c r="A35" s="43"/>
      <c r="B35" s="997"/>
      <c r="C35" s="993" t="s">
        <v>47</v>
      </c>
      <c r="D35" s="994"/>
      <c r="E35" s="178">
        <v>6.5280000000000005</v>
      </c>
      <c r="F35" s="173">
        <f t="shared" si="33"/>
        <v>22.71744</v>
      </c>
      <c r="G35" s="174">
        <f t="shared" si="34"/>
        <v>22.71744</v>
      </c>
      <c r="H35" s="5"/>
      <c r="I35" s="991" t="s">
        <v>47</v>
      </c>
      <c r="J35" s="992"/>
      <c r="K35" s="327">
        <v>134</v>
      </c>
      <c r="L35" s="328">
        <v>1.2551776076314799E-4</v>
      </c>
      <c r="M35" s="329">
        <f t="shared" si="3"/>
        <v>134</v>
      </c>
      <c r="N35" s="330">
        <f t="shared" si="4"/>
        <v>1.2551776076314799E-4</v>
      </c>
      <c r="O35" s="1001"/>
      <c r="P35" s="990"/>
      <c r="Q35" s="990"/>
      <c r="R35" s="196">
        <f t="shared" si="41"/>
        <v>345</v>
      </c>
      <c r="S35" s="1004"/>
      <c r="T35" s="990"/>
      <c r="U35" s="990"/>
      <c r="V35" s="196">
        <f t="shared" si="38"/>
        <v>345</v>
      </c>
      <c r="W35" s="193">
        <f>ROUND(L35*P28*(J29*F29+(J30-J29)*F30+(J31-J30)*F31+(J32-J31)*F32+(J33-J32)*F33+(J34-J33)*F34+(K35-J34)*F35),2)</f>
        <v>5727.88</v>
      </c>
      <c r="X35" s="194">
        <f>ROUND(N35*T28*(J29*G29+(J30-J29)*G30+(J31-J30)*G31+(J32-J31)*G32+(J33-J32)*G33+(J34-J33)*G34+(M35-J34)*G35),2)</f>
        <v>5727.88</v>
      </c>
      <c r="Y35" s="195">
        <f t="shared" si="39"/>
        <v>2.1273355080793088E-3</v>
      </c>
      <c r="Z35" s="987"/>
    </row>
    <row r="36" spans="1:26" ht="16.8" hidden="1" thickTop="1" thickBot="1" x14ac:dyDescent="0.35">
      <c r="A36" s="43"/>
      <c r="B36" s="168"/>
      <c r="C36" s="167" t="s">
        <v>488</v>
      </c>
      <c r="D36" s="167" t="s">
        <v>488</v>
      </c>
      <c r="E36" s="223">
        <v>7</v>
      </c>
      <c r="F36" s="169">
        <f t="shared" si="33"/>
        <v>24.36</v>
      </c>
      <c r="G36" s="170">
        <f t="shared" si="34"/>
        <v>24.36</v>
      </c>
      <c r="H36" s="5"/>
      <c r="I36" s="187" t="str">
        <f t="shared" ref="I36" si="42">C36</f>
        <v>TBO</v>
      </c>
      <c r="J36" s="188" t="str">
        <f t="shared" ref="J36" si="43">D36</f>
        <v>TBO</v>
      </c>
      <c r="K36" s="327">
        <v>0</v>
      </c>
      <c r="L36" s="328">
        <v>3.1002886908497552E-2</v>
      </c>
      <c r="M36" s="329">
        <f t="shared" si="3"/>
        <v>0</v>
      </c>
      <c r="N36" s="330">
        <f t="shared" si="4"/>
        <v>3.1002886908497552E-2</v>
      </c>
      <c r="O36" s="998">
        <v>0</v>
      </c>
      <c r="P36" s="988">
        <f>ROUND(O36*$L$88,0)</f>
        <v>0</v>
      </c>
      <c r="Q36" s="988">
        <f>ROUND(P36/$P$88,0)</f>
        <v>0</v>
      </c>
      <c r="R36" s="196">
        <f t="shared" ref="R36" si="44">ROUND(K36*L36*$P$36,0)</f>
        <v>0</v>
      </c>
      <c r="S36" s="1002">
        <f>O36</f>
        <v>0</v>
      </c>
      <c r="T36" s="988">
        <f>ROUND(S36*$L$89,0)</f>
        <v>0</v>
      </c>
      <c r="U36" s="988">
        <f>ROUND(T36/$P$89,0)</f>
        <v>0</v>
      </c>
      <c r="V36" s="196">
        <f t="shared" ref="V36:V43" si="45">ROUND(M36*N36*$T$36*(1-$S$89),0)</f>
        <v>0</v>
      </c>
      <c r="W36" s="193">
        <f>P36*F36</f>
        <v>0</v>
      </c>
      <c r="X36" s="194">
        <f>T36*G36</f>
        <v>0</v>
      </c>
      <c r="Y36" s="195">
        <f t="shared" ref="Y36" si="46">(W36+X36)/$W$86</f>
        <v>0</v>
      </c>
      <c r="Z36" s="985">
        <f>SUM(Y36:Y43)</f>
        <v>0</v>
      </c>
    </row>
    <row r="37" spans="1:26" ht="15" hidden="1" thickTop="1" x14ac:dyDescent="0.3">
      <c r="A37" s="43"/>
      <c r="B37" s="995" t="s">
        <v>499</v>
      </c>
      <c r="C37" s="179">
        <v>0.01</v>
      </c>
      <c r="D37" s="179">
        <v>10</v>
      </c>
      <c r="E37" s="224">
        <v>1.9392</v>
      </c>
      <c r="F37" s="169">
        <f t="shared" si="33"/>
        <v>6.7484159999999997</v>
      </c>
      <c r="G37" s="170">
        <f t="shared" si="34"/>
        <v>6.7484159999999997</v>
      </c>
      <c r="H37" s="5"/>
      <c r="I37" s="187">
        <f t="shared" ref="I37:J42" si="47">C37</f>
        <v>0.01</v>
      </c>
      <c r="J37" s="188">
        <f t="shared" si="47"/>
        <v>10</v>
      </c>
      <c r="K37" s="327">
        <v>6.5788592879631915</v>
      </c>
      <c r="L37" s="328">
        <v>0.36826283419103001</v>
      </c>
      <c r="M37" s="329">
        <f t="shared" si="3"/>
        <v>6.5788592879631915</v>
      </c>
      <c r="N37" s="330">
        <f t="shared" si="4"/>
        <v>0.36826283419103001</v>
      </c>
      <c r="O37" s="999"/>
      <c r="P37" s="989"/>
      <c r="Q37" s="989"/>
      <c r="R37" s="196">
        <f>ROUND(K37*L37*$P$36*(1-$S$89),0)</f>
        <v>0</v>
      </c>
      <c r="S37" s="1003"/>
      <c r="T37" s="989"/>
      <c r="U37" s="989"/>
      <c r="V37" s="196">
        <f t="shared" si="45"/>
        <v>0</v>
      </c>
      <c r="W37" s="193">
        <f>ROUND(L37*P36*K37*F37,2)</f>
        <v>0</v>
      </c>
      <c r="X37" s="194">
        <f>ROUND(N37*T36*M37*G37,2)</f>
        <v>0</v>
      </c>
      <c r="Y37" s="195">
        <f t="shared" ref="Y37:Y43" si="48">(W37+X37)/$W$86</f>
        <v>0</v>
      </c>
      <c r="Z37" s="986"/>
    </row>
    <row r="38" spans="1:26" hidden="1" x14ac:dyDescent="0.3">
      <c r="A38" s="43"/>
      <c r="B38" s="996"/>
      <c r="C38" s="180">
        <v>10.01</v>
      </c>
      <c r="D38" s="180">
        <v>15</v>
      </c>
      <c r="E38" s="177">
        <v>2.71488</v>
      </c>
      <c r="F38" s="171">
        <f t="shared" si="33"/>
        <v>9.4477823999999995</v>
      </c>
      <c r="G38" s="172">
        <f t="shared" si="34"/>
        <v>9.4477823999999995</v>
      </c>
      <c r="H38" s="5"/>
      <c r="I38" s="189">
        <f t="shared" si="47"/>
        <v>10.01</v>
      </c>
      <c r="J38" s="176">
        <f t="shared" si="47"/>
        <v>15</v>
      </c>
      <c r="K38" s="327">
        <v>12.531642070742564</v>
      </c>
      <c r="L38" s="328">
        <v>0.37791766034890001</v>
      </c>
      <c r="M38" s="329">
        <f t="shared" si="3"/>
        <v>12.531642070742564</v>
      </c>
      <c r="N38" s="330">
        <f t="shared" si="4"/>
        <v>0.37791766034890001</v>
      </c>
      <c r="O38" s="999"/>
      <c r="P38" s="989"/>
      <c r="Q38" s="989"/>
      <c r="R38" s="196">
        <f t="shared" ref="R38:R43" si="49">ROUND(K38*L38*$P$36*(1-$S$89),0)</f>
        <v>0</v>
      </c>
      <c r="S38" s="1003"/>
      <c r="T38" s="989"/>
      <c r="U38" s="989"/>
      <c r="V38" s="196">
        <f t="shared" si="45"/>
        <v>0</v>
      </c>
      <c r="W38" s="193">
        <f>ROUND(L38*P36*(J37*F37+(K38-J37)*F38),2)</f>
        <v>0</v>
      </c>
      <c r="X38" s="194">
        <f>ROUND(N38*T36*(J37*G37+(M38-J37)*G38),2)</f>
        <v>0</v>
      </c>
      <c r="Y38" s="195">
        <f t="shared" si="48"/>
        <v>0</v>
      </c>
      <c r="Z38" s="986"/>
    </row>
    <row r="39" spans="1:26" hidden="1" x14ac:dyDescent="0.3">
      <c r="A39" s="43"/>
      <c r="B39" s="996"/>
      <c r="C39" s="180">
        <v>15.01</v>
      </c>
      <c r="D39" s="180">
        <v>20</v>
      </c>
      <c r="E39" s="177">
        <v>3.4905600000000003</v>
      </c>
      <c r="F39" s="171">
        <f t="shared" si="33"/>
        <v>12.147148800000002</v>
      </c>
      <c r="G39" s="172">
        <f t="shared" si="34"/>
        <v>12.147148800000002</v>
      </c>
      <c r="H39" s="5"/>
      <c r="I39" s="190">
        <f t="shared" si="47"/>
        <v>15.01</v>
      </c>
      <c r="J39" s="191">
        <f t="shared" si="47"/>
        <v>20</v>
      </c>
      <c r="K39" s="327">
        <v>17.65704853273138</v>
      </c>
      <c r="L39" s="328">
        <v>0.13120873603614899</v>
      </c>
      <c r="M39" s="329">
        <f t="shared" si="3"/>
        <v>17.65704853273138</v>
      </c>
      <c r="N39" s="330">
        <f t="shared" si="4"/>
        <v>0.13120873603614899</v>
      </c>
      <c r="O39" s="999"/>
      <c r="P39" s="989"/>
      <c r="Q39" s="989"/>
      <c r="R39" s="196">
        <f t="shared" si="49"/>
        <v>0</v>
      </c>
      <c r="S39" s="1003"/>
      <c r="T39" s="989"/>
      <c r="U39" s="989"/>
      <c r="V39" s="196">
        <f t="shared" si="45"/>
        <v>0</v>
      </c>
      <c r="W39" s="193">
        <f>ROUND(L39*P36*(J37*F37+(J38-J37)*F38+(K39-J38)*F39),2)</f>
        <v>0</v>
      </c>
      <c r="X39" s="194">
        <f>ROUND(N39*T36*(J37*G37+(J38-J37)*G38+(M39-J38)*G39),2)</f>
        <v>0</v>
      </c>
      <c r="Y39" s="195">
        <f t="shared" si="48"/>
        <v>0</v>
      </c>
      <c r="Z39" s="986"/>
    </row>
    <row r="40" spans="1:26" hidden="1" x14ac:dyDescent="0.3">
      <c r="A40" s="43"/>
      <c r="B40" s="996"/>
      <c r="C40" s="180">
        <v>20.010000000000002</v>
      </c>
      <c r="D40" s="180">
        <v>30</v>
      </c>
      <c r="E40" s="177">
        <v>4.2662400000000007</v>
      </c>
      <c r="F40" s="171">
        <f t="shared" si="33"/>
        <v>14.846515200000002</v>
      </c>
      <c r="G40" s="172">
        <f t="shared" si="34"/>
        <v>14.846515200000002</v>
      </c>
      <c r="H40" s="5"/>
      <c r="I40" s="189">
        <f t="shared" si="47"/>
        <v>20.010000000000002</v>
      </c>
      <c r="J40" s="176">
        <f t="shared" si="47"/>
        <v>30</v>
      </c>
      <c r="K40" s="327">
        <v>23.847932960893857</v>
      </c>
      <c r="L40" s="328">
        <v>6.6169197941508703E-2</v>
      </c>
      <c r="M40" s="329">
        <f t="shared" si="3"/>
        <v>23.847932960893857</v>
      </c>
      <c r="N40" s="330">
        <f t="shared" si="4"/>
        <v>6.6169197941508703E-2</v>
      </c>
      <c r="O40" s="999"/>
      <c r="P40" s="989"/>
      <c r="Q40" s="989"/>
      <c r="R40" s="196">
        <f t="shared" si="49"/>
        <v>0</v>
      </c>
      <c r="S40" s="1003"/>
      <c r="T40" s="989"/>
      <c r="U40" s="989"/>
      <c r="V40" s="196">
        <f t="shared" si="45"/>
        <v>0</v>
      </c>
      <c r="W40" s="193">
        <f>ROUND(L40*P36*(J37*F37+(J38-J37)*F38+(J39-J38)*F39+(K40-J39)*F40),2)</f>
        <v>0</v>
      </c>
      <c r="X40" s="194">
        <f>ROUND(N40*T36*(J37*G37+(J38-J37)*G38+(J39-J38)*G39+(M40-J39)*G40),2)</f>
        <v>0</v>
      </c>
      <c r="Y40" s="195">
        <f t="shared" si="48"/>
        <v>0</v>
      </c>
      <c r="Z40" s="986"/>
    </row>
    <row r="41" spans="1:26" hidden="1" x14ac:dyDescent="0.3">
      <c r="A41" s="43"/>
      <c r="B41" s="996"/>
      <c r="C41" s="180">
        <v>30.01</v>
      </c>
      <c r="D41" s="180">
        <v>50</v>
      </c>
      <c r="E41" s="177">
        <v>5.4297599999999999</v>
      </c>
      <c r="F41" s="171">
        <f t="shared" si="33"/>
        <v>18.895564799999999</v>
      </c>
      <c r="G41" s="172">
        <f t="shared" si="34"/>
        <v>18.895564799999999</v>
      </c>
      <c r="H41" s="5"/>
      <c r="I41" s="190">
        <f t="shared" si="47"/>
        <v>30.01</v>
      </c>
      <c r="J41" s="191">
        <f t="shared" si="47"/>
        <v>50</v>
      </c>
      <c r="K41" s="327">
        <v>36.986238532110093</v>
      </c>
      <c r="L41" s="328">
        <v>2.36814359231831E-2</v>
      </c>
      <c r="M41" s="329">
        <f t="shared" si="3"/>
        <v>36.986238532110093</v>
      </c>
      <c r="N41" s="330">
        <f t="shared" si="4"/>
        <v>2.36814359231831E-2</v>
      </c>
      <c r="O41" s="999"/>
      <c r="P41" s="989"/>
      <c r="Q41" s="989"/>
      <c r="R41" s="196">
        <f t="shared" si="49"/>
        <v>0</v>
      </c>
      <c r="S41" s="1003"/>
      <c r="T41" s="989"/>
      <c r="U41" s="989"/>
      <c r="V41" s="196">
        <f t="shared" si="45"/>
        <v>0</v>
      </c>
      <c r="W41" s="193">
        <f>ROUND(L41*P36*(J37*F37+(J38-J37)*F38+(J39-J38)*F39+(J40-J39)*F40+(K41-J40)*F41),2)</f>
        <v>0</v>
      </c>
      <c r="X41" s="194">
        <f>ROUND(N41*T36*(10*G37+(J38-J37)*G38+(J39-J38)*G39+(J40-J39)*G40+(M41-J40)*G41),2)</f>
        <v>0</v>
      </c>
      <c r="Y41" s="195">
        <f t="shared" si="48"/>
        <v>0</v>
      </c>
      <c r="Z41" s="986"/>
    </row>
    <row r="42" spans="1:26" hidden="1" x14ac:dyDescent="0.3">
      <c r="A42" s="43"/>
      <c r="B42" s="996"/>
      <c r="C42" s="180">
        <v>50.01</v>
      </c>
      <c r="D42" s="180">
        <v>100</v>
      </c>
      <c r="E42" s="177">
        <v>6.9811200000000007</v>
      </c>
      <c r="F42" s="171">
        <f t="shared" si="33"/>
        <v>24.294297600000004</v>
      </c>
      <c r="G42" s="172">
        <f t="shared" si="34"/>
        <v>24.294297600000004</v>
      </c>
      <c r="H42" s="5"/>
      <c r="I42" s="189">
        <f t="shared" si="47"/>
        <v>50.01</v>
      </c>
      <c r="J42" s="176">
        <f t="shared" si="47"/>
        <v>100</v>
      </c>
      <c r="K42" s="327">
        <v>61.78846153846154</v>
      </c>
      <c r="L42" s="328">
        <v>1.6317308899209239E-3</v>
      </c>
      <c r="M42" s="329">
        <f t="shared" si="3"/>
        <v>61.78846153846154</v>
      </c>
      <c r="N42" s="330">
        <f t="shared" si="4"/>
        <v>1.6317308899209239E-3</v>
      </c>
      <c r="O42" s="999"/>
      <c r="P42" s="989"/>
      <c r="Q42" s="989"/>
      <c r="R42" s="196">
        <f t="shared" si="49"/>
        <v>0</v>
      </c>
      <c r="S42" s="1003"/>
      <c r="T42" s="989"/>
      <c r="U42" s="989"/>
      <c r="V42" s="196">
        <f t="shared" si="45"/>
        <v>0</v>
      </c>
      <c r="W42" s="193">
        <f>ROUND(L42*P36*(J37*F37+(J38-J37)*F38+(J39-J38)*F39+(J40-J39)*F40+(J41-J40)*F41+(K42-J41)*F42),2)</f>
        <v>0</v>
      </c>
      <c r="X42" s="194">
        <f>ROUND(N42*T36*(J37*G37+(J38-J37)*G38+(J39-J38)*G39+(J40-J39)*G40+(J41-J40)*G41+(M42-J41)*G42),2)</f>
        <v>0</v>
      </c>
      <c r="Y42" s="195">
        <f t="shared" si="48"/>
        <v>0</v>
      </c>
      <c r="Z42" s="986"/>
    </row>
    <row r="43" spans="1:26" ht="15" hidden="1" thickBot="1" x14ac:dyDescent="0.35">
      <c r="A43" s="43"/>
      <c r="B43" s="997"/>
      <c r="C43" s="993" t="s">
        <v>47</v>
      </c>
      <c r="D43" s="994"/>
      <c r="E43" s="178">
        <v>9.3081599999999991</v>
      </c>
      <c r="F43" s="173">
        <f t="shared" si="33"/>
        <v>32.3923968</v>
      </c>
      <c r="G43" s="174">
        <f t="shared" si="34"/>
        <v>32.3923968</v>
      </c>
      <c r="H43" s="5"/>
      <c r="I43" s="991" t="s">
        <v>47</v>
      </c>
      <c r="J43" s="992"/>
      <c r="K43" s="327">
        <v>134</v>
      </c>
      <c r="L43" s="328">
        <v>1.2551776076314799E-4</v>
      </c>
      <c r="M43" s="329">
        <f t="shared" si="3"/>
        <v>134</v>
      </c>
      <c r="N43" s="330">
        <f t="shared" si="4"/>
        <v>1.2551776076314799E-4</v>
      </c>
      <c r="O43" s="1000"/>
      <c r="P43" s="990"/>
      <c r="Q43" s="990"/>
      <c r="R43" s="196">
        <f t="shared" si="49"/>
        <v>0</v>
      </c>
      <c r="S43" s="1004"/>
      <c r="T43" s="990"/>
      <c r="U43" s="990"/>
      <c r="V43" s="196">
        <f t="shared" si="45"/>
        <v>0</v>
      </c>
      <c r="W43" s="193">
        <f>ROUND(L43*P36*(J37*F37+(J38-J37)*F38+(J39-J38)*F39+(J40-J39)*F40+(J41-J40)*F41+(J42-J41)*F42+(K43-J42)*F43),2)</f>
        <v>0</v>
      </c>
      <c r="X43" s="194">
        <f>ROUND(N43*T36*(J37*G37+(J38-J37)*G38+(J39-J38)*G39+(J40-J39)*G40+(J41-J40)*G41+(J42-J41)*G42+(M43-J42)*G43),2)</f>
        <v>0</v>
      </c>
      <c r="Y43" s="195">
        <f t="shared" si="48"/>
        <v>0</v>
      </c>
      <c r="Z43" s="987"/>
    </row>
    <row r="44" spans="1:26" ht="16.8" hidden="1" thickTop="1" thickBot="1" x14ac:dyDescent="0.35">
      <c r="A44" s="43"/>
      <c r="B44" s="168"/>
      <c r="C44" s="167" t="s">
        <v>488</v>
      </c>
      <c r="D44" s="167" t="s">
        <v>488</v>
      </c>
      <c r="E44" s="223">
        <v>7</v>
      </c>
      <c r="F44" s="169">
        <f t="shared" si="33"/>
        <v>24.36</v>
      </c>
      <c r="G44" s="170">
        <f t="shared" si="34"/>
        <v>24.36</v>
      </c>
      <c r="H44" s="5"/>
      <c r="I44" s="187" t="str">
        <f t="shared" ref="I44" si="50">C44</f>
        <v>TBO</v>
      </c>
      <c r="J44" s="188" t="str">
        <f t="shared" ref="J44" si="51">D44</f>
        <v>TBO</v>
      </c>
      <c r="K44" s="327">
        <v>0</v>
      </c>
      <c r="L44" s="328">
        <v>3.1002886908497552E-2</v>
      </c>
      <c r="M44" s="329">
        <f t="shared" si="3"/>
        <v>0</v>
      </c>
      <c r="N44" s="330">
        <f t="shared" si="4"/>
        <v>3.1002886908497552E-2</v>
      </c>
      <c r="O44" s="998">
        <v>0</v>
      </c>
      <c r="P44" s="988">
        <f>ROUND(O44*$L$88,0)</f>
        <v>0</v>
      </c>
      <c r="Q44" s="988">
        <f>ROUND(P44/$P$88,0)</f>
        <v>0</v>
      </c>
      <c r="R44" s="196">
        <f t="shared" ref="R44" si="52">ROUND(K44*L44*$P$44,0)</f>
        <v>0</v>
      </c>
      <c r="S44" s="1002">
        <f>O44</f>
        <v>0</v>
      </c>
      <c r="T44" s="988">
        <f>ROUND(S44*$L$89,0)</f>
        <v>0</v>
      </c>
      <c r="U44" s="988">
        <f>ROUND(T44/$P$89,0)</f>
        <v>0</v>
      </c>
      <c r="V44" s="196">
        <f t="shared" ref="V44:V51" si="53">ROUND(M44*N44*$T$44*(1-$S$89),0)</f>
        <v>0</v>
      </c>
      <c r="W44" s="193">
        <f>P44*F44</f>
        <v>0</v>
      </c>
      <c r="X44" s="194">
        <f>T44*G44</f>
        <v>0</v>
      </c>
      <c r="Y44" s="195">
        <f t="shared" ref="Y44" si="54">(W44+X44)/$W$86</f>
        <v>0</v>
      </c>
      <c r="Z44" s="985">
        <f>SUM(Y44:Y51)</f>
        <v>0</v>
      </c>
    </row>
    <row r="45" spans="1:26" ht="15" hidden="1" thickTop="1" x14ac:dyDescent="0.3">
      <c r="A45" s="43"/>
      <c r="B45" s="995" t="s">
        <v>500</v>
      </c>
      <c r="C45" s="179">
        <v>0.01</v>
      </c>
      <c r="D45" s="179">
        <v>10</v>
      </c>
      <c r="E45" s="224">
        <v>2.4</v>
      </c>
      <c r="F45" s="169">
        <f t="shared" si="33"/>
        <v>8.3520000000000003</v>
      </c>
      <c r="G45" s="170">
        <f t="shared" si="34"/>
        <v>8.3520000000000003</v>
      </c>
      <c r="H45" s="5"/>
      <c r="I45" s="187">
        <f t="shared" ref="I45:J50" si="55">C45</f>
        <v>0.01</v>
      </c>
      <c r="J45" s="188">
        <f t="shared" si="55"/>
        <v>10</v>
      </c>
      <c r="K45" s="327">
        <v>6.5788592879631915</v>
      </c>
      <c r="L45" s="328">
        <v>0.30826283419103001</v>
      </c>
      <c r="M45" s="329">
        <f t="shared" si="3"/>
        <v>6.5788592879631915</v>
      </c>
      <c r="N45" s="330">
        <f t="shared" si="4"/>
        <v>0.30826283419103001</v>
      </c>
      <c r="O45" s="999"/>
      <c r="P45" s="989"/>
      <c r="Q45" s="989"/>
      <c r="R45" s="196">
        <f>ROUND(K45*L45*$P$44*(1-$S$89),0)</f>
        <v>0</v>
      </c>
      <c r="S45" s="1003"/>
      <c r="T45" s="989"/>
      <c r="U45" s="989"/>
      <c r="V45" s="196">
        <f t="shared" si="53"/>
        <v>0</v>
      </c>
      <c r="W45" s="193">
        <f>ROUND(L45*P44*K45*F45,2)</f>
        <v>0</v>
      </c>
      <c r="X45" s="194">
        <f>ROUND(N45*T44*M45*G45,2)</f>
        <v>0</v>
      </c>
      <c r="Y45" s="195">
        <f t="shared" ref="Y45:Y51" si="56">(W45+X45)/$W$86</f>
        <v>0</v>
      </c>
      <c r="Z45" s="986"/>
    </row>
    <row r="46" spans="1:26" hidden="1" x14ac:dyDescent="0.3">
      <c r="A46" s="43"/>
      <c r="B46" s="996"/>
      <c r="C46" s="180">
        <v>10.01</v>
      </c>
      <c r="D46" s="180">
        <v>15</v>
      </c>
      <c r="E46" s="177">
        <v>3.36</v>
      </c>
      <c r="F46" s="171">
        <f t="shared" si="33"/>
        <v>11.6928</v>
      </c>
      <c r="G46" s="172">
        <f t="shared" si="34"/>
        <v>11.6928</v>
      </c>
      <c r="H46" s="5"/>
      <c r="I46" s="189">
        <f t="shared" si="55"/>
        <v>10.01</v>
      </c>
      <c r="J46" s="176">
        <f t="shared" si="55"/>
        <v>15</v>
      </c>
      <c r="K46" s="327">
        <v>12.531642070742564</v>
      </c>
      <c r="L46" s="328">
        <v>0.32791766034890002</v>
      </c>
      <c r="M46" s="329">
        <f t="shared" si="3"/>
        <v>12.531642070742564</v>
      </c>
      <c r="N46" s="330">
        <f t="shared" si="4"/>
        <v>0.32791766034890002</v>
      </c>
      <c r="O46" s="999"/>
      <c r="P46" s="989"/>
      <c r="Q46" s="989"/>
      <c r="R46" s="196">
        <f t="shared" ref="R46:R51" si="57">ROUND(K46*L46*$P$44*(1-$S$89),0)</f>
        <v>0</v>
      </c>
      <c r="S46" s="1003"/>
      <c r="T46" s="989"/>
      <c r="U46" s="989"/>
      <c r="V46" s="196">
        <f t="shared" si="53"/>
        <v>0</v>
      </c>
      <c r="W46" s="193">
        <f>ROUND(L46*P44*(J45*F45+(K46-J45)*F46),2)</f>
        <v>0</v>
      </c>
      <c r="X46" s="194">
        <f>ROUND(N46*T44*(J45*G45+(M46-J45)*G46),2)</f>
        <v>0</v>
      </c>
      <c r="Y46" s="195">
        <f t="shared" si="56"/>
        <v>0</v>
      </c>
      <c r="Z46" s="986"/>
    </row>
    <row r="47" spans="1:26" hidden="1" x14ac:dyDescent="0.3">
      <c r="A47" s="43"/>
      <c r="B47" s="996"/>
      <c r="C47" s="180">
        <v>15.01</v>
      </c>
      <c r="D47" s="180">
        <v>20</v>
      </c>
      <c r="E47" s="177">
        <v>4.32</v>
      </c>
      <c r="F47" s="171">
        <f t="shared" si="33"/>
        <v>15.033600000000002</v>
      </c>
      <c r="G47" s="172">
        <f t="shared" si="34"/>
        <v>15.033600000000002</v>
      </c>
      <c r="H47" s="5"/>
      <c r="I47" s="190">
        <f t="shared" si="55"/>
        <v>15.01</v>
      </c>
      <c r="J47" s="191">
        <f t="shared" si="55"/>
        <v>20</v>
      </c>
      <c r="K47" s="327">
        <v>17.65704853273138</v>
      </c>
      <c r="L47" s="328">
        <v>0.15120873603614901</v>
      </c>
      <c r="M47" s="329">
        <f t="shared" si="3"/>
        <v>17.65704853273138</v>
      </c>
      <c r="N47" s="330">
        <f t="shared" si="4"/>
        <v>0.15120873603614901</v>
      </c>
      <c r="O47" s="999"/>
      <c r="P47" s="989"/>
      <c r="Q47" s="989"/>
      <c r="R47" s="196">
        <f t="shared" si="57"/>
        <v>0</v>
      </c>
      <c r="S47" s="1003"/>
      <c r="T47" s="989"/>
      <c r="U47" s="989"/>
      <c r="V47" s="196">
        <f t="shared" si="53"/>
        <v>0</v>
      </c>
      <c r="W47" s="193">
        <f>ROUND(L47*P44*(J45*F45+(J46-J45)*F46+(K47-J46)*F47),2)</f>
        <v>0</v>
      </c>
      <c r="X47" s="194">
        <f>ROUND(N47*T44*(J45*G45+(J46-J45)*G46+(M47-J46)*G47),2)</f>
        <v>0</v>
      </c>
      <c r="Y47" s="195">
        <f t="shared" si="56"/>
        <v>0</v>
      </c>
      <c r="Z47" s="986"/>
    </row>
    <row r="48" spans="1:26" hidden="1" x14ac:dyDescent="0.3">
      <c r="A48" s="43"/>
      <c r="B48" s="996"/>
      <c r="C48" s="180">
        <v>20.010000000000002</v>
      </c>
      <c r="D48" s="180">
        <v>30</v>
      </c>
      <c r="E48" s="177">
        <v>5.28</v>
      </c>
      <c r="F48" s="171">
        <f t="shared" si="33"/>
        <v>18.374400000000001</v>
      </c>
      <c r="G48" s="172">
        <f t="shared" si="34"/>
        <v>18.374400000000001</v>
      </c>
      <c r="H48" s="5"/>
      <c r="I48" s="189">
        <f t="shared" si="55"/>
        <v>20.010000000000002</v>
      </c>
      <c r="J48" s="176">
        <f t="shared" si="55"/>
        <v>30</v>
      </c>
      <c r="K48" s="327">
        <v>23.847932960893857</v>
      </c>
      <c r="L48" s="328">
        <v>8.6169197941507999E-2</v>
      </c>
      <c r="M48" s="329">
        <f t="shared" si="3"/>
        <v>23.847932960893857</v>
      </c>
      <c r="N48" s="330">
        <f t="shared" si="4"/>
        <v>8.6169197941507999E-2</v>
      </c>
      <c r="O48" s="999"/>
      <c r="P48" s="989"/>
      <c r="Q48" s="989"/>
      <c r="R48" s="196">
        <f t="shared" si="57"/>
        <v>0</v>
      </c>
      <c r="S48" s="1003"/>
      <c r="T48" s="989"/>
      <c r="U48" s="989"/>
      <c r="V48" s="196">
        <f t="shared" si="53"/>
        <v>0</v>
      </c>
      <c r="W48" s="193">
        <f>ROUND(L48*P44*(J45*F45+(J46-J45)*F46+(J47-J46)*F47+(K48-J47)*F48),2)</f>
        <v>0</v>
      </c>
      <c r="X48" s="194">
        <f>ROUND(N48*T44*(J45*G45+(J46-J45)*G46+(J47-J46)*G47+(M48-J47)*G48),2)</f>
        <v>0</v>
      </c>
      <c r="Y48" s="195">
        <f t="shared" si="56"/>
        <v>0</v>
      </c>
      <c r="Z48" s="986"/>
    </row>
    <row r="49" spans="1:26" hidden="1" x14ac:dyDescent="0.3">
      <c r="A49" s="43"/>
      <c r="B49" s="996"/>
      <c r="C49" s="180">
        <v>30.01</v>
      </c>
      <c r="D49" s="180">
        <v>50</v>
      </c>
      <c r="E49" s="177">
        <v>6.72</v>
      </c>
      <c r="F49" s="171">
        <f t="shared" si="33"/>
        <v>23.3856</v>
      </c>
      <c r="G49" s="172">
        <f t="shared" si="34"/>
        <v>23.3856</v>
      </c>
      <c r="H49" s="5"/>
      <c r="I49" s="190">
        <f t="shared" si="55"/>
        <v>30.01</v>
      </c>
      <c r="J49" s="191">
        <f t="shared" si="55"/>
        <v>50</v>
      </c>
      <c r="K49" s="327">
        <v>36.986238532110093</v>
      </c>
      <c r="L49" s="328">
        <v>6.3681435923182997E-2</v>
      </c>
      <c r="M49" s="329">
        <f t="shared" si="3"/>
        <v>36.986238532110093</v>
      </c>
      <c r="N49" s="330">
        <f t="shared" si="4"/>
        <v>6.3681435923182997E-2</v>
      </c>
      <c r="O49" s="999"/>
      <c r="P49" s="989"/>
      <c r="Q49" s="989"/>
      <c r="R49" s="196">
        <f t="shared" si="57"/>
        <v>0</v>
      </c>
      <c r="S49" s="1003"/>
      <c r="T49" s="989"/>
      <c r="U49" s="989"/>
      <c r="V49" s="196">
        <f t="shared" si="53"/>
        <v>0</v>
      </c>
      <c r="W49" s="193">
        <f>ROUND(L49*P44*(J45*F45+(J46-J45)*F46+(J47-J46)*F47+(J48-J47)*F48+(K49-J48)*F49),2)</f>
        <v>0</v>
      </c>
      <c r="X49" s="194">
        <f>ROUND(N49*T44*(10*G45+(J46-J45)*G46+(J47-J46)*G47+(J48-J47)*G48+(M49-J48)*G49),2)</f>
        <v>0</v>
      </c>
      <c r="Y49" s="195">
        <f t="shared" si="56"/>
        <v>0</v>
      </c>
      <c r="Z49" s="986"/>
    </row>
    <row r="50" spans="1:26" hidden="1" x14ac:dyDescent="0.3">
      <c r="A50" s="43"/>
      <c r="B50" s="996"/>
      <c r="C50" s="180">
        <v>50.01</v>
      </c>
      <c r="D50" s="180">
        <v>100</v>
      </c>
      <c r="E50" s="177">
        <v>8.64</v>
      </c>
      <c r="F50" s="171">
        <f t="shared" si="33"/>
        <v>30.067200000000003</v>
      </c>
      <c r="G50" s="172">
        <f t="shared" si="34"/>
        <v>30.067200000000003</v>
      </c>
      <c r="H50" s="5"/>
      <c r="I50" s="189">
        <f t="shared" si="55"/>
        <v>50.01</v>
      </c>
      <c r="J50" s="176">
        <f t="shared" si="55"/>
        <v>100</v>
      </c>
      <c r="K50" s="327">
        <v>61.78846153846154</v>
      </c>
      <c r="L50" s="328">
        <v>3.1631730889920898E-2</v>
      </c>
      <c r="M50" s="329">
        <f t="shared" si="3"/>
        <v>61.78846153846154</v>
      </c>
      <c r="N50" s="330">
        <f t="shared" si="4"/>
        <v>3.1631730889920898E-2</v>
      </c>
      <c r="O50" s="999"/>
      <c r="P50" s="989"/>
      <c r="Q50" s="989"/>
      <c r="R50" s="196">
        <f t="shared" si="57"/>
        <v>0</v>
      </c>
      <c r="S50" s="1003"/>
      <c r="T50" s="989"/>
      <c r="U50" s="989"/>
      <c r="V50" s="196">
        <f t="shared" si="53"/>
        <v>0</v>
      </c>
      <c r="W50" s="193">
        <f>ROUND(L50*P44*(J45*F45+(J46-J45)*F46+(J47-J46)*F47+(J48-J47)*F48+(J49-J48)*F49+(K50-J49)*F50),2)</f>
        <v>0</v>
      </c>
      <c r="X50" s="194">
        <f>ROUND(N50*T44*(J45*G45+(J46-J45)*G46+(J47-J46)*G47+(J48-J47)*G48+(J49-J48)*G49+(M50-J49)*G50),2)</f>
        <v>0</v>
      </c>
      <c r="Y50" s="195">
        <f t="shared" si="56"/>
        <v>0</v>
      </c>
      <c r="Z50" s="986"/>
    </row>
    <row r="51" spans="1:26" ht="15" hidden="1" thickBot="1" x14ac:dyDescent="0.35">
      <c r="A51" s="43"/>
      <c r="B51" s="997"/>
      <c r="C51" s="993" t="s">
        <v>47</v>
      </c>
      <c r="D51" s="994"/>
      <c r="E51" s="178">
        <v>11.52</v>
      </c>
      <c r="F51" s="173">
        <f t="shared" si="33"/>
        <v>40.089599999999997</v>
      </c>
      <c r="G51" s="174">
        <f t="shared" si="34"/>
        <v>40.089599999999997</v>
      </c>
      <c r="H51" s="5"/>
      <c r="I51" s="991" t="s">
        <v>47</v>
      </c>
      <c r="J51" s="992"/>
      <c r="K51" s="327">
        <v>134</v>
      </c>
      <c r="L51" s="328">
        <v>1.2551776076314799E-4</v>
      </c>
      <c r="M51" s="329">
        <f t="shared" si="3"/>
        <v>134</v>
      </c>
      <c r="N51" s="330">
        <f t="shared" si="4"/>
        <v>1.2551776076314799E-4</v>
      </c>
      <c r="O51" s="1000"/>
      <c r="P51" s="990"/>
      <c r="Q51" s="990"/>
      <c r="R51" s="196">
        <f t="shared" si="57"/>
        <v>0</v>
      </c>
      <c r="S51" s="1004"/>
      <c r="T51" s="990"/>
      <c r="U51" s="990"/>
      <c r="V51" s="196">
        <f t="shared" si="53"/>
        <v>0</v>
      </c>
      <c r="W51" s="193">
        <f>ROUND(L51*P44*(J45*F45+(J46-J45)*F46+(J47-J46)*F47+(J48-J47)*F48+(J49-J48)*F49+(J50-J49)*F50+(K51-J50)*F51),2)</f>
        <v>0</v>
      </c>
      <c r="X51" s="194">
        <f>ROUND(N51*T44*(J45*G45+(J46-J45)*G46+(J47-J46)*G47+(J48-J47)*G48+(J49-J48)*G49+(J50-J49)*G50+(M51-J50)*G51),2)</f>
        <v>0</v>
      </c>
      <c r="Y51" s="195">
        <f t="shared" si="56"/>
        <v>0</v>
      </c>
      <c r="Z51" s="987"/>
    </row>
    <row r="52" spans="1:26" ht="16.8" thickTop="1" thickBot="1" x14ac:dyDescent="0.35">
      <c r="A52" s="43"/>
      <c r="B52" s="168"/>
      <c r="C52" s="167" t="s">
        <v>488</v>
      </c>
      <c r="D52" s="167" t="s">
        <v>488</v>
      </c>
      <c r="E52" s="223">
        <v>8</v>
      </c>
      <c r="F52" s="169">
        <f t="shared" si="33"/>
        <v>27.84</v>
      </c>
      <c r="G52" s="170">
        <f t="shared" si="34"/>
        <v>27.84</v>
      </c>
      <c r="H52" s="5"/>
      <c r="I52" s="187" t="str">
        <f t="shared" ref="I52" si="58">C52</f>
        <v>TBO</v>
      </c>
      <c r="J52" s="188" t="str">
        <f t="shared" ref="J52" si="59">D52</f>
        <v>TBO</v>
      </c>
      <c r="K52" s="327">
        <v>0</v>
      </c>
      <c r="L52" s="328">
        <v>8.118971061093247E-2</v>
      </c>
      <c r="M52" s="329">
        <f t="shared" si="3"/>
        <v>0</v>
      </c>
      <c r="N52" s="330">
        <f t="shared" si="4"/>
        <v>8.118971061093247E-2</v>
      </c>
      <c r="O52" s="998">
        <v>7.0699999999999999E-2</v>
      </c>
      <c r="P52" s="988">
        <f>ROUND(O52*$L$88,0)</f>
        <v>1762</v>
      </c>
      <c r="Q52" s="988">
        <f>ROUND(P52/$P$88,0)</f>
        <v>1330</v>
      </c>
      <c r="R52" s="196">
        <f t="shared" ref="R52" si="60">ROUND(K52*L52*$P$52,0)</f>
        <v>0</v>
      </c>
      <c r="S52" s="1002">
        <f>O52</f>
        <v>7.0699999999999999E-2</v>
      </c>
      <c r="T52" s="988">
        <f>ROUND(S52*$L$89,0)</f>
        <v>1762</v>
      </c>
      <c r="U52" s="988">
        <f>ROUND(T52/$P$89,0)</f>
        <v>1330</v>
      </c>
      <c r="V52" s="196">
        <f t="shared" ref="V52:V59" si="61">ROUND(M52*N52*$T$52*(1-$S$89),0)</f>
        <v>0</v>
      </c>
      <c r="W52" s="193">
        <f>P52*F52</f>
        <v>49054.080000000002</v>
      </c>
      <c r="X52" s="194">
        <f>T52*G52</f>
        <v>49054.080000000002</v>
      </c>
      <c r="Y52" s="195">
        <f t="shared" ref="Y52" si="62">(W52+X52)/$W$86</f>
        <v>1.8218692814822076E-2</v>
      </c>
      <c r="Z52" s="985">
        <f>SUM(Y52:Y59)</f>
        <v>0.13461242184208755</v>
      </c>
    </row>
    <row r="53" spans="1:26" ht="15.75" customHeight="1" thickTop="1" x14ac:dyDescent="0.3">
      <c r="A53" s="43"/>
      <c r="B53" s="995" t="s">
        <v>494</v>
      </c>
      <c r="C53" s="179">
        <v>0.01</v>
      </c>
      <c r="D53" s="179">
        <v>10</v>
      </c>
      <c r="E53" s="224">
        <v>2.4</v>
      </c>
      <c r="F53" s="169">
        <f t="shared" si="33"/>
        <v>8.3520000000000003</v>
      </c>
      <c r="G53" s="170">
        <f t="shared" ref="G53:G77" si="63">F53*$G$85</f>
        <v>8.3520000000000003</v>
      </c>
      <c r="H53" s="5"/>
      <c r="I53" s="187">
        <f t="shared" ref="I53:J58" si="64">C53</f>
        <v>0.01</v>
      </c>
      <c r="J53" s="188">
        <f t="shared" si="64"/>
        <v>10</v>
      </c>
      <c r="K53" s="327">
        <v>4.6943864229765007</v>
      </c>
      <c r="L53" s="328">
        <v>0.61575562700964626</v>
      </c>
      <c r="M53" s="329">
        <f t="shared" si="3"/>
        <v>4.6943864229765007</v>
      </c>
      <c r="N53" s="330">
        <f t="shared" si="4"/>
        <v>0.61575562700964626</v>
      </c>
      <c r="O53" s="999"/>
      <c r="P53" s="989"/>
      <c r="Q53" s="989"/>
      <c r="R53" s="196">
        <f>ROUND(K53*L53*$P$52*(1-$S$89),0)</f>
        <v>4839</v>
      </c>
      <c r="S53" s="1003"/>
      <c r="T53" s="989"/>
      <c r="U53" s="989"/>
      <c r="V53" s="196">
        <f t="shared" si="61"/>
        <v>4839</v>
      </c>
      <c r="W53" s="193">
        <f>ROUND(L53*P52*K53*F53,2)</f>
        <v>42538.64</v>
      </c>
      <c r="X53" s="194">
        <f>ROUND(N53*T52*M53*G53,2)</f>
        <v>42538.64</v>
      </c>
      <c r="Y53" s="195">
        <f t="shared" ref="Y53:Y59" si="65">(W53+X53)/$W$86</f>
        <v>1.5798857402285454E-2</v>
      </c>
      <c r="Z53" s="986"/>
    </row>
    <row r="54" spans="1:26" ht="15" customHeight="1" x14ac:dyDescent="0.3">
      <c r="A54" s="43"/>
      <c r="B54" s="996"/>
      <c r="C54" s="180">
        <v>10.01</v>
      </c>
      <c r="D54" s="180">
        <v>15</v>
      </c>
      <c r="E54" s="177">
        <v>3.36</v>
      </c>
      <c r="F54" s="171">
        <f t="shared" si="33"/>
        <v>11.6928</v>
      </c>
      <c r="G54" s="172">
        <f t="shared" si="63"/>
        <v>11.6928</v>
      </c>
      <c r="H54" s="5"/>
      <c r="I54" s="189">
        <f t="shared" si="64"/>
        <v>10.01</v>
      </c>
      <c r="J54" s="176">
        <f t="shared" si="64"/>
        <v>15</v>
      </c>
      <c r="K54" s="327">
        <v>12.561200000000001</v>
      </c>
      <c r="L54" s="328">
        <v>0.12057877813504823</v>
      </c>
      <c r="M54" s="329">
        <f t="shared" si="3"/>
        <v>12.561200000000001</v>
      </c>
      <c r="N54" s="330">
        <f t="shared" si="4"/>
        <v>0.12057877813504823</v>
      </c>
      <c r="O54" s="999"/>
      <c r="P54" s="989"/>
      <c r="Q54" s="989"/>
      <c r="R54" s="196">
        <f t="shared" ref="R54:R59" si="66">ROUND(K54*L54*$P$52*(1-$S$89),0)</f>
        <v>2535</v>
      </c>
      <c r="S54" s="1003"/>
      <c r="T54" s="989"/>
      <c r="U54" s="989"/>
      <c r="V54" s="196">
        <f t="shared" si="61"/>
        <v>2535</v>
      </c>
      <c r="W54" s="193">
        <f>ROUND(L54*P52*(J53*F53+(K54-J53)*F54),2)</f>
        <v>24107.3</v>
      </c>
      <c r="X54" s="194">
        <f>ROUND(N54*T52*(J53*G53+(M54-J53)*G54),2)</f>
        <v>24107.3</v>
      </c>
      <c r="Y54" s="195">
        <f t="shared" si="65"/>
        <v>8.9534549072117983E-3</v>
      </c>
      <c r="Z54" s="986"/>
    </row>
    <row r="55" spans="1:26" ht="15" customHeight="1" x14ac:dyDescent="0.3">
      <c r="A55" s="43"/>
      <c r="B55" s="996"/>
      <c r="C55" s="180">
        <v>15.01</v>
      </c>
      <c r="D55" s="180">
        <v>20</v>
      </c>
      <c r="E55" s="177">
        <v>4.32</v>
      </c>
      <c r="F55" s="171">
        <f t="shared" si="33"/>
        <v>15.033600000000002</v>
      </c>
      <c r="G55" s="172">
        <f t="shared" si="63"/>
        <v>15.033600000000002</v>
      </c>
      <c r="H55" s="5"/>
      <c r="I55" s="190">
        <f t="shared" si="64"/>
        <v>15.01</v>
      </c>
      <c r="J55" s="191">
        <f t="shared" si="64"/>
        <v>20</v>
      </c>
      <c r="K55" s="327">
        <v>17.648307692307689</v>
      </c>
      <c r="L55" s="328">
        <v>5.2250803858520899E-2</v>
      </c>
      <c r="M55" s="329">
        <f t="shared" si="3"/>
        <v>17.648307692307689</v>
      </c>
      <c r="N55" s="330">
        <f t="shared" si="4"/>
        <v>5.2250803858520899E-2</v>
      </c>
      <c r="O55" s="999"/>
      <c r="P55" s="989"/>
      <c r="Q55" s="989"/>
      <c r="R55" s="196">
        <f t="shared" si="66"/>
        <v>1544</v>
      </c>
      <c r="S55" s="1003"/>
      <c r="T55" s="989"/>
      <c r="U55" s="989"/>
      <c r="V55" s="196">
        <f t="shared" si="61"/>
        <v>1544</v>
      </c>
      <c r="W55" s="193">
        <f>ROUND(L55*P52*(J53*F53+(J54-J53)*F54+(K55-J54)*F55),2)</f>
        <v>16737.36</v>
      </c>
      <c r="X55" s="194">
        <f>ROUND(N55*T52*(J53*G53+(J54-J53)*G54+(M55-J54)*G55),2)</f>
        <v>16737.36</v>
      </c>
      <c r="Y55" s="195">
        <f t="shared" si="65"/>
        <v>6.2162580639793961E-3</v>
      </c>
      <c r="Z55" s="986"/>
    </row>
    <row r="56" spans="1:26" ht="15" customHeight="1" x14ac:dyDescent="0.3">
      <c r="A56" s="43"/>
      <c r="B56" s="996"/>
      <c r="C56" s="180">
        <v>20.010000000000002</v>
      </c>
      <c r="D56" s="180">
        <v>30</v>
      </c>
      <c r="E56" s="177">
        <v>5.28</v>
      </c>
      <c r="F56" s="171">
        <f t="shared" si="33"/>
        <v>18.374400000000001</v>
      </c>
      <c r="G56" s="172">
        <f t="shared" si="63"/>
        <v>18.374400000000001</v>
      </c>
      <c r="H56" s="5"/>
      <c r="I56" s="189">
        <f t="shared" si="64"/>
        <v>20.010000000000002</v>
      </c>
      <c r="J56" s="176">
        <f t="shared" si="64"/>
        <v>30</v>
      </c>
      <c r="K56" s="327">
        <v>24.551125000000003</v>
      </c>
      <c r="L56" s="328">
        <v>6.4308681672025719E-2</v>
      </c>
      <c r="M56" s="329">
        <f t="shared" si="3"/>
        <v>24.551125000000003</v>
      </c>
      <c r="N56" s="330">
        <f t="shared" si="4"/>
        <v>6.4308681672025719E-2</v>
      </c>
      <c r="O56" s="999"/>
      <c r="P56" s="989"/>
      <c r="Q56" s="989"/>
      <c r="R56" s="196">
        <f t="shared" si="66"/>
        <v>2643</v>
      </c>
      <c r="S56" s="1003"/>
      <c r="T56" s="989"/>
      <c r="U56" s="989"/>
      <c r="V56" s="196">
        <f t="shared" si="61"/>
        <v>2643</v>
      </c>
      <c r="W56" s="193">
        <f>ROUND(L56*P52*(J53*F53+(J54-J53)*F54+(J55-J54)*F55+(K56-J55)*F56),2)</f>
        <v>34081.519999999997</v>
      </c>
      <c r="X56" s="194">
        <f>ROUND(N56*T52*(J53*G53+(J54-J53)*G54+(J55-J54)*G55+(M56-J55)*G56),2)</f>
        <v>34081.519999999997</v>
      </c>
      <c r="Y56" s="195">
        <f t="shared" si="65"/>
        <v>1.2657881740768857E-2</v>
      </c>
      <c r="Z56" s="986"/>
    </row>
    <row r="57" spans="1:26" ht="15" customHeight="1" x14ac:dyDescent="0.3">
      <c r="A57" s="43"/>
      <c r="B57" s="996"/>
      <c r="C57" s="180">
        <v>30.01</v>
      </c>
      <c r="D57" s="180">
        <v>50</v>
      </c>
      <c r="E57" s="177">
        <v>6.72</v>
      </c>
      <c r="F57" s="171">
        <f t="shared" si="33"/>
        <v>23.3856</v>
      </c>
      <c r="G57" s="172">
        <f t="shared" si="63"/>
        <v>23.3856</v>
      </c>
      <c r="H57" s="5"/>
      <c r="I57" s="190">
        <f t="shared" si="64"/>
        <v>30.01</v>
      </c>
      <c r="J57" s="191">
        <f t="shared" si="64"/>
        <v>50</v>
      </c>
      <c r="K57" s="327">
        <v>39.136363636363633</v>
      </c>
      <c r="L57" s="328">
        <v>3.5369774919614148E-2</v>
      </c>
      <c r="M57" s="329">
        <f t="shared" si="3"/>
        <v>39.136363636363633</v>
      </c>
      <c r="N57" s="330">
        <f t="shared" si="4"/>
        <v>3.5369774919614148E-2</v>
      </c>
      <c r="O57" s="999"/>
      <c r="P57" s="989"/>
      <c r="Q57" s="989"/>
      <c r="R57" s="196">
        <f t="shared" si="66"/>
        <v>2317</v>
      </c>
      <c r="S57" s="1003"/>
      <c r="T57" s="989"/>
      <c r="U57" s="989"/>
      <c r="V57" s="196">
        <f t="shared" si="61"/>
        <v>2317</v>
      </c>
      <c r="W57" s="193">
        <f>ROUND(L57*P52*(J53*F53+(J54-J53)*F54+(J55-J54)*F55+(J56-J55)*F56+(K57-J56)*F57),2)</f>
        <v>38300.04</v>
      </c>
      <c r="X57" s="194">
        <f>ROUND(N57*T52*(10*G53+(J54-J53)*G54+(J55-J54)*G55+(J56-J55)*G56+(M57-J56)*G57),2)</f>
        <v>38300.04</v>
      </c>
      <c r="Y57" s="195">
        <f t="shared" si="65"/>
        <v>1.4224640713991538E-2</v>
      </c>
      <c r="Z57" s="986"/>
    </row>
    <row r="58" spans="1:26" ht="15" customHeight="1" x14ac:dyDescent="0.3">
      <c r="A58" s="43"/>
      <c r="B58" s="996"/>
      <c r="C58" s="180">
        <v>50.01</v>
      </c>
      <c r="D58" s="180">
        <v>100</v>
      </c>
      <c r="E58" s="177">
        <v>8.64</v>
      </c>
      <c r="F58" s="171">
        <f t="shared" si="33"/>
        <v>30.067200000000003</v>
      </c>
      <c r="G58" s="172">
        <f t="shared" si="63"/>
        <v>30.067200000000003</v>
      </c>
      <c r="H58" s="5"/>
      <c r="I58" s="189">
        <f t="shared" si="64"/>
        <v>50.01</v>
      </c>
      <c r="J58" s="176">
        <f t="shared" si="64"/>
        <v>100</v>
      </c>
      <c r="K58" s="327">
        <v>67.98</v>
      </c>
      <c r="L58" s="328">
        <v>2.0096463022508039E-2</v>
      </c>
      <c r="M58" s="329">
        <f t="shared" si="3"/>
        <v>67.98</v>
      </c>
      <c r="N58" s="330">
        <f t="shared" si="4"/>
        <v>2.0096463022508039E-2</v>
      </c>
      <c r="O58" s="999"/>
      <c r="P58" s="989"/>
      <c r="Q58" s="989"/>
      <c r="R58" s="196">
        <f t="shared" si="66"/>
        <v>2287</v>
      </c>
      <c r="S58" s="1003"/>
      <c r="T58" s="989"/>
      <c r="U58" s="989"/>
      <c r="V58" s="196">
        <f t="shared" si="61"/>
        <v>2287</v>
      </c>
      <c r="W58" s="193">
        <f>ROUND(L58*P52*(J53*F53+(J54-J53)*F54+(J55-J54)*F55+(J56-J55)*F56+(J57-J56)*F57+(K58-J57)*F58),2)</f>
        <v>49900.3</v>
      </c>
      <c r="X58" s="194">
        <f>ROUND(N58*T52*(J53*G53+(J54-J53)*G54+(J55-J54)*G55+(J56-J55)*G56+(J57-J56)*G57+(M58-J57)*G58),2)</f>
        <v>49900.3</v>
      </c>
      <c r="Y58" s="195">
        <f t="shared" si="65"/>
        <v>1.8532979052251434E-2</v>
      </c>
      <c r="Z58" s="986"/>
    </row>
    <row r="59" spans="1:26" ht="15.75" customHeight="1" thickBot="1" x14ac:dyDescent="0.35">
      <c r="A59" s="43"/>
      <c r="B59" s="997"/>
      <c r="C59" s="993" t="s">
        <v>47</v>
      </c>
      <c r="D59" s="994"/>
      <c r="E59" s="178">
        <v>11.52</v>
      </c>
      <c r="F59" s="173">
        <f t="shared" si="33"/>
        <v>40.089599999999997</v>
      </c>
      <c r="G59" s="174">
        <f t="shared" si="63"/>
        <v>40.089599999999997</v>
      </c>
      <c r="H59" s="5"/>
      <c r="I59" s="991" t="s">
        <v>47</v>
      </c>
      <c r="J59" s="992"/>
      <c r="K59" s="327">
        <v>186.76923076923077</v>
      </c>
      <c r="L59" s="328">
        <v>1.045016077170418E-2</v>
      </c>
      <c r="M59" s="329">
        <f t="shared" si="3"/>
        <v>186.76923076923077</v>
      </c>
      <c r="N59" s="330">
        <f t="shared" si="4"/>
        <v>1.045016077170418E-2</v>
      </c>
      <c r="O59" s="1001"/>
      <c r="P59" s="990"/>
      <c r="Q59" s="990"/>
      <c r="R59" s="196">
        <f t="shared" si="66"/>
        <v>3267</v>
      </c>
      <c r="S59" s="1004"/>
      <c r="T59" s="990"/>
      <c r="U59" s="990"/>
      <c r="V59" s="196">
        <f t="shared" si="61"/>
        <v>3267</v>
      </c>
      <c r="W59" s="193">
        <f>ROUND(L59*P52*(J53*F53+(J54-J53)*F54+(J55-J54)*F55+(J56-J55)*F56+(J57-J56)*F57+(J58-J57)*F58+(K59-J58)*F59),2)</f>
        <v>107726.55</v>
      </c>
      <c r="X59" s="194">
        <f>ROUND(N59*T52*(J53*G53+(J54-J53)*G54+(J55-J54)*G55+(J56-J55)*G56+(J57-J56)*G57+(J58-J57)*G58+(M59-J58)*G59),2)</f>
        <v>107726.55</v>
      </c>
      <c r="Y59" s="195">
        <f t="shared" si="65"/>
        <v>4.0009657146777004E-2</v>
      </c>
      <c r="Z59" s="987"/>
    </row>
    <row r="60" spans="1:26" ht="15.75" customHeight="1" thickTop="1" thickBot="1" x14ac:dyDescent="0.35">
      <c r="A60" s="43"/>
      <c r="B60" s="168"/>
      <c r="C60" s="167" t="s">
        <v>488</v>
      </c>
      <c r="D60" s="167" t="s">
        <v>488</v>
      </c>
      <c r="E60" s="223">
        <v>8</v>
      </c>
      <c r="F60" s="169">
        <f t="shared" ref="F60:F83" si="67">$F$13*E60</f>
        <v>27.84</v>
      </c>
      <c r="G60" s="170">
        <f t="shared" si="63"/>
        <v>27.84</v>
      </c>
      <c r="H60" s="5"/>
      <c r="I60" s="187" t="str">
        <f t="shared" ref="I60" si="68">C60</f>
        <v>TBO</v>
      </c>
      <c r="J60" s="188" t="str">
        <f t="shared" ref="J60" si="69">D60</f>
        <v>TBO</v>
      </c>
      <c r="K60" s="327">
        <v>0</v>
      </c>
      <c r="L60" s="328">
        <v>0.08</v>
      </c>
      <c r="M60" s="329">
        <f t="shared" si="3"/>
        <v>0</v>
      </c>
      <c r="N60" s="330">
        <f t="shared" si="4"/>
        <v>0.08</v>
      </c>
      <c r="O60" s="998">
        <v>7.1000000000000004E-3</v>
      </c>
      <c r="P60" s="988">
        <f>ROUND(O60*$L$88,0)</f>
        <v>177</v>
      </c>
      <c r="Q60" s="988">
        <f>ROUND(P60/$P$88,0)</f>
        <v>134</v>
      </c>
      <c r="R60" s="196">
        <f t="shared" ref="R60" si="70">ROUND(K60*L60*$P$60,0)</f>
        <v>0</v>
      </c>
      <c r="S60" s="1002">
        <f>O60</f>
        <v>7.1000000000000004E-3</v>
      </c>
      <c r="T60" s="988">
        <f>ROUND(S60*$L$89,0)</f>
        <v>177</v>
      </c>
      <c r="U60" s="988">
        <f>ROUND(T60/$P$89,0)</f>
        <v>134</v>
      </c>
      <c r="V60" s="196">
        <f t="shared" ref="V60:V67" si="71">ROUND(M60*N60*$T$60*(1-$S$89),0)</f>
        <v>0</v>
      </c>
      <c r="W60" s="193">
        <f>P60*F60</f>
        <v>4927.68</v>
      </c>
      <c r="X60" s="194">
        <f>T60*G60</f>
        <v>4927.68</v>
      </c>
      <c r="Y60" s="195">
        <f t="shared" ref="Y60" si="72">(W60+X60)/$W$86</f>
        <v>1.8301411056887101E-3</v>
      </c>
      <c r="Z60" s="985">
        <f>SUM(Y60:Y67)</f>
        <v>0.13977791087933925</v>
      </c>
    </row>
    <row r="61" spans="1:26" ht="15.75" customHeight="1" thickTop="1" x14ac:dyDescent="0.3">
      <c r="A61" s="43"/>
      <c r="B61" s="995" t="s">
        <v>501</v>
      </c>
      <c r="C61" s="179">
        <v>0.01</v>
      </c>
      <c r="D61" s="179">
        <v>10</v>
      </c>
      <c r="E61" s="224">
        <v>2.4</v>
      </c>
      <c r="F61" s="169">
        <f t="shared" si="67"/>
        <v>8.3520000000000003</v>
      </c>
      <c r="G61" s="170">
        <f t="shared" si="63"/>
        <v>8.3520000000000003</v>
      </c>
      <c r="H61" s="5"/>
      <c r="I61" s="187">
        <f t="shared" ref="I61:J66" si="73">C61</f>
        <v>0.01</v>
      </c>
      <c r="J61" s="188">
        <f t="shared" si="73"/>
        <v>10</v>
      </c>
      <c r="K61" s="327">
        <v>5.3125</v>
      </c>
      <c r="L61" s="328">
        <v>0.32</v>
      </c>
      <c r="M61" s="329">
        <f t="shared" si="3"/>
        <v>5.3125</v>
      </c>
      <c r="N61" s="330">
        <f t="shared" si="4"/>
        <v>0.32</v>
      </c>
      <c r="O61" s="999"/>
      <c r="P61" s="989"/>
      <c r="Q61" s="989"/>
      <c r="R61" s="196">
        <f>ROUND(K61*L61*$P$60*(1-$S$89),0)</f>
        <v>286</v>
      </c>
      <c r="S61" s="1003"/>
      <c r="T61" s="989"/>
      <c r="U61" s="989"/>
      <c r="V61" s="196">
        <f t="shared" si="71"/>
        <v>286</v>
      </c>
      <c r="W61" s="193">
        <f>ROUND(L61*P60*K61*F61,2)</f>
        <v>2513.12</v>
      </c>
      <c r="X61" s="194">
        <f>ROUND(N61*T60*M61*G61,2)</f>
        <v>2513.12</v>
      </c>
      <c r="Y61" s="195">
        <f t="shared" ref="Y61:Y67" si="74">(W61+X61)/$W$86</f>
        <v>9.3337315238173151E-4</v>
      </c>
      <c r="Z61" s="986"/>
    </row>
    <row r="62" spans="1:26" ht="15.75" customHeight="1" x14ac:dyDescent="0.3">
      <c r="A62" s="43"/>
      <c r="B62" s="996"/>
      <c r="C62" s="180">
        <v>10.01</v>
      </c>
      <c r="D62" s="180">
        <v>15</v>
      </c>
      <c r="E62" s="177">
        <v>3.36</v>
      </c>
      <c r="F62" s="171">
        <f t="shared" si="67"/>
        <v>11.6928</v>
      </c>
      <c r="G62" s="172">
        <f t="shared" si="63"/>
        <v>11.6928</v>
      </c>
      <c r="H62" s="5"/>
      <c r="I62" s="189">
        <f t="shared" si="73"/>
        <v>10.01</v>
      </c>
      <c r="J62" s="176">
        <f t="shared" si="73"/>
        <v>15</v>
      </c>
      <c r="K62" s="327">
        <v>12.788461538461538</v>
      </c>
      <c r="L62" s="328">
        <v>0.104</v>
      </c>
      <c r="M62" s="329">
        <f t="shared" si="3"/>
        <v>12.788461538461538</v>
      </c>
      <c r="N62" s="330">
        <f t="shared" si="4"/>
        <v>0.104</v>
      </c>
      <c r="O62" s="999"/>
      <c r="P62" s="989"/>
      <c r="Q62" s="989"/>
      <c r="R62" s="196">
        <f t="shared" ref="R62:R67" si="75">ROUND(K62*L62*$P$60*(1-$S$89),0)</f>
        <v>224</v>
      </c>
      <c r="S62" s="1003"/>
      <c r="T62" s="989"/>
      <c r="U62" s="989"/>
      <c r="V62" s="196">
        <f t="shared" si="71"/>
        <v>224</v>
      </c>
      <c r="W62" s="193">
        <f>ROUND(L62*P60*(J61*F61+(K62-J61)*F62),2)</f>
        <v>2137.63</v>
      </c>
      <c r="X62" s="194">
        <f>ROUND(N62*T60*(J61*G61+(M62-J61)*G62),2)</f>
        <v>2137.63</v>
      </c>
      <c r="Y62" s="195">
        <f t="shared" si="74"/>
        <v>7.9391610895053195E-4</v>
      </c>
      <c r="Z62" s="986"/>
    </row>
    <row r="63" spans="1:26" ht="15.75" customHeight="1" x14ac:dyDescent="0.3">
      <c r="A63" s="43"/>
      <c r="B63" s="996"/>
      <c r="C63" s="180">
        <v>15.01</v>
      </c>
      <c r="D63" s="180">
        <v>20</v>
      </c>
      <c r="E63" s="177">
        <v>4.32</v>
      </c>
      <c r="F63" s="171">
        <f t="shared" si="67"/>
        <v>15.033600000000002</v>
      </c>
      <c r="G63" s="172">
        <f t="shared" si="63"/>
        <v>15.033600000000002</v>
      </c>
      <c r="H63" s="5"/>
      <c r="I63" s="190">
        <f t="shared" si="73"/>
        <v>15.01</v>
      </c>
      <c r="J63" s="191">
        <f t="shared" si="73"/>
        <v>20</v>
      </c>
      <c r="K63" s="327">
        <v>18</v>
      </c>
      <c r="L63" s="328">
        <v>5.6000000000000001E-2</v>
      </c>
      <c r="M63" s="329">
        <f t="shared" si="3"/>
        <v>18</v>
      </c>
      <c r="N63" s="330">
        <f t="shared" si="4"/>
        <v>5.6000000000000001E-2</v>
      </c>
      <c r="O63" s="999"/>
      <c r="P63" s="989"/>
      <c r="Q63" s="989"/>
      <c r="R63" s="196">
        <f t="shared" si="75"/>
        <v>169</v>
      </c>
      <c r="S63" s="1003"/>
      <c r="T63" s="989"/>
      <c r="U63" s="989"/>
      <c r="V63" s="196">
        <f t="shared" si="71"/>
        <v>169</v>
      </c>
      <c r="W63" s="193">
        <f>ROUND(L63*P60*(J61*F61+(J62-J61)*F62+(K63-J62)*F63),2)</f>
        <v>1854.38</v>
      </c>
      <c r="X63" s="194">
        <f>ROUND(N63*T60*(J61*G61+(J62-J61)*G62+(M63-J62)*G63),2)</f>
        <v>1854.38</v>
      </c>
      <c r="Y63" s="195">
        <f t="shared" si="74"/>
        <v>6.8871701562744133E-4</v>
      </c>
      <c r="Z63" s="986"/>
    </row>
    <row r="64" spans="1:26" ht="15.75" customHeight="1" x14ac:dyDescent="0.3">
      <c r="A64" s="43"/>
      <c r="B64" s="996"/>
      <c r="C64" s="180">
        <v>20.010000000000002</v>
      </c>
      <c r="D64" s="180">
        <v>30</v>
      </c>
      <c r="E64" s="177">
        <v>5.28</v>
      </c>
      <c r="F64" s="171">
        <f t="shared" si="67"/>
        <v>18.374400000000001</v>
      </c>
      <c r="G64" s="172">
        <f t="shared" si="63"/>
        <v>18.374400000000001</v>
      </c>
      <c r="H64" s="5"/>
      <c r="I64" s="189">
        <f t="shared" si="73"/>
        <v>20.010000000000002</v>
      </c>
      <c r="J64" s="176">
        <f t="shared" si="73"/>
        <v>30</v>
      </c>
      <c r="K64" s="327">
        <v>25.1</v>
      </c>
      <c r="L64" s="328">
        <v>0.16</v>
      </c>
      <c r="M64" s="329">
        <f t="shared" si="3"/>
        <v>25.1</v>
      </c>
      <c r="N64" s="330">
        <f t="shared" si="4"/>
        <v>0.16</v>
      </c>
      <c r="O64" s="999"/>
      <c r="P64" s="989"/>
      <c r="Q64" s="989"/>
      <c r="R64" s="196">
        <f t="shared" si="75"/>
        <v>675</v>
      </c>
      <c r="S64" s="1003"/>
      <c r="T64" s="989"/>
      <c r="U64" s="989"/>
      <c r="V64" s="196">
        <f t="shared" si="71"/>
        <v>675</v>
      </c>
      <c r="W64" s="193">
        <f>ROUND(L64*P60*(J61*F61+(J62-J61)*F62+(J63-J62)*F63+(K64-J63)*F64),2)</f>
        <v>8803.6</v>
      </c>
      <c r="X64" s="194">
        <f>ROUND(N64*T60*(J61*G61+(J62-J61)*G62+(J63-J62)*G63+(M64-J63)*G64),2)</f>
        <v>8803.6</v>
      </c>
      <c r="Y64" s="195">
        <f t="shared" si="74"/>
        <v>3.2696583865107166E-3</v>
      </c>
      <c r="Z64" s="986"/>
    </row>
    <row r="65" spans="1:26" ht="15.75" customHeight="1" x14ac:dyDescent="0.3">
      <c r="A65" s="43"/>
      <c r="B65" s="996"/>
      <c r="C65" s="180">
        <v>30.01</v>
      </c>
      <c r="D65" s="180">
        <v>50</v>
      </c>
      <c r="E65" s="177">
        <v>6.72</v>
      </c>
      <c r="F65" s="171">
        <f t="shared" si="67"/>
        <v>23.3856</v>
      </c>
      <c r="G65" s="172">
        <f t="shared" si="63"/>
        <v>23.3856</v>
      </c>
      <c r="H65" s="5"/>
      <c r="I65" s="190">
        <f t="shared" si="73"/>
        <v>30.01</v>
      </c>
      <c r="J65" s="191">
        <f t="shared" si="73"/>
        <v>50</v>
      </c>
      <c r="K65" s="327">
        <v>39.875</v>
      </c>
      <c r="L65" s="328">
        <v>6.4000000000000001E-2</v>
      </c>
      <c r="M65" s="329">
        <f t="shared" si="3"/>
        <v>39.875</v>
      </c>
      <c r="N65" s="330">
        <f t="shared" si="4"/>
        <v>6.4000000000000001E-2</v>
      </c>
      <c r="O65" s="999"/>
      <c r="P65" s="989"/>
      <c r="Q65" s="989"/>
      <c r="R65" s="196">
        <f t="shared" si="75"/>
        <v>429</v>
      </c>
      <c r="S65" s="1003"/>
      <c r="T65" s="989"/>
      <c r="U65" s="989"/>
      <c r="V65" s="196">
        <f t="shared" si="71"/>
        <v>429</v>
      </c>
      <c r="W65" s="193">
        <f>ROUND(L65*P60*(J61*F61+(J62-J61)*F62+(J63-J62)*F63+(J64-J63)*F64+(K65-J64)*F65),2)</f>
        <v>7157.36</v>
      </c>
      <c r="X65" s="194">
        <f>ROUND(N65*T60*(10*G61+(J62-J61)*G62+(J63-J62)*G63+(J64-J63)*G64+(M65-J64)*G65),2)</f>
        <v>7157.36</v>
      </c>
      <c r="Y65" s="195">
        <f t="shared" si="74"/>
        <v>2.6582445987182904E-3</v>
      </c>
      <c r="Z65" s="986"/>
    </row>
    <row r="66" spans="1:26" ht="15.75" customHeight="1" x14ac:dyDescent="0.3">
      <c r="A66" s="43"/>
      <c r="B66" s="996"/>
      <c r="C66" s="180">
        <v>50.01</v>
      </c>
      <c r="D66" s="180">
        <v>100</v>
      </c>
      <c r="E66" s="177">
        <v>8.64</v>
      </c>
      <c r="F66" s="171">
        <f t="shared" si="67"/>
        <v>30.067200000000003</v>
      </c>
      <c r="G66" s="172">
        <f t="shared" si="63"/>
        <v>30.067200000000003</v>
      </c>
      <c r="H66" s="5"/>
      <c r="I66" s="189">
        <f t="shared" si="73"/>
        <v>50.01</v>
      </c>
      <c r="J66" s="176">
        <f t="shared" si="73"/>
        <v>100</v>
      </c>
      <c r="K66" s="327">
        <v>68.07692307692308</v>
      </c>
      <c r="L66" s="328">
        <v>0.104</v>
      </c>
      <c r="M66" s="329">
        <f t="shared" si="3"/>
        <v>68.07692307692308</v>
      </c>
      <c r="N66" s="330">
        <f t="shared" si="4"/>
        <v>0.104</v>
      </c>
      <c r="O66" s="999"/>
      <c r="P66" s="989"/>
      <c r="Q66" s="989"/>
      <c r="R66" s="196">
        <f t="shared" si="75"/>
        <v>1191</v>
      </c>
      <c r="S66" s="1003"/>
      <c r="T66" s="989"/>
      <c r="U66" s="989"/>
      <c r="V66" s="196">
        <f t="shared" si="71"/>
        <v>1191</v>
      </c>
      <c r="W66" s="193">
        <f>ROUND(L66*P60*(J61*F61+(J62-J61)*F62+(J63-J62)*F63+(J64-J63)*F64+(J65-J64)*F65+(K66-J65)*F66),2)</f>
        <v>25994.5</v>
      </c>
      <c r="X66" s="194">
        <f>ROUND(N66*T60*(J61*G61+(J62-J61)*G62+(J63-J62)*G63+(J64-J63)*G64+(J65-J64)*G65+(M66-J65)*G66),2)</f>
        <v>25994.5</v>
      </c>
      <c r="Y66" s="195">
        <f t="shared" si="74"/>
        <v>9.6543612758590597E-3</v>
      </c>
      <c r="Z66" s="986"/>
    </row>
    <row r="67" spans="1:26" ht="15.75" customHeight="1" thickBot="1" x14ac:dyDescent="0.35">
      <c r="A67" s="43"/>
      <c r="B67" s="997"/>
      <c r="C67" s="993" t="s">
        <v>47</v>
      </c>
      <c r="D67" s="994"/>
      <c r="E67" s="178">
        <v>11.52</v>
      </c>
      <c r="F67" s="173">
        <f t="shared" si="67"/>
        <v>40.089599999999997</v>
      </c>
      <c r="G67" s="174">
        <f t="shared" si="63"/>
        <v>40.089599999999997</v>
      </c>
      <c r="H67" s="5"/>
      <c r="I67" s="991" t="s">
        <v>47</v>
      </c>
      <c r="J67" s="992"/>
      <c r="K67" s="327">
        <v>447.21428571428572</v>
      </c>
      <c r="L67" s="328">
        <v>0.112</v>
      </c>
      <c r="M67" s="329">
        <f t="shared" si="3"/>
        <v>447.21428571428572</v>
      </c>
      <c r="N67" s="330">
        <f t="shared" si="4"/>
        <v>0.112</v>
      </c>
      <c r="O67" s="1001"/>
      <c r="P67" s="990"/>
      <c r="Q67" s="990"/>
      <c r="R67" s="196">
        <f t="shared" si="75"/>
        <v>8422</v>
      </c>
      <c r="S67" s="1004"/>
      <c r="T67" s="990"/>
      <c r="U67" s="990"/>
      <c r="V67" s="196">
        <f t="shared" si="71"/>
        <v>8422</v>
      </c>
      <c r="W67" s="193">
        <f>ROUND(L67*P60*(J61*F61+(J62-J61)*F62+(J63-J62)*F63+(J64-J63)*F64+(J65-J64)*F65+(J66-J65)*F66+(K67-J66)*F67),2)</f>
        <v>322965.67</v>
      </c>
      <c r="X67" s="194">
        <f>ROUND(N67*T60*(J61*G61+(J62-J61)*G62+(J63-J62)*G63+(J64-J63)*G64+(J65-J64)*G65+(J66-J65)*G66+(M67-J66)*G67),2)</f>
        <v>322965.67</v>
      </c>
      <c r="Y67" s="195">
        <f t="shared" si="74"/>
        <v>0.11994949923560276</v>
      </c>
      <c r="Z67" s="987"/>
    </row>
    <row r="68" spans="1:26" ht="15.75" customHeight="1" thickTop="1" thickBot="1" x14ac:dyDescent="0.35">
      <c r="A68" s="43"/>
      <c r="B68" s="168"/>
      <c r="C68" s="167" t="s">
        <v>488</v>
      </c>
      <c r="D68" s="167" t="s">
        <v>488</v>
      </c>
      <c r="E68" s="223">
        <v>6</v>
      </c>
      <c r="F68" s="169">
        <f t="shared" si="67"/>
        <v>20.88</v>
      </c>
      <c r="G68" s="170">
        <f t="shared" si="63"/>
        <v>20.88</v>
      </c>
      <c r="H68" s="5"/>
      <c r="I68" s="187" t="str">
        <f t="shared" ref="I68" si="76">C68</f>
        <v>TBO</v>
      </c>
      <c r="J68" s="188" t="str">
        <f t="shared" ref="J68" si="77">D68</f>
        <v>TBO</v>
      </c>
      <c r="K68" s="327">
        <v>0</v>
      </c>
      <c r="L68" s="328">
        <v>5.2631578947368418E-2</v>
      </c>
      <c r="M68" s="329">
        <f t="shared" ref="M68:M82" si="78">K68</f>
        <v>0</v>
      </c>
      <c r="N68" s="330">
        <f t="shared" ref="N68:N82" si="79">L68</f>
        <v>5.2631578947368418E-2</v>
      </c>
      <c r="O68" s="998">
        <v>5.4000000000000003E-3</v>
      </c>
      <c r="P68" s="988">
        <f>ROUND(O68*$L$88,0)</f>
        <v>135</v>
      </c>
      <c r="Q68" s="988">
        <f>ROUND(P68/$P$88,0)</f>
        <v>102</v>
      </c>
      <c r="R68" s="196">
        <f t="shared" ref="R68" si="80">ROUND(K68*L68*$P$68,0)</f>
        <v>0</v>
      </c>
      <c r="S68" s="1002">
        <f>O68</f>
        <v>5.4000000000000003E-3</v>
      </c>
      <c r="T68" s="988">
        <f>ROUND(S68*$L$89,0)</f>
        <v>135</v>
      </c>
      <c r="U68" s="988">
        <f>ROUND(T68/$P$89,0)</f>
        <v>102</v>
      </c>
      <c r="V68" s="196">
        <f t="shared" ref="V68:V75" si="81">ROUND(M68*N68*$T$68*(1-$S$89),0)</f>
        <v>0</v>
      </c>
      <c r="W68" s="193">
        <f>P68*F68</f>
        <v>2818.7999999999997</v>
      </c>
      <c r="X68" s="194">
        <f>T68*G68</f>
        <v>2818.7999999999997</v>
      </c>
      <c r="Y68" s="195">
        <f t="shared" ref="Y68" si="82">(W68+X68)/$W$86</f>
        <v>1.0469027511354908E-3</v>
      </c>
      <c r="Z68" s="985">
        <f>SUM(Y68:Y75)</f>
        <v>5.2243960727107908E-2</v>
      </c>
    </row>
    <row r="69" spans="1:26" ht="15" thickTop="1" x14ac:dyDescent="0.3">
      <c r="A69" s="43"/>
      <c r="B69" s="995" t="s">
        <v>502</v>
      </c>
      <c r="C69" s="179">
        <v>0.01</v>
      </c>
      <c r="D69" s="179">
        <v>10</v>
      </c>
      <c r="E69" s="224">
        <v>1.452</v>
      </c>
      <c r="F69" s="169">
        <f t="shared" si="67"/>
        <v>5.0529599999999997</v>
      </c>
      <c r="G69" s="170">
        <f t="shared" si="63"/>
        <v>5.0529599999999997</v>
      </c>
      <c r="H69" s="5"/>
      <c r="I69" s="187">
        <f t="shared" ref="I69:J74" si="83">C69</f>
        <v>0.01</v>
      </c>
      <c r="J69" s="188">
        <f t="shared" si="83"/>
        <v>10</v>
      </c>
      <c r="K69" s="327">
        <v>5.9545454545454541</v>
      </c>
      <c r="L69" s="328">
        <v>0.23157894736842105</v>
      </c>
      <c r="M69" s="329">
        <f t="shared" si="78"/>
        <v>5.9545454545454541</v>
      </c>
      <c r="N69" s="330">
        <f t="shared" si="79"/>
        <v>0.23157894736842105</v>
      </c>
      <c r="O69" s="999"/>
      <c r="P69" s="989"/>
      <c r="Q69" s="989"/>
      <c r="R69" s="196">
        <f>ROUND(K69*L69*$P$68*(1-$S$89),0)</f>
        <v>177</v>
      </c>
      <c r="S69" s="1003"/>
      <c r="T69" s="989"/>
      <c r="U69" s="989"/>
      <c r="V69" s="196">
        <f t="shared" si="81"/>
        <v>177</v>
      </c>
      <c r="W69" s="193">
        <f>ROUND(L69*P68*K69*F69,2)</f>
        <v>940.65</v>
      </c>
      <c r="X69" s="194">
        <f>ROUND(N69*T68*M69*G69,2)</f>
        <v>940.65</v>
      </c>
      <c r="Y69" s="195">
        <f t="shared" ref="Y69:Y75" si="84">(W69+X69)/$W$86</f>
        <v>3.493575538724278E-4</v>
      </c>
      <c r="Z69" s="986"/>
    </row>
    <row r="70" spans="1:26" x14ac:dyDescent="0.3">
      <c r="A70" s="43"/>
      <c r="B70" s="996"/>
      <c r="C70" s="180">
        <v>10.01</v>
      </c>
      <c r="D70" s="180">
        <v>15</v>
      </c>
      <c r="E70" s="177">
        <v>2.0327999999999999</v>
      </c>
      <c r="F70" s="171">
        <f t="shared" si="67"/>
        <v>7.0741439999999995</v>
      </c>
      <c r="G70" s="172">
        <f t="shared" si="63"/>
        <v>7.0741439999999995</v>
      </c>
      <c r="H70" s="5"/>
      <c r="I70" s="189">
        <f t="shared" si="83"/>
        <v>10.01</v>
      </c>
      <c r="J70" s="176">
        <f t="shared" si="83"/>
        <v>15</v>
      </c>
      <c r="K70" s="327">
        <v>13.4</v>
      </c>
      <c r="L70" s="328">
        <v>5.2631578947368418E-2</v>
      </c>
      <c r="M70" s="329">
        <f t="shared" si="78"/>
        <v>13.4</v>
      </c>
      <c r="N70" s="330">
        <f t="shared" si="79"/>
        <v>5.2631578947368418E-2</v>
      </c>
      <c r="O70" s="999"/>
      <c r="P70" s="989"/>
      <c r="Q70" s="989"/>
      <c r="R70" s="196">
        <f t="shared" ref="R70:R75" si="85">ROUND(K70*L70*$P$68*(1-$S$89),0)</f>
        <v>90</v>
      </c>
      <c r="S70" s="1003"/>
      <c r="T70" s="989"/>
      <c r="U70" s="989"/>
      <c r="V70" s="196">
        <f t="shared" si="81"/>
        <v>90</v>
      </c>
      <c r="W70" s="193">
        <f>ROUND(L70*P68*(J69*F69+(K70-J69)*F70),2)</f>
        <v>529.91999999999996</v>
      </c>
      <c r="X70" s="194">
        <f>ROUND(N70*T68*(J69*G69+(M70-J69)*G70),2)</f>
        <v>529.91999999999996</v>
      </c>
      <c r="Y70" s="195">
        <f t="shared" si="84"/>
        <v>1.9681236905126978E-4</v>
      </c>
      <c r="Z70" s="986"/>
    </row>
    <row r="71" spans="1:26" x14ac:dyDescent="0.3">
      <c r="A71" s="43"/>
      <c r="B71" s="996"/>
      <c r="C71" s="180">
        <v>15.01</v>
      </c>
      <c r="D71" s="180">
        <v>20</v>
      </c>
      <c r="E71" s="177">
        <v>2.6135999999999999</v>
      </c>
      <c r="F71" s="171">
        <f t="shared" si="67"/>
        <v>9.0953280000000003</v>
      </c>
      <c r="G71" s="172">
        <f t="shared" si="63"/>
        <v>9.0953280000000003</v>
      </c>
      <c r="H71" s="5"/>
      <c r="I71" s="190">
        <f t="shared" si="83"/>
        <v>15.01</v>
      </c>
      <c r="J71" s="191">
        <f t="shared" si="83"/>
        <v>20</v>
      </c>
      <c r="K71" s="327">
        <v>17.111111111111111</v>
      </c>
      <c r="L71" s="328">
        <v>9.4736842105263161E-2</v>
      </c>
      <c r="M71" s="329">
        <f t="shared" si="78"/>
        <v>17.111111111111111</v>
      </c>
      <c r="N71" s="330">
        <f t="shared" si="79"/>
        <v>9.4736842105263161E-2</v>
      </c>
      <c r="O71" s="999"/>
      <c r="P71" s="989"/>
      <c r="Q71" s="989"/>
      <c r="R71" s="196">
        <f t="shared" si="85"/>
        <v>208</v>
      </c>
      <c r="S71" s="1003"/>
      <c r="T71" s="989"/>
      <c r="U71" s="989"/>
      <c r="V71" s="196">
        <f t="shared" si="81"/>
        <v>208</v>
      </c>
      <c r="W71" s="193">
        <f>ROUND(L71*P68*(J69*F69+(J70-J69)*F70+(K71-J70)*F71),2)</f>
        <v>1344.19</v>
      </c>
      <c r="X71" s="194">
        <f>ROUND(N71*T68*(J69*G69+(J70-J69)*G70+(M71-J70)*G71),2)</f>
        <v>1344.19</v>
      </c>
      <c r="Y71" s="195">
        <f t="shared" si="84"/>
        <v>4.9923237159387531E-4</v>
      </c>
      <c r="Z71" s="986"/>
    </row>
    <row r="72" spans="1:26" x14ac:dyDescent="0.3">
      <c r="A72" s="43"/>
      <c r="B72" s="996"/>
      <c r="C72" s="180">
        <v>20.010000000000002</v>
      </c>
      <c r="D72" s="180">
        <v>30</v>
      </c>
      <c r="E72" s="177">
        <v>3.1943999999999999</v>
      </c>
      <c r="F72" s="171">
        <f t="shared" si="67"/>
        <v>11.116512</v>
      </c>
      <c r="G72" s="172">
        <f t="shared" si="63"/>
        <v>11.116512</v>
      </c>
      <c r="H72" s="5"/>
      <c r="I72" s="189">
        <f t="shared" si="83"/>
        <v>20.010000000000002</v>
      </c>
      <c r="J72" s="176">
        <f t="shared" si="83"/>
        <v>30</v>
      </c>
      <c r="K72" s="327">
        <v>25.666666666666668</v>
      </c>
      <c r="L72" s="328">
        <v>6.3157894736842107E-2</v>
      </c>
      <c r="M72" s="329">
        <f t="shared" si="78"/>
        <v>25.666666666666668</v>
      </c>
      <c r="N72" s="330">
        <f t="shared" si="79"/>
        <v>6.3157894736842107E-2</v>
      </c>
      <c r="O72" s="999"/>
      <c r="P72" s="989"/>
      <c r="Q72" s="989"/>
      <c r="R72" s="196">
        <f t="shared" si="85"/>
        <v>208</v>
      </c>
      <c r="S72" s="1003"/>
      <c r="T72" s="989"/>
      <c r="U72" s="989"/>
      <c r="V72" s="196">
        <f t="shared" si="81"/>
        <v>208</v>
      </c>
      <c r="W72" s="193">
        <f>ROUND(L72*P68*(J69*F69+(J70-J69)*F70+(J71-J70)*F71+(K72-J71)*F72),2)</f>
        <v>1657.26</v>
      </c>
      <c r="X72" s="194">
        <f>ROUND(N72*T68*(J69*G69+(J70-J69)*G70+(J71-J70)*G71+(M72-J71)*G72),2)</f>
        <v>1657.26</v>
      </c>
      <c r="Y72" s="195">
        <f t="shared" si="84"/>
        <v>6.1550661747793514E-4</v>
      </c>
      <c r="Z72" s="986"/>
    </row>
    <row r="73" spans="1:26" x14ac:dyDescent="0.3">
      <c r="A73" s="43"/>
      <c r="B73" s="996"/>
      <c r="C73" s="180">
        <v>30.01</v>
      </c>
      <c r="D73" s="180">
        <v>50</v>
      </c>
      <c r="E73" s="177">
        <v>4.0655999999999999</v>
      </c>
      <c r="F73" s="171">
        <f t="shared" si="67"/>
        <v>14.148287999999999</v>
      </c>
      <c r="G73" s="172">
        <f t="shared" si="63"/>
        <v>14.148287999999999</v>
      </c>
      <c r="H73" s="5"/>
      <c r="I73" s="190">
        <f t="shared" si="83"/>
        <v>30.01</v>
      </c>
      <c r="J73" s="191">
        <f t="shared" si="83"/>
        <v>50</v>
      </c>
      <c r="K73" s="327">
        <v>40.4</v>
      </c>
      <c r="L73" s="328">
        <v>0.21052631578947367</v>
      </c>
      <c r="M73" s="329">
        <f t="shared" si="78"/>
        <v>40.4</v>
      </c>
      <c r="N73" s="330">
        <f t="shared" si="79"/>
        <v>0.21052631578947367</v>
      </c>
      <c r="O73" s="999"/>
      <c r="P73" s="989"/>
      <c r="Q73" s="989"/>
      <c r="R73" s="196">
        <f t="shared" si="85"/>
        <v>1091</v>
      </c>
      <c r="S73" s="1003"/>
      <c r="T73" s="989"/>
      <c r="U73" s="989"/>
      <c r="V73" s="196">
        <f t="shared" si="81"/>
        <v>1091</v>
      </c>
      <c r="W73" s="193">
        <f>ROUND(L73*P68*(J69*F69+(J70-J69)*F70+(J71-J70)*F71+(J72-J71)*F72+(K73-J72)*F73),2)</f>
        <v>11075.24</v>
      </c>
      <c r="X73" s="194">
        <f>ROUND(N73*T68*(10*G69+(J70-J69)*G70+(J71-J70)*G71+(J72-J71)*G72+(M73-J72)*G73),2)</f>
        <v>11075.24</v>
      </c>
      <c r="Y73" s="195">
        <f t="shared" si="84"/>
        <v>4.1133458299580797E-3</v>
      </c>
      <c r="Z73" s="986"/>
    </row>
    <row r="74" spans="1:26" x14ac:dyDescent="0.3">
      <c r="A74" s="43"/>
      <c r="B74" s="996"/>
      <c r="C74" s="180">
        <v>50.01</v>
      </c>
      <c r="D74" s="180">
        <v>100</v>
      </c>
      <c r="E74" s="177">
        <v>5.2271999999999998</v>
      </c>
      <c r="F74" s="171">
        <f t="shared" si="67"/>
        <v>18.190656000000001</v>
      </c>
      <c r="G74" s="172">
        <f t="shared" si="63"/>
        <v>18.190656000000001</v>
      </c>
      <c r="H74" s="5"/>
      <c r="I74" s="189">
        <f t="shared" si="83"/>
        <v>50.01</v>
      </c>
      <c r="J74" s="176">
        <f t="shared" si="83"/>
        <v>100</v>
      </c>
      <c r="K74" s="327">
        <v>65.705882352941174</v>
      </c>
      <c r="L74" s="328">
        <v>0.17894736842105263</v>
      </c>
      <c r="M74" s="329">
        <f t="shared" si="78"/>
        <v>65.705882352941174</v>
      </c>
      <c r="N74" s="330">
        <f t="shared" si="79"/>
        <v>0.17894736842105263</v>
      </c>
      <c r="O74" s="999"/>
      <c r="P74" s="989"/>
      <c r="Q74" s="989"/>
      <c r="R74" s="196">
        <f t="shared" si="85"/>
        <v>1508</v>
      </c>
      <c r="S74" s="1003"/>
      <c r="T74" s="989"/>
      <c r="U74" s="989"/>
      <c r="V74" s="196">
        <f t="shared" si="81"/>
        <v>1508</v>
      </c>
      <c r="W74" s="193">
        <f>ROUND(L74*P68*(J69*F69+(J70-J69)*F70+(J71-J70)*F71+(J72-J71)*F72+(J73-J72)*F73+(K74-J73)*F74),2)</f>
        <v>19597.080000000002</v>
      </c>
      <c r="X74" s="194">
        <f>ROUND(N74*T68*(J69*G69+(J70-J69)*G70+(J71-J70)*G71+(J72-J71)*G72+(J73-J72)*G73+(M74-J73)*G74),2)</f>
        <v>19597.080000000002</v>
      </c>
      <c r="Y74" s="195">
        <f t="shared" si="84"/>
        <v>7.2783585093736019E-3</v>
      </c>
      <c r="Z74" s="986"/>
    </row>
    <row r="75" spans="1:26" ht="15" thickBot="1" x14ac:dyDescent="0.35">
      <c r="A75" s="43"/>
      <c r="B75" s="997"/>
      <c r="C75" s="993" t="s">
        <v>47</v>
      </c>
      <c r="D75" s="994"/>
      <c r="E75" s="178">
        <v>6.9695999999999998</v>
      </c>
      <c r="F75" s="173">
        <f t="shared" si="67"/>
        <v>24.254207999999998</v>
      </c>
      <c r="G75" s="174">
        <f t="shared" si="63"/>
        <v>24.254207999999998</v>
      </c>
      <c r="H75" s="5"/>
      <c r="I75" s="991" t="s">
        <v>47</v>
      </c>
      <c r="J75" s="992"/>
      <c r="K75" s="327">
        <v>311.72727272727275</v>
      </c>
      <c r="L75" s="328">
        <v>0.11578947368421053</v>
      </c>
      <c r="M75" s="329">
        <f t="shared" si="78"/>
        <v>311.72727272727275</v>
      </c>
      <c r="N75" s="330">
        <f t="shared" si="79"/>
        <v>0.11578947368421053</v>
      </c>
      <c r="O75" s="1001"/>
      <c r="P75" s="990"/>
      <c r="Q75" s="990"/>
      <c r="R75" s="196">
        <f t="shared" si="85"/>
        <v>4629</v>
      </c>
      <c r="S75" s="1004"/>
      <c r="T75" s="990"/>
      <c r="U75" s="990"/>
      <c r="V75" s="196">
        <f t="shared" si="81"/>
        <v>4629</v>
      </c>
      <c r="W75" s="193">
        <f>ROUND(L75*P68*(J69*F69+(J70-J69)*F70+(J71-J70)*F71+(J72-J71)*F72+(J73-J72)*F73+(J74-J73)*F74+(K75-J74)*F75),2)</f>
        <v>102704.44</v>
      </c>
      <c r="X75" s="194">
        <f>ROUND(N75*T68*(J69*G69+(J70-J69)*G70+(J71-J70)*G71+(J72-J71)*G72+(J73-J72)*G73+(J74-J73)*G74+(M75-J74)*G75),2)</f>
        <v>102704.44</v>
      </c>
      <c r="Y75" s="195">
        <f t="shared" si="84"/>
        <v>3.8144444724645225E-2</v>
      </c>
      <c r="Z75" s="987"/>
    </row>
    <row r="76" spans="1:26" ht="16.8" thickTop="1" thickBot="1" x14ac:dyDescent="0.35">
      <c r="A76" s="43"/>
      <c r="B76" s="168"/>
      <c r="C76" s="167" t="s">
        <v>488</v>
      </c>
      <c r="D76" s="167" t="s">
        <v>488</v>
      </c>
      <c r="E76" s="223">
        <v>6</v>
      </c>
      <c r="F76" s="169">
        <f t="shared" si="67"/>
        <v>20.88</v>
      </c>
      <c r="G76" s="175">
        <f t="shared" si="63"/>
        <v>20.88</v>
      </c>
      <c r="H76" s="5"/>
      <c r="I76" s="187" t="str">
        <f t="shared" ref="I76" si="86">C76</f>
        <v>TBO</v>
      </c>
      <c r="J76" s="188" t="str">
        <f t="shared" ref="J76" si="87">D76</f>
        <v>TBO</v>
      </c>
      <c r="K76" s="327">
        <v>0</v>
      </c>
      <c r="L76" s="328">
        <v>0.16336633663366337</v>
      </c>
      <c r="M76" s="329">
        <f t="shared" si="78"/>
        <v>0</v>
      </c>
      <c r="N76" s="330">
        <f t="shared" si="79"/>
        <v>0.16336633663366337</v>
      </c>
      <c r="O76" s="998">
        <v>1.15E-2</v>
      </c>
      <c r="P76" s="1023">
        <f>ROUND(O76*$L$88,0)</f>
        <v>287</v>
      </c>
      <c r="Q76" s="988">
        <f>ROUND(P76/$P$88,0)</f>
        <v>217</v>
      </c>
      <c r="R76" s="196">
        <f t="shared" ref="R76" si="88">ROUND(K76*L76*$P$76,0)</f>
        <v>0</v>
      </c>
      <c r="S76" s="1020">
        <f>O76</f>
        <v>1.15E-2</v>
      </c>
      <c r="T76" s="1017">
        <f>ROUND(S76*$L$89,0)</f>
        <v>287</v>
      </c>
      <c r="U76" s="988">
        <f>ROUND(T76/$P$89,0)</f>
        <v>217</v>
      </c>
      <c r="V76" s="196">
        <f t="shared" ref="V76:V83" si="89">ROUND(M76*N76*$T$76*(1-$S$89),0)</f>
        <v>0</v>
      </c>
      <c r="W76" s="193">
        <f>P76*F76</f>
        <v>5992.5599999999995</v>
      </c>
      <c r="X76" s="194">
        <f>T76*G76</f>
        <v>5992.5599999999995</v>
      </c>
      <c r="Y76" s="195">
        <f t="shared" ref="Y76" si="90">(W76+X76)/$W$86</f>
        <v>2.2256377005621174E-3</v>
      </c>
      <c r="Z76" s="985">
        <f>SUM(Y76:Y83)</f>
        <v>7.7350915614654058E-3</v>
      </c>
    </row>
    <row r="77" spans="1:26" ht="15" thickTop="1" x14ac:dyDescent="0.3">
      <c r="A77" s="43"/>
      <c r="B77" s="1013" t="s">
        <v>495</v>
      </c>
      <c r="C77" s="179">
        <v>0.01</v>
      </c>
      <c r="D77" s="179">
        <v>10</v>
      </c>
      <c r="E77" s="224">
        <v>1.4524805738194879</v>
      </c>
      <c r="F77" s="169">
        <f t="shared" si="67"/>
        <v>5.0546323968918179</v>
      </c>
      <c r="G77" s="170">
        <f t="shared" si="63"/>
        <v>5.0546323968918179</v>
      </c>
      <c r="H77" s="5"/>
      <c r="I77" s="187">
        <f t="shared" ref="I77:J82" si="91">C77</f>
        <v>0.01</v>
      </c>
      <c r="J77" s="188">
        <f t="shared" si="91"/>
        <v>10</v>
      </c>
      <c r="K77" s="327">
        <v>3.75</v>
      </c>
      <c r="L77" s="328">
        <v>0.63366336633663367</v>
      </c>
      <c r="M77" s="329">
        <f t="shared" si="78"/>
        <v>3.75</v>
      </c>
      <c r="N77" s="330">
        <f t="shared" si="79"/>
        <v>0.63366336633663367</v>
      </c>
      <c r="O77" s="999"/>
      <c r="P77" s="1024"/>
      <c r="Q77" s="989"/>
      <c r="R77" s="196">
        <f>ROUND(K77*L77*$P$76*(1-$S$89),0)</f>
        <v>648</v>
      </c>
      <c r="S77" s="1021"/>
      <c r="T77" s="1018"/>
      <c r="U77" s="989"/>
      <c r="V77" s="196">
        <f t="shared" si="89"/>
        <v>648</v>
      </c>
      <c r="W77" s="193">
        <f>ROUND(L77*P76*K77*F77,2)</f>
        <v>3447.16</v>
      </c>
      <c r="X77" s="194">
        <f>ROUND(N77*T76*M77*G77,2)</f>
        <v>3447.16</v>
      </c>
      <c r="Y77" s="195">
        <f>(W77+X77)/$W$86</f>
        <v>1.2802757512431597E-3</v>
      </c>
      <c r="Z77" s="986"/>
    </row>
    <row r="78" spans="1:26" x14ac:dyDescent="0.3">
      <c r="A78" s="43"/>
      <c r="B78" s="1014"/>
      <c r="C78" s="180">
        <v>10.01</v>
      </c>
      <c r="D78" s="180">
        <v>15</v>
      </c>
      <c r="E78" s="177">
        <v>2.0334728033472826</v>
      </c>
      <c r="F78" s="171">
        <f t="shared" si="67"/>
        <v>7.0764853556485434</v>
      </c>
      <c r="G78" s="172">
        <f t="shared" ref="G78:G83" si="92">F78*$G$85</f>
        <v>7.0764853556485434</v>
      </c>
      <c r="H78" s="5"/>
      <c r="I78" s="189">
        <f t="shared" si="91"/>
        <v>10.01</v>
      </c>
      <c r="J78" s="176">
        <f t="shared" si="91"/>
        <v>15</v>
      </c>
      <c r="K78" s="327">
        <v>12</v>
      </c>
      <c r="L78" s="328">
        <v>9.405940594059406E-2</v>
      </c>
      <c r="M78" s="329">
        <f t="shared" si="78"/>
        <v>12</v>
      </c>
      <c r="N78" s="330">
        <f t="shared" si="79"/>
        <v>9.405940594059406E-2</v>
      </c>
      <c r="O78" s="999"/>
      <c r="P78" s="1024"/>
      <c r="Q78" s="989"/>
      <c r="R78" s="196">
        <f t="shared" ref="R78:R83" si="93">ROUND(K78*L78*$P$76*(1-$S$89),0)</f>
        <v>308</v>
      </c>
      <c r="S78" s="1021"/>
      <c r="T78" s="1018"/>
      <c r="U78" s="989"/>
      <c r="V78" s="196">
        <f t="shared" si="89"/>
        <v>308</v>
      </c>
      <c r="W78" s="193">
        <f>ROUND(L78*P76*(J77*F77+(K78-J77)*F78),2)</f>
        <v>1746.56</v>
      </c>
      <c r="X78" s="194">
        <f>ROUND(N78*T76*(J77*G77+(M78-J77)*G78),2)</f>
        <v>1746.56</v>
      </c>
      <c r="Y78" s="195">
        <f t="shared" ref="Y78:Y83" si="94">(W78+X78)/$W$86</f>
        <v>6.4867265113637115E-4</v>
      </c>
      <c r="Z78" s="986"/>
    </row>
    <row r="79" spans="1:26" x14ac:dyDescent="0.3">
      <c r="A79" s="43"/>
      <c r="B79" s="1014"/>
      <c r="C79" s="180">
        <v>15.01</v>
      </c>
      <c r="D79" s="180">
        <v>20</v>
      </c>
      <c r="E79" s="177">
        <v>2.6144650328750783</v>
      </c>
      <c r="F79" s="171">
        <f t="shared" si="67"/>
        <v>9.0983383144052716</v>
      </c>
      <c r="G79" s="172">
        <f t="shared" si="92"/>
        <v>9.0983383144052716</v>
      </c>
      <c r="H79" s="5"/>
      <c r="I79" s="190">
        <f t="shared" si="91"/>
        <v>15.01</v>
      </c>
      <c r="J79" s="191">
        <f t="shared" si="91"/>
        <v>20</v>
      </c>
      <c r="K79" s="327">
        <v>17.600000000000001</v>
      </c>
      <c r="L79" s="328">
        <v>4.9504950495049507E-2</v>
      </c>
      <c r="M79" s="329">
        <f t="shared" si="78"/>
        <v>17.600000000000001</v>
      </c>
      <c r="N79" s="330">
        <f t="shared" si="79"/>
        <v>4.9504950495049507E-2</v>
      </c>
      <c r="O79" s="999"/>
      <c r="P79" s="1024"/>
      <c r="Q79" s="989"/>
      <c r="R79" s="196">
        <f t="shared" si="93"/>
        <v>238</v>
      </c>
      <c r="S79" s="1021"/>
      <c r="T79" s="1018"/>
      <c r="U79" s="989"/>
      <c r="V79" s="196">
        <f t="shared" si="89"/>
        <v>238</v>
      </c>
      <c r="W79" s="193">
        <f>ROUND(L79*P76*(J77*F77+(J78-J77)*F78+(K79-J78)*F79),2)</f>
        <v>1556.97</v>
      </c>
      <c r="X79" s="194">
        <f>ROUND(N79*T76*(J77*G77+(J78-J77)*G78+(M79-J78)*G79),2)</f>
        <v>1556.97</v>
      </c>
      <c r="Y79" s="195">
        <f t="shared" si="94"/>
        <v>5.782588961385786E-4</v>
      </c>
      <c r="Z79" s="986"/>
    </row>
    <row r="80" spans="1:26" x14ac:dyDescent="0.3">
      <c r="A80" s="43"/>
      <c r="B80" s="1014"/>
      <c r="C80" s="180">
        <v>20.010000000000002</v>
      </c>
      <c r="D80" s="180">
        <v>30</v>
      </c>
      <c r="E80" s="177">
        <v>3.1954572624028734</v>
      </c>
      <c r="F80" s="171">
        <f t="shared" si="67"/>
        <v>11.120191273162</v>
      </c>
      <c r="G80" s="172">
        <f t="shared" si="92"/>
        <v>11.120191273162</v>
      </c>
      <c r="H80" s="5"/>
      <c r="I80" s="189">
        <f t="shared" si="91"/>
        <v>20.010000000000002</v>
      </c>
      <c r="J80" s="176">
        <f t="shared" si="91"/>
        <v>30</v>
      </c>
      <c r="K80" s="327">
        <v>25.2</v>
      </c>
      <c r="L80" s="328">
        <v>2.4752475247524754E-2</v>
      </c>
      <c r="M80" s="329">
        <f t="shared" si="78"/>
        <v>25.2</v>
      </c>
      <c r="N80" s="330">
        <f t="shared" si="79"/>
        <v>2.4752475247524754E-2</v>
      </c>
      <c r="O80" s="999"/>
      <c r="P80" s="1024"/>
      <c r="Q80" s="989"/>
      <c r="R80" s="196">
        <f t="shared" si="93"/>
        <v>170</v>
      </c>
      <c r="S80" s="1021"/>
      <c r="T80" s="1018"/>
      <c r="U80" s="989"/>
      <c r="V80" s="196">
        <f t="shared" si="89"/>
        <v>170</v>
      </c>
      <c r="W80" s="193">
        <f>ROUND(L80*P76*(J77*F77+(J78-J77)*F78+(J79-J78)*F79+(K80-J79)*F80),2)</f>
        <v>1344.39</v>
      </c>
      <c r="X80" s="194">
        <f>ROUND(N80*T76*(J77*G77+(J78-J77)*G78+(J79-J78)*G79+(M80-J79)*G80),2)</f>
        <v>1344.39</v>
      </c>
      <c r="Y80" s="195">
        <f t="shared" si="94"/>
        <v>4.9930665162446525E-4</v>
      </c>
      <c r="Z80" s="986"/>
    </row>
    <row r="81" spans="1:30" x14ac:dyDescent="0.3">
      <c r="A81" s="43"/>
      <c r="B81" s="1014"/>
      <c r="C81" s="180">
        <v>30.01</v>
      </c>
      <c r="D81" s="180">
        <v>50</v>
      </c>
      <c r="E81" s="177">
        <v>4.0669456066945653</v>
      </c>
      <c r="F81" s="171">
        <f t="shared" si="67"/>
        <v>14.152970711297087</v>
      </c>
      <c r="G81" s="172">
        <f t="shared" si="92"/>
        <v>14.152970711297087</v>
      </c>
      <c r="H81" s="5"/>
      <c r="I81" s="190">
        <f t="shared" si="91"/>
        <v>30.01</v>
      </c>
      <c r="J81" s="191">
        <f t="shared" si="91"/>
        <v>50</v>
      </c>
      <c r="K81" s="327">
        <v>40.333333333333336</v>
      </c>
      <c r="L81" s="328">
        <v>1.4851485148514851E-2</v>
      </c>
      <c r="M81" s="329">
        <f t="shared" si="78"/>
        <v>40.333333333333336</v>
      </c>
      <c r="N81" s="330">
        <f t="shared" si="79"/>
        <v>1.4851485148514851E-2</v>
      </c>
      <c r="O81" s="999"/>
      <c r="P81" s="1024"/>
      <c r="Q81" s="989"/>
      <c r="R81" s="196">
        <f t="shared" si="93"/>
        <v>163</v>
      </c>
      <c r="S81" s="1021"/>
      <c r="T81" s="1018"/>
      <c r="U81" s="989"/>
      <c r="V81" s="196">
        <f t="shared" si="89"/>
        <v>163</v>
      </c>
      <c r="W81" s="193">
        <f>ROUND(L81*P76*(J77*F77+(J78-J77)*F78+(J79-J78)*F79+(J80-J79)*F80+(K81-J80)*F81),2)</f>
        <v>1657.51</v>
      </c>
      <c r="X81" s="194">
        <f>ROUND(N81*T76*(10*G77+(J78-J77)*G78+(J79-J78)*G79+(J80-J79)*G80+(M81-J80)*G81),2)</f>
        <v>1657.51</v>
      </c>
      <c r="Y81" s="195">
        <f t="shared" si="94"/>
        <v>6.1559946751617268E-4</v>
      </c>
      <c r="Z81" s="986"/>
    </row>
    <row r="82" spans="1:30" x14ac:dyDescent="0.3">
      <c r="A82" s="43"/>
      <c r="B82" s="1014"/>
      <c r="C82" s="180">
        <v>50.01</v>
      </c>
      <c r="D82" s="180">
        <v>100</v>
      </c>
      <c r="E82" s="177">
        <v>5.2289300657501565</v>
      </c>
      <c r="F82" s="171">
        <f t="shared" si="67"/>
        <v>18.196676628810543</v>
      </c>
      <c r="G82" s="172">
        <f t="shared" si="92"/>
        <v>18.196676628810543</v>
      </c>
      <c r="H82" s="5"/>
      <c r="I82" s="189">
        <f t="shared" si="91"/>
        <v>50.01</v>
      </c>
      <c r="J82" s="176">
        <f t="shared" si="91"/>
        <v>100</v>
      </c>
      <c r="K82" s="327">
        <v>70.25</v>
      </c>
      <c r="L82" s="328">
        <v>1.9801980198019802E-2</v>
      </c>
      <c r="M82" s="329">
        <f t="shared" si="78"/>
        <v>70.25</v>
      </c>
      <c r="N82" s="330">
        <f t="shared" si="79"/>
        <v>1.9801980198019802E-2</v>
      </c>
      <c r="O82" s="999"/>
      <c r="P82" s="1024"/>
      <c r="Q82" s="989"/>
      <c r="R82" s="196">
        <f t="shared" si="93"/>
        <v>379</v>
      </c>
      <c r="S82" s="1021"/>
      <c r="T82" s="1018"/>
      <c r="U82" s="989"/>
      <c r="V82" s="196">
        <f t="shared" si="89"/>
        <v>379</v>
      </c>
      <c r="W82" s="193">
        <f>ROUND(L82*P76*(J77*F77+(J78-J77)*F78+(J79-J78)*F79+(J80-J79)*F80+(J81-J80)*F81+(K82-J81)*F82),2)</f>
        <v>5081.6899999999996</v>
      </c>
      <c r="X82" s="194">
        <f>ROUND(N82*T76*(J77*G77+(J78-J77)*G78+(J79-J78)*G79+(J80-J79)*G80+(J81-J80)*G81+(M82-J81)*G82),2)</f>
        <v>5081.6899999999996</v>
      </c>
      <c r="Y82" s="195">
        <f t="shared" si="94"/>
        <v>1.8873404432445411E-3</v>
      </c>
      <c r="Z82" s="986"/>
    </row>
    <row r="83" spans="1:30" ht="15" thickBot="1" x14ac:dyDescent="0.35">
      <c r="A83" s="43"/>
      <c r="B83" s="1015"/>
      <c r="C83" s="993" t="s">
        <v>47</v>
      </c>
      <c r="D83" s="994"/>
      <c r="E83" s="178">
        <v>6.9719067543335411</v>
      </c>
      <c r="F83" s="173">
        <f t="shared" si="67"/>
        <v>24.262235505080724</v>
      </c>
      <c r="G83" s="174">
        <f t="shared" si="92"/>
        <v>24.262235505080724</v>
      </c>
      <c r="H83" s="5"/>
      <c r="I83" s="991" t="s">
        <v>47</v>
      </c>
      <c r="J83" s="992"/>
      <c r="K83" s="334">
        <v>100</v>
      </c>
      <c r="L83" s="335">
        <v>0</v>
      </c>
      <c r="M83" s="336">
        <f>K83</f>
        <v>100</v>
      </c>
      <c r="N83" s="337">
        <f>L83</f>
        <v>0</v>
      </c>
      <c r="O83" s="1001"/>
      <c r="P83" s="1025"/>
      <c r="Q83" s="1016"/>
      <c r="R83" s="196">
        <f t="shared" si="93"/>
        <v>0</v>
      </c>
      <c r="S83" s="1022"/>
      <c r="T83" s="1019"/>
      <c r="U83" s="1016"/>
      <c r="V83" s="201">
        <f t="shared" si="89"/>
        <v>0</v>
      </c>
      <c r="W83" s="193">
        <f>ROUND(L83*P76*(J77*F77+(J78-J77)*F78+(J79-J78)*F79+(J80-J79)*F80+(J81-J80)*F81+(J82-J81)*F82+(K83-J82)*F83),2)</f>
        <v>0</v>
      </c>
      <c r="X83" s="194">
        <f>ROUND(N83*T76*(J77*G77+(J78-J77)*G78+(J79-J78)*G79+(J80-J79)*G80+(J81-J80)*G81+(J82-J81)*G82+(M83-J82)*G83),2)</f>
        <v>0</v>
      </c>
      <c r="Y83" s="202">
        <f t="shared" si="94"/>
        <v>0</v>
      </c>
      <c r="Z83" s="987"/>
    </row>
    <row r="84" spans="1:30" ht="15.6" thickTop="1" thickBot="1" x14ac:dyDescent="0.35">
      <c r="B84" s="15"/>
      <c r="C84" s="16"/>
      <c r="D84" s="16"/>
      <c r="E84" s="16"/>
      <c r="F84" s="16"/>
      <c r="G84" s="17"/>
      <c r="H84" s="5"/>
      <c r="I84" s="1038" t="s">
        <v>48</v>
      </c>
      <c r="J84" s="1039"/>
      <c r="K84" s="1039"/>
      <c r="L84" s="1039"/>
      <c r="M84" s="1039"/>
      <c r="N84" s="1039"/>
      <c r="O84" s="203">
        <f>SUM(O4:O83)</f>
        <v>1</v>
      </c>
      <c r="P84" s="204">
        <f>SUM(P4:P83)</f>
        <v>24919</v>
      </c>
      <c r="Q84" s="204">
        <f>SUM(Q4:Q83)</f>
        <v>18815</v>
      </c>
      <c r="R84" s="205">
        <f>SUM(R5:R83)</f>
        <v>287626</v>
      </c>
      <c r="S84" s="206">
        <f>SUM(S4:S83)</f>
        <v>1</v>
      </c>
      <c r="T84" s="204">
        <f>SUM(T4:T83)</f>
        <v>24919</v>
      </c>
      <c r="U84" s="204">
        <f>SUM(U4:U83)</f>
        <v>18815</v>
      </c>
      <c r="V84" s="207">
        <f>SUM(V4:V83)</f>
        <v>287626</v>
      </c>
      <c r="W84" s="208">
        <f>ROUND(SUM(W4:W83),2)</f>
        <v>2692513.7</v>
      </c>
      <c r="X84" s="209">
        <f>ROUND(SUM(X4:X83),2)</f>
        <v>2692513.7</v>
      </c>
      <c r="Y84" s="210">
        <f>SUM(Y4:Y83)</f>
        <v>0.9999999992234534</v>
      </c>
      <c r="Z84" s="211">
        <f>SUM(Z4:Z83)</f>
        <v>0.99999999922345351</v>
      </c>
    </row>
    <row r="85" spans="1:30" ht="15" thickTop="1" x14ac:dyDescent="0.3">
      <c r="B85" s="1030" t="s">
        <v>52</v>
      </c>
      <c r="C85" s="1031"/>
      <c r="D85" s="1031"/>
      <c r="E85" s="1031"/>
      <c r="F85" s="1031"/>
      <c r="G85" s="1034">
        <v>1</v>
      </c>
      <c r="H85" s="5"/>
      <c r="W85" s="1026" t="s">
        <v>49</v>
      </c>
      <c r="X85" s="1027"/>
      <c r="Y85" s="1026" t="s">
        <v>50</v>
      </c>
      <c r="Z85" s="1027"/>
    </row>
    <row r="86" spans="1:30" ht="15" thickBot="1" x14ac:dyDescent="0.35">
      <c r="B86" s="1032"/>
      <c r="C86" s="1033"/>
      <c r="D86" s="1033"/>
      <c r="E86" s="1033"/>
      <c r="F86" s="1033"/>
      <c r="G86" s="1035"/>
      <c r="H86" s="5"/>
      <c r="W86" s="1028">
        <f>W84+X84</f>
        <v>5385027.4000000004</v>
      </c>
      <c r="X86" s="1029"/>
      <c r="Y86" s="1028">
        <f>W86*12</f>
        <v>64620328.800000004</v>
      </c>
      <c r="Z86" s="1029"/>
    </row>
    <row r="87" spans="1:30" ht="15.6" thickTop="1" thickBot="1" x14ac:dyDescent="0.35">
      <c r="B87" s="5"/>
      <c r="C87" s="5"/>
      <c r="D87" s="5"/>
      <c r="E87" s="5"/>
      <c r="F87" s="5"/>
      <c r="G87" s="5"/>
      <c r="H87" s="5"/>
      <c r="I87" s="6"/>
      <c r="J87" s="6"/>
      <c r="K87" s="6"/>
      <c r="L87" s="7"/>
      <c r="M87" s="6"/>
      <c r="N87" s="8"/>
      <c r="O87" s="6"/>
      <c r="P87" s="5"/>
      <c r="Q87" s="5"/>
      <c r="R87" s="9"/>
      <c r="S87" s="6"/>
      <c r="T87" s="5"/>
      <c r="U87" s="5"/>
      <c r="V87" s="5"/>
      <c r="W87" s="9"/>
      <c r="X87" s="9"/>
      <c r="Y87" s="5"/>
      <c r="Z87" s="5"/>
    </row>
    <row r="88" spans="1:30" ht="15" thickTop="1" x14ac:dyDescent="0.3">
      <c r="B88" s="5"/>
      <c r="C88" s="1005"/>
      <c r="D88" s="1005"/>
      <c r="F88" s="1005"/>
      <c r="G88" s="1005"/>
      <c r="I88" s="1006" t="s">
        <v>51</v>
      </c>
      <c r="J88" s="1007"/>
      <c r="K88" s="1008"/>
      <c r="L88" s="212">
        <f>'Base Física'!T48</f>
        <v>24917.574877135074</v>
      </c>
      <c r="M88" s="1006" t="s">
        <v>118</v>
      </c>
      <c r="N88" s="1007"/>
      <c r="O88" s="1008"/>
      <c r="P88" s="213">
        <f>'Base Física'!T48/'Base Física'!T52</f>
        <v>1.3244852564716914</v>
      </c>
      <c r="Q88" s="1009" t="s">
        <v>120</v>
      </c>
      <c r="R88" s="1010"/>
      <c r="S88" s="214">
        <f>'Base Física'!T42</f>
        <v>0.05</v>
      </c>
      <c r="X88" s="11" t="s">
        <v>518</v>
      </c>
      <c r="Y88" s="124" t="s">
        <v>3</v>
      </c>
      <c r="Z88" s="125" t="s">
        <v>4</v>
      </c>
    </row>
    <row r="89" spans="1:30" x14ac:dyDescent="0.3">
      <c r="B89" s="5"/>
      <c r="I89" s="1006" t="s">
        <v>119</v>
      </c>
      <c r="J89" s="1007"/>
      <c r="K89" s="1008"/>
      <c r="L89" s="212">
        <f>'Base Física'!T49</f>
        <v>24917.574877135074</v>
      </c>
      <c r="M89" s="1006" t="s">
        <v>517</v>
      </c>
      <c r="N89" s="1007"/>
      <c r="O89" s="1008"/>
      <c r="P89" s="213">
        <f>'Base Física'!T49/'Base Física'!T53</f>
        <v>1.3244852564716914</v>
      </c>
      <c r="Q89" s="1009" t="s">
        <v>120</v>
      </c>
      <c r="R89" s="1010"/>
      <c r="S89" s="214">
        <f>S88</f>
        <v>0.05</v>
      </c>
      <c r="X89" s="12" t="s">
        <v>316</v>
      </c>
      <c r="Y89" s="215">
        <f>ROUND(W84/R84,2)</f>
        <v>9.36</v>
      </c>
      <c r="Z89" s="216">
        <f>ROUND(X84/V84,2)</f>
        <v>9.36</v>
      </c>
      <c r="AB89" s="71"/>
    </row>
    <row r="90" spans="1:30" ht="15" thickBot="1" x14ac:dyDescent="0.35">
      <c r="C90" s="10"/>
      <c r="D90" s="10"/>
      <c r="F90" s="10"/>
      <c r="G90" s="10"/>
      <c r="X90" s="13" t="s">
        <v>519</v>
      </c>
      <c r="Y90" s="1036">
        <f>(Y89+Z89)/(1+G85)</f>
        <v>9.36</v>
      </c>
      <c r="Z90" s="1037"/>
    </row>
    <row r="91" spans="1:30" ht="15" thickTop="1" x14ac:dyDescent="0.3">
      <c r="C91" s="10"/>
      <c r="D91" s="10"/>
      <c r="F91" s="10"/>
      <c r="G91" s="10"/>
    </row>
    <row r="92" spans="1:30" ht="15.75" customHeight="1" x14ac:dyDescent="0.3"/>
    <row r="94" spans="1:30" x14ac:dyDescent="0.3">
      <c r="AB94" s="38"/>
    </row>
    <row r="95" spans="1:30" x14ac:dyDescent="0.3">
      <c r="AB95" s="38"/>
      <c r="AD95" s="38"/>
    </row>
    <row r="96" spans="1:30" x14ac:dyDescent="0.3">
      <c r="AB96" s="38"/>
    </row>
    <row r="97" spans="9:30" x14ac:dyDescent="0.3">
      <c r="AB97" s="39"/>
      <c r="AD97" s="38"/>
    </row>
    <row r="98" spans="9:30" ht="15" customHeight="1" x14ac:dyDescent="0.3"/>
    <row r="99" spans="9:30" ht="22.5" customHeight="1" x14ac:dyDescent="0.3"/>
    <row r="110" spans="9:30" x14ac:dyDescent="0.3">
      <c r="I110" s="1005"/>
      <c r="J110" s="1005"/>
      <c r="K110" s="1005"/>
      <c r="L110" s="1005"/>
    </row>
    <row r="111" spans="9:30" x14ac:dyDescent="0.3">
      <c r="J111" s="14"/>
      <c r="K111" s="14"/>
      <c r="L111" s="14"/>
    </row>
    <row r="112" spans="9:30" x14ac:dyDescent="0.3">
      <c r="L112" s="2"/>
    </row>
    <row r="113" spans="11:12" x14ac:dyDescent="0.3">
      <c r="L113" s="2"/>
    </row>
    <row r="117" spans="11:12" x14ac:dyDescent="0.3">
      <c r="K117" s="100"/>
    </row>
    <row r="131" ht="15.75" customHeight="1" x14ac:dyDescent="0.3"/>
    <row r="133" ht="15.75" customHeight="1" x14ac:dyDescent="0.3"/>
    <row r="138" ht="15.75" customHeight="1" x14ac:dyDescent="0.3"/>
    <row r="164" ht="15.75" customHeight="1" x14ac:dyDescent="0.3"/>
    <row r="166" ht="15.75" customHeight="1" x14ac:dyDescent="0.3"/>
    <row r="171" ht="15.75" customHeight="1" x14ac:dyDescent="0.3"/>
    <row r="183" spans="19:23" x14ac:dyDescent="0.3">
      <c r="S183" s="18"/>
      <c r="T183" s="18"/>
      <c r="U183" s="18"/>
      <c r="V183" s="18"/>
      <c r="W183" s="18"/>
    </row>
    <row r="184" spans="19:23" x14ac:dyDescent="0.3">
      <c r="S184" s="18"/>
      <c r="T184" s="18"/>
      <c r="U184" s="18"/>
      <c r="V184" s="18"/>
      <c r="W184" s="18"/>
    </row>
    <row r="185" spans="19:23" x14ac:dyDescent="0.3">
      <c r="S185" s="18"/>
      <c r="T185" s="18"/>
      <c r="U185" s="18"/>
      <c r="V185" s="18"/>
      <c r="W185" s="18"/>
    </row>
    <row r="186" spans="19:23" x14ac:dyDescent="0.3">
      <c r="S186" s="18"/>
      <c r="T186" s="18"/>
      <c r="U186" s="18"/>
      <c r="V186" s="18"/>
      <c r="W186" s="18"/>
    </row>
    <row r="187" spans="19:23" x14ac:dyDescent="0.3">
      <c r="S187" s="18"/>
      <c r="T187" s="18"/>
      <c r="U187" s="18"/>
      <c r="V187" s="18"/>
      <c r="W187" s="18"/>
    </row>
    <row r="188" spans="19:23" x14ac:dyDescent="0.3">
      <c r="S188" s="18"/>
      <c r="T188" s="18"/>
      <c r="U188" s="18"/>
      <c r="V188" s="18"/>
      <c r="W188" s="18"/>
    </row>
    <row r="189" spans="19:23" x14ac:dyDescent="0.3">
      <c r="S189" s="18"/>
      <c r="T189" s="18"/>
      <c r="U189" s="18"/>
      <c r="V189" s="18"/>
      <c r="W189" s="18"/>
    </row>
    <row r="190" spans="19:23" x14ac:dyDescent="0.3">
      <c r="S190" s="18"/>
      <c r="T190" s="18"/>
      <c r="U190" s="18"/>
      <c r="V190" s="18"/>
      <c r="W190" s="18"/>
    </row>
    <row r="191" spans="19:23" x14ac:dyDescent="0.3">
      <c r="S191" s="18"/>
      <c r="T191" s="18"/>
      <c r="U191" s="18"/>
      <c r="V191" s="18"/>
      <c r="W191" s="18"/>
    </row>
    <row r="192" spans="19:23" x14ac:dyDescent="0.3">
      <c r="S192" s="18"/>
      <c r="T192" s="18"/>
      <c r="U192" s="18"/>
      <c r="V192" s="18"/>
      <c r="W192" s="18"/>
    </row>
    <row r="193" spans="12:23" x14ac:dyDescent="0.3">
      <c r="S193" s="18"/>
      <c r="T193" s="18"/>
      <c r="U193" s="18"/>
      <c r="V193" s="18"/>
      <c r="W193" s="18"/>
    </row>
    <row r="194" spans="12:23" x14ac:dyDescent="0.3">
      <c r="S194" s="18"/>
      <c r="T194" s="18"/>
      <c r="U194" s="18"/>
      <c r="V194" s="18"/>
      <c r="W194" s="18"/>
    </row>
    <row r="195" spans="12:23" x14ac:dyDescent="0.3">
      <c r="S195" s="18"/>
      <c r="T195" s="18"/>
      <c r="U195" s="18"/>
      <c r="V195" s="18"/>
      <c r="W195" s="18"/>
    </row>
    <row r="196" spans="12:23" x14ac:dyDescent="0.3"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</row>
  </sheetData>
  <mergeCells count="132">
    <mergeCell ref="B69:B75"/>
    <mergeCell ref="B37:B43"/>
    <mergeCell ref="B45:B51"/>
    <mergeCell ref="B29:B35"/>
    <mergeCell ref="C59:D59"/>
    <mergeCell ref="I59:J59"/>
    <mergeCell ref="C51:D51"/>
    <mergeCell ref="I51:J51"/>
    <mergeCell ref="C35:D35"/>
    <mergeCell ref="C75:D75"/>
    <mergeCell ref="B61:B67"/>
    <mergeCell ref="B53:B59"/>
    <mergeCell ref="C67:D67"/>
    <mergeCell ref="I67:J67"/>
    <mergeCell ref="C43:D43"/>
    <mergeCell ref="I43:J43"/>
    <mergeCell ref="B1:G1"/>
    <mergeCell ref="B5:B11"/>
    <mergeCell ref="X2:X3"/>
    <mergeCell ref="Y2:Y3"/>
    <mergeCell ref="Z2:Z3"/>
    <mergeCell ref="B2:B3"/>
    <mergeCell ref="C2:D2"/>
    <mergeCell ref="I2:J2"/>
    <mergeCell ref="K2:N2"/>
    <mergeCell ref="O2:R2"/>
    <mergeCell ref="S2:V2"/>
    <mergeCell ref="W2:W3"/>
    <mergeCell ref="I1:N1"/>
    <mergeCell ref="E2:E3"/>
    <mergeCell ref="O1:V1"/>
    <mergeCell ref="W1:Z1"/>
    <mergeCell ref="O4:O11"/>
    <mergeCell ref="C11:D11"/>
    <mergeCell ref="I11:J11"/>
    <mergeCell ref="Y90:Z90"/>
    <mergeCell ref="I75:J75"/>
    <mergeCell ref="P60:P67"/>
    <mergeCell ref="O60:O67"/>
    <mergeCell ref="Z68:Z75"/>
    <mergeCell ref="U68:U75"/>
    <mergeCell ref="Z52:Z59"/>
    <mergeCell ref="U52:U59"/>
    <mergeCell ref="T52:T59"/>
    <mergeCell ref="S52:S59"/>
    <mergeCell ref="Q52:Q59"/>
    <mergeCell ref="P52:P59"/>
    <mergeCell ref="O52:O59"/>
    <mergeCell ref="Z60:Z67"/>
    <mergeCell ref="U60:U67"/>
    <mergeCell ref="T60:T67"/>
    <mergeCell ref="S60:S67"/>
    <mergeCell ref="Q60:Q67"/>
    <mergeCell ref="I84:N84"/>
    <mergeCell ref="I88:K88"/>
    <mergeCell ref="I89:K89"/>
    <mergeCell ref="S68:S75"/>
    <mergeCell ref="Q68:Q75"/>
    <mergeCell ref="P68:P75"/>
    <mergeCell ref="B77:B83"/>
    <mergeCell ref="Q89:R89"/>
    <mergeCell ref="Z76:Z83"/>
    <mergeCell ref="U76:U83"/>
    <mergeCell ref="T76:T83"/>
    <mergeCell ref="S76:S83"/>
    <mergeCell ref="Q76:Q83"/>
    <mergeCell ref="P76:P83"/>
    <mergeCell ref="W85:X85"/>
    <mergeCell ref="Y85:Z85"/>
    <mergeCell ref="W86:X86"/>
    <mergeCell ref="Y86:Z86"/>
    <mergeCell ref="B85:F86"/>
    <mergeCell ref="G85:G86"/>
    <mergeCell ref="M89:O89"/>
    <mergeCell ref="C83:D83"/>
    <mergeCell ref="O76:O83"/>
    <mergeCell ref="I110:L110"/>
    <mergeCell ref="I83:J83"/>
    <mergeCell ref="F88:G88"/>
    <mergeCell ref="C88:D88"/>
    <mergeCell ref="M88:O88"/>
    <mergeCell ref="Q88:R88"/>
    <mergeCell ref="Z4:Z11"/>
    <mergeCell ref="U4:U11"/>
    <mergeCell ref="T4:T11"/>
    <mergeCell ref="S4:S11"/>
    <mergeCell ref="Q4:Q11"/>
    <mergeCell ref="P4:P11"/>
    <mergeCell ref="Z12:Z19"/>
    <mergeCell ref="U12:U19"/>
    <mergeCell ref="T12:T19"/>
    <mergeCell ref="S12:S19"/>
    <mergeCell ref="Q12:Q19"/>
    <mergeCell ref="P12:P19"/>
    <mergeCell ref="S20:S27"/>
    <mergeCell ref="Q20:Q27"/>
    <mergeCell ref="P20:P27"/>
    <mergeCell ref="O20:O27"/>
    <mergeCell ref="Z28:Z35"/>
    <mergeCell ref="U28:U35"/>
    <mergeCell ref="O68:O75"/>
    <mergeCell ref="T68:T75"/>
    <mergeCell ref="T36:T43"/>
    <mergeCell ref="S36:S43"/>
    <mergeCell ref="Q36:Q43"/>
    <mergeCell ref="P36:P43"/>
    <mergeCell ref="O36:O43"/>
    <mergeCell ref="T44:T51"/>
    <mergeCell ref="S44:S51"/>
    <mergeCell ref="Q44:Q51"/>
    <mergeCell ref="P44:P51"/>
    <mergeCell ref="O44:O51"/>
    <mergeCell ref="Z44:Z51"/>
    <mergeCell ref="U44:U51"/>
    <mergeCell ref="I27:J27"/>
    <mergeCell ref="C27:D27"/>
    <mergeCell ref="B21:B27"/>
    <mergeCell ref="I19:J19"/>
    <mergeCell ref="C19:D19"/>
    <mergeCell ref="B13:B19"/>
    <mergeCell ref="Z20:Z27"/>
    <mergeCell ref="T20:T27"/>
    <mergeCell ref="U20:U27"/>
    <mergeCell ref="O12:O19"/>
    <mergeCell ref="Q28:Q35"/>
    <mergeCell ref="P28:P35"/>
    <mergeCell ref="O28:O35"/>
    <mergeCell ref="Z36:Z43"/>
    <mergeCell ref="U36:U43"/>
    <mergeCell ref="T28:T35"/>
    <mergeCell ref="S28:S35"/>
    <mergeCell ref="I35:J35"/>
  </mergeCells>
  <pageMargins left="0.511811024" right="0.511811024" top="0.78740157499999996" bottom="0.78740157499999996" header="0.31496062000000002" footer="0.31496062000000002"/>
  <pageSetup paperSize="8" scale="25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06BE8-9C4E-4738-905E-CE6590C481C7}">
  <dimension ref="A1:AO69"/>
  <sheetViews>
    <sheetView topLeftCell="A27" zoomScale="80" zoomScaleNormal="80" workbookViewId="0">
      <selection activeCell="D52" sqref="D52"/>
    </sheetView>
  </sheetViews>
  <sheetFormatPr defaultRowHeight="14.4" x14ac:dyDescent="0.3"/>
  <cols>
    <col min="1" max="1" width="14" customWidth="1"/>
    <col min="2" max="2" width="57.109375" customWidth="1"/>
    <col min="3" max="3" width="14.5546875" customWidth="1"/>
    <col min="4" max="4" width="15.5546875" customWidth="1"/>
    <col min="5" max="5" width="16.5546875" customWidth="1"/>
    <col min="6" max="8" width="22.6640625" customWidth="1"/>
    <col min="9" max="10" width="21.109375" customWidth="1"/>
    <col min="11" max="13" width="20.6640625" customWidth="1"/>
    <col min="14" max="17" width="20" customWidth="1"/>
    <col min="18" max="18" width="19.5546875" customWidth="1"/>
    <col min="19" max="20" width="20" customWidth="1"/>
    <col min="21" max="21" width="19.5546875" customWidth="1"/>
    <col min="22" max="22" width="20" customWidth="1"/>
    <col min="23" max="23" width="20" bestFit="1" customWidth="1"/>
    <col min="24" max="24" width="19.5546875" bestFit="1" customWidth="1"/>
    <col min="25" max="25" width="20" bestFit="1" customWidth="1"/>
    <col min="26" max="26" width="19.5546875" bestFit="1" customWidth="1"/>
    <col min="27" max="27" width="20" bestFit="1" customWidth="1"/>
    <col min="28" max="28" width="19.5546875" bestFit="1" customWidth="1"/>
    <col min="29" max="40" width="20" bestFit="1" customWidth="1"/>
  </cols>
  <sheetData>
    <row r="1" spans="1:40" ht="15.6" thickTop="1" thickBot="1" x14ac:dyDescent="0.35">
      <c r="A1" s="318" t="s">
        <v>522</v>
      </c>
      <c r="B1" s="1059" t="s">
        <v>17</v>
      </c>
      <c r="C1" s="1061" t="s">
        <v>18</v>
      </c>
      <c r="D1" s="102" t="s">
        <v>16</v>
      </c>
      <c r="E1" s="102">
        <v>0</v>
      </c>
      <c r="F1" s="102">
        <f t="shared" ref="F1:AN2" si="0">E1+1</f>
        <v>1</v>
      </c>
      <c r="G1" s="102">
        <f t="shared" si="0"/>
        <v>2</v>
      </c>
      <c r="H1" s="102">
        <f t="shared" si="0"/>
        <v>3</v>
      </c>
      <c r="I1" s="102">
        <f t="shared" si="0"/>
        <v>4</v>
      </c>
      <c r="J1" s="102">
        <f t="shared" si="0"/>
        <v>5</v>
      </c>
      <c r="K1" s="102">
        <f t="shared" si="0"/>
        <v>6</v>
      </c>
      <c r="L1" s="102">
        <f t="shared" si="0"/>
        <v>7</v>
      </c>
      <c r="M1" s="102">
        <f t="shared" si="0"/>
        <v>8</v>
      </c>
      <c r="N1" s="102">
        <f t="shared" si="0"/>
        <v>9</v>
      </c>
      <c r="O1" s="102">
        <f t="shared" si="0"/>
        <v>10</v>
      </c>
      <c r="P1" s="102">
        <f t="shared" si="0"/>
        <v>11</v>
      </c>
      <c r="Q1" s="102">
        <f t="shared" si="0"/>
        <v>12</v>
      </c>
      <c r="R1" s="102">
        <f t="shared" si="0"/>
        <v>13</v>
      </c>
      <c r="S1" s="102">
        <f t="shared" si="0"/>
        <v>14</v>
      </c>
      <c r="T1" s="102">
        <f t="shared" si="0"/>
        <v>15</v>
      </c>
      <c r="U1" s="102">
        <f t="shared" si="0"/>
        <v>16</v>
      </c>
      <c r="V1" s="102">
        <f t="shared" si="0"/>
        <v>17</v>
      </c>
      <c r="W1" s="102">
        <f t="shared" si="0"/>
        <v>18</v>
      </c>
      <c r="X1" s="102">
        <f t="shared" si="0"/>
        <v>19</v>
      </c>
      <c r="Y1" s="102">
        <f t="shared" si="0"/>
        <v>20</v>
      </c>
      <c r="Z1" s="102">
        <f t="shared" si="0"/>
        <v>21</v>
      </c>
      <c r="AA1" s="102">
        <f t="shared" si="0"/>
        <v>22</v>
      </c>
      <c r="AB1" s="102">
        <f t="shared" si="0"/>
        <v>23</v>
      </c>
      <c r="AC1" s="102">
        <f t="shared" si="0"/>
        <v>24</v>
      </c>
      <c r="AD1" s="102">
        <f t="shared" si="0"/>
        <v>25</v>
      </c>
      <c r="AE1" s="102">
        <f t="shared" si="0"/>
        <v>26</v>
      </c>
      <c r="AF1" s="102">
        <f t="shared" si="0"/>
        <v>27</v>
      </c>
      <c r="AG1" s="102">
        <f t="shared" si="0"/>
        <v>28</v>
      </c>
      <c r="AH1" s="102">
        <f t="shared" si="0"/>
        <v>29</v>
      </c>
      <c r="AI1" s="102">
        <f t="shared" si="0"/>
        <v>30</v>
      </c>
      <c r="AJ1" s="102">
        <f t="shared" si="0"/>
        <v>31</v>
      </c>
      <c r="AK1" s="102">
        <f t="shared" si="0"/>
        <v>32</v>
      </c>
      <c r="AL1" s="102">
        <f t="shared" si="0"/>
        <v>33</v>
      </c>
      <c r="AM1" s="102">
        <f t="shared" si="0"/>
        <v>34</v>
      </c>
      <c r="AN1" s="102">
        <f t="shared" si="0"/>
        <v>35</v>
      </c>
    </row>
    <row r="2" spans="1:40" x14ac:dyDescent="0.3">
      <c r="A2" s="147" t="s">
        <v>523</v>
      </c>
      <c r="B2" s="1060"/>
      <c r="C2" s="1062"/>
      <c r="D2" s="103">
        <f>'FCD PROJETO'!D24</f>
        <v>2025</v>
      </c>
      <c r="E2" s="103">
        <f>D2+1</f>
        <v>2026</v>
      </c>
      <c r="F2" s="103">
        <f t="shared" si="0"/>
        <v>2027</v>
      </c>
      <c r="G2" s="103">
        <f t="shared" si="0"/>
        <v>2028</v>
      </c>
      <c r="H2" s="103">
        <f t="shared" si="0"/>
        <v>2029</v>
      </c>
      <c r="I2" s="103">
        <f t="shared" si="0"/>
        <v>2030</v>
      </c>
      <c r="J2" s="103">
        <f t="shared" si="0"/>
        <v>2031</v>
      </c>
      <c r="K2" s="103">
        <f t="shared" si="0"/>
        <v>2032</v>
      </c>
      <c r="L2" s="103">
        <f t="shared" si="0"/>
        <v>2033</v>
      </c>
      <c r="M2" s="103">
        <f t="shared" si="0"/>
        <v>2034</v>
      </c>
      <c r="N2" s="103">
        <f t="shared" si="0"/>
        <v>2035</v>
      </c>
      <c r="O2" s="103">
        <f t="shared" si="0"/>
        <v>2036</v>
      </c>
      <c r="P2" s="103">
        <f t="shared" si="0"/>
        <v>2037</v>
      </c>
      <c r="Q2" s="103">
        <f t="shared" si="0"/>
        <v>2038</v>
      </c>
      <c r="R2" s="103">
        <f t="shared" si="0"/>
        <v>2039</v>
      </c>
      <c r="S2" s="103">
        <f t="shared" si="0"/>
        <v>2040</v>
      </c>
      <c r="T2" s="103">
        <f t="shared" si="0"/>
        <v>2041</v>
      </c>
      <c r="U2" s="103">
        <f t="shared" si="0"/>
        <v>2042</v>
      </c>
      <c r="V2" s="103">
        <f t="shared" si="0"/>
        <v>2043</v>
      </c>
      <c r="W2" s="103">
        <f t="shared" si="0"/>
        <v>2044</v>
      </c>
      <c r="X2" s="103">
        <f t="shared" si="0"/>
        <v>2045</v>
      </c>
      <c r="Y2" s="103">
        <f t="shared" si="0"/>
        <v>2046</v>
      </c>
      <c r="Z2" s="103">
        <f t="shared" si="0"/>
        <v>2047</v>
      </c>
      <c r="AA2" s="103">
        <f t="shared" si="0"/>
        <v>2048</v>
      </c>
      <c r="AB2" s="103">
        <f t="shared" si="0"/>
        <v>2049</v>
      </c>
      <c r="AC2" s="103">
        <f t="shared" si="0"/>
        <v>2050</v>
      </c>
      <c r="AD2" s="103">
        <f t="shared" si="0"/>
        <v>2051</v>
      </c>
      <c r="AE2" s="103">
        <f t="shared" si="0"/>
        <v>2052</v>
      </c>
      <c r="AF2" s="103">
        <f t="shared" si="0"/>
        <v>2053</v>
      </c>
      <c r="AG2" s="103">
        <f t="shared" si="0"/>
        <v>2054</v>
      </c>
      <c r="AH2" s="103">
        <f t="shared" si="0"/>
        <v>2055</v>
      </c>
      <c r="AI2" s="103">
        <f t="shared" si="0"/>
        <v>2056</v>
      </c>
      <c r="AJ2" s="103">
        <f t="shared" si="0"/>
        <v>2057</v>
      </c>
      <c r="AK2" s="103">
        <f t="shared" si="0"/>
        <v>2058</v>
      </c>
      <c r="AL2" s="103">
        <f t="shared" si="0"/>
        <v>2059</v>
      </c>
      <c r="AM2" s="103">
        <f t="shared" si="0"/>
        <v>2060</v>
      </c>
      <c r="AN2" s="103">
        <f t="shared" si="0"/>
        <v>2061</v>
      </c>
    </row>
    <row r="3" spans="1:40" x14ac:dyDescent="0.3">
      <c r="A3" s="222" t="s">
        <v>524</v>
      </c>
      <c r="B3" s="104" t="s">
        <v>11</v>
      </c>
      <c r="C3" s="40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  <c r="AI3" s="96"/>
      <c r="AJ3" s="96"/>
      <c r="AK3" s="96"/>
      <c r="AL3" s="96"/>
      <c r="AM3" s="96"/>
      <c r="AN3" s="96"/>
    </row>
    <row r="4" spans="1:40" x14ac:dyDescent="0.3">
      <c r="B4" s="117" t="s">
        <v>8</v>
      </c>
      <c r="C4" s="137" t="s">
        <v>14</v>
      </c>
      <c r="D4" s="436">
        <v>45430.859189432937</v>
      </c>
      <c r="E4" s="436">
        <v>46011.580352534933</v>
      </c>
      <c r="F4" s="437">
        <v>46573.432134953429</v>
      </c>
      <c r="G4" s="437">
        <v>47116.534574295358</v>
      </c>
      <c r="H4" s="437">
        <v>47641.051365863968</v>
      </c>
      <c r="I4" s="437">
        <v>48147.18655793662</v>
      </c>
      <c r="J4" s="437">
        <v>48635.181187192517</v>
      </c>
      <c r="K4" s="437">
        <v>49105.309894885817</v>
      </c>
      <c r="L4" s="437">
        <v>49557.877560314388</v>
      </c>
      <c r="M4" s="437">
        <v>49993.215983961309</v>
      </c>
      <c r="N4" s="437">
        <v>50411.680648487025</v>
      </c>
      <c r="O4" s="437">
        <v>50813.647581609919</v>
      </c>
      <c r="P4" s="437">
        <v>51199.510340907727</v>
      </c>
      <c r="Q4" s="437">
        <v>51569.677136759557</v>
      </c>
      <c r="R4" s="437">
        <v>51924.568106074483</v>
      </c>
      <c r="S4" s="437">
        <v>52264.612746151462</v>
      </c>
      <c r="T4" s="437">
        <v>52590.247515009047</v>
      </c>
      <c r="U4" s="437">
        <v>52901.913601823413</v>
      </c>
      <c r="V4" s="437">
        <v>53200.054868723935</v>
      </c>
      <c r="W4" s="437">
        <v>53485.115963113007</v>
      </c>
      <c r="X4" s="437">
        <v>53757.540597890482</v>
      </c>
      <c r="Y4" s="437">
        <v>54017.769995461087</v>
      </c>
      <c r="Z4" s="437">
        <v>54266.241490164277</v>
      </c>
      <c r="AA4" s="437">
        <v>54503.387282773809</v>
      </c>
      <c r="AB4" s="437">
        <v>54729.63333994471</v>
      </c>
      <c r="AC4" s="437">
        <v>54945.398430916823</v>
      </c>
      <c r="AD4" s="437">
        <v>55151.09329339418</v>
      </c>
      <c r="AE4" s="437">
        <v>55347.119920287252</v>
      </c>
      <c r="AF4" s="437">
        <v>55533.870958906715</v>
      </c>
      <c r="AG4" s="437">
        <v>55711.729214216328</v>
      </c>
      <c r="AH4" s="437">
        <v>55881.067247867672</v>
      </c>
      <c r="AI4" s="437">
        <v>56042.247064934483</v>
      </c>
      <c r="AJ4" s="437">
        <v>56195.619880524173</v>
      </c>
      <c r="AK4" s="437">
        <v>56341.525958754421</v>
      </c>
      <c r="AL4" s="437">
        <v>56480.294516930619</v>
      </c>
      <c r="AM4" s="437">
        <v>56615</v>
      </c>
      <c r="AN4" s="437">
        <v>56482.294516930597</v>
      </c>
    </row>
    <row r="5" spans="1:40" x14ac:dyDescent="0.3">
      <c r="B5" s="105"/>
      <c r="C5" s="106"/>
      <c r="D5" s="106"/>
      <c r="E5" s="106"/>
      <c r="F5" s="106"/>
      <c r="G5" s="438"/>
      <c r="H5" s="438"/>
      <c r="I5" s="438"/>
      <c r="J5" s="438"/>
      <c r="K5" s="438"/>
      <c r="L5" s="438"/>
      <c r="M5" s="438"/>
      <c r="N5" s="438"/>
      <c r="O5" s="438"/>
      <c r="P5" s="438"/>
      <c r="Q5" s="438"/>
      <c r="R5" s="438"/>
      <c r="S5" s="438"/>
      <c r="T5" s="438"/>
      <c r="U5" s="438"/>
      <c r="V5" s="438"/>
      <c r="W5" s="438"/>
      <c r="X5" s="438"/>
      <c r="Y5" s="438"/>
      <c r="Z5" s="438"/>
      <c r="AA5" s="438"/>
      <c r="AB5" s="438"/>
      <c r="AC5" s="438"/>
      <c r="AD5" s="438"/>
      <c r="AE5" s="438"/>
      <c r="AF5" s="438"/>
      <c r="AG5" s="438"/>
      <c r="AH5" s="438"/>
      <c r="AI5" s="438"/>
      <c r="AJ5" s="438"/>
      <c r="AK5" s="438"/>
      <c r="AL5" s="438"/>
      <c r="AM5" s="438"/>
      <c r="AN5" s="438"/>
    </row>
    <row r="6" spans="1:40" x14ac:dyDescent="0.3">
      <c r="B6" s="104" t="s">
        <v>12</v>
      </c>
      <c r="C6" s="40"/>
      <c r="D6" s="40"/>
      <c r="E6" s="40"/>
      <c r="F6" s="438"/>
      <c r="G6" s="438"/>
      <c r="H6" s="438"/>
      <c r="I6" s="438"/>
      <c r="J6" s="438"/>
      <c r="K6" s="438"/>
      <c r="L6" s="438"/>
      <c r="M6" s="438"/>
      <c r="N6" s="438"/>
      <c r="O6" s="438"/>
      <c r="P6" s="438"/>
      <c r="Q6" s="438"/>
      <c r="R6" s="438"/>
      <c r="S6" s="438"/>
      <c r="T6" s="438"/>
      <c r="U6" s="438"/>
      <c r="V6" s="438"/>
      <c r="W6" s="438"/>
      <c r="X6" s="438"/>
      <c r="Y6" s="438"/>
      <c r="Z6" s="438"/>
      <c r="AA6" s="438"/>
      <c r="AB6" s="438"/>
      <c r="AC6" s="438"/>
      <c r="AD6" s="438"/>
      <c r="AE6" s="438"/>
      <c r="AF6" s="438"/>
      <c r="AG6" s="438"/>
      <c r="AH6" s="438"/>
      <c r="AI6" s="438"/>
      <c r="AJ6" s="438"/>
      <c r="AK6" s="438"/>
      <c r="AL6" s="438"/>
      <c r="AM6" s="438"/>
      <c r="AN6" s="438"/>
    </row>
    <row r="7" spans="1:40" x14ac:dyDescent="0.3">
      <c r="B7" s="104" t="s">
        <v>9</v>
      </c>
      <c r="C7" s="40" t="s">
        <v>15</v>
      </c>
      <c r="D7" s="439">
        <v>0.96399999999999997</v>
      </c>
      <c r="E7" s="439">
        <v>0.96399999999999997</v>
      </c>
      <c r="F7" s="319">
        <v>0.96399999999999997</v>
      </c>
      <c r="G7" s="319">
        <v>0.99399999999999999</v>
      </c>
      <c r="H7" s="319">
        <v>1</v>
      </c>
      <c r="I7" s="319">
        <v>1</v>
      </c>
      <c r="J7" s="319">
        <v>1</v>
      </c>
      <c r="K7" s="319">
        <v>1</v>
      </c>
      <c r="L7" s="319">
        <v>1</v>
      </c>
      <c r="M7" s="319">
        <v>1</v>
      </c>
      <c r="N7" s="319">
        <v>1</v>
      </c>
      <c r="O7" s="319">
        <v>1</v>
      </c>
      <c r="P7" s="319">
        <v>1</v>
      </c>
      <c r="Q7" s="319">
        <v>1</v>
      </c>
      <c r="R7" s="319">
        <v>1</v>
      </c>
      <c r="S7" s="319">
        <v>1</v>
      </c>
      <c r="T7" s="319">
        <v>1</v>
      </c>
      <c r="U7" s="319">
        <v>1</v>
      </c>
      <c r="V7" s="319">
        <v>1</v>
      </c>
      <c r="W7" s="319">
        <v>1</v>
      </c>
      <c r="X7" s="319">
        <v>1</v>
      </c>
      <c r="Y7" s="319">
        <v>1</v>
      </c>
      <c r="Z7" s="319">
        <v>1</v>
      </c>
      <c r="AA7" s="319">
        <v>1</v>
      </c>
      <c r="AB7" s="319">
        <v>1</v>
      </c>
      <c r="AC7" s="319">
        <v>1</v>
      </c>
      <c r="AD7" s="319">
        <v>1</v>
      </c>
      <c r="AE7" s="319">
        <v>1</v>
      </c>
      <c r="AF7" s="319">
        <v>1</v>
      </c>
      <c r="AG7" s="319">
        <v>1</v>
      </c>
      <c r="AH7" s="319">
        <v>1</v>
      </c>
      <c r="AI7" s="319">
        <v>1</v>
      </c>
      <c r="AJ7" s="319">
        <v>1</v>
      </c>
      <c r="AK7" s="319">
        <v>1</v>
      </c>
      <c r="AL7" s="319">
        <v>1</v>
      </c>
      <c r="AM7" s="319">
        <v>1</v>
      </c>
      <c r="AN7" s="319">
        <v>1</v>
      </c>
    </row>
    <row r="8" spans="1:40" x14ac:dyDescent="0.3">
      <c r="B8" s="104" t="s">
        <v>10</v>
      </c>
      <c r="C8" s="40" t="s">
        <v>15</v>
      </c>
      <c r="D8" s="439">
        <v>0</v>
      </c>
      <c r="E8" s="439">
        <v>0</v>
      </c>
      <c r="F8" s="319">
        <v>0</v>
      </c>
      <c r="G8" s="319">
        <v>0.2</v>
      </c>
      <c r="H8" s="319">
        <v>0.4</v>
      </c>
      <c r="I8" s="319">
        <v>0.6</v>
      </c>
      <c r="J8" s="319">
        <v>0.8</v>
      </c>
      <c r="K8" s="319">
        <v>0.85</v>
      </c>
      <c r="L8" s="319">
        <v>0.9</v>
      </c>
      <c r="M8" s="319">
        <v>0.92</v>
      </c>
      <c r="N8" s="319">
        <v>0.94</v>
      </c>
      <c r="O8" s="319">
        <v>0.96</v>
      </c>
      <c r="P8" s="319">
        <v>0.98</v>
      </c>
      <c r="Q8" s="319">
        <v>1</v>
      </c>
      <c r="R8" s="319">
        <v>1</v>
      </c>
      <c r="S8" s="319">
        <v>1</v>
      </c>
      <c r="T8" s="319">
        <v>1</v>
      </c>
      <c r="U8" s="319">
        <v>1</v>
      </c>
      <c r="V8" s="319">
        <v>1</v>
      </c>
      <c r="W8" s="319">
        <v>1</v>
      </c>
      <c r="X8" s="319">
        <v>1</v>
      </c>
      <c r="Y8" s="319">
        <v>1</v>
      </c>
      <c r="Z8" s="319">
        <v>1</v>
      </c>
      <c r="AA8" s="319">
        <v>1</v>
      </c>
      <c r="AB8" s="319">
        <v>1</v>
      </c>
      <c r="AC8" s="319">
        <v>1</v>
      </c>
      <c r="AD8" s="319">
        <v>1</v>
      </c>
      <c r="AE8" s="319">
        <v>1</v>
      </c>
      <c r="AF8" s="319">
        <v>1</v>
      </c>
      <c r="AG8" s="319">
        <v>1</v>
      </c>
      <c r="AH8" s="319">
        <v>1</v>
      </c>
      <c r="AI8" s="319">
        <v>1</v>
      </c>
      <c r="AJ8" s="319">
        <v>1</v>
      </c>
      <c r="AK8" s="319">
        <v>1</v>
      </c>
      <c r="AL8" s="319">
        <v>1</v>
      </c>
      <c r="AM8" s="319">
        <v>1</v>
      </c>
      <c r="AN8" s="319">
        <v>1</v>
      </c>
    </row>
    <row r="9" spans="1:40" x14ac:dyDescent="0.3">
      <c r="B9" s="104"/>
      <c r="C9" s="40"/>
      <c r="D9" s="40"/>
      <c r="E9" s="40"/>
      <c r="F9" s="438"/>
      <c r="G9" s="438"/>
      <c r="H9" s="438"/>
      <c r="I9" s="438"/>
      <c r="J9" s="438"/>
      <c r="K9" s="438"/>
      <c r="L9" s="438"/>
      <c r="M9" s="438"/>
      <c r="N9" s="438"/>
      <c r="O9" s="438"/>
      <c r="P9" s="438"/>
      <c r="Q9" s="438"/>
      <c r="R9" s="438"/>
      <c r="S9" s="438"/>
      <c r="T9" s="438"/>
      <c r="U9" s="438"/>
      <c r="V9" s="438"/>
      <c r="W9" s="438"/>
      <c r="X9" s="438"/>
      <c r="Y9" s="438"/>
      <c r="Z9" s="438"/>
      <c r="AA9" s="438"/>
      <c r="AB9" s="438"/>
      <c r="AC9" s="438"/>
      <c r="AD9" s="438"/>
      <c r="AE9" s="438"/>
      <c r="AF9" s="438"/>
      <c r="AG9" s="438"/>
      <c r="AH9" s="438"/>
      <c r="AI9" s="438"/>
      <c r="AJ9" s="438"/>
      <c r="AK9" s="438"/>
      <c r="AL9" s="438"/>
      <c r="AM9" s="438"/>
      <c r="AN9" s="438"/>
    </row>
    <row r="10" spans="1:40" x14ac:dyDescent="0.3">
      <c r="B10" s="104" t="s">
        <v>124</v>
      </c>
      <c r="C10" s="40" t="s">
        <v>126</v>
      </c>
      <c r="D10" s="440">
        <v>289462.29255087225</v>
      </c>
      <c r="E10" s="440">
        <v>296019.6290108774</v>
      </c>
      <c r="F10" s="320">
        <v>302518.86680173344</v>
      </c>
      <c r="G10" s="320">
        <v>318551.17354761629</v>
      </c>
      <c r="H10" s="320">
        <v>327097.87063211534</v>
      </c>
      <c r="I10" s="320">
        <v>333639.12266374228</v>
      </c>
      <c r="J10" s="320">
        <v>340099.34664209257</v>
      </c>
      <c r="K10" s="320">
        <v>346479.7314649531</v>
      </c>
      <c r="L10" s="320">
        <v>352761.82310199778</v>
      </c>
      <c r="M10" s="320">
        <v>358918.46611744148</v>
      </c>
      <c r="N10" s="320">
        <v>365023.64472305629</v>
      </c>
      <c r="O10" s="320">
        <v>370993.1778710793</v>
      </c>
      <c r="P10" s="320">
        <v>376838.24111314496</v>
      </c>
      <c r="Q10" s="320">
        <v>382596.94473612087</v>
      </c>
      <c r="R10" s="320">
        <v>388185.58164948464</v>
      </c>
      <c r="S10" s="320">
        <v>393663.88682391745</v>
      </c>
      <c r="T10" s="320">
        <v>399024.27041877067</v>
      </c>
      <c r="U10" s="320">
        <v>404264.35789962229</v>
      </c>
      <c r="V10" s="320">
        <v>409360.82356184412</v>
      </c>
      <c r="W10" s="320">
        <v>414337.09972150292</v>
      </c>
      <c r="X10" s="320">
        <v>419150.12073369807</v>
      </c>
      <c r="Y10" s="320">
        <v>423873.70373100205</v>
      </c>
      <c r="Z10" s="320">
        <v>428432.40590154397</v>
      </c>
      <c r="AA10" s="320">
        <v>432863.63968485338</v>
      </c>
      <c r="AB10" s="320">
        <v>437150.46269474534</v>
      </c>
      <c r="AC10" s="320">
        <v>441310.22942385013</v>
      </c>
      <c r="AD10" s="320">
        <v>445321.81052758021</v>
      </c>
      <c r="AE10" s="320">
        <v>449249.82655700151</v>
      </c>
      <c r="AF10" s="320">
        <v>452995.15065138065</v>
      </c>
      <c r="AG10" s="320">
        <v>456637.77750159503</v>
      </c>
      <c r="AH10" s="320">
        <v>460138.37061472703</v>
      </c>
      <c r="AI10" s="320">
        <v>463523.5011180467</v>
      </c>
      <c r="AJ10" s="320">
        <v>466786.36528739153</v>
      </c>
      <c r="AK10" s="320">
        <v>469917.40558616113</v>
      </c>
      <c r="AL10" s="320">
        <v>472934.577831809</v>
      </c>
      <c r="AM10" s="320">
        <v>473314.16391981387</v>
      </c>
      <c r="AN10" s="320">
        <v>475657.81352704653</v>
      </c>
    </row>
    <row r="11" spans="1:40" x14ac:dyDescent="0.3">
      <c r="B11" s="104" t="s">
        <v>157</v>
      </c>
      <c r="C11" s="40"/>
      <c r="D11" s="440"/>
      <c r="E11" s="440">
        <f t="shared" ref="E11:AN11" si="1">E10-D10</f>
        <v>6557.3364600051427</v>
      </c>
      <c r="F11" s="441">
        <f t="shared" si="1"/>
        <v>6499.2377908560447</v>
      </c>
      <c r="G11" s="441">
        <f t="shared" si="1"/>
        <v>16032.306745882845</v>
      </c>
      <c r="H11" s="441">
        <f t="shared" si="1"/>
        <v>8546.6970844990574</v>
      </c>
      <c r="I11" s="441">
        <f t="shared" si="1"/>
        <v>6541.2520316269365</v>
      </c>
      <c r="J11" s="441">
        <f t="shared" si="1"/>
        <v>6460.2239783502882</v>
      </c>
      <c r="K11" s="441">
        <f t="shared" si="1"/>
        <v>6380.3848228605348</v>
      </c>
      <c r="L11" s="441">
        <f t="shared" si="1"/>
        <v>6282.0916370446794</v>
      </c>
      <c r="M11" s="441">
        <f t="shared" si="1"/>
        <v>6156.6430154436966</v>
      </c>
      <c r="N11" s="441">
        <f t="shared" si="1"/>
        <v>6105.1786056148121</v>
      </c>
      <c r="O11" s="441">
        <f t="shared" si="1"/>
        <v>5969.5331480230088</v>
      </c>
      <c r="P11" s="441">
        <f t="shared" si="1"/>
        <v>5845.0632420656621</v>
      </c>
      <c r="Q11" s="441">
        <f t="shared" si="1"/>
        <v>5758.7036229759105</v>
      </c>
      <c r="R11" s="441">
        <f t="shared" si="1"/>
        <v>5588.6369133637636</v>
      </c>
      <c r="S11" s="441">
        <f t="shared" si="1"/>
        <v>5478.3051744328113</v>
      </c>
      <c r="T11" s="441">
        <f t="shared" si="1"/>
        <v>5360.3835948532214</v>
      </c>
      <c r="U11" s="441">
        <f t="shared" si="1"/>
        <v>5240.0874808516237</v>
      </c>
      <c r="V11" s="441">
        <f t="shared" si="1"/>
        <v>5096.4656622218317</v>
      </c>
      <c r="W11" s="441">
        <f t="shared" si="1"/>
        <v>4976.2761596587952</v>
      </c>
      <c r="X11" s="441">
        <f t="shared" si="1"/>
        <v>4813.0210121951532</v>
      </c>
      <c r="Y11" s="441">
        <f t="shared" si="1"/>
        <v>4723.5829973039799</v>
      </c>
      <c r="Z11" s="441">
        <f t="shared" si="1"/>
        <v>4558.7021705419174</v>
      </c>
      <c r="AA11" s="441">
        <f t="shared" si="1"/>
        <v>4431.2337833094061</v>
      </c>
      <c r="AB11" s="441">
        <f t="shared" si="1"/>
        <v>4286.8230098919594</v>
      </c>
      <c r="AC11" s="441">
        <f t="shared" si="1"/>
        <v>4159.7667291047983</v>
      </c>
      <c r="AD11" s="441">
        <f t="shared" si="1"/>
        <v>4011.5811037300737</v>
      </c>
      <c r="AE11" s="441">
        <f t="shared" si="1"/>
        <v>3928.0160294212983</v>
      </c>
      <c r="AF11" s="441">
        <f t="shared" si="1"/>
        <v>3745.3240943791461</v>
      </c>
      <c r="AG11" s="441">
        <f t="shared" si="1"/>
        <v>3642.6268502143794</v>
      </c>
      <c r="AH11" s="441">
        <f t="shared" si="1"/>
        <v>3500.5931131319958</v>
      </c>
      <c r="AI11" s="441">
        <f t="shared" si="1"/>
        <v>3385.1305033196695</v>
      </c>
      <c r="AJ11" s="441">
        <f t="shared" si="1"/>
        <v>3262.8641693448299</v>
      </c>
      <c r="AK11" s="441">
        <f t="shared" si="1"/>
        <v>3131.0402987695998</v>
      </c>
      <c r="AL11" s="441">
        <f t="shared" si="1"/>
        <v>3017.1722456478747</v>
      </c>
      <c r="AM11" s="441">
        <f t="shared" si="1"/>
        <v>379.58608800487127</v>
      </c>
      <c r="AN11" s="441">
        <f t="shared" si="1"/>
        <v>2343.6496072326554</v>
      </c>
    </row>
    <row r="12" spans="1:40" x14ac:dyDescent="0.3">
      <c r="B12" s="104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</row>
    <row r="13" spans="1:40" x14ac:dyDescent="0.3">
      <c r="B13" s="104" t="s">
        <v>125</v>
      </c>
      <c r="C13" s="40" t="s">
        <v>126</v>
      </c>
      <c r="D13" s="436">
        <v>0</v>
      </c>
      <c r="E13" s="436">
        <v>0</v>
      </c>
      <c r="F13" s="320">
        <v>0</v>
      </c>
      <c r="G13" s="320">
        <v>64094.803530707497</v>
      </c>
      <c r="H13" s="320">
        <v>130839.14825284615</v>
      </c>
      <c r="I13" s="320">
        <v>200183.47359824541</v>
      </c>
      <c r="J13" s="320">
        <v>272079.47731367406</v>
      </c>
      <c r="K13" s="320">
        <v>294507.77174521016</v>
      </c>
      <c r="L13" s="320">
        <v>317485.64079179801</v>
      </c>
      <c r="M13" s="320">
        <v>330204.98882804613</v>
      </c>
      <c r="N13" s="320">
        <v>343122.22603967268</v>
      </c>
      <c r="O13" s="320">
        <v>356153.45075623621</v>
      </c>
      <c r="P13" s="320">
        <v>369301.47629088204</v>
      </c>
      <c r="Q13" s="320">
        <v>382596.94473612081</v>
      </c>
      <c r="R13" s="320">
        <v>388185.58164948458</v>
      </c>
      <c r="S13" s="320">
        <v>393663.88682391739</v>
      </c>
      <c r="T13" s="320">
        <v>399024.27041877061</v>
      </c>
      <c r="U13" s="320">
        <v>404264.35789962223</v>
      </c>
      <c r="V13" s="320">
        <v>409360.82356184407</v>
      </c>
      <c r="W13" s="320">
        <v>414337.09972150286</v>
      </c>
      <c r="X13" s="320">
        <v>419150.12073369802</v>
      </c>
      <c r="Y13" s="320">
        <v>423873.703731002</v>
      </c>
      <c r="Z13" s="320">
        <v>428432.40590154391</v>
      </c>
      <c r="AA13" s="320">
        <v>432863.63968485332</v>
      </c>
      <c r="AB13" s="320">
        <v>437150.46269474528</v>
      </c>
      <c r="AC13" s="320">
        <v>441310.22942385008</v>
      </c>
      <c r="AD13" s="320">
        <v>445321.81052758015</v>
      </c>
      <c r="AE13" s="320">
        <v>449249.82655700145</v>
      </c>
      <c r="AF13" s="320">
        <v>452995.15065138065</v>
      </c>
      <c r="AG13" s="320">
        <v>456637.77750159503</v>
      </c>
      <c r="AH13" s="320">
        <v>460138.37061472703</v>
      </c>
      <c r="AI13" s="320">
        <v>463523.5011180467</v>
      </c>
      <c r="AJ13" s="320">
        <v>466786.36528739153</v>
      </c>
      <c r="AK13" s="320">
        <v>469917.40558616113</v>
      </c>
      <c r="AL13" s="320">
        <v>472934.577831809</v>
      </c>
      <c r="AM13" s="320">
        <v>473314.16391981387</v>
      </c>
      <c r="AN13" s="320">
        <v>475657.81352704653</v>
      </c>
    </row>
    <row r="14" spans="1:40" x14ac:dyDescent="0.3">
      <c r="B14" s="104" t="s">
        <v>158</v>
      </c>
      <c r="C14" s="40"/>
      <c r="D14" s="436"/>
      <c r="E14" s="436">
        <f t="shared" ref="E14:AN14" si="2">E13-D13</f>
        <v>0</v>
      </c>
      <c r="F14" s="442">
        <f t="shared" si="2"/>
        <v>0</v>
      </c>
      <c r="G14" s="442">
        <f t="shared" si="2"/>
        <v>64094.803530707497</v>
      </c>
      <c r="H14" s="442">
        <f t="shared" si="2"/>
        <v>66744.34472213866</v>
      </c>
      <c r="I14" s="442">
        <f t="shared" si="2"/>
        <v>69344.325345399266</v>
      </c>
      <c r="J14" s="442">
        <f t="shared" si="2"/>
        <v>71896.00371542864</v>
      </c>
      <c r="K14" s="442">
        <f t="shared" si="2"/>
        <v>22428.294431536109</v>
      </c>
      <c r="L14" s="442">
        <f t="shared" si="2"/>
        <v>22977.869046587846</v>
      </c>
      <c r="M14" s="442">
        <f t="shared" si="2"/>
        <v>12719.34803624812</v>
      </c>
      <c r="N14" s="442">
        <f t="shared" si="2"/>
        <v>12917.237211626547</v>
      </c>
      <c r="O14" s="442">
        <f t="shared" si="2"/>
        <v>13031.224716563534</v>
      </c>
      <c r="P14" s="442">
        <f t="shared" si="2"/>
        <v>13148.025534645829</v>
      </c>
      <c r="Q14" s="442">
        <f t="shared" si="2"/>
        <v>13295.468445238774</v>
      </c>
      <c r="R14" s="442">
        <f t="shared" si="2"/>
        <v>5588.6369133637636</v>
      </c>
      <c r="S14" s="442">
        <f t="shared" si="2"/>
        <v>5478.3051744328113</v>
      </c>
      <c r="T14" s="442">
        <f t="shared" si="2"/>
        <v>5360.3835948532214</v>
      </c>
      <c r="U14" s="442">
        <f t="shared" si="2"/>
        <v>5240.0874808516237</v>
      </c>
      <c r="V14" s="442">
        <f t="shared" si="2"/>
        <v>5096.4656622218317</v>
      </c>
      <c r="W14" s="442">
        <f t="shared" si="2"/>
        <v>4976.2761596587952</v>
      </c>
      <c r="X14" s="442">
        <f t="shared" si="2"/>
        <v>4813.0210121951532</v>
      </c>
      <c r="Y14" s="442">
        <f t="shared" si="2"/>
        <v>4723.5829973039799</v>
      </c>
      <c r="Z14" s="442">
        <f t="shared" si="2"/>
        <v>4558.7021705419174</v>
      </c>
      <c r="AA14" s="442">
        <f t="shared" si="2"/>
        <v>4431.2337833094061</v>
      </c>
      <c r="AB14" s="442">
        <f t="shared" si="2"/>
        <v>4286.8230098919594</v>
      </c>
      <c r="AC14" s="442">
        <f t="shared" si="2"/>
        <v>4159.7667291047983</v>
      </c>
      <c r="AD14" s="442">
        <f t="shared" si="2"/>
        <v>4011.5811037300737</v>
      </c>
      <c r="AE14" s="442">
        <f t="shared" si="2"/>
        <v>3928.0160294212983</v>
      </c>
      <c r="AF14" s="442">
        <f t="shared" si="2"/>
        <v>3745.3240943792043</v>
      </c>
      <c r="AG14" s="442">
        <f t="shared" si="2"/>
        <v>3642.6268502143794</v>
      </c>
      <c r="AH14" s="442">
        <f t="shared" si="2"/>
        <v>3500.5931131319958</v>
      </c>
      <c r="AI14" s="442">
        <f t="shared" si="2"/>
        <v>3385.1305033196695</v>
      </c>
      <c r="AJ14" s="442">
        <f t="shared" si="2"/>
        <v>3262.8641693448299</v>
      </c>
      <c r="AK14" s="442">
        <f t="shared" si="2"/>
        <v>3131.0402987695998</v>
      </c>
      <c r="AL14" s="442">
        <f t="shared" si="2"/>
        <v>3017.1722456478747</v>
      </c>
      <c r="AM14" s="442">
        <f t="shared" si="2"/>
        <v>379.58608800487127</v>
      </c>
      <c r="AN14" s="442">
        <f t="shared" si="2"/>
        <v>2343.6496072326554</v>
      </c>
    </row>
    <row r="15" spans="1:40" x14ac:dyDescent="0.3">
      <c r="B15" s="105"/>
      <c r="C15" s="106"/>
      <c r="D15" s="106"/>
      <c r="E15" s="106"/>
      <c r="F15" s="106"/>
      <c r="G15" s="438"/>
      <c r="H15" s="438"/>
      <c r="I15" s="438"/>
      <c r="J15" s="438"/>
      <c r="K15" s="438"/>
      <c r="L15" s="438"/>
      <c r="M15" s="438"/>
      <c r="N15" s="438"/>
      <c r="O15" s="438"/>
      <c r="P15" s="438"/>
      <c r="Q15" s="438"/>
      <c r="R15" s="438"/>
      <c r="S15" s="438"/>
      <c r="T15" s="438"/>
      <c r="U15" s="438"/>
      <c r="V15" s="438"/>
      <c r="W15" s="438"/>
      <c r="X15" s="438"/>
      <c r="Y15" s="438"/>
      <c r="Z15" s="438"/>
      <c r="AA15" s="438"/>
      <c r="AB15" s="4"/>
      <c r="AC15" s="438"/>
      <c r="AD15" s="438"/>
      <c r="AE15" s="438"/>
      <c r="AF15" s="438"/>
      <c r="AG15" s="438"/>
      <c r="AH15" s="438"/>
      <c r="AI15" s="438"/>
      <c r="AJ15" s="438"/>
      <c r="AK15" s="438"/>
      <c r="AL15" s="438"/>
      <c r="AM15" s="438"/>
      <c r="AN15" s="438"/>
    </row>
    <row r="16" spans="1:40" x14ac:dyDescent="0.3">
      <c r="B16" s="104" t="s">
        <v>13</v>
      </c>
      <c r="C16" s="40"/>
      <c r="D16" s="40"/>
      <c r="E16" s="40"/>
      <c r="F16" s="40"/>
      <c r="G16" s="438"/>
      <c r="H16" s="438"/>
      <c r="I16" s="438"/>
      <c r="J16" s="438"/>
      <c r="K16" s="438"/>
      <c r="L16" s="438"/>
      <c r="M16" s="438"/>
      <c r="N16" s="438"/>
      <c r="O16" s="438"/>
      <c r="P16" s="438"/>
      <c r="Q16" s="438"/>
      <c r="R16" s="438"/>
      <c r="S16" s="438"/>
      <c r="T16" s="438"/>
      <c r="U16" s="438"/>
      <c r="V16" s="438"/>
      <c r="W16" s="438"/>
      <c r="X16" s="438"/>
      <c r="Y16" s="438"/>
      <c r="Z16" s="438"/>
      <c r="AA16" s="438"/>
      <c r="AB16" s="4"/>
      <c r="AC16" s="438"/>
      <c r="AD16" s="438"/>
      <c r="AE16" s="438"/>
      <c r="AF16" s="438"/>
      <c r="AG16" s="438"/>
      <c r="AH16" s="438"/>
      <c r="AI16" s="438"/>
      <c r="AJ16" s="438"/>
      <c r="AK16" s="438"/>
      <c r="AL16" s="438"/>
      <c r="AM16" s="438"/>
      <c r="AN16" s="438"/>
    </row>
    <row r="17" spans="2:41" x14ac:dyDescent="0.3">
      <c r="B17" s="104" t="s">
        <v>3</v>
      </c>
      <c r="C17" s="40" t="s">
        <v>14</v>
      </c>
      <c r="D17" s="442">
        <f t="shared" ref="D17:AN17" si="3">ROUND(D4*D7,0)</f>
        <v>43795</v>
      </c>
      <c r="E17" s="442">
        <f t="shared" si="3"/>
        <v>44355</v>
      </c>
      <c r="F17" s="441">
        <f t="shared" si="3"/>
        <v>44897</v>
      </c>
      <c r="G17" s="441">
        <f t="shared" si="3"/>
        <v>46834</v>
      </c>
      <c r="H17" s="441">
        <f t="shared" si="3"/>
        <v>47641</v>
      </c>
      <c r="I17" s="441">
        <f t="shared" si="3"/>
        <v>48147</v>
      </c>
      <c r="J17" s="441">
        <f t="shared" si="3"/>
        <v>48635</v>
      </c>
      <c r="K17" s="441">
        <f t="shared" si="3"/>
        <v>49105</v>
      </c>
      <c r="L17" s="441">
        <f t="shared" si="3"/>
        <v>49558</v>
      </c>
      <c r="M17" s="441">
        <f t="shared" si="3"/>
        <v>49993</v>
      </c>
      <c r="N17" s="441">
        <f t="shared" si="3"/>
        <v>50412</v>
      </c>
      <c r="O17" s="441">
        <f t="shared" si="3"/>
        <v>50814</v>
      </c>
      <c r="P17" s="441">
        <f t="shared" si="3"/>
        <v>51200</v>
      </c>
      <c r="Q17" s="441">
        <f t="shared" si="3"/>
        <v>51570</v>
      </c>
      <c r="R17" s="441">
        <f t="shared" si="3"/>
        <v>51925</v>
      </c>
      <c r="S17" s="441">
        <f t="shared" si="3"/>
        <v>52265</v>
      </c>
      <c r="T17" s="441">
        <f t="shared" si="3"/>
        <v>52590</v>
      </c>
      <c r="U17" s="441">
        <f t="shared" si="3"/>
        <v>52902</v>
      </c>
      <c r="V17" s="441">
        <f t="shared" si="3"/>
        <v>53200</v>
      </c>
      <c r="W17" s="441">
        <f t="shared" si="3"/>
        <v>53485</v>
      </c>
      <c r="X17" s="441">
        <f t="shared" si="3"/>
        <v>53758</v>
      </c>
      <c r="Y17" s="441">
        <f t="shared" si="3"/>
        <v>54018</v>
      </c>
      <c r="Z17" s="441">
        <f t="shared" si="3"/>
        <v>54266</v>
      </c>
      <c r="AA17" s="441">
        <f t="shared" si="3"/>
        <v>54503</v>
      </c>
      <c r="AB17" s="441">
        <f t="shared" si="3"/>
        <v>54730</v>
      </c>
      <c r="AC17" s="441">
        <f t="shared" si="3"/>
        <v>54945</v>
      </c>
      <c r="AD17" s="441">
        <f t="shared" si="3"/>
        <v>55151</v>
      </c>
      <c r="AE17" s="441">
        <f t="shared" si="3"/>
        <v>55347</v>
      </c>
      <c r="AF17" s="441">
        <f t="shared" si="3"/>
        <v>55534</v>
      </c>
      <c r="AG17" s="441">
        <f t="shared" si="3"/>
        <v>55712</v>
      </c>
      <c r="AH17" s="441">
        <f t="shared" si="3"/>
        <v>55881</v>
      </c>
      <c r="AI17" s="441">
        <f t="shared" si="3"/>
        <v>56042</v>
      </c>
      <c r="AJ17" s="441">
        <f t="shared" si="3"/>
        <v>56196</v>
      </c>
      <c r="AK17" s="441">
        <f t="shared" si="3"/>
        <v>56342</v>
      </c>
      <c r="AL17" s="441">
        <f t="shared" si="3"/>
        <v>56480</v>
      </c>
      <c r="AM17" s="441">
        <f t="shared" si="3"/>
        <v>56615</v>
      </c>
      <c r="AN17" s="441">
        <f t="shared" si="3"/>
        <v>56482</v>
      </c>
    </row>
    <row r="18" spans="2:41" x14ac:dyDescent="0.3">
      <c r="B18" s="104" t="s">
        <v>4</v>
      </c>
      <c r="C18" s="40" t="s">
        <v>14</v>
      </c>
      <c r="D18" s="442">
        <f t="shared" ref="D18:AN18" si="4">ROUND(D4*D8,0)</f>
        <v>0</v>
      </c>
      <c r="E18" s="442">
        <f t="shared" si="4"/>
        <v>0</v>
      </c>
      <c r="F18" s="441">
        <f t="shared" si="4"/>
        <v>0</v>
      </c>
      <c r="G18" s="441">
        <f t="shared" si="4"/>
        <v>9423</v>
      </c>
      <c r="H18" s="441">
        <f t="shared" si="4"/>
        <v>19056</v>
      </c>
      <c r="I18" s="441">
        <f t="shared" si="4"/>
        <v>28888</v>
      </c>
      <c r="J18" s="441">
        <f t="shared" si="4"/>
        <v>38908</v>
      </c>
      <c r="K18" s="441">
        <f t="shared" si="4"/>
        <v>41740</v>
      </c>
      <c r="L18" s="441">
        <f t="shared" si="4"/>
        <v>44602</v>
      </c>
      <c r="M18" s="441">
        <f t="shared" si="4"/>
        <v>45994</v>
      </c>
      <c r="N18" s="441">
        <f t="shared" si="4"/>
        <v>47387</v>
      </c>
      <c r="O18" s="441">
        <f t="shared" si="4"/>
        <v>48781</v>
      </c>
      <c r="P18" s="441">
        <f t="shared" si="4"/>
        <v>50176</v>
      </c>
      <c r="Q18" s="441">
        <f t="shared" si="4"/>
        <v>51570</v>
      </c>
      <c r="R18" s="441">
        <f t="shared" si="4"/>
        <v>51925</v>
      </c>
      <c r="S18" s="441">
        <f t="shared" si="4"/>
        <v>52265</v>
      </c>
      <c r="T18" s="441">
        <f t="shared" si="4"/>
        <v>52590</v>
      </c>
      <c r="U18" s="441">
        <f t="shared" si="4"/>
        <v>52902</v>
      </c>
      <c r="V18" s="441">
        <f t="shared" si="4"/>
        <v>53200</v>
      </c>
      <c r="W18" s="441">
        <f t="shared" si="4"/>
        <v>53485</v>
      </c>
      <c r="X18" s="441">
        <f t="shared" si="4"/>
        <v>53758</v>
      </c>
      <c r="Y18" s="441">
        <f t="shared" si="4"/>
        <v>54018</v>
      </c>
      <c r="Z18" s="441">
        <f t="shared" si="4"/>
        <v>54266</v>
      </c>
      <c r="AA18" s="441">
        <f t="shared" si="4"/>
        <v>54503</v>
      </c>
      <c r="AB18" s="441">
        <f t="shared" si="4"/>
        <v>54730</v>
      </c>
      <c r="AC18" s="441">
        <f t="shared" si="4"/>
        <v>54945</v>
      </c>
      <c r="AD18" s="441">
        <f t="shared" si="4"/>
        <v>55151</v>
      </c>
      <c r="AE18" s="441">
        <f t="shared" si="4"/>
        <v>55347</v>
      </c>
      <c r="AF18" s="441">
        <f t="shared" si="4"/>
        <v>55534</v>
      </c>
      <c r="AG18" s="441">
        <f t="shared" si="4"/>
        <v>55712</v>
      </c>
      <c r="AH18" s="441">
        <f t="shared" si="4"/>
        <v>55881</v>
      </c>
      <c r="AI18" s="441">
        <f t="shared" si="4"/>
        <v>56042</v>
      </c>
      <c r="AJ18" s="441">
        <f t="shared" si="4"/>
        <v>56196</v>
      </c>
      <c r="AK18" s="441">
        <f t="shared" si="4"/>
        <v>56342</v>
      </c>
      <c r="AL18" s="441">
        <f t="shared" si="4"/>
        <v>56480</v>
      </c>
      <c r="AM18" s="441">
        <f t="shared" si="4"/>
        <v>56615</v>
      </c>
      <c r="AN18" s="441">
        <f t="shared" si="4"/>
        <v>56482</v>
      </c>
    </row>
    <row r="19" spans="2:41" x14ac:dyDescent="0.3">
      <c r="B19" s="105"/>
      <c r="C19" s="106"/>
      <c r="D19" s="106"/>
      <c r="E19" s="106"/>
      <c r="F19" s="106"/>
      <c r="G19" s="443"/>
      <c r="H19" s="443"/>
      <c r="I19" s="443"/>
      <c r="J19" s="443"/>
      <c r="K19" s="443"/>
      <c r="L19" s="443"/>
      <c r="M19" s="443"/>
      <c r="N19" s="443"/>
      <c r="O19" s="443"/>
      <c r="P19" s="443"/>
      <c r="Q19" s="443"/>
      <c r="R19" s="443"/>
      <c r="S19" s="443"/>
      <c r="T19" s="443"/>
      <c r="U19" s="443"/>
      <c r="V19" s="443"/>
      <c r="W19" s="443"/>
      <c r="X19" s="443"/>
      <c r="Y19" s="443"/>
      <c r="Z19" s="443"/>
      <c r="AA19" s="443"/>
      <c r="AB19" s="135"/>
      <c r="AC19" s="443"/>
      <c r="AD19" s="443"/>
      <c r="AE19" s="443"/>
      <c r="AF19" s="443"/>
      <c r="AG19" s="443"/>
      <c r="AH19" s="443"/>
      <c r="AI19" s="443"/>
      <c r="AJ19" s="443"/>
      <c r="AK19" s="443"/>
      <c r="AL19" s="443"/>
      <c r="AM19" s="443"/>
      <c r="AN19" s="443"/>
    </row>
    <row r="20" spans="2:41" x14ac:dyDescent="0.3">
      <c r="B20" s="104" t="s">
        <v>121</v>
      </c>
      <c r="C20" s="40"/>
      <c r="D20" s="40"/>
      <c r="E20" s="40"/>
      <c r="F20" s="40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</row>
    <row r="21" spans="2:41" x14ac:dyDescent="0.3">
      <c r="B21" s="104" t="s">
        <v>3</v>
      </c>
      <c r="C21" s="40" t="s">
        <v>14</v>
      </c>
      <c r="D21" s="253"/>
      <c r="E21" s="253">
        <f t="shared" ref="E21:AN21" si="5">ROUND(E4-D4,0)</f>
        <v>581</v>
      </c>
      <c r="F21" s="253">
        <f t="shared" si="5"/>
        <v>562</v>
      </c>
      <c r="G21" s="253">
        <f t="shared" si="5"/>
        <v>543</v>
      </c>
      <c r="H21" s="253">
        <f t="shared" si="5"/>
        <v>525</v>
      </c>
      <c r="I21" s="253">
        <f t="shared" si="5"/>
        <v>506</v>
      </c>
      <c r="J21" s="253">
        <f t="shared" si="5"/>
        <v>488</v>
      </c>
      <c r="K21" s="253">
        <f t="shared" si="5"/>
        <v>470</v>
      </c>
      <c r="L21" s="253">
        <f t="shared" si="5"/>
        <v>453</v>
      </c>
      <c r="M21" s="253">
        <f t="shared" si="5"/>
        <v>435</v>
      </c>
      <c r="N21" s="253">
        <f t="shared" si="5"/>
        <v>418</v>
      </c>
      <c r="O21" s="253">
        <f t="shared" si="5"/>
        <v>402</v>
      </c>
      <c r="P21" s="253">
        <f t="shared" si="5"/>
        <v>386</v>
      </c>
      <c r="Q21" s="253">
        <f t="shared" si="5"/>
        <v>370</v>
      </c>
      <c r="R21" s="253">
        <f t="shared" si="5"/>
        <v>355</v>
      </c>
      <c r="S21" s="253">
        <f t="shared" si="5"/>
        <v>340</v>
      </c>
      <c r="T21" s="253">
        <f t="shared" si="5"/>
        <v>326</v>
      </c>
      <c r="U21" s="253">
        <f t="shared" si="5"/>
        <v>312</v>
      </c>
      <c r="V21" s="253">
        <f t="shared" si="5"/>
        <v>298</v>
      </c>
      <c r="W21" s="253">
        <f t="shared" si="5"/>
        <v>285</v>
      </c>
      <c r="X21" s="253">
        <f t="shared" si="5"/>
        <v>272</v>
      </c>
      <c r="Y21" s="253">
        <f t="shared" si="5"/>
        <v>260</v>
      </c>
      <c r="Z21" s="253">
        <f t="shared" si="5"/>
        <v>248</v>
      </c>
      <c r="AA21" s="253">
        <f t="shared" si="5"/>
        <v>237</v>
      </c>
      <c r="AB21" s="253">
        <f t="shared" si="5"/>
        <v>226</v>
      </c>
      <c r="AC21" s="253">
        <f t="shared" si="5"/>
        <v>216</v>
      </c>
      <c r="AD21" s="253">
        <f t="shared" si="5"/>
        <v>206</v>
      </c>
      <c r="AE21" s="253">
        <f t="shared" si="5"/>
        <v>196</v>
      </c>
      <c r="AF21" s="253">
        <f t="shared" si="5"/>
        <v>187</v>
      </c>
      <c r="AG21" s="253">
        <f t="shared" si="5"/>
        <v>178</v>
      </c>
      <c r="AH21" s="253">
        <f t="shared" si="5"/>
        <v>169</v>
      </c>
      <c r="AI21" s="253">
        <f t="shared" si="5"/>
        <v>161</v>
      </c>
      <c r="AJ21" s="253">
        <f t="shared" si="5"/>
        <v>153</v>
      </c>
      <c r="AK21" s="253">
        <f t="shared" si="5"/>
        <v>146</v>
      </c>
      <c r="AL21" s="253">
        <f t="shared" si="5"/>
        <v>139</v>
      </c>
      <c r="AM21" s="253">
        <f t="shared" si="5"/>
        <v>135</v>
      </c>
      <c r="AN21" s="253">
        <f t="shared" si="5"/>
        <v>-133</v>
      </c>
      <c r="AO21" s="1">
        <f>SUM(F21:AN21)</f>
        <v>10470</v>
      </c>
    </row>
    <row r="22" spans="2:41" x14ac:dyDescent="0.3">
      <c r="B22" s="104" t="s">
        <v>4</v>
      </c>
      <c r="C22" s="40" t="s">
        <v>14</v>
      </c>
      <c r="D22" s="253"/>
      <c r="E22" s="253">
        <f t="shared" ref="E22:AN22" si="6">ROUND(E4-D4,0)</f>
        <v>581</v>
      </c>
      <c r="F22" s="253">
        <f t="shared" si="6"/>
        <v>562</v>
      </c>
      <c r="G22" s="253">
        <f t="shared" si="6"/>
        <v>543</v>
      </c>
      <c r="H22" s="253">
        <f t="shared" si="6"/>
        <v>525</v>
      </c>
      <c r="I22" s="253">
        <f t="shared" si="6"/>
        <v>506</v>
      </c>
      <c r="J22" s="253">
        <f t="shared" si="6"/>
        <v>488</v>
      </c>
      <c r="K22" s="253">
        <f t="shared" si="6"/>
        <v>470</v>
      </c>
      <c r="L22" s="253">
        <f t="shared" si="6"/>
        <v>453</v>
      </c>
      <c r="M22" s="253">
        <f t="shared" si="6"/>
        <v>435</v>
      </c>
      <c r="N22" s="253">
        <f t="shared" si="6"/>
        <v>418</v>
      </c>
      <c r="O22" s="253">
        <f t="shared" si="6"/>
        <v>402</v>
      </c>
      <c r="P22" s="253">
        <f t="shared" si="6"/>
        <v>386</v>
      </c>
      <c r="Q22" s="253">
        <f t="shared" si="6"/>
        <v>370</v>
      </c>
      <c r="R22" s="253">
        <f t="shared" si="6"/>
        <v>355</v>
      </c>
      <c r="S22" s="253">
        <f t="shared" si="6"/>
        <v>340</v>
      </c>
      <c r="T22" s="253">
        <f t="shared" si="6"/>
        <v>326</v>
      </c>
      <c r="U22" s="253">
        <f t="shared" si="6"/>
        <v>312</v>
      </c>
      <c r="V22" s="253">
        <f t="shared" si="6"/>
        <v>298</v>
      </c>
      <c r="W22" s="253">
        <f t="shared" si="6"/>
        <v>285</v>
      </c>
      <c r="X22" s="253">
        <f t="shared" si="6"/>
        <v>272</v>
      </c>
      <c r="Y22" s="253">
        <f t="shared" si="6"/>
        <v>260</v>
      </c>
      <c r="Z22" s="253">
        <f t="shared" si="6"/>
        <v>248</v>
      </c>
      <c r="AA22" s="253">
        <f t="shared" si="6"/>
        <v>237</v>
      </c>
      <c r="AB22" s="253">
        <f t="shared" si="6"/>
        <v>226</v>
      </c>
      <c r="AC22" s="253">
        <f t="shared" si="6"/>
        <v>216</v>
      </c>
      <c r="AD22" s="253">
        <f t="shared" si="6"/>
        <v>206</v>
      </c>
      <c r="AE22" s="253">
        <f t="shared" si="6"/>
        <v>196</v>
      </c>
      <c r="AF22" s="253">
        <f t="shared" si="6"/>
        <v>187</v>
      </c>
      <c r="AG22" s="253">
        <f t="shared" si="6"/>
        <v>178</v>
      </c>
      <c r="AH22" s="253">
        <f t="shared" si="6"/>
        <v>169</v>
      </c>
      <c r="AI22" s="253">
        <f t="shared" si="6"/>
        <v>161</v>
      </c>
      <c r="AJ22" s="253">
        <f t="shared" si="6"/>
        <v>153</v>
      </c>
      <c r="AK22" s="253">
        <f t="shared" si="6"/>
        <v>146</v>
      </c>
      <c r="AL22" s="253">
        <f t="shared" si="6"/>
        <v>139</v>
      </c>
      <c r="AM22" s="253">
        <f t="shared" si="6"/>
        <v>135</v>
      </c>
      <c r="AN22" s="253">
        <f t="shared" si="6"/>
        <v>-133</v>
      </c>
      <c r="AO22" s="1">
        <f>SUM(F22:AN22)</f>
        <v>10470</v>
      </c>
    </row>
    <row r="23" spans="2:41" x14ac:dyDescent="0.3">
      <c r="B23" s="105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</row>
    <row r="24" spans="2:41" x14ac:dyDescent="0.3">
      <c r="B24" s="105" t="s">
        <v>642</v>
      </c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</row>
    <row r="25" spans="2:41" x14ac:dyDescent="0.3">
      <c r="B25" s="105" t="s">
        <v>3</v>
      </c>
      <c r="C25" s="106" t="s">
        <v>14</v>
      </c>
      <c r="D25" s="442">
        <f>ROUND(D4-D17,0)</f>
        <v>1636</v>
      </c>
      <c r="E25" s="811">
        <f t="shared" ref="E25:AN25" si="7">E4-E17</f>
        <v>1656.5803525349329</v>
      </c>
      <c r="F25" s="253">
        <f t="shared" si="7"/>
        <v>1676.4321349534293</v>
      </c>
      <c r="G25" s="253">
        <f t="shared" si="7"/>
        <v>282.53457429535774</v>
      </c>
      <c r="H25" s="253">
        <f t="shared" si="7"/>
        <v>5.1365863968385383E-2</v>
      </c>
      <c r="I25" s="253">
        <f t="shared" si="7"/>
        <v>0.18655793662037468</v>
      </c>
      <c r="J25" s="253">
        <f t="shared" si="7"/>
        <v>0.18118719251651783</v>
      </c>
      <c r="K25" s="253">
        <f t="shared" si="7"/>
        <v>0.30989488581690239</v>
      </c>
      <c r="L25" s="253">
        <f t="shared" si="7"/>
        <v>-0.12243968561233487</v>
      </c>
      <c r="M25" s="253">
        <f t="shared" si="7"/>
        <v>0.21598396130866604</v>
      </c>
      <c r="N25" s="253">
        <f t="shared" si="7"/>
        <v>-0.31935151297511766</v>
      </c>
      <c r="O25" s="253">
        <f t="shared" si="7"/>
        <v>-0.35241839008085662</v>
      </c>
      <c r="P25" s="253">
        <f t="shared" si="7"/>
        <v>-0.48965909227263182</v>
      </c>
      <c r="Q25" s="253">
        <f t="shared" si="7"/>
        <v>-0.32286324044252979</v>
      </c>
      <c r="R25" s="253">
        <f t="shared" si="7"/>
        <v>-0.43189392551721539</v>
      </c>
      <c r="S25" s="253">
        <f t="shared" si="7"/>
        <v>-0.38725384853751166</v>
      </c>
      <c r="T25" s="253">
        <f t="shared" si="7"/>
        <v>0.24751500904676504</v>
      </c>
      <c r="U25" s="253">
        <f t="shared" si="7"/>
        <v>-8.6398176586953923E-2</v>
      </c>
      <c r="V25" s="253">
        <f t="shared" si="7"/>
        <v>5.4868723935214803E-2</v>
      </c>
      <c r="W25" s="253">
        <f t="shared" si="7"/>
        <v>0.11596311300672824</v>
      </c>
      <c r="X25" s="253">
        <f t="shared" si="7"/>
        <v>-0.45940210951812332</v>
      </c>
      <c r="Y25" s="253">
        <f t="shared" si="7"/>
        <v>-0.23000453891290817</v>
      </c>
      <c r="Z25" s="253">
        <f t="shared" si="7"/>
        <v>0.24149016427691095</v>
      </c>
      <c r="AA25" s="253">
        <f t="shared" si="7"/>
        <v>0.38728277380869258</v>
      </c>
      <c r="AB25" s="253">
        <f t="shared" si="7"/>
        <v>-0.36666005528968526</v>
      </c>
      <c r="AC25" s="253">
        <f t="shared" si="7"/>
        <v>0.39843091682269005</v>
      </c>
      <c r="AD25" s="253">
        <f t="shared" si="7"/>
        <v>9.3293394180363975E-2</v>
      </c>
      <c r="AE25" s="253">
        <f t="shared" si="7"/>
        <v>0.11992028725217097</v>
      </c>
      <c r="AF25" s="253">
        <f t="shared" si="7"/>
        <v>-0.12904109328519553</v>
      </c>
      <c r="AG25" s="253">
        <f t="shared" si="7"/>
        <v>-0.27078578367218142</v>
      </c>
      <c r="AH25" s="253">
        <f t="shared" si="7"/>
        <v>6.7247867671540007E-2</v>
      </c>
      <c r="AI25" s="253">
        <f t="shared" si="7"/>
        <v>0.24706493448320543</v>
      </c>
      <c r="AJ25" s="253">
        <f t="shared" si="7"/>
        <v>-0.38011947582708672</v>
      </c>
      <c r="AK25" s="253">
        <f t="shared" si="7"/>
        <v>-0.47404124557942851</v>
      </c>
      <c r="AL25" s="253">
        <f t="shared" si="7"/>
        <v>0.29451693061855622</v>
      </c>
      <c r="AM25" s="253">
        <f t="shared" si="7"/>
        <v>0</v>
      </c>
      <c r="AN25" s="253">
        <f t="shared" si="7"/>
        <v>0.29451693059672834</v>
      </c>
      <c r="AO25" s="1"/>
    </row>
    <row r="26" spans="2:41" x14ac:dyDescent="0.3">
      <c r="B26" s="105" t="s">
        <v>4</v>
      </c>
      <c r="C26" s="106" t="s">
        <v>14</v>
      </c>
      <c r="D26" s="442">
        <f>ROUND(D4-D18,0)</f>
        <v>45431</v>
      </c>
      <c r="E26" s="811">
        <f t="shared" ref="E26:AN26" si="8">E4-E18</f>
        <v>46011.580352534933</v>
      </c>
      <c r="F26" s="253">
        <f t="shared" si="8"/>
        <v>46573.432134953429</v>
      </c>
      <c r="G26" s="253">
        <f t="shared" si="8"/>
        <v>37693.534574295358</v>
      </c>
      <c r="H26" s="253">
        <f t="shared" si="8"/>
        <v>28585.051365863968</v>
      </c>
      <c r="I26" s="253">
        <f t="shared" si="8"/>
        <v>19259.18655793662</v>
      </c>
      <c r="J26" s="253">
        <f t="shared" si="8"/>
        <v>9727.1811871925165</v>
      </c>
      <c r="K26" s="253">
        <f t="shared" si="8"/>
        <v>7365.3098948858169</v>
      </c>
      <c r="L26" s="253">
        <f t="shared" si="8"/>
        <v>4955.8775603143877</v>
      </c>
      <c r="M26" s="253">
        <f t="shared" si="8"/>
        <v>3999.2159839613087</v>
      </c>
      <c r="N26" s="253">
        <f t="shared" si="8"/>
        <v>3024.6806484870249</v>
      </c>
      <c r="O26" s="253">
        <f t="shared" si="8"/>
        <v>2032.6475816099191</v>
      </c>
      <c r="P26" s="253">
        <f t="shared" si="8"/>
        <v>1023.5103409077274</v>
      </c>
      <c r="Q26" s="253">
        <f t="shared" si="8"/>
        <v>-0.32286324044252979</v>
      </c>
      <c r="R26" s="253">
        <f t="shared" si="8"/>
        <v>-0.43189392551721539</v>
      </c>
      <c r="S26" s="253">
        <f t="shared" si="8"/>
        <v>-0.38725384853751166</v>
      </c>
      <c r="T26" s="253">
        <f t="shared" si="8"/>
        <v>0.24751500904676504</v>
      </c>
      <c r="U26" s="253">
        <f t="shared" si="8"/>
        <v>-8.6398176586953923E-2</v>
      </c>
      <c r="V26" s="253">
        <f t="shared" si="8"/>
        <v>5.4868723935214803E-2</v>
      </c>
      <c r="W26" s="253">
        <f t="shared" si="8"/>
        <v>0.11596311300672824</v>
      </c>
      <c r="X26" s="253">
        <f t="shared" si="8"/>
        <v>-0.45940210951812332</v>
      </c>
      <c r="Y26" s="253">
        <f t="shared" si="8"/>
        <v>-0.23000453891290817</v>
      </c>
      <c r="Z26" s="253">
        <f t="shared" si="8"/>
        <v>0.24149016427691095</v>
      </c>
      <c r="AA26" s="253">
        <f t="shared" si="8"/>
        <v>0.38728277380869258</v>
      </c>
      <c r="AB26" s="253">
        <f t="shared" si="8"/>
        <v>-0.36666005528968526</v>
      </c>
      <c r="AC26" s="253">
        <f t="shared" si="8"/>
        <v>0.39843091682269005</v>
      </c>
      <c r="AD26" s="253">
        <f t="shared" si="8"/>
        <v>9.3293394180363975E-2</v>
      </c>
      <c r="AE26" s="253">
        <f t="shared" si="8"/>
        <v>0.11992028725217097</v>
      </c>
      <c r="AF26" s="253">
        <f t="shared" si="8"/>
        <v>-0.12904109328519553</v>
      </c>
      <c r="AG26" s="253">
        <f t="shared" si="8"/>
        <v>-0.27078578367218142</v>
      </c>
      <c r="AH26" s="253">
        <f t="shared" si="8"/>
        <v>6.7247867671540007E-2</v>
      </c>
      <c r="AI26" s="253">
        <f t="shared" si="8"/>
        <v>0.24706493448320543</v>
      </c>
      <c r="AJ26" s="253">
        <f t="shared" si="8"/>
        <v>-0.38011947582708672</v>
      </c>
      <c r="AK26" s="253">
        <f t="shared" si="8"/>
        <v>-0.47404124557942851</v>
      </c>
      <c r="AL26" s="253">
        <f t="shared" si="8"/>
        <v>0.29451693061855622</v>
      </c>
      <c r="AM26" s="253">
        <f t="shared" si="8"/>
        <v>0</v>
      </c>
      <c r="AN26" s="253">
        <f t="shared" si="8"/>
        <v>0.29451693059672834</v>
      </c>
      <c r="AO26" s="1"/>
    </row>
    <row r="27" spans="2:41" x14ac:dyDescent="0.3">
      <c r="B27" s="104"/>
      <c r="C27" s="40"/>
      <c r="D27" s="438"/>
      <c r="E27" s="438"/>
      <c r="F27" s="438"/>
      <c r="G27" s="438"/>
      <c r="H27" s="438"/>
      <c r="I27" s="438"/>
      <c r="J27" s="438"/>
      <c r="K27" s="438"/>
      <c r="L27" s="438"/>
      <c r="M27" s="438"/>
      <c r="N27" s="438"/>
      <c r="O27" s="438"/>
      <c r="P27" s="438"/>
      <c r="Q27" s="438"/>
      <c r="R27" s="438"/>
      <c r="S27" s="438"/>
      <c r="T27" s="438"/>
      <c r="U27" s="438"/>
      <c r="V27" s="438"/>
      <c r="W27" s="438"/>
      <c r="X27" s="438"/>
      <c r="Y27" s="438"/>
      <c r="Z27" s="438"/>
      <c r="AA27" s="438"/>
      <c r="AB27" s="438"/>
      <c r="AC27" s="438"/>
      <c r="AD27" s="438"/>
      <c r="AE27" s="438"/>
      <c r="AF27" s="438"/>
      <c r="AG27" s="438"/>
      <c r="AH27" s="438"/>
      <c r="AI27" s="438"/>
      <c r="AJ27" s="438"/>
      <c r="AK27" s="438"/>
      <c r="AL27" s="438"/>
      <c r="AM27" s="438"/>
      <c r="AN27" s="438"/>
    </row>
    <row r="28" spans="2:41" x14ac:dyDescent="0.3">
      <c r="B28" s="104" t="s">
        <v>643</v>
      </c>
      <c r="C28" s="40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8"/>
      <c r="T28" s="438"/>
      <c r="U28" s="438"/>
      <c r="V28" s="438"/>
      <c r="W28" s="438"/>
      <c r="X28" s="438"/>
      <c r="Y28" s="438"/>
      <c r="Z28" s="438"/>
      <c r="AA28" s="438"/>
      <c r="AB28" s="438"/>
      <c r="AC28" s="438"/>
      <c r="AD28" s="438"/>
      <c r="AE28" s="438"/>
      <c r="AF28" s="438"/>
      <c r="AG28" s="438"/>
      <c r="AH28" s="438"/>
      <c r="AI28" s="438"/>
      <c r="AJ28" s="438"/>
      <c r="AK28" s="438"/>
      <c r="AL28" s="438"/>
      <c r="AM28" s="438"/>
      <c r="AN28" s="438"/>
    </row>
    <row r="29" spans="2:41" x14ac:dyDescent="0.3">
      <c r="B29" s="104" t="s">
        <v>3</v>
      </c>
      <c r="C29" s="40" t="s">
        <v>14</v>
      </c>
      <c r="D29" s="442">
        <f t="shared" ref="D29:AN29" si="9">D4-D17</f>
        <v>1635.8591894329365</v>
      </c>
      <c r="E29" s="811">
        <f t="shared" si="9"/>
        <v>1656.5803525349329</v>
      </c>
      <c r="F29" s="253">
        <f t="shared" si="9"/>
        <v>1676.4321349534293</v>
      </c>
      <c r="G29" s="253">
        <f t="shared" si="9"/>
        <v>282.53457429535774</v>
      </c>
      <c r="H29" s="253">
        <f t="shared" si="9"/>
        <v>5.1365863968385383E-2</v>
      </c>
      <c r="I29" s="253">
        <f t="shared" si="9"/>
        <v>0.18655793662037468</v>
      </c>
      <c r="J29" s="253">
        <f t="shared" si="9"/>
        <v>0.18118719251651783</v>
      </c>
      <c r="K29" s="253">
        <f t="shared" si="9"/>
        <v>0.30989488581690239</v>
      </c>
      <c r="L29" s="253">
        <f t="shared" si="9"/>
        <v>-0.12243968561233487</v>
      </c>
      <c r="M29" s="253">
        <f t="shared" si="9"/>
        <v>0.21598396130866604</v>
      </c>
      <c r="N29" s="253">
        <f t="shared" si="9"/>
        <v>-0.31935151297511766</v>
      </c>
      <c r="O29" s="253">
        <f t="shared" si="9"/>
        <v>-0.35241839008085662</v>
      </c>
      <c r="P29" s="253">
        <f t="shared" si="9"/>
        <v>-0.48965909227263182</v>
      </c>
      <c r="Q29" s="253">
        <f t="shared" si="9"/>
        <v>-0.32286324044252979</v>
      </c>
      <c r="R29" s="253">
        <f t="shared" si="9"/>
        <v>-0.43189392551721539</v>
      </c>
      <c r="S29" s="253">
        <f t="shared" si="9"/>
        <v>-0.38725384853751166</v>
      </c>
      <c r="T29" s="253">
        <f t="shared" si="9"/>
        <v>0.24751500904676504</v>
      </c>
      <c r="U29" s="253">
        <f t="shared" si="9"/>
        <v>-8.6398176586953923E-2</v>
      </c>
      <c r="V29" s="253">
        <f t="shared" si="9"/>
        <v>5.4868723935214803E-2</v>
      </c>
      <c r="W29" s="253">
        <f t="shared" si="9"/>
        <v>0.11596311300672824</v>
      </c>
      <c r="X29" s="253">
        <f t="shared" si="9"/>
        <v>-0.45940210951812332</v>
      </c>
      <c r="Y29" s="253">
        <f t="shared" si="9"/>
        <v>-0.23000453891290817</v>
      </c>
      <c r="Z29" s="253">
        <f t="shared" si="9"/>
        <v>0.24149016427691095</v>
      </c>
      <c r="AA29" s="253">
        <f t="shared" si="9"/>
        <v>0.38728277380869258</v>
      </c>
      <c r="AB29" s="253">
        <f t="shared" si="9"/>
        <v>-0.36666005528968526</v>
      </c>
      <c r="AC29" s="253">
        <f t="shared" si="9"/>
        <v>0.39843091682269005</v>
      </c>
      <c r="AD29" s="253">
        <f t="shared" si="9"/>
        <v>9.3293394180363975E-2</v>
      </c>
      <c r="AE29" s="253">
        <f t="shared" si="9"/>
        <v>0.11992028725217097</v>
      </c>
      <c r="AF29" s="253">
        <f t="shared" si="9"/>
        <v>-0.12904109328519553</v>
      </c>
      <c r="AG29" s="253">
        <f t="shared" si="9"/>
        <v>-0.27078578367218142</v>
      </c>
      <c r="AH29" s="253">
        <f t="shared" si="9"/>
        <v>6.7247867671540007E-2</v>
      </c>
      <c r="AI29" s="253">
        <f t="shared" si="9"/>
        <v>0.24706493448320543</v>
      </c>
      <c r="AJ29" s="253">
        <f t="shared" si="9"/>
        <v>-0.38011947582708672</v>
      </c>
      <c r="AK29" s="253">
        <f t="shared" si="9"/>
        <v>-0.47404124557942851</v>
      </c>
      <c r="AL29" s="253">
        <f t="shared" si="9"/>
        <v>0.29451693061855622</v>
      </c>
      <c r="AM29" s="253">
        <f t="shared" si="9"/>
        <v>0</v>
      </c>
      <c r="AN29" s="253">
        <f t="shared" si="9"/>
        <v>0.29451693059672834</v>
      </c>
      <c r="AO29" s="1"/>
    </row>
    <row r="30" spans="2:41" x14ac:dyDescent="0.3">
      <c r="B30" s="104" t="s">
        <v>4</v>
      </c>
      <c r="C30" s="40" t="s">
        <v>14</v>
      </c>
      <c r="D30" s="442">
        <f t="shared" ref="D30:AN30" si="10">D4-D18</f>
        <v>45430.859189432937</v>
      </c>
      <c r="E30" s="811">
        <f t="shared" si="10"/>
        <v>46011.580352534933</v>
      </c>
      <c r="F30" s="253">
        <f t="shared" si="10"/>
        <v>46573.432134953429</v>
      </c>
      <c r="G30" s="253">
        <f t="shared" si="10"/>
        <v>37693.534574295358</v>
      </c>
      <c r="H30" s="253">
        <f t="shared" si="10"/>
        <v>28585.051365863968</v>
      </c>
      <c r="I30" s="253">
        <f t="shared" si="10"/>
        <v>19259.18655793662</v>
      </c>
      <c r="J30" s="253">
        <f t="shared" si="10"/>
        <v>9727.1811871925165</v>
      </c>
      <c r="K30" s="253">
        <f t="shared" si="10"/>
        <v>7365.3098948858169</v>
      </c>
      <c r="L30" s="253">
        <f t="shared" si="10"/>
        <v>4955.8775603143877</v>
      </c>
      <c r="M30" s="253">
        <f t="shared" si="10"/>
        <v>3999.2159839613087</v>
      </c>
      <c r="N30" s="253">
        <f t="shared" si="10"/>
        <v>3024.6806484870249</v>
      </c>
      <c r="O30" s="253">
        <f t="shared" si="10"/>
        <v>2032.6475816099191</v>
      </c>
      <c r="P30" s="253">
        <f t="shared" si="10"/>
        <v>1023.5103409077274</v>
      </c>
      <c r="Q30" s="253">
        <f t="shared" si="10"/>
        <v>-0.32286324044252979</v>
      </c>
      <c r="R30" s="253">
        <f t="shared" si="10"/>
        <v>-0.43189392551721539</v>
      </c>
      <c r="S30" s="253">
        <f t="shared" si="10"/>
        <v>-0.38725384853751166</v>
      </c>
      <c r="T30" s="253">
        <f t="shared" si="10"/>
        <v>0.24751500904676504</v>
      </c>
      <c r="U30" s="253">
        <f t="shared" si="10"/>
        <v>-8.6398176586953923E-2</v>
      </c>
      <c r="V30" s="253">
        <f t="shared" si="10"/>
        <v>5.4868723935214803E-2</v>
      </c>
      <c r="W30" s="253">
        <f t="shared" si="10"/>
        <v>0.11596311300672824</v>
      </c>
      <c r="X30" s="253">
        <f t="shared" si="10"/>
        <v>-0.45940210951812332</v>
      </c>
      <c r="Y30" s="253">
        <f t="shared" si="10"/>
        <v>-0.23000453891290817</v>
      </c>
      <c r="Z30" s="253">
        <f t="shared" si="10"/>
        <v>0.24149016427691095</v>
      </c>
      <c r="AA30" s="253">
        <f t="shared" si="10"/>
        <v>0.38728277380869258</v>
      </c>
      <c r="AB30" s="253">
        <f t="shared" si="10"/>
        <v>-0.36666005528968526</v>
      </c>
      <c r="AC30" s="253">
        <f t="shared" si="10"/>
        <v>0.39843091682269005</v>
      </c>
      <c r="AD30" s="253">
        <f t="shared" si="10"/>
        <v>9.3293394180363975E-2</v>
      </c>
      <c r="AE30" s="253">
        <f t="shared" si="10"/>
        <v>0.11992028725217097</v>
      </c>
      <c r="AF30" s="253">
        <f t="shared" si="10"/>
        <v>-0.12904109328519553</v>
      </c>
      <c r="AG30" s="253">
        <f t="shared" si="10"/>
        <v>-0.27078578367218142</v>
      </c>
      <c r="AH30" s="253">
        <f t="shared" si="10"/>
        <v>6.7247867671540007E-2</v>
      </c>
      <c r="AI30" s="253">
        <f t="shared" si="10"/>
        <v>0.24706493448320543</v>
      </c>
      <c r="AJ30" s="253">
        <f t="shared" si="10"/>
        <v>-0.38011947582708672</v>
      </c>
      <c r="AK30" s="253">
        <f t="shared" si="10"/>
        <v>-0.47404124557942851</v>
      </c>
      <c r="AL30" s="253">
        <f t="shared" si="10"/>
        <v>0.29451693061855622</v>
      </c>
      <c r="AM30" s="253">
        <f t="shared" si="10"/>
        <v>0</v>
      </c>
      <c r="AN30" s="253">
        <f t="shared" si="10"/>
        <v>0.29451693059672834</v>
      </c>
      <c r="AO30" s="1"/>
    </row>
    <row r="31" spans="2:41" x14ac:dyDescent="0.3">
      <c r="B31" s="104"/>
      <c r="C31" s="40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8"/>
      <c r="T31" s="438"/>
      <c r="U31" s="438"/>
      <c r="V31" s="438"/>
      <c r="W31" s="438"/>
      <c r="X31" s="438"/>
      <c r="Y31" s="438"/>
      <c r="Z31" s="438"/>
      <c r="AA31" s="438"/>
      <c r="AB31" s="438"/>
      <c r="AC31" s="438"/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8"/>
    </row>
    <row r="32" spans="2:41" x14ac:dyDescent="0.3">
      <c r="B32" s="104" t="s">
        <v>122</v>
      </c>
      <c r="C32" s="40"/>
      <c r="D32" s="40"/>
      <c r="E32" s="40"/>
      <c r="F32" s="40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8"/>
      <c r="T32" s="438"/>
      <c r="U32" s="438"/>
      <c r="V32" s="438"/>
      <c r="W32" s="438"/>
      <c r="X32" s="438"/>
      <c r="Y32" s="438"/>
      <c r="Z32" s="438"/>
      <c r="AA32" s="438"/>
      <c r="AB32" s="438"/>
      <c r="AC32" s="438"/>
      <c r="AD32" s="438"/>
      <c r="AE32" s="438"/>
      <c r="AF32" s="438"/>
      <c r="AG32" s="438"/>
      <c r="AH32" s="438"/>
      <c r="AI32" s="438"/>
      <c r="AJ32" s="438"/>
      <c r="AK32" s="438"/>
      <c r="AL32" s="438"/>
      <c r="AM32" s="438"/>
      <c r="AN32" s="438"/>
    </row>
    <row r="33" spans="2:41" x14ac:dyDescent="0.3">
      <c r="B33" s="104" t="s">
        <v>3</v>
      </c>
      <c r="C33" s="40" t="s">
        <v>14</v>
      </c>
      <c r="D33" s="442">
        <v>0</v>
      </c>
      <c r="E33" s="442">
        <f>ROUND(IF(D29&lt;E29,0,D29-E29),0)</f>
        <v>0</v>
      </c>
      <c r="F33" s="442">
        <f t="shared" ref="F33:AN33" si="11">ROUND(IF(E29&lt;F29,0,E29-F29),0)</f>
        <v>0</v>
      </c>
      <c r="G33" s="442">
        <f t="shared" si="11"/>
        <v>1394</v>
      </c>
      <c r="H33" s="442">
        <f t="shared" si="11"/>
        <v>282</v>
      </c>
      <c r="I33" s="442">
        <f t="shared" si="11"/>
        <v>0</v>
      </c>
      <c r="J33" s="442">
        <f t="shared" si="11"/>
        <v>0</v>
      </c>
      <c r="K33" s="442">
        <f t="shared" si="11"/>
        <v>0</v>
      </c>
      <c r="L33" s="442">
        <f t="shared" si="11"/>
        <v>0</v>
      </c>
      <c r="M33" s="442">
        <f t="shared" si="11"/>
        <v>0</v>
      </c>
      <c r="N33" s="442">
        <f t="shared" si="11"/>
        <v>1</v>
      </c>
      <c r="O33" s="442">
        <f t="shared" si="11"/>
        <v>0</v>
      </c>
      <c r="P33" s="442">
        <f t="shared" si="11"/>
        <v>0</v>
      </c>
      <c r="Q33" s="442">
        <f t="shared" si="11"/>
        <v>0</v>
      </c>
      <c r="R33" s="442">
        <f t="shared" si="11"/>
        <v>0</v>
      </c>
      <c r="S33" s="442">
        <f t="shared" si="11"/>
        <v>0</v>
      </c>
      <c r="T33" s="442">
        <f t="shared" si="11"/>
        <v>0</v>
      </c>
      <c r="U33" s="442">
        <f t="shared" si="11"/>
        <v>0</v>
      </c>
      <c r="V33" s="442">
        <f t="shared" si="11"/>
        <v>0</v>
      </c>
      <c r="W33" s="442">
        <f t="shared" si="11"/>
        <v>0</v>
      </c>
      <c r="X33" s="442">
        <f t="shared" si="11"/>
        <v>1</v>
      </c>
      <c r="Y33" s="442">
        <f t="shared" si="11"/>
        <v>0</v>
      </c>
      <c r="Z33" s="442">
        <f t="shared" si="11"/>
        <v>0</v>
      </c>
      <c r="AA33" s="442">
        <f t="shared" si="11"/>
        <v>0</v>
      </c>
      <c r="AB33" s="442">
        <f t="shared" si="11"/>
        <v>1</v>
      </c>
      <c r="AC33" s="442">
        <f t="shared" si="11"/>
        <v>0</v>
      </c>
      <c r="AD33" s="442">
        <f t="shared" si="11"/>
        <v>0</v>
      </c>
      <c r="AE33" s="442">
        <f t="shared" si="11"/>
        <v>0</v>
      </c>
      <c r="AF33" s="442">
        <f t="shared" si="11"/>
        <v>0</v>
      </c>
      <c r="AG33" s="442">
        <f t="shared" si="11"/>
        <v>0</v>
      </c>
      <c r="AH33" s="442">
        <f t="shared" si="11"/>
        <v>0</v>
      </c>
      <c r="AI33" s="442">
        <f t="shared" si="11"/>
        <v>0</v>
      </c>
      <c r="AJ33" s="442">
        <f t="shared" si="11"/>
        <v>1</v>
      </c>
      <c r="AK33" s="442">
        <f t="shared" si="11"/>
        <v>0</v>
      </c>
      <c r="AL33" s="442">
        <f t="shared" si="11"/>
        <v>0</v>
      </c>
      <c r="AM33" s="442">
        <f t="shared" si="11"/>
        <v>0</v>
      </c>
      <c r="AN33" s="442">
        <f t="shared" si="11"/>
        <v>0</v>
      </c>
      <c r="AO33" s="1">
        <f>SUM(F33:AN33)</f>
        <v>1680</v>
      </c>
    </row>
    <row r="34" spans="2:41" x14ac:dyDescent="0.3">
      <c r="B34" s="104" t="s">
        <v>4</v>
      </c>
      <c r="C34" s="40" t="s">
        <v>14</v>
      </c>
      <c r="D34" s="442">
        <v>0</v>
      </c>
      <c r="E34" s="442">
        <f>ROUND(IF(D30&lt;E30,0,D30-E30),0)</f>
        <v>0</v>
      </c>
      <c r="F34" s="442">
        <f t="shared" ref="F34:AN34" si="12">ROUND(IF(E30&lt;F30,0,E30-F30),0)</f>
        <v>0</v>
      </c>
      <c r="G34" s="442">
        <f t="shared" si="12"/>
        <v>8880</v>
      </c>
      <c r="H34" s="442">
        <f t="shared" si="12"/>
        <v>9108</v>
      </c>
      <c r="I34" s="442">
        <f t="shared" si="12"/>
        <v>9326</v>
      </c>
      <c r="J34" s="442">
        <f t="shared" si="12"/>
        <v>9532</v>
      </c>
      <c r="K34" s="442">
        <f t="shared" si="12"/>
        <v>2362</v>
      </c>
      <c r="L34" s="442">
        <f t="shared" si="12"/>
        <v>2409</v>
      </c>
      <c r="M34" s="442">
        <f t="shared" si="12"/>
        <v>957</v>
      </c>
      <c r="N34" s="442">
        <f t="shared" si="12"/>
        <v>975</v>
      </c>
      <c r="O34" s="442">
        <f t="shared" si="12"/>
        <v>992</v>
      </c>
      <c r="P34" s="442">
        <f t="shared" si="12"/>
        <v>1009</v>
      </c>
      <c r="Q34" s="442">
        <f t="shared" si="12"/>
        <v>1024</v>
      </c>
      <c r="R34" s="442">
        <f t="shared" si="12"/>
        <v>0</v>
      </c>
      <c r="S34" s="442">
        <f t="shared" si="12"/>
        <v>0</v>
      </c>
      <c r="T34" s="442">
        <f t="shared" si="12"/>
        <v>0</v>
      </c>
      <c r="U34" s="442">
        <f t="shared" si="12"/>
        <v>0</v>
      </c>
      <c r="V34" s="442">
        <f t="shared" si="12"/>
        <v>0</v>
      </c>
      <c r="W34" s="442">
        <f t="shared" si="12"/>
        <v>0</v>
      </c>
      <c r="X34" s="442">
        <f t="shared" si="12"/>
        <v>1</v>
      </c>
      <c r="Y34" s="442">
        <f t="shared" si="12"/>
        <v>0</v>
      </c>
      <c r="Z34" s="442">
        <f t="shared" si="12"/>
        <v>0</v>
      </c>
      <c r="AA34" s="442">
        <f t="shared" si="12"/>
        <v>0</v>
      </c>
      <c r="AB34" s="442">
        <f t="shared" si="12"/>
        <v>1</v>
      </c>
      <c r="AC34" s="442">
        <f t="shared" si="12"/>
        <v>0</v>
      </c>
      <c r="AD34" s="442">
        <f t="shared" si="12"/>
        <v>0</v>
      </c>
      <c r="AE34" s="442">
        <f t="shared" si="12"/>
        <v>0</v>
      </c>
      <c r="AF34" s="442">
        <f t="shared" si="12"/>
        <v>0</v>
      </c>
      <c r="AG34" s="442">
        <f t="shared" si="12"/>
        <v>0</v>
      </c>
      <c r="AH34" s="442">
        <f t="shared" si="12"/>
        <v>0</v>
      </c>
      <c r="AI34" s="442">
        <f t="shared" si="12"/>
        <v>0</v>
      </c>
      <c r="AJ34" s="442">
        <f t="shared" si="12"/>
        <v>1</v>
      </c>
      <c r="AK34" s="442">
        <f t="shared" si="12"/>
        <v>0</v>
      </c>
      <c r="AL34" s="442">
        <f t="shared" si="12"/>
        <v>0</v>
      </c>
      <c r="AM34" s="442">
        <f t="shared" si="12"/>
        <v>0</v>
      </c>
      <c r="AN34" s="442">
        <f t="shared" si="12"/>
        <v>0</v>
      </c>
      <c r="AO34" s="1">
        <f>SUM(F34:AN34)</f>
        <v>46577</v>
      </c>
    </row>
    <row r="35" spans="2:41" x14ac:dyDescent="0.3">
      <c r="B35" s="105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</row>
    <row r="36" spans="2:41" x14ac:dyDescent="0.3">
      <c r="B36" s="104" t="s">
        <v>644</v>
      </c>
      <c r="C36" s="40" t="s">
        <v>645</v>
      </c>
      <c r="D36" s="434">
        <v>272.33</v>
      </c>
      <c r="E36" s="434">
        <v>273.72000000000003</v>
      </c>
      <c r="F36" s="435">
        <v>258.32</v>
      </c>
      <c r="G36" s="435">
        <v>245.71</v>
      </c>
      <c r="H36" s="435">
        <v>238.34</v>
      </c>
      <c r="I36" s="435">
        <v>230.11</v>
      </c>
      <c r="J36" s="435">
        <v>223.27</v>
      </c>
      <c r="K36" s="435">
        <v>217.43</v>
      </c>
      <c r="L36" s="435">
        <v>211.08</v>
      </c>
      <c r="M36" s="435">
        <v>209.74</v>
      </c>
      <c r="N36" s="435">
        <v>208.52</v>
      </c>
      <c r="O36" s="435">
        <v>207.28</v>
      </c>
      <c r="P36" s="435">
        <v>206.09</v>
      </c>
      <c r="Q36" s="435">
        <v>204.95</v>
      </c>
      <c r="R36" s="435">
        <v>203.79</v>
      </c>
      <c r="S36" s="435">
        <v>202.7</v>
      </c>
      <c r="T36" s="435">
        <v>201.66</v>
      </c>
      <c r="U36" s="435">
        <v>200.62</v>
      </c>
      <c r="V36" s="435">
        <v>199.61</v>
      </c>
      <c r="W36" s="435">
        <v>198.67</v>
      </c>
      <c r="X36" s="435">
        <v>198.65</v>
      </c>
      <c r="Y36" s="435">
        <v>198.69</v>
      </c>
      <c r="Z36" s="435">
        <v>198.68</v>
      </c>
      <c r="AA36" s="435">
        <v>198.67</v>
      </c>
      <c r="AB36" s="435">
        <v>198.66</v>
      </c>
      <c r="AC36" s="435">
        <v>198.66</v>
      </c>
      <c r="AD36" s="435">
        <v>198.65</v>
      </c>
      <c r="AE36" s="435">
        <v>198.71</v>
      </c>
      <c r="AF36" s="435">
        <v>198.66</v>
      </c>
      <c r="AG36" s="435">
        <v>198.7</v>
      </c>
      <c r="AH36" s="435">
        <v>198.67</v>
      </c>
      <c r="AI36" s="435">
        <v>198.68</v>
      </c>
      <c r="AJ36" s="435">
        <v>198.69</v>
      </c>
      <c r="AK36" s="435">
        <v>198.66</v>
      </c>
      <c r="AL36" s="435">
        <v>198.67</v>
      </c>
      <c r="AM36" s="435">
        <v>198.68</v>
      </c>
      <c r="AN36" s="435">
        <v>198.67</v>
      </c>
    </row>
    <row r="37" spans="2:41" x14ac:dyDescent="0.3">
      <c r="B37" s="104" t="s">
        <v>646</v>
      </c>
      <c r="C37" s="40" t="s">
        <v>645</v>
      </c>
      <c r="D37" s="434">
        <v>168.85</v>
      </c>
      <c r="E37" s="434">
        <v>168.89</v>
      </c>
      <c r="F37" s="435">
        <v>168.9</v>
      </c>
      <c r="G37" s="435">
        <v>168.86</v>
      </c>
      <c r="H37" s="435">
        <v>168.88</v>
      </c>
      <c r="I37" s="435">
        <v>168.86</v>
      </c>
      <c r="J37" s="435">
        <v>168.88</v>
      </c>
      <c r="K37" s="435">
        <v>168.87</v>
      </c>
      <c r="L37" s="435">
        <v>168.86</v>
      </c>
      <c r="M37" s="435">
        <v>168.85</v>
      </c>
      <c r="N37" s="435">
        <v>168.89</v>
      </c>
      <c r="O37" s="435">
        <v>168.89</v>
      </c>
      <c r="P37" s="435">
        <v>168.89</v>
      </c>
      <c r="Q37" s="435">
        <v>168.9</v>
      </c>
      <c r="R37" s="435">
        <v>168.87</v>
      </c>
      <c r="S37" s="435">
        <v>168.87</v>
      </c>
      <c r="T37" s="435">
        <v>168.88</v>
      </c>
      <c r="U37" s="435">
        <v>168.87</v>
      </c>
      <c r="V37" s="435">
        <v>168.85</v>
      </c>
      <c r="W37" s="435">
        <v>168.87</v>
      </c>
      <c r="X37" s="435">
        <v>168.85</v>
      </c>
      <c r="Y37" s="435">
        <v>168.88</v>
      </c>
      <c r="Z37" s="435">
        <v>168.88</v>
      </c>
      <c r="AA37" s="435">
        <v>168.87</v>
      </c>
      <c r="AB37" s="435">
        <v>168.86</v>
      </c>
      <c r="AC37" s="435">
        <v>168.86</v>
      </c>
      <c r="AD37" s="435">
        <v>168.86</v>
      </c>
      <c r="AE37" s="435">
        <v>168.9</v>
      </c>
      <c r="AF37" s="435">
        <v>168.86</v>
      </c>
      <c r="AG37" s="435">
        <v>168.9</v>
      </c>
      <c r="AH37" s="435">
        <v>168.87</v>
      </c>
      <c r="AI37" s="435">
        <v>168.88</v>
      </c>
      <c r="AJ37" s="435">
        <v>168.88</v>
      </c>
      <c r="AK37" s="435">
        <v>168.86</v>
      </c>
      <c r="AL37" s="435">
        <v>168.87</v>
      </c>
      <c r="AM37" s="435">
        <v>168.88</v>
      </c>
      <c r="AN37" s="435">
        <v>168.87</v>
      </c>
    </row>
    <row r="38" spans="2:41" x14ac:dyDescent="0.3">
      <c r="B38" s="104" t="s">
        <v>647</v>
      </c>
      <c r="C38" s="40" t="s">
        <v>645</v>
      </c>
      <c r="D38" s="434">
        <v>145.24</v>
      </c>
      <c r="E38" s="434">
        <v>145.97999999999999</v>
      </c>
      <c r="F38" s="435">
        <v>148.05000000000001</v>
      </c>
      <c r="G38" s="435">
        <v>149.77000000000001</v>
      </c>
      <c r="H38" s="435">
        <v>153.22</v>
      </c>
      <c r="I38" s="435">
        <v>154.94</v>
      </c>
      <c r="J38" s="435">
        <v>156.56</v>
      </c>
      <c r="K38" s="435">
        <v>158</v>
      </c>
      <c r="L38" s="435">
        <v>158.31</v>
      </c>
      <c r="M38" s="435">
        <v>158.36000000000001</v>
      </c>
      <c r="N38" s="435">
        <v>158.46</v>
      </c>
      <c r="O38" s="435">
        <v>158.52000000000001</v>
      </c>
      <c r="P38" s="435">
        <v>158.58000000000001</v>
      </c>
      <c r="Q38" s="435">
        <v>158.65</v>
      </c>
      <c r="R38" s="435">
        <v>158.68</v>
      </c>
      <c r="S38" s="435">
        <v>158.74</v>
      </c>
      <c r="T38" s="435">
        <v>158.80000000000001</v>
      </c>
      <c r="U38" s="435">
        <v>158.84</v>
      </c>
      <c r="V38" s="435">
        <v>158.87</v>
      </c>
      <c r="W38" s="435">
        <v>158.94</v>
      </c>
      <c r="X38" s="435">
        <v>158.91999999999999</v>
      </c>
      <c r="Y38" s="435">
        <v>158.94999999999999</v>
      </c>
      <c r="Z38" s="435">
        <v>158.94</v>
      </c>
      <c r="AA38" s="435">
        <v>158.94</v>
      </c>
      <c r="AB38" s="435">
        <v>158.93</v>
      </c>
      <c r="AC38" s="435">
        <v>158.93</v>
      </c>
      <c r="AD38" s="435">
        <v>158.91999999999999</v>
      </c>
      <c r="AE38" s="435">
        <v>158.96</v>
      </c>
      <c r="AF38" s="435">
        <v>158.93</v>
      </c>
      <c r="AG38" s="435">
        <v>158.96</v>
      </c>
      <c r="AH38" s="435">
        <v>158.94</v>
      </c>
      <c r="AI38" s="435">
        <v>158.94</v>
      </c>
      <c r="AJ38" s="435">
        <v>158.94999999999999</v>
      </c>
      <c r="AK38" s="435">
        <v>158.91999999999999</v>
      </c>
      <c r="AL38" s="435">
        <v>158.94</v>
      </c>
      <c r="AM38" s="435">
        <v>158.94</v>
      </c>
      <c r="AN38" s="435">
        <v>158.94</v>
      </c>
    </row>
    <row r="39" spans="2:41" x14ac:dyDescent="0.3">
      <c r="B39" s="105"/>
      <c r="C39" s="106"/>
      <c r="D39" s="106"/>
      <c r="E39" s="106"/>
      <c r="F39" s="438"/>
      <c r="G39" s="438"/>
      <c r="H39" s="438"/>
      <c r="I39" s="438"/>
      <c r="J39" s="438"/>
      <c r="K39" s="438"/>
      <c r="L39" s="438"/>
      <c r="M39" s="438"/>
      <c r="N39" s="438"/>
      <c r="O39" s="438"/>
      <c r="P39" s="438"/>
      <c r="Q39" s="438"/>
      <c r="R39" s="438"/>
      <c r="S39" s="438"/>
      <c r="T39" s="438"/>
      <c r="U39" s="438"/>
      <c r="V39" s="438"/>
      <c r="W39" s="438"/>
      <c r="X39" s="438"/>
      <c r="Y39" s="438"/>
      <c r="Z39" s="438"/>
      <c r="AA39" s="438"/>
      <c r="AB39" s="438"/>
      <c r="AC39" s="438"/>
      <c r="AD39" s="438"/>
      <c r="AE39" s="438"/>
      <c r="AF39" s="438"/>
      <c r="AG39" s="438"/>
      <c r="AH39" s="438"/>
      <c r="AI39" s="438"/>
      <c r="AJ39" s="438"/>
      <c r="AK39" s="438"/>
      <c r="AL39" s="438"/>
      <c r="AM39" s="438"/>
      <c r="AN39" s="438"/>
    </row>
    <row r="40" spans="2:41" x14ac:dyDescent="0.3">
      <c r="B40" s="104" t="s">
        <v>123</v>
      </c>
      <c r="C40" s="40" t="s">
        <v>15</v>
      </c>
      <c r="D40" s="384">
        <v>0.4667</v>
      </c>
      <c r="E40" s="384">
        <v>0.4667</v>
      </c>
      <c r="F40" s="322">
        <v>0.42688293667675503</v>
      </c>
      <c r="G40" s="322">
        <v>0.39046291327570271</v>
      </c>
      <c r="H40" s="322">
        <v>0.35715010731196289</v>
      </c>
      <c r="I40" s="322">
        <v>0.32667942284925844</v>
      </c>
      <c r="J40" s="322">
        <v>0.29880838092513151</v>
      </c>
      <c r="K40" s="322">
        <v>0.27331518995703152</v>
      </c>
      <c r="L40" s="322">
        <v>0.24999698077399349</v>
      </c>
      <c r="M40" s="322">
        <v>0.2449775231491802</v>
      </c>
      <c r="N40" s="322">
        <v>0.240058846560879</v>
      </c>
      <c r="O40" s="322">
        <v>0.23523892752008377</v>
      </c>
      <c r="P40" s="322">
        <v>0.23051578316554835</v>
      </c>
      <c r="Q40" s="322">
        <v>0.22588747044805937</v>
      </c>
      <c r="R40" s="322">
        <v>0.22135208533108741</v>
      </c>
      <c r="S40" s="322">
        <v>0.21690776200748738</v>
      </c>
      <c r="T40" s="322">
        <v>0.21255267213192625</v>
      </c>
      <c r="U40" s="322">
        <v>0.20828502406872201</v>
      </c>
      <c r="V40" s="322">
        <v>0.20410306215478466</v>
      </c>
      <c r="W40" s="322">
        <v>0.20000506597735582</v>
      </c>
      <c r="X40" s="322">
        <v>0.20000506597735582</v>
      </c>
      <c r="Y40" s="322">
        <v>0.20000506597735582</v>
      </c>
      <c r="Z40" s="322">
        <v>0.20000506597735582</v>
      </c>
      <c r="AA40" s="322">
        <v>0.20000506597735582</v>
      </c>
      <c r="AB40" s="322">
        <v>0.20000506597735582</v>
      </c>
      <c r="AC40" s="322">
        <v>0.20000506597735582</v>
      </c>
      <c r="AD40" s="322">
        <v>0.20000506597735582</v>
      </c>
      <c r="AE40" s="322">
        <v>0.20000506597735582</v>
      </c>
      <c r="AF40" s="322">
        <v>0.20000506597735582</v>
      </c>
      <c r="AG40" s="322">
        <v>0.20000506597735582</v>
      </c>
      <c r="AH40" s="322">
        <v>0.20000506597735582</v>
      </c>
      <c r="AI40" s="322">
        <v>0.20000506597735582</v>
      </c>
      <c r="AJ40" s="322">
        <v>0.20000506597735582</v>
      </c>
      <c r="AK40" s="322">
        <v>0.20000506597735582</v>
      </c>
      <c r="AL40" s="322">
        <v>0.20000506597735582</v>
      </c>
      <c r="AM40" s="322">
        <v>0.20000506597735582</v>
      </c>
      <c r="AN40" s="322">
        <v>0.20000506597735582</v>
      </c>
    </row>
    <row r="41" spans="2:41" x14ac:dyDescent="0.3">
      <c r="B41" s="104" t="s">
        <v>151</v>
      </c>
      <c r="C41" s="40" t="s">
        <v>15</v>
      </c>
      <c r="D41" s="384">
        <v>0.38</v>
      </c>
      <c r="E41" s="384">
        <v>0.38300000000000001</v>
      </c>
      <c r="F41" s="322">
        <v>0.34618293667675504</v>
      </c>
      <c r="G41" s="322">
        <v>0.31276291327570271</v>
      </c>
      <c r="H41" s="322">
        <v>0.29145010731196291</v>
      </c>
      <c r="I41" s="322">
        <v>0.26617942284925844</v>
      </c>
      <c r="J41" s="322">
        <v>0.24360838092513151</v>
      </c>
      <c r="K41" s="322">
        <v>0.22331518995703153</v>
      </c>
      <c r="L41" s="322">
        <v>0.19999698077399347</v>
      </c>
      <c r="M41" s="322">
        <v>0.19497752314918021</v>
      </c>
      <c r="N41" s="322">
        <v>0.19005884656087901</v>
      </c>
      <c r="O41" s="322">
        <v>0.18523892752008375</v>
      </c>
      <c r="P41" s="322">
        <v>0.18051578316554834</v>
      </c>
      <c r="Q41" s="322">
        <v>0.17588747044805936</v>
      </c>
      <c r="R41" s="322">
        <v>0.17135208533108742</v>
      </c>
      <c r="S41" s="322">
        <v>0.16690776200748736</v>
      </c>
      <c r="T41" s="322">
        <v>0.16255267213192626</v>
      </c>
      <c r="U41" s="322">
        <v>0.15828502406872202</v>
      </c>
      <c r="V41" s="322">
        <v>0.15410306215478464</v>
      </c>
      <c r="W41" s="322">
        <v>0.1500050659773558</v>
      </c>
      <c r="X41" s="322">
        <v>0.1500050659773558</v>
      </c>
      <c r="Y41" s="322">
        <v>0.1500050659773558</v>
      </c>
      <c r="Z41" s="322">
        <v>0.1500050659773558</v>
      </c>
      <c r="AA41" s="322">
        <v>0.1500050659773558</v>
      </c>
      <c r="AB41" s="322">
        <v>0.1500050659773558</v>
      </c>
      <c r="AC41" s="322">
        <v>0.1500050659773558</v>
      </c>
      <c r="AD41" s="322">
        <v>0.1500050659773558</v>
      </c>
      <c r="AE41" s="322">
        <v>0.1500050659773558</v>
      </c>
      <c r="AF41" s="322">
        <v>0.1500050659773558</v>
      </c>
      <c r="AG41" s="322">
        <v>0.1500050659773558</v>
      </c>
      <c r="AH41" s="322">
        <v>0.1500050659773558</v>
      </c>
      <c r="AI41" s="322">
        <v>0.1500050659773558</v>
      </c>
      <c r="AJ41" s="322">
        <v>0.1500050659773558</v>
      </c>
      <c r="AK41" s="322">
        <v>0.1500050659773558</v>
      </c>
      <c r="AL41" s="322">
        <v>0.1500050659773558</v>
      </c>
      <c r="AM41" s="322">
        <v>0.1500050659773558</v>
      </c>
      <c r="AN41" s="322">
        <v>0.1500050659773558</v>
      </c>
    </row>
    <row r="42" spans="2:41" x14ac:dyDescent="0.3">
      <c r="B42" s="104" t="s">
        <v>152</v>
      </c>
      <c r="C42" s="40" t="s">
        <v>15</v>
      </c>
      <c r="D42" s="384">
        <v>8.6699999999999999E-2</v>
      </c>
      <c r="E42" s="384">
        <v>8.3699999999999997E-2</v>
      </c>
      <c r="F42" s="322">
        <v>8.0699999999999994E-2</v>
      </c>
      <c r="G42" s="322">
        <v>7.7699999999999991E-2</v>
      </c>
      <c r="H42" s="322">
        <v>6.5699999999999995E-2</v>
      </c>
      <c r="I42" s="322">
        <v>6.0499999999999998E-2</v>
      </c>
      <c r="J42" s="322">
        <v>5.5199999999999999E-2</v>
      </c>
      <c r="K42" s="322">
        <v>0.05</v>
      </c>
      <c r="L42" s="322">
        <v>0.05</v>
      </c>
      <c r="M42" s="322">
        <v>0.05</v>
      </c>
      <c r="N42" s="322">
        <v>0.05</v>
      </c>
      <c r="O42" s="322">
        <v>0.05</v>
      </c>
      <c r="P42" s="322">
        <v>0.05</v>
      </c>
      <c r="Q42" s="322">
        <v>0.05</v>
      </c>
      <c r="R42" s="322">
        <v>0.05</v>
      </c>
      <c r="S42" s="322">
        <v>0.05</v>
      </c>
      <c r="T42" s="322">
        <v>0.05</v>
      </c>
      <c r="U42" s="322">
        <v>0.05</v>
      </c>
      <c r="V42" s="322">
        <v>0.05</v>
      </c>
      <c r="W42" s="322">
        <v>0.05</v>
      </c>
      <c r="X42" s="322">
        <v>0.05</v>
      </c>
      <c r="Y42" s="322">
        <v>0.05</v>
      </c>
      <c r="Z42" s="322">
        <v>0.05</v>
      </c>
      <c r="AA42" s="322">
        <v>0.05</v>
      </c>
      <c r="AB42" s="322">
        <v>0.05</v>
      </c>
      <c r="AC42" s="322">
        <v>0.05</v>
      </c>
      <c r="AD42" s="322">
        <v>0.05</v>
      </c>
      <c r="AE42" s="322">
        <v>0.05</v>
      </c>
      <c r="AF42" s="322">
        <v>0.05</v>
      </c>
      <c r="AG42" s="322">
        <v>0.05</v>
      </c>
      <c r="AH42" s="322">
        <v>0.05</v>
      </c>
      <c r="AI42" s="322">
        <v>0.05</v>
      </c>
      <c r="AJ42" s="322">
        <v>0.05</v>
      </c>
      <c r="AK42" s="322">
        <v>0.05</v>
      </c>
      <c r="AL42" s="322">
        <v>0.05</v>
      </c>
      <c r="AM42" s="322">
        <v>0.05</v>
      </c>
      <c r="AN42" s="322">
        <v>0.05</v>
      </c>
    </row>
    <row r="43" spans="2:41" x14ac:dyDescent="0.3">
      <c r="B43" s="104" t="s">
        <v>159</v>
      </c>
      <c r="C43" s="40" t="s">
        <v>15</v>
      </c>
      <c r="D43" s="384">
        <v>0.04</v>
      </c>
      <c r="E43" s="384">
        <v>0.04</v>
      </c>
      <c r="F43" s="322">
        <v>0.04</v>
      </c>
      <c r="G43" s="322">
        <v>0.04</v>
      </c>
      <c r="H43" s="322">
        <v>0.04</v>
      </c>
      <c r="I43" s="322">
        <v>0.04</v>
      </c>
      <c r="J43" s="322">
        <v>0.04</v>
      </c>
      <c r="K43" s="322">
        <v>0.04</v>
      </c>
      <c r="L43" s="322">
        <v>0.04</v>
      </c>
      <c r="M43" s="322">
        <v>0.04</v>
      </c>
      <c r="N43" s="322">
        <v>0.04</v>
      </c>
      <c r="O43" s="322">
        <v>0.04</v>
      </c>
      <c r="P43" s="322">
        <v>0.04</v>
      </c>
      <c r="Q43" s="322">
        <v>0.04</v>
      </c>
      <c r="R43" s="322">
        <v>0.04</v>
      </c>
      <c r="S43" s="322">
        <v>0.04</v>
      </c>
      <c r="T43" s="322">
        <v>0.04</v>
      </c>
      <c r="U43" s="322">
        <v>0.04</v>
      </c>
      <c r="V43" s="322">
        <v>0.04</v>
      </c>
      <c r="W43" s="322">
        <v>0.04</v>
      </c>
      <c r="X43" s="322">
        <v>0.04</v>
      </c>
      <c r="Y43" s="322">
        <v>0.04</v>
      </c>
      <c r="Z43" s="322">
        <v>0.04</v>
      </c>
      <c r="AA43" s="322">
        <v>0.04</v>
      </c>
      <c r="AB43" s="322">
        <v>0.04</v>
      </c>
      <c r="AC43" s="322">
        <v>0.04</v>
      </c>
      <c r="AD43" s="322">
        <v>0.04</v>
      </c>
      <c r="AE43" s="322">
        <v>0.04</v>
      </c>
      <c r="AF43" s="322">
        <v>0.04</v>
      </c>
      <c r="AG43" s="322">
        <v>0.04</v>
      </c>
      <c r="AH43" s="322">
        <v>0.04</v>
      </c>
      <c r="AI43" s="322">
        <v>0.04</v>
      </c>
      <c r="AJ43" s="322">
        <v>0.04</v>
      </c>
      <c r="AK43" s="322">
        <v>0.04</v>
      </c>
      <c r="AL43" s="322">
        <v>0.04</v>
      </c>
      <c r="AM43" s="322">
        <v>0.04</v>
      </c>
      <c r="AN43" s="322">
        <v>0.04</v>
      </c>
    </row>
    <row r="44" spans="2:41" x14ac:dyDescent="0.3">
      <c r="B44" s="104" t="s">
        <v>293</v>
      </c>
      <c r="C44" s="40" t="s">
        <v>15</v>
      </c>
      <c r="D44" s="384">
        <v>5.8099999999999999E-2</v>
      </c>
      <c r="E44" s="384">
        <v>5.8099999999999999E-2</v>
      </c>
      <c r="F44" s="322">
        <v>5.8099999999999999E-2</v>
      </c>
      <c r="G44" s="322">
        <v>0.02</v>
      </c>
      <c r="H44" s="322">
        <v>0.02</v>
      </c>
      <c r="I44" s="322">
        <v>0.02</v>
      </c>
      <c r="J44" s="322">
        <v>0.02</v>
      </c>
      <c r="K44" s="322">
        <v>0.02</v>
      </c>
      <c r="L44" s="322">
        <v>0.02</v>
      </c>
      <c r="M44" s="322">
        <v>0.02</v>
      </c>
      <c r="N44" s="322">
        <v>0.02</v>
      </c>
      <c r="O44" s="322">
        <v>0.02</v>
      </c>
      <c r="P44" s="322">
        <v>0.02</v>
      </c>
      <c r="Q44" s="322">
        <v>0.02</v>
      </c>
      <c r="R44" s="322">
        <v>0.02</v>
      </c>
      <c r="S44" s="322">
        <v>0.02</v>
      </c>
      <c r="T44" s="322">
        <v>0.02</v>
      </c>
      <c r="U44" s="322">
        <v>0.02</v>
      </c>
      <c r="V44" s="322">
        <v>0.02</v>
      </c>
      <c r="W44" s="322">
        <v>0.02</v>
      </c>
      <c r="X44" s="322">
        <v>0.02</v>
      </c>
      <c r="Y44" s="322">
        <v>0.02</v>
      </c>
      <c r="Z44" s="322">
        <v>0.02</v>
      </c>
      <c r="AA44" s="322">
        <v>0.02</v>
      </c>
      <c r="AB44" s="322">
        <v>0.02</v>
      </c>
      <c r="AC44" s="322">
        <v>0.02</v>
      </c>
      <c r="AD44" s="322">
        <v>0.02</v>
      </c>
      <c r="AE44" s="322">
        <v>0.02</v>
      </c>
      <c r="AF44" s="322">
        <v>0.02</v>
      </c>
      <c r="AG44" s="322">
        <v>0.02</v>
      </c>
      <c r="AH44" s="322">
        <v>0.02</v>
      </c>
      <c r="AI44" s="322">
        <v>0.02</v>
      </c>
      <c r="AJ44" s="322">
        <v>0.02</v>
      </c>
      <c r="AK44" s="322">
        <v>0.02</v>
      </c>
      <c r="AL44" s="322">
        <v>0.02</v>
      </c>
      <c r="AM44" s="322">
        <v>0.02</v>
      </c>
      <c r="AN44" s="322">
        <v>0.02</v>
      </c>
    </row>
    <row r="45" spans="2:41" x14ac:dyDescent="0.3">
      <c r="B45" s="104" t="s">
        <v>160</v>
      </c>
      <c r="C45" s="40" t="s">
        <v>15</v>
      </c>
      <c r="D45" s="384">
        <v>0</v>
      </c>
      <c r="E45" s="384">
        <v>0</v>
      </c>
      <c r="F45" s="322">
        <v>0</v>
      </c>
      <c r="G45" s="322">
        <v>0</v>
      </c>
      <c r="H45" s="322">
        <v>0</v>
      </c>
      <c r="I45" s="322">
        <v>0</v>
      </c>
      <c r="J45" s="322">
        <v>0</v>
      </c>
      <c r="K45" s="322">
        <v>0</v>
      </c>
      <c r="L45" s="322">
        <v>0</v>
      </c>
      <c r="M45" s="322">
        <v>0</v>
      </c>
      <c r="N45" s="322">
        <v>0</v>
      </c>
      <c r="O45" s="322">
        <v>0</v>
      </c>
      <c r="P45" s="322">
        <v>0</v>
      </c>
      <c r="Q45" s="322">
        <v>0</v>
      </c>
      <c r="R45" s="322">
        <v>0</v>
      </c>
      <c r="S45" s="322">
        <v>0</v>
      </c>
      <c r="T45" s="322">
        <v>0</v>
      </c>
      <c r="U45" s="322">
        <v>0</v>
      </c>
      <c r="V45" s="322">
        <v>0</v>
      </c>
      <c r="W45" s="322">
        <v>0</v>
      </c>
      <c r="X45" s="322">
        <v>0</v>
      </c>
      <c r="Y45" s="322">
        <v>0</v>
      </c>
      <c r="Z45" s="322">
        <v>0</v>
      </c>
      <c r="AA45" s="322">
        <v>0</v>
      </c>
      <c r="AB45" s="322">
        <v>0</v>
      </c>
      <c r="AC45" s="322">
        <v>0</v>
      </c>
      <c r="AD45" s="322">
        <v>0</v>
      </c>
      <c r="AE45" s="322">
        <v>0</v>
      </c>
      <c r="AF45" s="322">
        <v>0</v>
      </c>
      <c r="AG45" s="322">
        <v>0</v>
      </c>
      <c r="AH45" s="322">
        <v>0</v>
      </c>
      <c r="AI45" s="322">
        <v>0</v>
      </c>
      <c r="AJ45" s="322">
        <v>0</v>
      </c>
      <c r="AK45" s="322">
        <v>0</v>
      </c>
      <c r="AL45" s="322">
        <v>0</v>
      </c>
      <c r="AM45" s="322">
        <v>0</v>
      </c>
      <c r="AN45" s="322">
        <v>0</v>
      </c>
    </row>
    <row r="46" spans="2:41" x14ac:dyDescent="0.3">
      <c r="B46" s="105"/>
      <c r="C46" s="106"/>
      <c r="D46" s="106"/>
      <c r="E46" s="106"/>
      <c r="F46" s="443"/>
      <c r="G46" s="443"/>
      <c r="H46" s="443"/>
      <c r="I46" s="443"/>
      <c r="J46" s="443"/>
      <c r="K46" s="443"/>
      <c r="L46" s="443"/>
      <c r="M46" s="443"/>
      <c r="N46" s="443"/>
      <c r="O46" s="443"/>
      <c r="P46" s="443"/>
      <c r="Q46" s="443"/>
      <c r="R46" s="443"/>
      <c r="S46" s="443"/>
      <c r="T46" s="443"/>
      <c r="U46" s="443"/>
      <c r="V46" s="443"/>
      <c r="W46" s="443"/>
      <c r="X46" s="443"/>
      <c r="Y46" s="443"/>
      <c r="Z46" s="443"/>
      <c r="AA46" s="443"/>
      <c r="AB46" s="443"/>
      <c r="AC46" s="443"/>
      <c r="AD46" s="443"/>
      <c r="AE46" s="443"/>
      <c r="AF46" s="443"/>
      <c r="AG46" s="443"/>
      <c r="AH46" s="443"/>
      <c r="AI46" s="443"/>
      <c r="AJ46" s="443"/>
      <c r="AK46" s="443"/>
      <c r="AL46" s="443"/>
      <c r="AM46" s="443"/>
      <c r="AN46" s="443"/>
    </row>
    <row r="47" spans="2:41" x14ac:dyDescent="0.3">
      <c r="B47" s="107" t="s">
        <v>110</v>
      </c>
      <c r="C47" s="40"/>
      <c r="D47" s="40"/>
      <c r="E47" s="40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6"/>
      <c r="AD47" s="96"/>
      <c r="AE47" s="96"/>
      <c r="AF47" s="96"/>
      <c r="AG47" s="96"/>
      <c r="AH47" s="96"/>
      <c r="AI47" s="96"/>
      <c r="AJ47" s="96"/>
      <c r="AK47" s="96"/>
      <c r="AL47" s="96"/>
      <c r="AM47" s="96"/>
      <c r="AN47" s="96"/>
    </row>
    <row r="48" spans="2:41" x14ac:dyDescent="0.3">
      <c r="B48" s="104" t="s">
        <v>3</v>
      </c>
      <c r="C48" s="40" t="s">
        <v>115</v>
      </c>
      <c r="D48" s="444">
        <v>18054.532943578</v>
      </c>
      <c r="E48" s="444">
        <v>18464.929370473343</v>
      </c>
      <c r="F48" s="321">
        <v>18871.978213429691</v>
      </c>
      <c r="G48" s="321">
        <v>19874.06412749843</v>
      </c>
      <c r="H48" s="321">
        <v>20408.877964162944</v>
      </c>
      <c r="I48" s="321">
        <v>20818.83121718714</v>
      </c>
      <c r="J48" s="321">
        <v>21223.448012917201</v>
      </c>
      <c r="K48" s="321">
        <v>21623.30872139279</v>
      </c>
      <c r="L48" s="321">
        <v>22017.015715024689</v>
      </c>
      <c r="M48" s="321">
        <v>22403.194748111968</v>
      </c>
      <c r="N48" s="321">
        <v>22785.496120146072</v>
      </c>
      <c r="O48" s="321">
        <v>23159.595619313262</v>
      </c>
      <c r="P48" s="321">
        <v>23526.195245757965</v>
      </c>
      <c r="Q48" s="321">
        <v>23887.023717160399</v>
      </c>
      <c r="R48" s="321">
        <v>24237.83676195889</v>
      </c>
      <c r="S48" s="321">
        <v>24581.417208064111</v>
      </c>
      <c r="T48" s="321">
        <v>24917.574877135074</v>
      </c>
      <c r="U48" s="321">
        <v>25246.146296389066</v>
      </c>
      <c r="V48" s="321">
        <v>25565.99424148638</v>
      </c>
      <c r="W48" s="321">
        <v>25878.007125258897</v>
      </c>
      <c r="X48" s="321">
        <v>26180.098247944901</v>
      </c>
      <c r="Y48" s="321">
        <v>26476.204925161077</v>
      </c>
      <c r="Z48" s="321">
        <v>26762.287510105863</v>
      </c>
      <c r="AA48" s="321">
        <v>27040.328326469567</v>
      </c>
      <c r="AB48" s="321">
        <v>27309.33052825378</v>
      </c>
      <c r="AC48" s="321">
        <v>27570.31690220728</v>
      </c>
      <c r="AD48" s="321">
        <v>27822.328627899238</v>
      </c>
      <c r="AE48" s="321">
        <v>28068.424009607454</v>
      </c>
      <c r="AF48" s="321">
        <v>28303.677193231466</v>
      </c>
      <c r="AG48" s="321">
        <v>28532.176880379982</v>
      </c>
      <c r="AH48" s="321">
        <v>28752.025050658256</v>
      </c>
      <c r="AI48" s="321">
        <v>28964.335702021512</v>
      </c>
      <c r="AJ48" s="321">
        <v>29169.233617889797</v>
      </c>
      <c r="AK48" s="321">
        <v>29365.853168559057</v>
      </c>
      <c r="AL48" s="321">
        <v>29555.33715331139</v>
      </c>
      <c r="AM48" s="321">
        <v>29724</v>
      </c>
      <c r="AN48" s="321">
        <v>29919.90038361368</v>
      </c>
    </row>
    <row r="49" spans="2:40" x14ac:dyDescent="0.3">
      <c r="B49" s="104" t="s">
        <v>4</v>
      </c>
      <c r="C49" s="40" t="s">
        <v>115</v>
      </c>
      <c r="D49" s="444">
        <v>0</v>
      </c>
      <c r="E49" s="444">
        <v>0</v>
      </c>
      <c r="F49" s="321">
        <v>0</v>
      </c>
      <c r="G49" s="321">
        <v>3998.8056594564246</v>
      </c>
      <c r="H49" s="321">
        <v>8163.5511856651774</v>
      </c>
      <c r="I49" s="321">
        <v>12491.298730312285</v>
      </c>
      <c r="J49" s="321">
        <v>16978.758410333761</v>
      </c>
      <c r="K49" s="321">
        <v>18379.81241318387</v>
      </c>
      <c r="L49" s="321">
        <v>19815.314143522224</v>
      </c>
      <c r="M49" s="321">
        <v>20610.939168263008</v>
      </c>
      <c r="N49" s="321">
        <v>21418.366352937304</v>
      </c>
      <c r="O49" s="321">
        <v>22233.211794540734</v>
      </c>
      <c r="P49" s="321">
        <v>23055.671340842808</v>
      </c>
      <c r="Q49" s="321">
        <v>23887.023717160399</v>
      </c>
      <c r="R49" s="321">
        <v>24237.83676195889</v>
      </c>
      <c r="S49" s="321">
        <v>24581.417208064111</v>
      </c>
      <c r="T49" s="321">
        <v>24917.574877135074</v>
      </c>
      <c r="U49" s="321">
        <v>25246.146296389066</v>
      </c>
      <c r="V49" s="321">
        <v>25565.99424148638</v>
      </c>
      <c r="W49" s="321">
        <v>25878.007125258897</v>
      </c>
      <c r="X49" s="321">
        <v>26180.098247944901</v>
      </c>
      <c r="Y49" s="321">
        <v>26476.204925161077</v>
      </c>
      <c r="Z49" s="321">
        <v>26762.287510105863</v>
      </c>
      <c r="AA49" s="321">
        <v>27040.328326469567</v>
      </c>
      <c r="AB49" s="321">
        <v>27309.33052825378</v>
      </c>
      <c r="AC49" s="321">
        <v>27570.31690220728</v>
      </c>
      <c r="AD49" s="321">
        <v>27822.328627899238</v>
      </c>
      <c r="AE49" s="321">
        <v>28068.424009607454</v>
      </c>
      <c r="AF49" s="321">
        <v>28303.677193231466</v>
      </c>
      <c r="AG49" s="321">
        <v>28532.176880379982</v>
      </c>
      <c r="AH49" s="321">
        <v>28752.025050658256</v>
      </c>
      <c r="AI49" s="321">
        <v>28964.335702021512</v>
      </c>
      <c r="AJ49" s="321">
        <v>29169.233617889797</v>
      </c>
      <c r="AK49" s="321">
        <v>29365.853168559057</v>
      </c>
      <c r="AL49" s="321">
        <v>29555.33715331139</v>
      </c>
      <c r="AM49" s="321">
        <v>29724</v>
      </c>
      <c r="AN49" s="321">
        <v>29919.90038361368</v>
      </c>
    </row>
    <row r="50" spans="2:40" x14ac:dyDescent="0.3">
      <c r="B50" s="105"/>
      <c r="C50" s="106"/>
      <c r="D50" s="106"/>
      <c r="E50" s="106"/>
      <c r="F50" s="443"/>
      <c r="G50" s="443"/>
      <c r="H50" s="443"/>
      <c r="I50" s="443"/>
      <c r="J50" s="443"/>
      <c r="K50" s="443"/>
      <c r="L50" s="443"/>
      <c r="M50" s="443"/>
      <c r="N50" s="443"/>
      <c r="O50" s="443"/>
      <c r="P50" s="443"/>
      <c r="Q50" s="443"/>
      <c r="R50" s="443"/>
      <c r="S50" s="443"/>
      <c r="T50" s="443"/>
      <c r="U50" s="443"/>
      <c r="V50" s="443"/>
      <c r="W50" s="443"/>
      <c r="X50" s="443"/>
      <c r="Y50" s="443"/>
      <c r="Z50" s="443"/>
      <c r="AA50" s="443"/>
      <c r="AB50" s="443"/>
      <c r="AC50" s="443"/>
      <c r="AD50" s="443"/>
      <c r="AE50" s="443"/>
      <c r="AF50" s="443"/>
      <c r="AG50" s="443"/>
      <c r="AH50" s="443"/>
      <c r="AI50" s="443"/>
      <c r="AJ50" s="443"/>
      <c r="AK50" s="443"/>
      <c r="AL50" s="443"/>
      <c r="AM50" s="443"/>
      <c r="AN50" s="443"/>
    </row>
    <row r="51" spans="2:40" x14ac:dyDescent="0.3">
      <c r="B51" s="107" t="s">
        <v>116</v>
      </c>
      <c r="C51" s="40"/>
      <c r="D51" s="40"/>
      <c r="E51" s="40"/>
      <c r="F51" s="413"/>
      <c r="G51" s="413"/>
      <c r="H51" s="413"/>
      <c r="I51" s="413"/>
      <c r="J51" s="413"/>
      <c r="K51" s="413"/>
      <c r="L51" s="413"/>
      <c r="M51" s="413"/>
      <c r="N51" s="413"/>
      <c r="O51" s="413"/>
      <c r="P51" s="413"/>
      <c r="Q51" s="413"/>
      <c r="R51" s="413"/>
      <c r="S51" s="413"/>
      <c r="T51" s="413"/>
      <c r="U51" s="413"/>
      <c r="V51" s="413"/>
      <c r="W51" s="413"/>
      <c r="X51" s="413"/>
      <c r="Y51" s="413"/>
      <c r="Z51" s="413"/>
      <c r="AA51" s="413"/>
      <c r="AB51" s="413"/>
      <c r="AC51" s="413"/>
      <c r="AD51" s="413"/>
      <c r="AE51" s="413"/>
      <c r="AF51" s="413"/>
      <c r="AG51" s="413"/>
      <c r="AH51" s="413"/>
      <c r="AI51" s="413"/>
      <c r="AJ51" s="413"/>
      <c r="AK51" s="413"/>
      <c r="AL51" s="413"/>
      <c r="AM51" s="413"/>
      <c r="AN51" s="413"/>
    </row>
    <row r="52" spans="2:40" x14ac:dyDescent="0.3">
      <c r="B52" s="104" t="s">
        <v>3</v>
      </c>
      <c r="C52" s="40" t="s">
        <v>117</v>
      </c>
      <c r="D52" s="444">
        <v>13647.44425039473</v>
      </c>
      <c r="E52" s="444">
        <v>13956.606742615624</v>
      </c>
      <c r="F52" s="321">
        <v>14263.030023655514</v>
      </c>
      <c r="G52" s="321">
        <v>15018.914358680637</v>
      </c>
      <c r="H52" s="321">
        <v>15421.87037397998</v>
      </c>
      <c r="I52" s="321">
        <v>15730.27452445744</v>
      </c>
      <c r="J52" s="321">
        <v>16034.858398967119</v>
      </c>
      <c r="K52" s="321">
        <v>16335.678051152905</v>
      </c>
      <c r="L52" s="321">
        <v>16631.863418293153</v>
      </c>
      <c r="M52" s="321">
        <v>16922.134187526706</v>
      </c>
      <c r="N52" s="321">
        <v>17209.978534797559</v>
      </c>
      <c r="O52" s="321">
        <v>17491.42752810369</v>
      </c>
      <c r="P52" s="321">
        <v>17767.008067569303</v>
      </c>
      <c r="Q52" s="321">
        <v>18038.516960684621</v>
      </c>
      <c r="R52" s="321">
        <v>18302.007621380697</v>
      </c>
      <c r="S52" s="321">
        <v>18560.296408482667</v>
      </c>
      <c r="T52" s="321">
        <v>18813.025479432843</v>
      </c>
      <c r="U52" s="321">
        <v>19060.082880698832</v>
      </c>
      <c r="V52" s="321">
        <v>19300.368861944557</v>
      </c>
      <c r="W52" s="321">
        <v>19534.98819997656</v>
      </c>
      <c r="X52" s="321">
        <v>19761.91045420547</v>
      </c>
      <c r="Y52" s="321">
        <v>19984.615923196699</v>
      </c>
      <c r="Z52" s="321">
        <v>20199.547661553224</v>
      </c>
      <c r="AA52" s="321">
        <v>20408.469574957722</v>
      </c>
      <c r="AB52" s="321">
        <v>20610.58287103938</v>
      </c>
      <c r="AC52" s="321">
        <v>20806.705771987272</v>
      </c>
      <c r="AD52" s="321">
        <v>20995.842080508257</v>
      </c>
      <c r="AE52" s="321">
        <v>21181.038498679936</v>
      </c>
      <c r="AF52" s="321">
        <v>21357.621435708657</v>
      </c>
      <c r="AG52" s="321">
        <v>21529.362447034182</v>
      </c>
      <c r="AH52" s="321">
        <v>21694.406912528382</v>
      </c>
      <c r="AI52" s="321">
        <v>21854.007596324689</v>
      </c>
      <c r="AJ52" s="321">
        <v>22007.843719348963</v>
      </c>
      <c r="AK52" s="321">
        <v>22155.464666957148</v>
      </c>
      <c r="AL52" s="321">
        <v>22297.717012343659</v>
      </c>
      <c r="AM52" s="321">
        <v>22315.613574720126</v>
      </c>
      <c r="AN52" s="321">
        <v>22426.110963085644</v>
      </c>
    </row>
    <row r="53" spans="2:40" x14ac:dyDescent="0.3">
      <c r="B53" s="104" t="s">
        <v>4</v>
      </c>
      <c r="C53" s="40" t="s">
        <v>117</v>
      </c>
      <c r="D53" s="444">
        <v>0</v>
      </c>
      <c r="E53" s="444">
        <v>0</v>
      </c>
      <c r="F53" s="321">
        <v>0</v>
      </c>
      <c r="G53" s="321">
        <v>3021.9143578834273</v>
      </c>
      <c r="H53" s="321">
        <v>6168.7481495919919</v>
      </c>
      <c r="I53" s="321">
        <v>9438.1647146744654</v>
      </c>
      <c r="J53" s="321">
        <v>12827.886719173694</v>
      </c>
      <c r="K53" s="321">
        <v>13885.326343479968</v>
      </c>
      <c r="L53" s="321">
        <v>14968.677076463839</v>
      </c>
      <c r="M53" s="321">
        <v>15568.363452524569</v>
      </c>
      <c r="N53" s="321">
        <v>16177.3798227097</v>
      </c>
      <c r="O53" s="321">
        <v>16791.770426979547</v>
      </c>
      <c r="P53" s="321">
        <v>17411.667906217917</v>
      </c>
      <c r="Q53" s="321">
        <v>18038.516960684621</v>
      </c>
      <c r="R53" s="321">
        <v>18302.007621380697</v>
      </c>
      <c r="S53" s="321">
        <v>18560.296408482667</v>
      </c>
      <c r="T53" s="321">
        <v>18813.025479432843</v>
      </c>
      <c r="U53" s="321">
        <v>19060.082880698832</v>
      </c>
      <c r="V53" s="321">
        <v>19300.368861944557</v>
      </c>
      <c r="W53" s="321">
        <v>19534.98819997656</v>
      </c>
      <c r="X53" s="321">
        <v>19761.91045420547</v>
      </c>
      <c r="Y53" s="321">
        <v>19984.615923196699</v>
      </c>
      <c r="Z53" s="321">
        <v>20199.547661553224</v>
      </c>
      <c r="AA53" s="321">
        <v>20408.469574957722</v>
      </c>
      <c r="AB53" s="321">
        <v>20610.58287103938</v>
      </c>
      <c r="AC53" s="321">
        <v>20806.705771987272</v>
      </c>
      <c r="AD53" s="321">
        <v>20995.842080508257</v>
      </c>
      <c r="AE53" s="321">
        <v>21181.038498679936</v>
      </c>
      <c r="AF53" s="321">
        <v>21357.621435708657</v>
      </c>
      <c r="AG53" s="321">
        <v>21529.362447034182</v>
      </c>
      <c r="AH53" s="321">
        <v>21694.406912528382</v>
      </c>
      <c r="AI53" s="321">
        <v>21854.007596324689</v>
      </c>
      <c r="AJ53" s="321">
        <v>22007.843719348963</v>
      </c>
      <c r="AK53" s="321">
        <v>22155.464666957148</v>
      </c>
      <c r="AL53" s="321">
        <v>22297.717012343659</v>
      </c>
      <c r="AM53" s="321">
        <v>22315.613574720126</v>
      </c>
      <c r="AN53" s="321">
        <v>22426.110963085644</v>
      </c>
    </row>
    <row r="54" spans="2:40" x14ac:dyDescent="0.3">
      <c r="B54" s="105"/>
      <c r="C54" s="106"/>
      <c r="D54" s="106"/>
      <c r="E54" s="106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T54" s="1"/>
      <c r="U54" s="1"/>
      <c r="W54" s="1"/>
      <c r="X54" s="1"/>
      <c r="Y54" s="1"/>
      <c r="Z54" s="1"/>
      <c r="AB54" s="1"/>
      <c r="AC54" s="1"/>
      <c r="AE54" s="1"/>
      <c r="AF54" s="1"/>
      <c r="AG54" s="1"/>
      <c r="AH54" s="1"/>
      <c r="AI54" s="1"/>
      <c r="AJ54" s="1"/>
      <c r="AK54" s="1"/>
      <c r="AL54" s="1"/>
      <c r="AM54" s="1"/>
    </row>
    <row r="55" spans="2:40" x14ac:dyDescent="0.3">
      <c r="B55" s="104" t="s">
        <v>649</v>
      </c>
      <c r="C55" s="40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4"/>
      <c r="S55" s="4"/>
      <c r="T55" s="136"/>
      <c r="U55" s="136"/>
      <c r="V55" s="4"/>
      <c r="W55" s="136"/>
      <c r="X55" s="136"/>
      <c r="Y55" s="136"/>
      <c r="Z55" s="136"/>
      <c r="AA55" s="4"/>
      <c r="AB55" s="136"/>
      <c r="AC55" s="136"/>
      <c r="AD55" s="4"/>
      <c r="AE55" s="136"/>
      <c r="AF55" s="136"/>
      <c r="AG55" s="136"/>
      <c r="AH55" s="136"/>
      <c r="AI55" s="136"/>
      <c r="AJ55" s="136"/>
      <c r="AK55" s="136"/>
      <c r="AL55" s="136"/>
      <c r="AM55" s="136"/>
      <c r="AN55" s="4"/>
    </row>
    <row r="56" spans="2:40" x14ac:dyDescent="0.3">
      <c r="B56" s="104" t="s">
        <v>650</v>
      </c>
      <c r="C56" s="40" t="s">
        <v>14</v>
      </c>
      <c r="D56" s="253">
        <f t="shared" ref="D56:AN57" si="13">D17</f>
        <v>43795</v>
      </c>
      <c r="E56" s="253">
        <f t="shared" si="13"/>
        <v>44355</v>
      </c>
      <c r="F56" s="253">
        <f t="shared" si="13"/>
        <v>44897</v>
      </c>
      <c r="G56" s="253">
        <f t="shared" si="13"/>
        <v>46834</v>
      </c>
      <c r="H56" s="253">
        <f t="shared" si="13"/>
        <v>47641</v>
      </c>
      <c r="I56" s="253">
        <f t="shared" si="13"/>
        <v>48147</v>
      </c>
      <c r="J56" s="253">
        <f t="shared" si="13"/>
        <v>48635</v>
      </c>
      <c r="K56" s="253">
        <f t="shared" si="13"/>
        <v>49105</v>
      </c>
      <c r="L56" s="253">
        <f t="shared" si="13"/>
        <v>49558</v>
      </c>
      <c r="M56" s="253">
        <f t="shared" si="13"/>
        <v>49993</v>
      </c>
      <c r="N56" s="253">
        <f t="shared" si="13"/>
        <v>50412</v>
      </c>
      <c r="O56" s="253">
        <f t="shared" si="13"/>
        <v>50814</v>
      </c>
      <c r="P56" s="253">
        <f t="shared" si="13"/>
        <v>51200</v>
      </c>
      <c r="Q56" s="253">
        <f t="shared" si="13"/>
        <v>51570</v>
      </c>
      <c r="R56" s="253">
        <f t="shared" si="13"/>
        <v>51925</v>
      </c>
      <c r="S56" s="253">
        <f t="shared" si="13"/>
        <v>52265</v>
      </c>
      <c r="T56" s="253">
        <f t="shared" si="13"/>
        <v>52590</v>
      </c>
      <c r="U56" s="253">
        <f t="shared" si="13"/>
        <v>52902</v>
      </c>
      <c r="V56" s="253">
        <f t="shared" si="13"/>
        <v>53200</v>
      </c>
      <c r="W56" s="253">
        <f t="shared" si="13"/>
        <v>53485</v>
      </c>
      <c r="X56" s="253">
        <f t="shared" si="13"/>
        <v>53758</v>
      </c>
      <c r="Y56" s="253">
        <f t="shared" si="13"/>
        <v>54018</v>
      </c>
      <c r="Z56" s="253">
        <f t="shared" si="13"/>
        <v>54266</v>
      </c>
      <c r="AA56" s="253">
        <f t="shared" si="13"/>
        <v>54503</v>
      </c>
      <c r="AB56" s="253">
        <f t="shared" si="13"/>
        <v>54730</v>
      </c>
      <c r="AC56" s="253">
        <f t="shared" si="13"/>
        <v>54945</v>
      </c>
      <c r="AD56" s="253">
        <f t="shared" si="13"/>
        <v>55151</v>
      </c>
      <c r="AE56" s="253">
        <f t="shared" si="13"/>
        <v>55347</v>
      </c>
      <c r="AF56" s="253">
        <f t="shared" si="13"/>
        <v>55534</v>
      </c>
      <c r="AG56" s="253">
        <f t="shared" si="13"/>
        <v>55712</v>
      </c>
      <c r="AH56" s="253">
        <f t="shared" si="13"/>
        <v>55881</v>
      </c>
      <c r="AI56" s="253">
        <f t="shared" si="13"/>
        <v>56042</v>
      </c>
      <c r="AJ56" s="253">
        <f t="shared" si="13"/>
        <v>56196</v>
      </c>
      <c r="AK56" s="253">
        <f t="shared" si="13"/>
        <v>56342</v>
      </c>
      <c r="AL56" s="253">
        <f t="shared" si="13"/>
        <v>56480</v>
      </c>
      <c r="AM56" s="253">
        <f t="shared" si="13"/>
        <v>56615</v>
      </c>
      <c r="AN56" s="253">
        <f t="shared" si="13"/>
        <v>56482</v>
      </c>
    </row>
    <row r="57" spans="2:40" x14ac:dyDescent="0.3">
      <c r="B57" s="104" t="s">
        <v>651</v>
      </c>
      <c r="C57" s="40" t="s">
        <v>14</v>
      </c>
      <c r="D57" s="253">
        <f t="shared" si="13"/>
        <v>0</v>
      </c>
      <c r="E57" s="253">
        <f t="shared" si="13"/>
        <v>0</v>
      </c>
      <c r="F57" s="253">
        <f t="shared" si="13"/>
        <v>0</v>
      </c>
      <c r="G57" s="253">
        <f t="shared" si="13"/>
        <v>9423</v>
      </c>
      <c r="H57" s="253">
        <f t="shared" si="13"/>
        <v>19056</v>
      </c>
      <c r="I57" s="253">
        <f t="shared" si="13"/>
        <v>28888</v>
      </c>
      <c r="J57" s="253">
        <f t="shared" si="13"/>
        <v>38908</v>
      </c>
      <c r="K57" s="253">
        <f t="shared" si="13"/>
        <v>41740</v>
      </c>
      <c r="L57" s="253">
        <f t="shared" si="13"/>
        <v>44602</v>
      </c>
      <c r="M57" s="253">
        <f t="shared" si="13"/>
        <v>45994</v>
      </c>
      <c r="N57" s="253">
        <f t="shared" si="13"/>
        <v>47387</v>
      </c>
      <c r="O57" s="253">
        <f t="shared" si="13"/>
        <v>48781</v>
      </c>
      <c r="P57" s="253">
        <f t="shared" si="13"/>
        <v>50176</v>
      </c>
      <c r="Q57" s="253">
        <f t="shared" si="13"/>
        <v>51570</v>
      </c>
      <c r="R57" s="253">
        <f t="shared" si="13"/>
        <v>51925</v>
      </c>
      <c r="S57" s="253">
        <f t="shared" si="13"/>
        <v>52265</v>
      </c>
      <c r="T57" s="253">
        <f t="shared" si="13"/>
        <v>52590</v>
      </c>
      <c r="U57" s="253">
        <f t="shared" si="13"/>
        <v>52902</v>
      </c>
      <c r="V57" s="253">
        <f t="shared" si="13"/>
        <v>53200</v>
      </c>
      <c r="W57" s="253">
        <f t="shared" si="13"/>
        <v>53485</v>
      </c>
      <c r="X57" s="253">
        <f t="shared" si="13"/>
        <v>53758</v>
      </c>
      <c r="Y57" s="253">
        <f t="shared" si="13"/>
        <v>54018</v>
      </c>
      <c r="Z57" s="253">
        <f t="shared" si="13"/>
        <v>54266</v>
      </c>
      <c r="AA57" s="253">
        <f t="shared" si="13"/>
        <v>54503</v>
      </c>
      <c r="AB57" s="253">
        <f t="shared" si="13"/>
        <v>54730</v>
      </c>
      <c r="AC57" s="253">
        <f t="shared" si="13"/>
        <v>54945</v>
      </c>
      <c r="AD57" s="253">
        <f t="shared" si="13"/>
        <v>55151</v>
      </c>
      <c r="AE57" s="253">
        <f t="shared" si="13"/>
        <v>55347</v>
      </c>
      <c r="AF57" s="253">
        <f t="shared" si="13"/>
        <v>55534</v>
      </c>
      <c r="AG57" s="253">
        <f t="shared" si="13"/>
        <v>55712</v>
      </c>
      <c r="AH57" s="253">
        <f t="shared" si="13"/>
        <v>55881</v>
      </c>
      <c r="AI57" s="253">
        <f t="shared" si="13"/>
        <v>56042</v>
      </c>
      <c r="AJ57" s="253">
        <f t="shared" si="13"/>
        <v>56196</v>
      </c>
      <c r="AK57" s="253">
        <f t="shared" si="13"/>
        <v>56342</v>
      </c>
      <c r="AL57" s="253">
        <f t="shared" si="13"/>
        <v>56480</v>
      </c>
      <c r="AM57" s="253">
        <f t="shared" si="13"/>
        <v>56615</v>
      </c>
      <c r="AN57" s="253">
        <f t="shared" si="13"/>
        <v>56482</v>
      </c>
    </row>
    <row r="58" spans="2:40" x14ac:dyDescent="0.3">
      <c r="B58" s="108" t="s">
        <v>3</v>
      </c>
      <c r="C58" s="40"/>
      <c r="D58" s="40"/>
      <c r="E58" s="40"/>
      <c r="F58" s="136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6"/>
      <c r="AE58" s="136"/>
      <c r="AF58" s="136"/>
      <c r="AG58" s="136"/>
      <c r="AH58" s="136"/>
      <c r="AI58" s="136"/>
      <c r="AJ58" s="136"/>
      <c r="AK58" s="136"/>
      <c r="AL58" s="136"/>
      <c r="AM58" s="136"/>
      <c r="AN58" s="136"/>
    </row>
    <row r="59" spans="2:40" x14ac:dyDescent="0.3">
      <c r="B59" s="104" t="s">
        <v>127</v>
      </c>
      <c r="C59" s="40" t="s">
        <v>135</v>
      </c>
      <c r="D59" s="253">
        <f>ROUND(D36/1000*D56*30.4375*12*(1+D43),0)</f>
        <v>4530473</v>
      </c>
      <c r="E59" s="253">
        <f t="shared" ref="E59:AN59" si="14">ROUND(E36/1000*E56*30.4375*12*(1+E43),0)</f>
        <v>4611824</v>
      </c>
      <c r="F59" s="253">
        <f t="shared" si="14"/>
        <v>4405538</v>
      </c>
      <c r="G59" s="253">
        <f t="shared" si="14"/>
        <v>4371270</v>
      </c>
      <c r="H59" s="253">
        <f t="shared" si="14"/>
        <v>4313218</v>
      </c>
      <c r="I59" s="253">
        <f t="shared" si="14"/>
        <v>4208509</v>
      </c>
      <c r="J59" s="253">
        <f t="shared" si="14"/>
        <v>4124800</v>
      </c>
      <c r="K59" s="253">
        <f t="shared" si="14"/>
        <v>4055727</v>
      </c>
      <c r="L59" s="253">
        <f t="shared" si="14"/>
        <v>3973603</v>
      </c>
      <c r="M59" s="253">
        <f t="shared" si="14"/>
        <v>3983034</v>
      </c>
      <c r="N59" s="253">
        <f t="shared" si="14"/>
        <v>3993054</v>
      </c>
      <c r="O59" s="253">
        <f t="shared" si="14"/>
        <v>4000961</v>
      </c>
      <c r="P59" s="253">
        <f t="shared" si="14"/>
        <v>4008210</v>
      </c>
      <c r="Q59" s="253">
        <f t="shared" si="14"/>
        <v>4014843</v>
      </c>
      <c r="R59" s="253">
        <f t="shared" si="14"/>
        <v>4019601</v>
      </c>
      <c r="S59" s="253">
        <f t="shared" si="14"/>
        <v>4024281</v>
      </c>
      <c r="T59" s="253">
        <f t="shared" si="14"/>
        <v>4028529</v>
      </c>
      <c r="U59" s="253">
        <f t="shared" si="14"/>
        <v>4031530</v>
      </c>
      <c r="V59" s="253">
        <f t="shared" si="14"/>
        <v>4033829</v>
      </c>
      <c r="W59" s="253">
        <f t="shared" si="14"/>
        <v>4036341</v>
      </c>
      <c r="X59" s="253">
        <f t="shared" si="14"/>
        <v>4056535</v>
      </c>
      <c r="Y59" s="253">
        <f t="shared" si="14"/>
        <v>4076975</v>
      </c>
      <c r="Z59" s="253">
        <f t="shared" si="14"/>
        <v>4095487</v>
      </c>
      <c r="AA59" s="253">
        <f t="shared" si="14"/>
        <v>4113166</v>
      </c>
      <c r="AB59" s="253">
        <f t="shared" si="14"/>
        <v>4130089</v>
      </c>
      <c r="AC59" s="253">
        <f t="shared" si="14"/>
        <v>4146314</v>
      </c>
      <c r="AD59" s="253">
        <f t="shared" si="14"/>
        <v>4161650</v>
      </c>
      <c r="AE59" s="253">
        <f t="shared" si="14"/>
        <v>4177701</v>
      </c>
      <c r="AF59" s="253">
        <f t="shared" si="14"/>
        <v>4190762</v>
      </c>
      <c r="AG59" s="253">
        <f t="shared" si="14"/>
        <v>4205040</v>
      </c>
      <c r="AH59" s="253">
        <f t="shared" si="14"/>
        <v>4217159</v>
      </c>
      <c r="AI59" s="253">
        <f t="shared" si="14"/>
        <v>4229523</v>
      </c>
      <c r="AJ59" s="253">
        <f t="shared" si="14"/>
        <v>4241358</v>
      </c>
      <c r="AK59" s="253">
        <f t="shared" si="14"/>
        <v>4251736</v>
      </c>
      <c r="AL59" s="253">
        <f t="shared" si="14"/>
        <v>4262364</v>
      </c>
      <c r="AM59" s="253">
        <f t="shared" si="14"/>
        <v>4272767</v>
      </c>
      <c r="AN59" s="253">
        <f t="shared" si="14"/>
        <v>4262515</v>
      </c>
    </row>
    <row r="60" spans="2:40" x14ac:dyDescent="0.3">
      <c r="B60" s="104" t="s">
        <v>128</v>
      </c>
      <c r="C60" s="40" t="s">
        <v>135</v>
      </c>
      <c r="D60" s="253">
        <f>ROUND(D36/1000*D56*30.4375*12,0)</f>
        <v>4356224</v>
      </c>
      <c r="E60" s="253">
        <f t="shared" ref="E60:AN60" si="15">ROUND(E36/1000*E56*30.4375*12,0)</f>
        <v>4434446</v>
      </c>
      <c r="F60" s="253">
        <f t="shared" si="15"/>
        <v>4236094</v>
      </c>
      <c r="G60" s="253">
        <f t="shared" si="15"/>
        <v>4203144</v>
      </c>
      <c r="H60" s="253">
        <f t="shared" si="15"/>
        <v>4147325</v>
      </c>
      <c r="I60" s="253">
        <f t="shared" si="15"/>
        <v>4046644</v>
      </c>
      <c r="J60" s="253">
        <f t="shared" si="15"/>
        <v>3966153</v>
      </c>
      <c r="K60" s="253">
        <f t="shared" si="15"/>
        <v>3899738</v>
      </c>
      <c r="L60" s="253">
        <f t="shared" si="15"/>
        <v>3820772</v>
      </c>
      <c r="M60" s="253">
        <f t="shared" si="15"/>
        <v>3829840</v>
      </c>
      <c r="N60" s="253">
        <f t="shared" si="15"/>
        <v>3839475</v>
      </c>
      <c r="O60" s="253">
        <f t="shared" si="15"/>
        <v>3847078</v>
      </c>
      <c r="P60" s="253">
        <f t="shared" si="15"/>
        <v>3854048</v>
      </c>
      <c r="Q60" s="253">
        <f t="shared" si="15"/>
        <v>3860426</v>
      </c>
      <c r="R60" s="253">
        <f t="shared" si="15"/>
        <v>3865001</v>
      </c>
      <c r="S60" s="253">
        <f t="shared" si="15"/>
        <v>3869501</v>
      </c>
      <c r="T60" s="253">
        <f t="shared" si="15"/>
        <v>3873586</v>
      </c>
      <c r="U60" s="253">
        <f t="shared" si="15"/>
        <v>3876471</v>
      </c>
      <c r="V60" s="253">
        <f t="shared" si="15"/>
        <v>3878682</v>
      </c>
      <c r="W60" s="253">
        <f t="shared" si="15"/>
        <v>3881097</v>
      </c>
      <c r="X60" s="253">
        <f t="shared" si="15"/>
        <v>3900515</v>
      </c>
      <c r="Y60" s="253">
        <f t="shared" si="15"/>
        <v>3920169</v>
      </c>
      <c r="Z60" s="253">
        <f t="shared" si="15"/>
        <v>3937968</v>
      </c>
      <c r="AA60" s="253">
        <f t="shared" si="15"/>
        <v>3954968</v>
      </c>
      <c r="AB60" s="253">
        <f t="shared" si="15"/>
        <v>3971240</v>
      </c>
      <c r="AC60" s="253">
        <f t="shared" si="15"/>
        <v>3986840</v>
      </c>
      <c r="AD60" s="253">
        <f t="shared" si="15"/>
        <v>4001586</v>
      </c>
      <c r="AE60" s="253">
        <f t="shared" si="15"/>
        <v>4017020</v>
      </c>
      <c r="AF60" s="253">
        <f t="shared" si="15"/>
        <v>4029578</v>
      </c>
      <c r="AG60" s="253">
        <f t="shared" si="15"/>
        <v>4043308</v>
      </c>
      <c r="AH60" s="253">
        <f t="shared" si="15"/>
        <v>4054961</v>
      </c>
      <c r="AI60" s="253">
        <f t="shared" si="15"/>
        <v>4066849</v>
      </c>
      <c r="AJ60" s="253">
        <f t="shared" si="15"/>
        <v>4078229</v>
      </c>
      <c r="AK60" s="253">
        <f t="shared" si="15"/>
        <v>4088207</v>
      </c>
      <c r="AL60" s="253">
        <f t="shared" si="15"/>
        <v>4098427</v>
      </c>
      <c r="AM60" s="253">
        <f t="shared" si="15"/>
        <v>4108430</v>
      </c>
      <c r="AN60" s="253">
        <f t="shared" si="15"/>
        <v>4098572</v>
      </c>
    </row>
    <row r="61" spans="2:40" x14ac:dyDescent="0.3">
      <c r="B61" s="104" t="s">
        <v>129</v>
      </c>
      <c r="C61" s="40" t="s">
        <v>135</v>
      </c>
      <c r="D61" s="253">
        <f>ROUND(D37/1000*D56*30.4375*12,0)</f>
        <v>2700945</v>
      </c>
      <c r="E61" s="253">
        <f t="shared" ref="E61:AN61" si="16">ROUND(E37/1000*E56*30.4375*12,0)</f>
        <v>2736130</v>
      </c>
      <c r="F61" s="253">
        <f t="shared" si="16"/>
        <v>2769728</v>
      </c>
      <c r="G61" s="253">
        <f t="shared" si="16"/>
        <v>2888539</v>
      </c>
      <c r="H61" s="253">
        <f t="shared" si="16"/>
        <v>2938660</v>
      </c>
      <c r="I61" s="253">
        <f t="shared" si="16"/>
        <v>2969520</v>
      </c>
      <c r="J61" s="253">
        <f t="shared" si="16"/>
        <v>2999973</v>
      </c>
      <c r="K61" s="253">
        <f t="shared" si="16"/>
        <v>3028785</v>
      </c>
      <c r="L61" s="253">
        <f t="shared" si="16"/>
        <v>3056545</v>
      </c>
      <c r="M61" s="253">
        <f t="shared" si="16"/>
        <v>3083191</v>
      </c>
      <c r="N61" s="253">
        <f t="shared" si="16"/>
        <v>3109769</v>
      </c>
      <c r="O61" s="253">
        <f t="shared" si="16"/>
        <v>3134567</v>
      </c>
      <c r="P61" s="253">
        <f t="shared" si="16"/>
        <v>3158378</v>
      </c>
      <c r="Q61" s="253">
        <f t="shared" si="16"/>
        <v>3181391</v>
      </c>
      <c r="R61" s="253">
        <f t="shared" si="16"/>
        <v>3202722</v>
      </c>
      <c r="S61" s="253">
        <f t="shared" si="16"/>
        <v>3223693</v>
      </c>
      <c r="T61" s="253">
        <f t="shared" si="16"/>
        <v>3243931</v>
      </c>
      <c r="U61" s="253">
        <f t="shared" si="16"/>
        <v>3262983</v>
      </c>
      <c r="V61" s="253">
        <f t="shared" si="16"/>
        <v>3280975</v>
      </c>
      <c r="W61" s="253">
        <f t="shared" si="16"/>
        <v>3298942</v>
      </c>
      <c r="X61" s="253">
        <f t="shared" si="16"/>
        <v>3315388</v>
      </c>
      <c r="Y61" s="253">
        <f t="shared" si="16"/>
        <v>3332015</v>
      </c>
      <c r="Z61" s="253">
        <f t="shared" si="16"/>
        <v>3347312</v>
      </c>
      <c r="AA61" s="253">
        <f t="shared" si="16"/>
        <v>3361732</v>
      </c>
      <c r="AB61" s="253">
        <f t="shared" si="16"/>
        <v>3375534</v>
      </c>
      <c r="AC61" s="253">
        <f t="shared" si="16"/>
        <v>3388794</v>
      </c>
      <c r="AD61" s="253">
        <f t="shared" si="16"/>
        <v>3401499</v>
      </c>
      <c r="AE61" s="253">
        <f t="shared" si="16"/>
        <v>3414397</v>
      </c>
      <c r="AF61" s="253">
        <f t="shared" si="16"/>
        <v>3425121</v>
      </c>
      <c r="AG61" s="253">
        <f t="shared" si="16"/>
        <v>3436914</v>
      </c>
      <c r="AH61" s="253">
        <f t="shared" si="16"/>
        <v>3446727</v>
      </c>
      <c r="AI61" s="253">
        <f t="shared" si="16"/>
        <v>3456862</v>
      </c>
      <c r="AJ61" s="253">
        <f t="shared" si="16"/>
        <v>3466361</v>
      </c>
      <c r="AK61" s="253">
        <f t="shared" si="16"/>
        <v>3474956</v>
      </c>
      <c r="AL61" s="253">
        <f t="shared" si="16"/>
        <v>3483673</v>
      </c>
      <c r="AM61" s="253">
        <f t="shared" si="16"/>
        <v>3492207</v>
      </c>
      <c r="AN61" s="253">
        <f t="shared" si="16"/>
        <v>3483797</v>
      </c>
    </row>
    <row r="62" spans="2:40" x14ac:dyDescent="0.3">
      <c r="B62" s="104" t="s">
        <v>130</v>
      </c>
      <c r="C62" s="40" t="s">
        <v>135</v>
      </c>
      <c r="D62" s="253">
        <f>ROUND(D38/1000*D56*30.4375*12,0)</f>
        <v>2323277</v>
      </c>
      <c r="E62" s="253">
        <f t="shared" ref="E62:AN62" si="17">ROUND(E38/1000*E56*30.4375*12,0)</f>
        <v>2364973</v>
      </c>
      <c r="F62" s="253">
        <f t="shared" si="17"/>
        <v>2427817</v>
      </c>
      <c r="G62" s="253">
        <f t="shared" si="17"/>
        <v>2561983</v>
      </c>
      <c r="H62" s="253">
        <f t="shared" si="17"/>
        <v>2666162</v>
      </c>
      <c r="I62" s="253">
        <f t="shared" si="17"/>
        <v>2724727</v>
      </c>
      <c r="J62" s="253">
        <f t="shared" si="17"/>
        <v>2781121</v>
      </c>
      <c r="K62" s="253">
        <f t="shared" si="17"/>
        <v>2833825</v>
      </c>
      <c r="L62" s="253">
        <f t="shared" si="17"/>
        <v>2865579</v>
      </c>
      <c r="M62" s="253">
        <f t="shared" si="17"/>
        <v>2891645</v>
      </c>
      <c r="N62" s="253">
        <f t="shared" si="17"/>
        <v>2917721</v>
      </c>
      <c r="O62" s="253">
        <f t="shared" si="17"/>
        <v>2942102</v>
      </c>
      <c r="P62" s="253">
        <f t="shared" si="17"/>
        <v>2965573</v>
      </c>
      <c r="Q62" s="253">
        <f t="shared" si="17"/>
        <v>2988322</v>
      </c>
      <c r="R62" s="253">
        <f t="shared" si="17"/>
        <v>3009462</v>
      </c>
      <c r="S62" s="253">
        <f t="shared" si="17"/>
        <v>3030313</v>
      </c>
      <c r="T62" s="253">
        <f t="shared" si="17"/>
        <v>3050309</v>
      </c>
      <c r="U62" s="253">
        <f t="shared" si="17"/>
        <v>3069179</v>
      </c>
      <c r="V62" s="253">
        <f t="shared" si="17"/>
        <v>3087051</v>
      </c>
      <c r="W62" s="253">
        <f t="shared" si="17"/>
        <v>3104956</v>
      </c>
      <c r="X62" s="253">
        <f t="shared" si="17"/>
        <v>3120412</v>
      </c>
      <c r="Y62" s="253">
        <f t="shared" si="17"/>
        <v>3136095</v>
      </c>
      <c r="Z62" s="253">
        <f t="shared" si="17"/>
        <v>3150295</v>
      </c>
      <c r="AA62" s="253">
        <f t="shared" si="17"/>
        <v>3164054</v>
      </c>
      <c r="AB62" s="253">
        <f t="shared" si="17"/>
        <v>3177032</v>
      </c>
      <c r="AC62" s="253">
        <f t="shared" si="17"/>
        <v>3189512</v>
      </c>
      <c r="AD62" s="253">
        <f t="shared" si="17"/>
        <v>3201269</v>
      </c>
      <c r="AE62" s="253">
        <f t="shared" si="17"/>
        <v>3213455</v>
      </c>
      <c r="AF62" s="253">
        <f t="shared" si="17"/>
        <v>3223703</v>
      </c>
      <c r="AG62" s="253">
        <f t="shared" si="17"/>
        <v>3234647</v>
      </c>
      <c r="AH62" s="253">
        <f t="shared" si="17"/>
        <v>3244050</v>
      </c>
      <c r="AI62" s="253">
        <f t="shared" si="17"/>
        <v>3253397</v>
      </c>
      <c r="AJ62" s="253">
        <f t="shared" si="17"/>
        <v>3262542</v>
      </c>
      <c r="AK62" s="253">
        <f t="shared" si="17"/>
        <v>3270401</v>
      </c>
      <c r="AL62" s="253">
        <f t="shared" si="17"/>
        <v>3278824</v>
      </c>
      <c r="AM62" s="253">
        <f t="shared" si="17"/>
        <v>3286661</v>
      </c>
      <c r="AN62" s="253">
        <f t="shared" si="17"/>
        <v>3278940</v>
      </c>
    </row>
    <row r="63" spans="2:40" x14ac:dyDescent="0.3">
      <c r="B63" s="104" t="s">
        <v>131</v>
      </c>
      <c r="C63" s="40" t="s">
        <v>135</v>
      </c>
      <c r="D63" s="253">
        <f>ROUND(D38/1000*D56*30.4375*12*(1+D45),0)</f>
        <v>2323277</v>
      </c>
      <c r="E63" s="253">
        <f t="shared" ref="E63:AN63" si="18">ROUND(E38/1000*E56*30.4375*12*(1+E45),0)</f>
        <v>2364973</v>
      </c>
      <c r="F63" s="253">
        <f t="shared" si="18"/>
        <v>2427817</v>
      </c>
      <c r="G63" s="253">
        <f t="shared" si="18"/>
        <v>2561983</v>
      </c>
      <c r="H63" s="253">
        <f t="shared" si="18"/>
        <v>2666162</v>
      </c>
      <c r="I63" s="253">
        <f t="shared" si="18"/>
        <v>2724727</v>
      </c>
      <c r="J63" s="253">
        <f t="shared" si="18"/>
        <v>2781121</v>
      </c>
      <c r="K63" s="253">
        <f t="shared" si="18"/>
        <v>2833825</v>
      </c>
      <c r="L63" s="253">
        <f t="shared" si="18"/>
        <v>2865579</v>
      </c>
      <c r="M63" s="253">
        <f t="shared" si="18"/>
        <v>2891645</v>
      </c>
      <c r="N63" s="253">
        <f t="shared" si="18"/>
        <v>2917721</v>
      </c>
      <c r="O63" s="253">
        <f t="shared" si="18"/>
        <v>2942102</v>
      </c>
      <c r="P63" s="253">
        <f t="shared" si="18"/>
        <v>2965573</v>
      </c>
      <c r="Q63" s="253">
        <f t="shared" si="18"/>
        <v>2988322</v>
      </c>
      <c r="R63" s="253">
        <f t="shared" si="18"/>
        <v>3009462</v>
      </c>
      <c r="S63" s="253">
        <f t="shared" si="18"/>
        <v>3030313</v>
      </c>
      <c r="T63" s="253">
        <f t="shared" si="18"/>
        <v>3050309</v>
      </c>
      <c r="U63" s="253">
        <f t="shared" si="18"/>
        <v>3069179</v>
      </c>
      <c r="V63" s="253">
        <f t="shared" si="18"/>
        <v>3087051</v>
      </c>
      <c r="W63" s="253">
        <f t="shared" si="18"/>
        <v>3104956</v>
      </c>
      <c r="X63" s="253">
        <f t="shared" si="18"/>
        <v>3120412</v>
      </c>
      <c r="Y63" s="253">
        <f t="shared" si="18"/>
        <v>3136095</v>
      </c>
      <c r="Z63" s="253">
        <f t="shared" si="18"/>
        <v>3150295</v>
      </c>
      <c r="AA63" s="253">
        <f t="shared" si="18"/>
        <v>3164054</v>
      </c>
      <c r="AB63" s="253">
        <f t="shared" si="18"/>
        <v>3177032</v>
      </c>
      <c r="AC63" s="253">
        <f t="shared" si="18"/>
        <v>3189512</v>
      </c>
      <c r="AD63" s="253">
        <f t="shared" si="18"/>
        <v>3201269</v>
      </c>
      <c r="AE63" s="253">
        <f t="shared" si="18"/>
        <v>3213455</v>
      </c>
      <c r="AF63" s="253">
        <f t="shared" si="18"/>
        <v>3223703</v>
      </c>
      <c r="AG63" s="253">
        <f t="shared" si="18"/>
        <v>3234647</v>
      </c>
      <c r="AH63" s="253">
        <f t="shared" si="18"/>
        <v>3244050</v>
      </c>
      <c r="AI63" s="253">
        <f t="shared" si="18"/>
        <v>3253397</v>
      </c>
      <c r="AJ63" s="253">
        <f t="shared" si="18"/>
        <v>3262542</v>
      </c>
      <c r="AK63" s="253">
        <f t="shared" si="18"/>
        <v>3270401</v>
      </c>
      <c r="AL63" s="253">
        <f t="shared" si="18"/>
        <v>3278824</v>
      </c>
      <c r="AM63" s="253">
        <f t="shared" si="18"/>
        <v>3286661</v>
      </c>
      <c r="AN63" s="253">
        <f t="shared" si="18"/>
        <v>3278940</v>
      </c>
    </row>
    <row r="64" spans="2:40" x14ac:dyDescent="0.3">
      <c r="B64" s="108" t="s">
        <v>4</v>
      </c>
      <c r="C64" s="40"/>
      <c r="D64" s="40"/>
      <c r="E64" s="40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  <c r="S64" s="136"/>
      <c r="T64" s="136"/>
      <c r="U64" s="136"/>
      <c r="V64" s="136"/>
      <c r="W64" s="136"/>
      <c r="X64" s="136"/>
      <c r="Y64" s="136"/>
      <c r="Z64" s="136"/>
      <c r="AA64" s="136"/>
      <c r="AB64" s="136"/>
      <c r="AC64" s="136"/>
      <c r="AD64" s="136"/>
      <c r="AE64" s="136"/>
      <c r="AF64" s="136"/>
      <c r="AG64" s="136"/>
      <c r="AH64" s="136"/>
      <c r="AI64" s="136"/>
      <c r="AJ64" s="136"/>
      <c r="AK64" s="136"/>
      <c r="AL64" s="136"/>
      <c r="AM64" s="136"/>
      <c r="AN64" s="136"/>
    </row>
    <row r="65" spans="2:40" x14ac:dyDescent="0.3">
      <c r="B65" s="104" t="s">
        <v>131</v>
      </c>
      <c r="C65" s="40" t="s">
        <v>135</v>
      </c>
      <c r="D65" s="253">
        <f>ROUND(D38/1000*D57*30.4375*12*(1+D45),0)</f>
        <v>0</v>
      </c>
      <c r="E65" s="253">
        <f t="shared" ref="E65:AN65" si="19">ROUND(E38/1000*E57*30.4375*12*(1+E45),0)</f>
        <v>0</v>
      </c>
      <c r="F65" s="253">
        <f t="shared" si="19"/>
        <v>0</v>
      </c>
      <c r="G65" s="253">
        <f t="shared" si="19"/>
        <v>515471</v>
      </c>
      <c r="H65" s="253">
        <f t="shared" si="19"/>
        <v>1066442</v>
      </c>
      <c r="I65" s="253">
        <f t="shared" si="19"/>
        <v>1634825</v>
      </c>
      <c r="J65" s="253">
        <f t="shared" si="19"/>
        <v>2224897</v>
      </c>
      <c r="K65" s="253">
        <f t="shared" si="19"/>
        <v>2408795</v>
      </c>
      <c r="L65" s="253">
        <f t="shared" si="19"/>
        <v>2579009</v>
      </c>
      <c r="M65" s="253">
        <f t="shared" si="19"/>
        <v>2660338</v>
      </c>
      <c r="N65" s="253">
        <f t="shared" si="19"/>
        <v>2742642</v>
      </c>
      <c r="O65" s="253">
        <f t="shared" si="19"/>
        <v>2824392</v>
      </c>
      <c r="P65" s="253">
        <f t="shared" si="19"/>
        <v>2906261</v>
      </c>
      <c r="Q65" s="253">
        <f t="shared" si="19"/>
        <v>2988322</v>
      </c>
      <c r="R65" s="253">
        <f t="shared" si="19"/>
        <v>3009462</v>
      </c>
      <c r="S65" s="253">
        <f t="shared" si="19"/>
        <v>3030313</v>
      </c>
      <c r="T65" s="253">
        <f t="shared" si="19"/>
        <v>3050309</v>
      </c>
      <c r="U65" s="253">
        <f t="shared" si="19"/>
        <v>3069179</v>
      </c>
      <c r="V65" s="253">
        <f t="shared" si="19"/>
        <v>3087051</v>
      </c>
      <c r="W65" s="253">
        <f t="shared" si="19"/>
        <v>3104956</v>
      </c>
      <c r="X65" s="253">
        <f t="shared" si="19"/>
        <v>3120412</v>
      </c>
      <c r="Y65" s="253">
        <f t="shared" si="19"/>
        <v>3136095</v>
      </c>
      <c r="Z65" s="253">
        <f t="shared" si="19"/>
        <v>3150295</v>
      </c>
      <c r="AA65" s="253">
        <f t="shared" si="19"/>
        <v>3164054</v>
      </c>
      <c r="AB65" s="253">
        <f t="shared" si="19"/>
        <v>3177032</v>
      </c>
      <c r="AC65" s="253">
        <f t="shared" si="19"/>
        <v>3189512</v>
      </c>
      <c r="AD65" s="253">
        <f t="shared" si="19"/>
        <v>3201269</v>
      </c>
      <c r="AE65" s="253">
        <f t="shared" si="19"/>
        <v>3213455</v>
      </c>
      <c r="AF65" s="253">
        <f t="shared" si="19"/>
        <v>3223703</v>
      </c>
      <c r="AG65" s="253">
        <f t="shared" si="19"/>
        <v>3234647</v>
      </c>
      <c r="AH65" s="253">
        <f t="shared" si="19"/>
        <v>3244050</v>
      </c>
      <c r="AI65" s="253">
        <f t="shared" si="19"/>
        <v>3253397</v>
      </c>
      <c r="AJ65" s="253">
        <f t="shared" si="19"/>
        <v>3262542</v>
      </c>
      <c r="AK65" s="253">
        <f t="shared" si="19"/>
        <v>3270401</v>
      </c>
      <c r="AL65" s="253">
        <f t="shared" si="19"/>
        <v>3278824</v>
      </c>
      <c r="AM65" s="253">
        <f t="shared" si="19"/>
        <v>3286661</v>
      </c>
      <c r="AN65" s="253">
        <f t="shared" si="19"/>
        <v>3278940</v>
      </c>
    </row>
    <row r="66" spans="2:40" x14ac:dyDescent="0.3">
      <c r="B66" s="104" t="s">
        <v>132</v>
      </c>
      <c r="C66" s="40" t="s">
        <v>135</v>
      </c>
      <c r="D66" s="253">
        <f>ROUND(D57*D37/1000*30.4375*12*0.8,0)</f>
        <v>0</v>
      </c>
      <c r="E66" s="253">
        <f t="shared" ref="E66:AN66" si="20">ROUND(E57*E37/1000*30.4375*12*0.8,0)</f>
        <v>0</v>
      </c>
      <c r="F66" s="253">
        <f t="shared" si="20"/>
        <v>0</v>
      </c>
      <c r="G66" s="253">
        <f t="shared" si="20"/>
        <v>464939</v>
      </c>
      <c r="H66" s="253">
        <f t="shared" si="20"/>
        <v>940351</v>
      </c>
      <c r="I66" s="253">
        <f t="shared" si="20"/>
        <v>1425360</v>
      </c>
      <c r="J66" s="253">
        <f t="shared" si="20"/>
        <v>1919983</v>
      </c>
      <c r="K66" s="253">
        <f t="shared" si="20"/>
        <v>2059611</v>
      </c>
      <c r="L66" s="253">
        <f t="shared" si="20"/>
        <v>2200702</v>
      </c>
      <c r="M66" s="253">
        <f t="shared" si="20"/>
        <v>2269251</v>
      </c>
      <c r="N66" s="253">
        <f t="shared" si="20"/>
        <v>2338532</v>
      </c>
      <c r="O66" s="253">
        <f t="shared" si="20"/>
        <v>2407326</v>
      </c>
      <c r="P66" s="253">
        <f t="shared" si="20"/>
        <v>2476168</v>
      </c>
      <c r="Q66" s="253">
        <f t="shared" si="20"/>
        <v>2545113</v>
      </c>
      <c r="R66" s="253">
        <f t="shared" si="20"/>
        <v>2562178</v>
      </c>
      <c r="S66" s="253">
        <f t="shared" si="20"/>
        <v>2578954</v>
      </c>
      <c r="T66" s="253">
        <f t="shared" si="20"/>
        <v>2595145</v>
      </c>
      <c r="U66" s="253">
        <f t="shared" si="20"/>
        <v>2610386</v>
      </c>
      <c r="V66" s="253">
        <f t="shared" si="20"/>
        <v>2624780</v>
      </c>
      <c r="W66" s="253">
        <f t="shared" si="20"/>
        <v>2639154</v>
      </c>
      <c r="X66" s="253">
        <f t="shared" si="20"/>
        <v>2652311</v>
      </c>
      <c r="Y66" s="253">
        <f t="shared" si="20"/>
        <v>2665612</v>
      </c>
      <c r="Z66" s="253">
        <f t="shared" si="20"/>
        <v>2677850</v>
      </c>
      <c r="AA66" s="253">
        <f t="shared" si="20"/>
        <v>2689386</v>
      </c>
      <c r="AB66" s="253">
        <f t="shared" si="20"/>
        <v>2700427</v>
      </c>
      <c r="AC66" s="253">
        <f t="shared" si="20"/>
        <v>2711035</v>
      </c>
      <c r="AD66" s="253">
        <f t="shared" si="20"/>
        <v>2721200</v>
      </c>
      <c r="AE66" s="253">
        <f t="shared" si="20"/>
        <v>2731517</v>
      </c>
      <c r="AF66" s="253">
        <f t="shared" si="20"/>
        <v>2740097</v>
      </c>
      <c r="AG66" s="253">
        <f t="shared" si="20"/>
        <v>2749531</v>
      </c>
      <c r="AH66" s="253">
        <f t="shared" si="20"/>
        <v>2757382</v>
      </c>
      <c r="AI66" s="253">
        <f t="shared" si="20"/>
        <v>2765490</v>
      </c>
      <c r="AJ66" s="253">
        <f t="shared" si="20"/>
        <v>2773089</v>
      </c>
      <c r="AK66" s="253">
        <f t="shared" si="20"/>
        <v>2779965</v>
      </c>
      <c r="AL66" s="253">
        <f t="shared" si="20"/>
        <v>2786939</v>
      </c>
      <c r="AM66" s="253">
        <f t="shared" si="20"/>
        <v>2793765</v>
      </c>
      <c r="AN66" s="253">
        <f t="shared" si="20"/>
        <v>2787037</v>
      </c>
    </row>
    <row r="67" spans="2:40" x14ac:dyDescent="0.3">
      <c r="B67" s="109" t="s">
        <v>133</v>
      </c>
      <c r="C67" s="40" t="s">
        <v>135</v>
      </c>
      <c r="D67" s="445">
        <f>ROUND(D13*0.07/1000*86400*365.25/1000,0)</f>
        <v>0</v>
      </c>
      <c r="E67" s="445">
        <f t="shared" ref="E67:AN67" si="21">ROUND(E13*0.07/1000*86400*365.25/1000,0)</f>
        <v>0</v>
      </c>
      <c r="F67" s="445">
        <f t="shared" si="21"/>
        <v>0</v>
      </c>
      <c r="G67" s="445">
        <f t="shared" si="21"/>
        <v>141587</v>
      </c>
      <c r="H67" s="445">
        <f t="shared" si="21"/>
        <v>289028</v>
      </c>
      <c r="I67" s="445">
        <f t="shared" si="21"/>
        <v>442212</v>
      </c>
      <c r="J67" s="445">
        <f t="shared" si="21"/>
        <v>601032</v>
      </c>
      <c r="K67" s="445">
        <f t="shared" si="21"/>
        <v>650577</v>
      </c>
      <c r="L67" s="445">
        <f t="shared" si="21"/>
        <v>701336</v>
      </c>
      <c r="M67" s="445">
        <f t="shared" si="21"/>
        <v>729433</v>
      </c>
      <c r="N67" s="445">
        <f t="shared" si="21"/>
        <v>757968</v>
      </c>
      <c r="O67" s="445">
        <f t="shared" si="21"/>
        <v>786754</v>
      </c>
      <c r="P67" s="445">
        <f t="shared" si="21"/>
        <v>815799</v>
      </c>
      <c r="Q67" s="445">
        <f t="shared" si="21"/>
        <v>845169</v>
      </c>
      <c r="R67" s="445">
        <f t="shared" si="21"/>
        <v>857514</v>
      </c>
      <c r="S67" s="445">
        <f t="shared" si="21"/>
        <v>869616</v>
      </c>
      <c r="T67" s="445">
        <f t="shared" si="21"/>
        <v>881457</v>
      </c>
      <c r="U67" s="445">
        <f t="shared" si="21"/>
        <v>893033</v>
      </c>
      <c r="V67" s="445">
        <f t="shared" si="21"/>
        <v>904291</v>
      </c>
      <c r="W67" s="445">
        <f t="shared" si="21"/>
        <v>915284</v>
      </c>
      <c r="X67" s="445">
        <f t="shared" si="21"/>
        <v>925916</v>
      </c>
      <c r="Y67" s="445">
        <f t="shared" si="21"/>
        <v>936351</v>
      </c>
      <c r="Z67" s="445">
        <f t="shared" si="21"/>
        <v>946421</v>
      </c>
      <c r="AA67" s="445">
        <f t="shared" si="21"/>
        <v>956210</v>
      </c>
      <c r="AB67" s="445">
        <f t="shared" si="21"/>
        <v>965679</v>
      </c>
      <c r="AC67" s="445">
        <f t="shared" si="21"/>
        <v>974868</v>
      </c>
      <c r="AD67" s="445">
        <f t="shared" si="21"/>
        <v>983730</v>
      </c>
      <c r="AE67" s="445">
        <f t="shared" si="21"/>
        <v>992407</v>
      </c>
      <c r="AF67" s="445">
        <f t="shared" si="21"/>
        <v>1000681</v>
      </c>
      <c r="AG67" s="445">
        <f t="shared" si="21"/>
        <v>1008727</v>
      </c>
      <c r="AH67" s="445">
        <f t="shared" si="21"/>
        <v>1016460</v>
      </c>
      <c r="AI67" s="445">
        <f t="shared" si="21"/>
        <v>1023938</v>
      </c>
      <c r="AJ67" s="445">
        <f t="shared" si="21"/>
        <v>1031146</v>
      </c>
      <c r="AK67" s="445">
        <f t="shared" si="21"/>
        <v>1038063</v>
      </c>
      <c r="AL67" s="445">
        <f t="shared" si="21"/>
        <v>1044728</v>
      </c>
      <c r="AM67" s="445">
        <f t="shared" si="21"/>
        <v>1045566</v>
      </c>
      <c r="AN67" s="445">
        <f t="shared" si="21"/>
        <v>1050743</v>
      </c>
    </row>
    <row r="68" spans="2:40" ht="15" thickBot="1" x14ac:dyDescent="0.35">
      <c r="B68" s="110" t="s">
        <v>134</v>
      </c>
      <c r="C68" s="111" t="s">
        <v>135</v>
      </c>
      <c r="D68" s="446">
        <f>ROUND(D66+D67,0)</f>
        <v>0</v>
      </c>
      <c r="E68" s="446">
        <f t="shared" ref="E68:AN68" si="22">ROUND(E66+E67,0)</f>
        <v>0</v>
      </c>
      <c r="F68" s="446">
        <f t="shared" si="22"/>
        <v>0</v>
      </c>
      <c r="G68" s="446">
        <f t="shared" si="22"/>
        <v>606526</v>
      </c>
      <c r="H68" s="446">
        <f t="shared" si="22"/>
        <v>1229379</v>
      </c>
      <c r="I68" s="446">
        <f t="shared" si="22"/>
        <v>1867572</v>
      </c>
      <c r="J68" s="446">
        <f t="shared" si="22"/>
        <v>2521015</v>
      </c>
      <c r="K68" s="446">
        <f t="shared" si="22"/>
        <v>2710188</v>
      </c>
      <c r="L68" s="446">
        <f t="shared" si="22"/>
        <v>2902038</v>
      </c>
      <c r="M68" s="446">
        <f t="shared" si="22"/>
        <v>2998684</v>
      </c>
      <c r="N68" s="446">
        <f t="shared" si="22"/>
        <v>3096500</v>
      </c>
      <c r="O68" s="446">
        <f t="shared" si="22"/>
        <v>3194080</v>
      </c>
      <c r="P68" s="446">
        <f t="shared" si="22"/>
        <v>3291967</v>
      </c>
      <c r="Q68" s="446">
        <f t="shared" si="22"/>
        <v>3390282</v>
      </c>
      <c r="R68" s="446">
        <f t="shared" si="22"/>
        <v>3419692</v>
      </c>
      <c r="S68" s="446">
        <f t="shared" si="22"/>
        <v>3448570</v>
      </c>
      <c r="T68" s="446">
        <f t="shared" si="22"/>
        <v>3476602</v>
      </c>
      <c r="U68" s="446">
        <f t="shared" si="22"/>
        <v>3503419</v>
      </c>
      <c r="V68" s="446">
        <f t="shared" si="22"/>
        <v>3529071</v>
      </c>
      <c r="W68" s="446">
        <f t="shared" si="22"/>
        <v>3554438</v>
      </c>
      <c r="X68" s="446">
        <f t="shared" si="22"/>
        <v>3578227</v>
      </c>
      <c r="Y68" s="446">
        <f t="shared" si="22"/>
        <v>3601963</v>
      </c>
      <c r="Z68" s="446">
        <f t="shared" si="22"/>
        <v>3624271</v>
      </c>
      <c r="AA68" s="446">
        <f t="shared" si="22"/>
        <v>3645596</v>
      </c>
      <c r="AB68" s="446">
        <f t="shared" si="22"/>
        <v>3666106</v>
      </c>
      <c r="AC68" s="446">
        <f t="shared" si="22"/>
        <v>3685903</v>
      </c>
      <c r="AD68" s="446">
        <f t="shared" si="22"/>
        <v>3704930</v>
      </c>
      <c r="AE68" s="446">
        <f t="shared" si="22"/>
        <v>3723924</v>
      </c>
      <c r="AF68" s="446">
        <f t="shared" si="22"/>
        <v>3740778</v>
      </c>
      <c r="AG68" s="446">
        <f t="shared" si="22"/>
        <v>3758258</v>
      </c>
      <c r="AH68" s="446">
        <f t="shared" si="22"/>
        <v>3773842</v>
      </c>
      <c r="AI68" s="446">
        <f t="shared" si="22"/>
        <v>3789428</v>
      </c>
      <c r="AJ68" s="446">
        <f t="shared" si="22"/>
        <v>3804235</v>
      </c>
      <c r="AK68" s="446">
        <f t="shared" si="22"/>
        <v>3818028</v>
      </c>
      <c r="AL68" s="446">
        <f t="shared" si="22"/>
        <v>3831667</v>
      </c>
      <c r="AM68" s="446">
        <f t="shared" si="22"/>
        <v>3839331</v>
      </c>
      <c r="AN68" s="446">
        <f t="shared" si="22"/>
        <v>3837780</v>
      </c>
    </row>
    <row r="69" spans="2:40" ht="15" thickTop="1" x14ac:dyDescent="0.3"/>
  </sheetData>
  <mergeCells count="2">
    <mergeCell ref="B1:B2"/>
    <mergeCell ref="C1:C2"/>
  </mergeCell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7DF87-2FEA-48A5-A4F0-87B54DF4DD84}">
  <dimension ref="A1:R391"/>
  <sheetViews>
    <sheetView topLeftCell="D39" zoomScale="115" zoomScaleNormal="115" workbookViewId="0">
      <selection activeCell="M61" sqref="M61"/>
    </sheetView>
  </sheetViews>
  <sheetFormatPr defaultRowHeight="14.4" x14ac:dyDescent="0.3"/>
  <cols>
    <col min="1" max="1" width="14.109375" customWidth="1"/>
    <col min="2" max="2" width="15.5546875" customWidth="1"/>
    <col min="3" max="3" width="46.33203125" customWidth="1"/>
    <col min="4" max="4" width="11.33203125" customWidth="1"/>
    <col min="5" max="5" width="12.44140625" customWidth="1"/>
    <col min="6" max="6" width="14.33203125" customWidth="1"/>
    <col min="7" max="7" width="18.88671875" customWidth="1"/>
    <col min="8" max="12" width="15.6640625" customWidth="1"/>
    <col min="13" max="13" width="51.44140625" customWidth="1"/>
    <col min="14" max="14" width="18.6640625" customWidth="1"/>
    <col min="15" max="44" width="15.6640625" customWidth="1"/>
    <col min="45" max="45" width="16.6640625" customWidth="1"/>
  </cols>
  <sheetData>
    <row r="1" spans="1:10" ht="15" thickTop="1" x14ac:dyDescent="0.3">
      <c r="A1" s="318" t="s">
        <v>522</v>
      </c>
      <c r="C1" s="1072" t="s">
        <v>678</v>
      </c>
      <c r="D1" s="1073"/>
      <c r="E1" s="1073"/>
      <c r="F1" s="1074"/>
      <c r="G1" s="604"/>
      <c r="H1" s="605"/>
      <c r="I1" s="605"/>
      <c r="J1" s="605"/>
    </row>
    <row r="2" spans="1:10" ht="15" thickBot="1" x14ac:dyDescent="0.35">
      <c r="A2" s="147" t="s">
        <v>523</v>
      </c>
      <c r="C2" s="604"/>
      <c r="D2" s="604"/>
      <c r="E2" s="604"/>
      <c r="F2" s="606"/>
      <c r="G2" s="604"/>
      <c r="H2" s="605"/>
      <c r="I2" s="605"/>
      <c r="J2" s="605"/>
    </row>
    <row r="3" spans="1:10" ht="15" thickTop="1" x14ac:dyDescent="0.3">
      <c r="A3" s="222" t="s">
        <v>524</v>
      </c>
      <c r="C3" s="607" t="s">
        <v>648</v>
      </c>
      <c r="D3" s="608" t="s">
        <v>534</v>
      </c>
      <c r="E3" s="609" t="s">
        <v>11</v>
      </c>
      <c r="F3" s="610" t="s">
        <v>653</v>
      </c>
      <c r="G3" s="604"/>
      <c r="H3" s="605"/>
      <c r="I3" s="605"/>
      <c r="J3" s="605"/>
    </row>
    <row r="4" spans="1:10" x14ac:dyDescent="0.3">
      <c r="C4" s="611"/>
      <c r="D4" s="612" t="s">
        <v>20</v>
      </c>
      <c r="E4" s="612" t="s">
        <v>536</v>
      </c>
      <c r="F4" s="613" t="s">
        <v>222</v>
      </c>
      <c r="G4" s="604"/>
      <c r="H4" s="605"/>
      <c r="I4" s="605"/>
      <c r="J4" s="605"/>
    </row>
    <row r="5" spans="1:10" x14ac:dyDescent="0.3">
      <c r="C5" s="614" t="s">
        <v>70</v>
      </c>
      <c r="D5" s="615">
        <f>ROUND(F5/E5,2)</f>
        <v>1500.62</v>
      </c>
      <c r="E5" s="616">
        <f>SUM('Base Física'!F33:AN33)</f>
        <v>1680</v>
      </c>
      <c r="F5" s="617">
        <f>ROUND(G57*0.121564127,2)</f>
        <v>2521035.4</v>
      </c>
      <c r="G5" s="618"/>
      <c r="H5" s="618"/>
      <c r="I5" s="618"/>
      <c r="J5" s="618"/>
    </row>
    <row r="6" spans="1:10" x14ac:dyDescent="0.3">
      <c r="B6" s="604"/>
      <c r="C6" s="614" t="s">
        <v>65</v>
      </c>
      <c r="D6" s="615">
        <f t="shared" ref="D6:D11" si="0">ROUND(F6/E6,2)</f>
        <v>1338.21</v>
      </c>
      <c r="E6" s="616">
        <f>E5</f>
        <v>1680</v>
      </c>
      <c r="F6" s="617">
        <f>ROUND(G216*0.122564127,2)</f>
        <v>2248199.59</v>
      </c>
      <c r="G6" s="618"/>
      <c r="H6" s="618"/>
      <c r="I6" s="618"/>
      <c r="J6" s="618"/>
    </row>
    <row r="7" spans="1:10" x14ac:dyDescent="0.3">
      <c r="B7" s="604"/>
      <c r="C7" s="614" t="s">
        <v>66</v>
      </c>
      <c r="D7" s="615">
        <f t="shared" si="0"/>
        <v>630.44000000000005</v>
      </c>
      <c r="E7" s="616">
        <f t="shared" ref="E7:E11" si="1">E6</f>
        <v>1680</v>
      </c>
      <c r="F7" s="617">
        <f>ROUND(G241*0.122564127,2)</f>
        <v>1059132.3799999999</v>
      </c>
      <c r="G7" s="618"/>
      <c r="H7" s="618"/>
      <c r="I7" s="618"/>
      <c r="J7" s="618"/>
    </row>
    <row r="8" spans="1:10" x14ac:dyDescent="0.3">
      <c r="B8" s="604"/>
      <c r="C8" s="614" t="s">
        <v>161</v>
      </c>
      <c r="D8" s="615">
        <f t="shared" si="0"/>
        <v>576.96</v>
      </c>
      <c r="E8" s="616">
        <f t="shared" si="1"/>
        <v>1680</v>
      </c>
      <c r="F8" s="617">
        <f>ROUND(G291*0.122564127,2)</f>
        <v>969293.63</v>
      </c>
      <c r="G8" s="618"/>
      <c r="H8" s="618"/>
      <c r="I8" s="618"/>
      <c r="J8" s="618"/>
    </row>
    <row r="9" spans="1:10" x14ac:dyDescent="0.3">
      <c r="B9" s="604"/>
      <c r="C9" s="614" t="s">
        <v>67</v>
      </c>
      <c r="D9" s="615">
        <f t="shared" si="0"/>
        <v>73.55</v>
      </c>
      <c r="E9" s="616">
        <f t="shared" si="1"/>
        <v>1680</v>
      </c>
      <c r="F9" s="617">
        <f>ROUND(G297*0.122564127/2,2)</f>
        <v>123567.27</v>
      </c>
      <c r="G9" s="618"/>
      <c r="H9" s="618"/>
      <c r="I9" s="618"/>
      <c r="J9" s="618"/>
    </row>
    <row r="10" spans="1:10" x14ac:dyDescent="0.3">
      <c r="B10" s="604"/>
      <c r="C10" s="614" t="s">
        <v>69</v>
      </c>
      <c r="D10" s="615">
        <f t="shared" si="0"/>
        <v>73.55</v>
      </c>
      <c r="E10" s="616">
        <f t="shared" si="1"/>
        <v>1680</v>
      </c>
      <c r="F10" s="617">
        <f>ROUND(G297*0.122564127/2,2)</f>
        <v>123567.27</v>
      </c>
      <c r="G10" s="618"/>
      <c r="H10" s="618"/>
      <c r="I10" s="618"/>
      <c r="J10" s="618"/>
    </row>
    <row r="11" spans="1:10" ht="15" thickBot="1" x14ac:dyDescent="0.35">
      <c r="B11" s="604"/>
      <c r="C11" s="619" t="s">
        <v>68</v>
      </c>
      <c r="D11" s="620">
        <f t="shared" si="0"/>
        <v>110.28</v>
      </c>
      <c r="E11" s="621">
        <f t="shared" si="1"/>
        <v>1680</v>
      </c>
      <c r="F11" s="622">
        <f>ROUND(G308*0.122561127,2)</f>
        <v>185263.74</v>
      </c>
      <c r="G11" s="618"/>
      <c r="H11" s="618"/>
      <c r="I11" s="618"/>
      <c r="J11" s="618"/>
    </row>
    <row r="12" spans="1:10" ht="15.6" thickTop="1" thickBot="1" x14ac:dyDescent="0.35">
      <c r="B12" s="604"/>
      <c r="C12" s="623" t="s">
        <v>92</v>
      </c>
      <c r="D12" s="624">
        <f>SUM(D5:D11)</f>
        <v>4303.6099999999997</v>
      </c>
      <c r="E12" s="625">
        <f>E11</f>
        <v>1680</v>
      </c>
      <c r="F12" s="777">
        <f>SUM(F5:F11)</f>
        <v>7230059.2799999993</v>
      </c>
      <c r="G12" s="618"/>
      <c r="H12" s="618"/>
      <c r="I12" s="618"/>
      <c r="J12" s="618"/>
    </row>
    <row r="13" spans="1:10" ht="15" thickTop="1" x14ac:dyDescent="0.3">
      <c r="B13" s="604"/>
      <c r="C13" s="626" t="s">
        <v>0</v>
      </c>
      <c r="D13" s="627">
        <f t="shared" ref="D13:D18" si="2">ROUND(F13/E13,2)</f>
        <v>2257.59</v>
      </c>
      <c r="E13" s="628">
        <f>SUM('Base Física'!F34:AN34)</f>
        <v>46577</v>
      </c>
      <c r="F13" s="629">
        <f>ROUND(G320*0.799268852,2)</f>
        <v>105151545.11</v>
      </c>
      <c r="G13" s="618"/>
      <c r="H13" s="618"/>
      <c r="I13" s="618"/>
      <c r="J13" s="618"/>
    </row>
    <row r="14" spans="1:10" x14ac:dyDescent="0.3">
      <c r="B14" s="604"/>
      <c r="C14" s="614" t="s">
        <v>1</v>
      </c>
      <c r="D14" s="615">
        <f t="shared" si="2"/>
        <v>1361.62</v>
      </c>
      <c r="E14" s="616">
        <f>E13</f>
        <v>46577</v>
      </c>
      <c r="F14" s="629">
        <f>ROUND(G334*0.799268852,2)</f>
        <v>63420178.579999998</v>
      </c>
      <c r="G14" s="618"/>
      <c r="H14" s="618"/>
      <c r="I14" s="618"/>
      <c r="J14" s="618"/>
    </row>
    <row r="15" spans="1:10" x14ac:dyDescent="0.3">
      <c r="B15" s="604"/>
      <c r="C15" s="614" t="s">
        <v>162</v>
      </c>
      <c r="D15" s="615">
        <f t="shared" si="2"/>
        <v>507.44</v>
      </c>
      <c r="E15" s="616">
        <f t="shared" ref="E15:E18" si="3">E13</f>
        <v>46577</v>
      </c>
      <c r="F15" s="629">
        <f>ROUND(G340*0.799268852,2)</f>
        <v>23634893.510000002</v>
      </c>
      <c r="G15" s="618"/>
      <c r="H15" s="618"/>
      <c r="I15" s="618"/>
      <c r="J15" s="618"/>
    </row>
    <row r="16" spans="1:10" x14ac:dyDescent="0.3">
      <c r="B16" s="604"/>
      <c r="C16" s="614" t="s">
        <v>71</v>
      </c>
      <c r="D16" s="615">
        <f t="shared" si="2"/>
        <v>31.23</v>
      </c>
      <c r="E16" s="616">
        <f t="shared" si="3"/>
        <v>46577</v>
      </c>
      <c r="F16" s="629">
        <f>ROUND(G346*0.799268852/2,2)</f>
        <v>1454498.61</v>
      </c>
      <c r="G16" s="618"/>
      <c r="H16" s="618"/>
      <c r="I16" s="618"/>
      <c r="J16" s="618"/>
    </row>
    <row r="17" spans="2:11" x14ac:dyDescent="0.3">
      <c r="B17" s="604"/>
      <c r="C17" s="614" t="s">
        <v>72</v>
      </c>
      <c r="D17" s="615">
        <f t="shared" si="2"/>
        <v>31.23</v>
      </c>
      <c r="E17" s="616">
        <f t="shared" si="3"/>
        <v>46577</v>
      </c>
      <c r="F17" s="617">
        <f>ROUND(G346*0.799268852/2,2)</f>
        <v>1454498.61</v>
      </c>
      <c r="G17" s="618"/>
      <c r="H17" s="618"/>
      <c r="I17" s="618"/>
      <c r="J17" s="618"/>
    </row>
    <row r="18" spans="2:11" ht="15" thickBot="1" x14ac:dyDescent="0.35">
      <c r="B18" s="604"/>
      <c r="C18" s="619" t="s">
        <v>73</v>
      </c>
      <c r="D18" s="620">
        <f t="shared" si="2"/>
        <v>23.42</v>
      </c>
      <c r="E18" s="621">
        <f t="shared" si="3"/>
        <v>46577</v>
      </c>
      <c r="F18" s="622">
        <f>ROUND(G356*0.799268852/2,2)</f>
        <v>1090866.5</v>
      </c>
      <c r="G18" s="618"/>
      <c r="H18" s="618"/>
      <c r="I18" s="618"/>
      <c r="J18" s="618"/>
    </row>
    <row r="19" spans="2:11" ht="15.6" thickTop="1" thickBot="1" x14ac:dyDescent="0.35">
      <c r="B19" s="604"/>
      <c r="C19" s="623" t="s">
        <v>91</v>
      </c>
      <c r="D19" s="624">
        <f>SUM(D13:D18)</f>
        <v>4212.5299999999988</v>
      </c>
      <c r="E19" s="625">
        <f>E18</f>
        <v>46577</v>
      </c>
      <c r="F19" s="778">
        <f>SUM(F13:F18)</f>
        <v>196206480.92000002</v>
      </c>
      <c r="G19" s="618"/>
      <c r="H19" s="618"/>
      <c r="I19" s="618"/>
      <c r="J19" s="618"/>
    </row>
    <row r="20" spans="2:11" ht="15.6" thickTop="1" thickBot="1" x14ac:dyDescent="0.35">
      <c r="B20" s="604"/>
      <c r="C20" s="630" t="s">
        <v>90</v>
      </c>
      <c r="D20" s="631">
        <f>D19+D12</f>
        <v>8516.14</v>
      </c>
      <c r="E20" s="632"/>
      <c r="F20" s="779">
        <f>F12+F19</f>
        <v>203436540.20000002</v>
      </c>
      <c r="G20" s="604"/>
      <c r="H20" s="618"/>
      <c r="I20" s="618"/>
      <c r="J20" s="618"/>
    </row>
    <row r="21" spans="2:11" ht="15.6" thickTop="1" thickBot="1" x14ac:dyDescent="0.35">
      <c r="B21" s="604"/>
      <c r="C21" s="604"/>
      <c r="D21" s="604"/>
      <c r="E21" s="604"/>
      <c r="F21" s="606"/>
      <c r="G21" s="604"/>
      <c r="H21" s="618"/>
      <c r="I21" s="618"/>
      <c r="J21" s="618"/>
    </row>
    <row r="22" spans="2:11" ht="15" thickTop="1" x14ac:dyDescent="0.3">
      <c r="B22" s="604"/>
      <c r="C22" s="607" t="s">
        <v>535</v>
      </c>
      <c r="D22" s="608" t="s">
        <v>534</v>
      </c>
      <c r="E22" s="609" t="s">
        <v>11</v>
      </c>
      <c r="F22" s="610" t="s">
        <v>653</v>
      </c>
      <c r="G22" s="604"/>
      <c r="H22" s="618"/>
      <c r="I22" s="618"/>
      <c r="J22" s="618"/>
    </row>
    <row r="23" spans="2:11" x14ac:dyDescent="0.3">
      <c r="B23" s="604"/>
      <c r="C23" s="611"/>
      <c r="D23" s="612" t="s">
        <v>20</v>
      </c>
      <c r="E23" s="612" t="s">
        <v>536</v>
      </c>
      <c r="F23" s="613" t="s">
        <v>222</v>
      </c>
      <c r="G23" s="604"/>
      <c r="H23" s="618"/>
      <c r="I23" s="618"/>
      <c r="J23" s="618"/>
    </row>
    <row r="24" spans="2:11" x14ac:dyDescent="0.3">
      <c r="B24" s="604"/>
      <c r="C24" s="633" t="s">
        <v>70</v>
      </c>
      <c r="D24" s="634">
        <f t="shared" ref="D24:D30" si="4">ROUND(F24/E24,2)</f>
        <v>1739.95</v>
      </c>
      <c r="E24" s="635">
        <f>SUM('Base Física'!F21:AN21)</f>
        <v>10470</v>
      </c>
      <c r="F24" s="617">
        <f>G57-F5</f>
        <v>18217281.594300002</v>
      </c>
      <c r="G24" s="604"/>
      <c r="H24" s="618"/>
      <c r="I24" s="618"/>
      <c r="J24" s="618"/>
    </row>
    <row r="25" spans="2:11" x14ac:dyDescent="0.3">
      <c r="B25" s="604"/>
      <c r="C25" s="633" t="s">
        <v>65</v>
      </c>
      <c r="D25" s="634">
        <f t="shared" si="4"/>
        <v>1537.23</v>
      </c>
      <c r="E25" s="635">
        <f>E24</f>
        <v>10470</v>
      </c>
      <c r="F25" s="617">
        <f>G216-F6</f>
        <v>16094847.77</v>
      </c>
      <c r="G25" s="604"/>
      <c r="H25" s="618"/>
      <c r="I25" s="618"/>
      <c r="J25" s="618"/>
    </row>
    <row r="26" spans="2:11" x14ac:dyDescent="0.3">
      <c r="B26" s="604"/>
      <c r="C26" s="633" t="s">
        <v>66</v>
      </c>
      <c r="D26" s="634">
        <f t="shared" si="4"/>
        <v>724.2</v>
      </c>
      <c r="E26" s="635">
        <f>E25</f>
        <v>10470</v>
      </c>
      <c r="F26" s="617">
        <f>G241-F7</f>
        <v>7582322.5200000005</v>
      </c>
      <c r="G26" s="604"/>
      <c r="H26" s="618"/>
      <c r="I26" s="618"/>
      <c r="J26" s="618"/>
    </row>
    <row r="27" spans="2:11" x14ac:dyDescent="0.3">
      <c r="B27" s="604"/>
      <c r="C27" s="619" t="s">
        <v>161</v>
      </c>
      <c r="D27" s="634">
        <f t="shared" si="4"/>
        <v>662.77</v>
      </c>
      <c r="E27" s="635">
        <f>E25</f>
        <v>10470</v>
      </c>
      <c r="F27" s="617">
        <f>G291-F8</f>
        <v>6939167.5</v>
      </c>
      <c r="G27" s="604"/>
      <c r="H27" s="618"/>
      <c r="I27" s="618"/>
      <c r="J27" s="618"/>
    </row>
    <row r="28" spans="2:11" x14ac:dyDescent="0.3">
      <c r="B28" s="604"/>
      <c r="C28" s="614" t="s">
        <v>67</v>
      </c>
      <c r="D28" s="634">
        <f t="shared" si="4"/>
        <v>84.49</v>
      </c>
      <c r="E28" s="635">
        <f t="shared" ref="E28:E30" si="5">E27</f>
        <v>10470</v>
      </c>
      <c r="F28" s="617">
        <f>G297/2-F9</f>
        <v>884617.40500000003</v>
      </c>
      <c r="G28" s="604"/>
      <c r="H28" s="618"/>
      <c r="I28" s="618"/>
      <c r="J28" s="618"/>
    </row>
    <row r="29" spans="2:11" x14ac:dyDescent="0.3">
      <c r="B29" s="604"/>
      <c r="C29" s="614" t="s">
        <v>69</v>
      </c>
      <c r="D29" s="615">
        <f t="shared" si="4"/>
        <v>84.49</v>
      </c>
      <c r="E29" s="616">
        <f t="shared" si="5"/>
        <v>10470</v>
      </c>
      <c r="F29" s="617">
        <f>G297/2-F10</f>
        <v>884617.40500000003</v>
      </c>
      <c r="G29" s="604"/>
      <c r="H29" s="618"/>
      <c r="I29" s="618"/>
      <c r="J29" s="618"/>
      <c r="K29" s="71"/>
    </row>
    <row r="30" spans="2:11" ht="15" thickBot="1" x14ac:dyDescent="0.35">
      <c r="B30" s="604"/>
      <c r="C30" s="619" t="s">
        <v>68</v>
      </c>
      <c r="D30" s="620">
        <f t="shared" si="4"/>
        <v>126.68</v>
      </c>
      <c r="E30" s="621">
        <f t="shared" si="5"/>
        <v>10470</v>
      </c>
      <c r="F30" s="622">
        <f>G308-F11</f>
        <v>1326339.0661195549</v>
      </c>
      <c r="G30" s="604"/>
      <c r="H30" s="618"/>
      <c r="I30" s="618"/>
      <c r="J30" s="618"/>
    </row>
    <row r="31" spans="2:11" ht="15.6" thickTop="1" thickBot="1" x14ac:dyDescent="0.35">
      <c r="B31" s="604"/>
      <c r="C31" s="623" t="s">
        <v>92</v>
      </c>
      <c r="D31" s="636">
        <f>SUM(D24:D27)</f>
        <v>4664.1499999999996</v>
      </c>
      <c r="E31" s="625">
        <f>E27</f>
        <v>10470</v>
      </c>
      <c r="F31" s="780">
        <f>SUM(F24:F30)</f>
        <v>51929193.260419555</v>
      </c>
      <c r="G31" s="604"/>
      <c r="H31" s="618"/>
      <c r="I31" s="618"/>
      <c r="J31" s="618"/>
    </row>
    <row r="32" spans="2:11" ht="15" thickTop="1" x14ac:dyDescent="0.3">
      <c r="B32" s="604"/>
      <c r="C32" s="637" t="s">
        <v>0</v>
      </c>
      <c r="D32" s="634">
        <f>ROUND(F32/E32,2)</f>
        <v>2522.27</v>
      </c>
      <c r="E32" s="638">
        <f>SUM('Base Física'!F22:AN22)</f>
        <v>10470</v>
      </c>
      <c r="F32" s="629">
        <f>G320-F13</f>
        <v>26408123.260000005</v>
      </c>
      <c r="G32" s="604"/>
      <c r="H32" s="618"/>
      <c r="I32" s="618"/>
      <c r="J32" s="618"/>
    </row>
    <row r="33" spans="2:14" x14ac:dyDescent="0.3">
      <c r="B33" s="604"/>
      <c r="C33" s="633" t="s">
        <v>1</v>
      </c>
      <c r="D33" s="634">
        <f t="shared" ref="D33:D37" si="6">ROUND(F33/E33,2)</f>
        <v>1521.26</v>
      </c>
      <c r="E33" s="635">
        <f>E32</f>
        <v>10470</v>
      </c>
      <c r="F33" s="629">
        <f>G334-F14</f>
        <v>15927563.320000008</v>
      </c>
      <c r="G33" s="604"/>
      <c r="H33" s="618"/>
      <c r="I33" s="618"/>
      <c r="J33" s="618"/>
    </row>
    <row r="34" spans="2:14" x14ac:dyDescent="0.3">
      <c r="B34" s="604"/>
      <c r="C34" s="619" t="s">
        <v>162</v>
      </c>
      <c r="D34" s="634">
        <f t="shared" si="6"/>
        <v>566.92999999999995</v>
      </c>
      <c r="E34" s="635">
        <f>E33</f>
        <v>10470</v>
      </c>
      <c r="F34" s="629">
        <f>G342-F15</f>
        <v>5935749.0199999996</v>
      </c>
      <c r="G34" s="604"/>
      <c r="H34" s="618"/>
      <c r="I34" s="618"/>
      <c r="J34" s="618"/>
    </row>
    <row r="35" spans="2:14" x14ac:dyDescent="0.3">
      <c r="B35" s="604"/>
      <c r="C35" s="614" t="s">
        <v>71</v>
      </c>
      <c r="D35" s="634">
        <f t="shared" si="6"/>
        <v>34.89</v>
      </c>
      <c r="E35" s="616">
        <f t="shared" ref="E35:E37" si="7">E33</f>
        <v>10470</v>
      </c>
      <c r="F35" s="629">
        <f>G346/2-F16</f>
        <v>365287.81499999971</v>
      </c>
      <c r="G35" s="604"/>
      <c r="H35" s="618"/>
      <c r="I35" s="618"/>
      <c r="J35" s="618"/>
    </row>
    <row r="36" spans="2:14" x14ac:dyDescent="0.3">
      <c r="B36" s="604"/>
      <c r="C36" s="614" t="s">
        <v>72</v>
      </c>
      <c r="D36" s="634">
        <f t="shared" si="6"/>
        <v>34.89</v>
      </c>
      <c r="E36" s="616">
        <f t="shared" si="7"/>
        <v>10470</v>
      </c>
      <c r="F36" s="629">
        <f>G346/2-F17</f>
        <v>365287.81499999971</v>
      </c>
      <c r="G36" s="604"/>
      <c r="H36" s="618"/>
      <c r="I36" s="618"/>
      <c r="J36" s="618"/>
      <c r="K36" s="71"/>
    </row>
    <row r="37" spans="2:14" ht="15" thickBot="1" x14ac:dyDescent="0.35">
      <c r="B37" s="604"/>
      <c r="C37" s="619" t="s">
        <v>73</v>
      </c>
      <c r="D37" s="634">
        <f t="shared" si="6"/>
        <v>156.52000000000001</v>
      </c>
      <c r="E37" s="621">
        <f t="shared" si="7"/>
        <v>10470</v>
      </c>
      <c r="F37" s="622">
        <f>G356-F18</f>
        <v>1638794.4842874841</v>
      </c>
      <c r="G37" s="604"/>
      <c r="H37" s="618"/>
      <c r="I37" s="618"/>
      <c r="J37" s="618"/>
    </row>
    <row r="38" spans="2:14" ht="15.6" thickTop="1" thickBot="1" x14ac:dyDescent="0.35">
      <c r="B38" s="604"/>
      <c r="C38" s="623" t="s">
        <v>91</v>
      </c>
      <c r="D38" s="636">
        <f>SUM(D32:D34)</f>
        <v>4610.46</v>
      </c>
      <c r="E38" s="625">
        <f>E34</f>
        <v>10470</v>
      </c>
      <c r="F38" s="777">
        <f>SUM(F32:F37)</f>
        <v>50640805.71428749</v>
      </c>
      <c r="G38" s="639"/>
      <c r="H38" s="605"/>
      <c r="I38" s="605"/>
      <c r="J38" s="605"/>
    </row>
    <row r="39" spans="2:14" ht="15.6" thickTop="1" thickBot="1" x14ac:dyDescent="0.35">
      <c r="B39" s="604"/>
      <c r="C39" s="630" t="s">
        <v>90</v>
      </c>
      <c r="D39" s="631">
        <f>D38+D31</f>
        <v>9274.61</v>
      </c>
      <c r="E39" s="632"/>
      <c r="F39" s="781">
        <f>F31+F38</f>
        <v>102569998.97470704</v>
      </c>
      <c r="G39" s="604"/>
      <c r="H39" s="605"/>
      <c r="I39" s="605"/>
      <c r="J39" s="605"/>
    </row>
    <row r="40" spans="2:14" ht="15.75" customHeight="1" thickTop="1" thickBot="1" x14ac:dyDescent="0.35">
      <c r="B40" s="604"/>
      <c r="C40" s="604"/>
      <c r="D40" s="604"/>
      <c r="E40" s="604"/>
      <c r="F40" s="606"/>
      <c r="G40" s="604"/>
      <c r="H40" s="605"/>
      <c r="I40" s="605"/>
      <c r="J40" s="605"/>
      <c r="K40" s="71"/>
      <c r="L40" s="71"/>
      <c r="M40" s="71"/>
      <c r="N40" s="71"/>
    </row>
    <row r="41" spans="2:14" ht="15.75" customHeight="1" thickTop="1" thickBot="1" x14ac:dyDescent="0.35">
      <c r="B41" s="604"/>
      <c r="C41" s="607" t="str">
        <f>C3</f>
        <v>1. INVESTIMENTOS EM FUNÇÃO DA DEMANDA REPRIMIDA</v>
      </c>
      <c r="D41" s="608" t="s">
        <v>534</v>
      </c>
      <c r="E41" s="609" t="s">
        <v>11</v>
      </c>
      <c r="F41" s="610" t="s">
        <v>653</v>
      </c>
      <c r="G41" s="604"/>
      <c r="H41" s="605"/>
      <c r="I41" s="605"/>
      <c r="J41" s="605"/>
      <c r="K41" s="71"/>
      <c r="L41" s="71"/>
      <c r="M41" s="71"/>
      <c r="N41" s="71"/>
    </row>
    <row r="42" spans="2:14" ht="15.75" customHeight="1" thickTop="1" thickBot="1" x14ac:dyDescent="0.35">
      <c r="B42" s="604"/>
      <c r="C42" s="640" t="s">
        <v>92</v>
      </c>
      <c r="D42" s="624">
        <f>D12</f>
        <v>4303.6099999999997</v>
      </c>
      <c r="E42" s="625">
        <f>E12</f>
        <v>1680</v>
      </c>
      <c r="F42" s="777">
        <f>F12</f>
        <v>7230059.2799999993</v>
      </c>
      <c r="G42" s="604"/>
      <c r="H42" s="605"/>
      <c r="I42" s="605"/>
      <c r="J42" s="605"/>
      <c r="K42" s="71"/>
      <c r="L42" s="71"/>
      <c r="M42" s="71"/>
      <c r="N42" s="71"/>
    </row>
    <row r="43" spans="2:14" ht="15.75" customHeight="1" thickTop="1" thickBot="1" x14ac:dyDescent="0.35">
      <c r="B43" s="604"/>
      <c r="C43" s="640" t="s">
        <v>91</v>
      </c>
      <c r="D43" s="624">
        <f>D19</f>
        <v>4212.5299999999988</v>
      </c>
      <c r="E43" s="625">
        <f>E19</f>
        <v>46577</v>
      </c>
      <c r="F43" s="777">
        <f>F19</f>
        <v>196206480.92000002</v>
      </c>
      <c r="G43" s="604"/>
      <c r="H43" s="605"/>
      <c r="I43" s="605"/>
      <c r="J43" s="605"/>
      <c r="K43" s="71"/>
      <c r="L43" s="71"/>
      <c r="M43" s="71"/>
      <c r="N43" s="71"/>
    </row>
    <row r="44" spans="2:14" ht="15.75" customHeight="1" thickTop="1" thickBot="1" x14ac:dyDescent="0.35">
      <c r="B44" s="604"/>
      <c r="C44" s="630" t="s">
        <v>90</v>
      </c>
      <c r="D44" s="631">
        <f>D20</f>
        <v>8516.14</v>
      </c>
      <c r="E44" s="632"/>
      <c r="F44" s="781">
        <f>F42+F43</f>
        <v>203436540.20000002</v>
      </c>
      <c r="G44" s="604"/>
      <c r="H44" s="605"/>
      <c r="I44" s="605"/>
      <c r="J44" s="605"/>
      <c r="K44" s="71"/>
      <c r="L44" s="71"/>
      <c r="M44" s="71"/>
      <c r="N44" s="71"/>
    </row>
    <row r="45" spans="2:14" ht="15.75" customHeight="1" thickTop="1" thickBot="1" x14ac:dyDescent="0.35">
      <c r="B45" s="604"/>
      <c r="C45" s="607" t="str">
        <f>C22</f>
        <v>2. INVESTIMENTOS EM FUNÇÃO DO CRESCIMENTO VEGETATIVO</v>
      </c>
      <c r="D45" s="608" t="s">
        <v>534</v>
      </c>
      <c r="E45" s="609" t="s">
        <v>11</v>
      </c>
      <c r="F45" s="610" t="s">
        <v>653</v>
      </c>
      <c r="G45" s="604"/>
      <c r="H45" s="605"/>
      <c r="I45" s="605"/>
      <c r="J45" s="605"/>
      <c r="K45" s="71"/>
      <c r="L45" s="71"/>
      <c r="M45" s="71"/>
      <c r="N45" s="71"/>
    </row>
    <row r="46" spans="2:14" ht="15.75" customHeight="1" thickTop="1" thickBot="1" x14ac:dyDescent="0.35">
      <c r="B46" s="604"/>
      <c r="C46" s="640" t="s">
        <v>92</v>
      </c>
      <c r="D46" s="636">
        <f>D31</f>
        <v>4664.1499999999996</v>
      </c>
      <c r="E46" s="625">
        <f>E31</f>
        <v>10470</v>
      </c>
      <c r="F46" s="777">
        <f>F31</f>
        <v>51929193.260419555</v>
      </c>
      <c r="G46" s="604"/>
      <c r="H46" s="605"/>
      <c r="I46" s="605"/>
      <c r="J46" s="605"/>
      <c r="K46" s="71"/>
      <c r="L46" s="71"/>
      <c r="M46" s="71"/>
      <c r="N46" s="71"/>
    </row>
    <row r="47" spans="2:14" ht="15.75" customHeight="1" thickTop="1" thickBot="1" x14ac:dyDescent="0.35">
      <c r="B47" s="604"/>
      <c r="C47" s="640" t="s">
        <v>91</v>
      </c>
      <c r="D47" s="636">
        <f>D38</f>
        <v>4610.46</v>
      </c>
      <c r="E47" s="625">
        <f>E38</f>
        <v>10470</v>
      </c>
      <c r="F47" s="777">
        <f>F38</f>
        <v>50640805.71428749</v>
      </c>
      <c r="G47" s="604"/>
      <c r="H47" s="605"/>
      <c r="I47" s="605"/>
      <c r="J47" s="605"/>
      <c r="K47" s="71"/>
      <c r="L47" s="71"/>
      <c r="M47" s="71"/>
      <c r="N47" s="71"/>
    </row>
    <row r="48" spans="2:14" ht="15.75" customHeight="1" thickTop="1" thickBot="1" x14ac:dyDescent="0.35">
      <c r="B48" s="604"/>
      <c r="C48" s="630" t="s">
        <v>90</v>
      </c>
      <c r="D48" s="631">
        <f>D39</f>
        <v>9274.61</v>
      </c>
      <c r="E48" s="632"/>
      <c r="F48" s="781">
        <f>F46+F47</f>
        <v>102569998.97470704</v>
      </c>
      <c r="G48" s="604"/>
      <c r="H48" s="605"/>
      <c r="I48" s="605"/>
      <c r="J48" s="605"/>
      <c r="K48" s="71"/>
      <c r="L48" s="71"/>
      <c r="M48" s="71"/>
      <c r="N48" s="71"/>
    </row>
    <row r="49" spans="2:14" ht="15.75" customHeight="1" thickTop="1" x14ac:dyDescent="0.3">
      <c r="B49" s="604"/>
      <c r="C49" s="639"/>
      <c r="D49" s="639"/>
      <c r="E49" s="639"/>
      <c r="F49" s="606"/>
      <c r="G49" s="604"/>
      <c r="H49" s="605"/>
      <c r="I49" s="605"/>
      <c r="J49" s="605"/>
      <c r="K49" s="71"/>
      <c r="L49" s="71"/>
      <c r="M49" s="71"/>
      <c r="N49" s="71"/>
    </row>
    <row r="50" spans="2:14" ht="15.75" customHeight="1" thickBot="1" x14ac:dyDescent="0.35">
      <c r="B50" s="604"/>
      <c r="C50" s="1075" t="s">
        <v>667</v>
      </c>
      <c r="D50" s="1076"/>
      <c r="E50" s="1076"/>
      <c r="F50" s="1077"/>
      <c r="G50" s="641"/>
      <c r="H50" s="605"/>
      <c r="I50" s="605"/>
      <c r="J50" s="605"/>
      <c r="K50" s="71"/>
      <c r="L50" s="71"/>
      <c r="M50" s="71"/>
      <c r="N50" s="71"/>
    </row>
    <row r="51" spans="2:14" ht="15.75" customHeight="1" thickTop="1" x14ac:dyDescent="0.3">
      <c r="B51" s="604"/>
      <c r="C51" s="1070" t="s">
        <v>668</v>
      </c>
      <c r="D51" s="1071"/>
      <c r="E51" s="1071"/>
      <c r="F51" s="782">
        <f>F42+F46</f>
        <v>59159252.540419556</v>
      </c>
      <c r="G51" s="641"/>
      <c r="H51" s="642"/>
      <c r="I51" s="642"/>
      <c r="J51" s="642"/>
      <c r="K51" s="71"/>
      <c r="L51" s="71"/>
      <c r="M51" s="71"/>
      <c r="N51" s="71"/>
    </row>
    <row r="52" spans="2:14" x14ac:dyDescent="0.3">
      <c r="B52" s="604"/>
      <c r="C52" s="1068" t="s">
        <v>679</v>
      </c>
      <c r="D52" s="1069"/>
      <c r="E52" s="1069"/>
      <c r="F52" s="783">
        <f>F43+F47</f>
        <v>246847286.63428751</v>
      </c>
      <c r="G52" s="641"/>
      <c r="H52" s="642"/>
      <c r="I52" s="642"/>
      <c r="J52" s="642"/>
    </row>
    <row r="53" spans="2:14" ht="15" thickBot="1" x14ac:dyDescent="0.35">
      <c r="B53" s="604"/>
      <c r="C53" s="1078" t="s">
        <v>667</v>
      </c>
      <c r="D53" s="1079"/>
      <c r="E53" s="1079"/>
      <c r="F53" s="784">
        <f>F51+F52</f>
        <v>306006539.17470706</v>
      </c>
      <c r="G53" s="644"/>
      <c r="H53" s="642"/>
      <c r="I53" s="642"/>
      <c r="J53" s="642"/>
    </row>
    <row r="54" spans="2:14" ht="15" thickTop="1" x14ac:dyDescent="0.3">
      <c r="B54" s="604"/>
      <c r="C54" s="645"/>
      <c r="D54" s="604"/>
      <c r="E54" s="646"/>
      <c r="F54" s="647"/>
      <c r="G54" s="641"/>
      <c r="H54" s="605"/>
      <c r="I54" s="642"/>
      <c r="J54" s="642"/>
    </row>
    <row r="55" spans="2:14" x14ac:dyDescent="0.3">
      <c r="B55" s="704" t="s">
        <v>680</v>
      </c>
      <c r="C55" s="705"/>
      <c r="D55" s="705"/>
      <c r="E55" s="705"/>
      <c r="F55" s="706"/>
      <c r="G55" s="707">
        <f>G57+G216+G241+G291+G297+G308</f>
        <v>59159252.540419556</v>
      </c>
      <c r="H55" s="708"/>
      <c r="I55" s="642"/>
      <c r="J55" s="642"/>
    </row>
    <row r="56" spans="2:14" ht="15" thickBot="1" x14ac:dyDescent="0.35">
      <c r="B56" s="604"/>
      <c r="C56" s="645"/>
      <c r="D56" s="604"/>
      <c r="E56" s="646"/>
      <c r="F56" s="606"/>
      <c r="G56" s="647"/>
      <c r="H56" s="648"/>
      <c r="I56" s="642"/>
      <c r="J56" s="642"/>
    </row>
    <row r="57" spans="2:14" ht="15.6" thickTop="1" thickBot="1" x14ac:dyDescent="0.35">
      <c r="B57" s="649" t="s">
        <v>861</v>
      </c>
      <c r="C57" s="650"/>
      <c r="D57" s="651"/>
      <c r="E57" s="652"/>
      <c r="F57" s="653"/>
      <c r="G57" s="654">
        <f>G59+G107+G129+G165+G170+G190+G205</f>
        <v>20738316.9943</v>
      </c>
      <c r="H57" s="655"/>
      <c r="I57" s="642"/>
      <c r="J57" s="642"/>
    </row>
    <row r="58" spans="2:14" ht="15" thickTop="1" x14ac:dyDescent="0.3">
      <c r="B58" s="656"/>
      <c r="C58" s="645"/>
      <c r="D58" s="604"/>
      <c r="E58" s="646"/>
      <c r="F58" s="606"/>
      <c r="G58" s="641"/>
      <c r="H58" s="648"/>
      <c r="I58" s="642"/>
      <c r="J58" s="833" t="s">
        <v>932</v>
      </c>
      <c r="K58" s="834">
        <v>1.0973999999999999</v>
      </c>
    </row>
    <row r="59" spans="2:14" ht="15" customHeight="1" x14ac:dyDescent="0.3">
      <c r="B59" s="719" t="s">
        <v>681</v>
      </c>
      <c r="C59" s="719"/>
      <c r="D59" s="719"/>
      <c r="E59" s="812"/>
      <c r="F59" s="812"/>
      <c r="G59" s="657">
        <f>G61+G67+G72+G74+G77+G82+G84+G86+G90+G93+G95+G100</f>
        <v>437147.06230000005</v>
      </c>
      <c r="H59" s="658"/>
      <c r="I59" s="642"/>
      <c r="J59" s="642"/>
    </row>
    <row r="60" spans="2:14" x14ac:dyDescent="0.3">
      <c r="B60" s="701" t="s">
        <v>682</v>
      </c>
      <c r="C60" s="643" t="s">
        <v>683</v>
      </c>
      <c r="D60" s="660" t="s">
        <v>216</v>
      </c>
      <c r="E60" s="660" t="s">
        <v>684</v>
      </c>
      <c r="F60" s="661" t="s">
        <v>685</v>
      </c>
      <c r="G60" s="662" t="s">
        <v>686</v>
      </c>
      <c r="H60" s="660" t="s">
        <v>687</v>
      </c>
      <c r="I60" s="642"/>
      <c r="J60" s="830" t="s">
        <v>930</v>
      </c>
      <c r="K60" s="831" t="s">
        <v>931</v>
      </c>
    </row>
    <row r="61" spans="2:14" x14ac:dyDescent="0.3">
      <c r="B61" s="701"/>
      <c r="C61" s="663" t="s">
        <v>688</v>
      </c>
      <c r="D61" s="660"/>
      <c r="E61" s="663"/>
      <c r="F61" s="664"/>
      <c r="G61" s="665">
        <f>SUM(G62:G66)</f>
        <v>6362.18</v>
      </c>
      <c r="H61" s="662"/>
      <c r="I61" s="642"/>
      <c r="J61" s="642"/>
    </row>
    <row r="62" spans="2:14" x14ac:dyDescent="0.3">
      <c r="B62" s="702">
        <v>10102</v>
      </c>
      <c r="C62" s="667" t="s">
        <v>689</v>
      </c>
      <c r="D62" s="668" t="s">
        <v>398</v>
      </c>
      <c r="E62" s="776">
        <f>K62</f>
        <v>461.7</v>
      </c>
      <c r="F62" s="774">
        <v>3</v>
      </c>
      <c r="G62" s="669">
        <f>E62*F62</f>
        <v>1385.1</v>
      </c>
      <c r="H62" s="670" t="s">
        <v>690</v>
      </c>
      <c r="I62" s="642"/>
      <c r="J62" s="776">
        <v>420.73</v>
      </c>
      <c r="K62" s="829">
        <f>TRUNC(J62*$K$58,2)</f>
        <v>461.7</v>
      </c>
    </row>
    <row r="63" spans="2:14" x14ac:dyDescent="0.3">
      <c r="B63" s="702">
        <v>10103</v>
      </c>
      <c r="C63" s="667" t="s">
        <v>691</v>
      </c>
      <c r="D63" s="668" t="s">
        <v>398</v>
      </c>
      <c r="E63" s="776">
        <f t="shared" ref="E63:E105" si="8">K63</f>
        <v>353.54</v>
      </c>
      <c r="F63" s="774">
        <v>5</v>
      </c>
      <c r="G63" s="669">
        <f>E63*F63</f>
        <v>1767.7</v>
      </c>
      <c r="H63" s="670" t="s">
        <v>690</v>
      </c>
      <c r="I63" s="642"/>
      <c r="J63" s="776">
        <v>322.17</v>
      </c>
      <c r="K63" s="829">
        <f t="shared" ref="K63:K105" si="9">TRUNC(J63*$K$58,2)</f>
        <v>353.54</v>
      </c>
    </row>
    <row r="64" spans="2:14" x14ac:dyDescent="0.3">
      <c r="B64" s="702">
        <v>10104</v>
      </c>
      <c r="C64" s="667" t="s">
        <v>692</v>
      </c>
      <c r="D64" s="668" t="s">
        <v>398</v>
      </c>
      <c r="E64" s="776">
        <f t="shared" si="8"/>
        <v>658.52</v>
      </c>
      <c r="F64" s="774">
        <v>2</v>
      </c>
      <c r="G64" s="669">
        <f t="shared" ref="G64:G71" si="10">E64*F64</f>
        <v>1317.04</v>
      </c>
      <c r="H64" s="670" t="s">
        <v>690</v>
      </c>
      <c r="I64" s="642"/>
      <c r="J64" s="776">
        <v>600.08000000000004</v>
      </c>
      <c r="K64" s="829">
        <f t="shared" si="9"/>
        <v>658.52</v>
      </c>
    </row>
    <row r="65" spans="2:11" x14ac:dyDescent="0.3">
      <c r="B65" s="702">
        <v>10105</v>
      </c>
      <c r="C65" s="667" t="s">
        <v>693</v>
      </c>
      <c r="D65" s="668" t="s">
        <v>398</v>
      </c>
      <c r="E65" s="776">
        <f t="shared" si="8"/>
        <v>578.85</v>
      </c>
      <c r="F65" s="774">
        <v>2</v>
      </c>
      <c r="G65" s="669">
        <f t="shared" si="10"/>
        <v>1157.7</v>
      </c>
      <c r="H65" s="670" t="s">
        <v>690</v>
      </c>
      <c r="I65" s="642"/>
      <c r="J65" s="776">
        <v>527.48</v>
      </c>
      <c r="K65" s="829">
        <f t="shared" si="9"/>
        <v>578.85</v>
      </c>
    </row>
    <row r="66" spans="2:11" x14ac:dyDescent="0.3">
      <c r="B66" s="702">
        <v>10201</v>
      </c>
      <c r="C66" s="667" t="s">
        <v>694</v>
      </c>
      <c r="D66" s="668" t="s">
        <v>398</v>
      </c>
      <c r="E66" s="776">
        <f t="shared" si="8"/>
        <v>367.32</v>
      </c>
      <c r="F66" s="774">
        <v>2</v>
      </c>
      <c r="G66" s="669">
        <f t="shared" si="10"/>
        <v>734.64</v>
      </c>
      <c r="H66" s="670" t="s">
        <v>690</v>
      </c>
      <c r="I66" s="642"/>
      <c r="J66" s="776">
        <v>334.72</v>
      </c>
      <c r="K66" s="829">
        <f t="shared" si="9"/>
        <v>367.32</v>
      </c>
    </row>
    <row r="67" spans="2:11" x14ac:dyDescent="0.3">
      <c r="B67" s="701"/>
      <c r="C67" s="663" t="s">
        <v>695</v>
      </c>
      <c r="D67" s="660"/>
      <c r="E67" s="686"/>
      <c r="F67" s="661"/>
      <c r="G67" s="665">
        <f>SUM(G68:G71)</f>
        <v>8139.3971000000001</v>
      </c>
      <c r="H67" s="643"/>
      <c r="I67" s="642"/>
      <c r="J67" s="686"/>
      <c r="K67" s="686"/>
    </row>
    <row r="68" spans="2:11" x14ac:dyDescent="0.3">
      <c r="B68" s="702">
        <v>300101</v>
      </c>
      <c r="C68" s="667" t="s">
        <v>696</v>
      </c>
      <c r="D68" s="668" t="s">
        <v>398</v>
      </c>
      <c r="E68" s="776">
        <f t="shared" si="8"/>
        <v>1.54</v>
      </c>
      <c r="F68" s="774">
        <v>1857.09</v>
      </c>
      <c r="G68" s="669">
        <f t="shared" si="10"/>
        <v>2859.9186</v>
      </c>
      <c r="H68" s="670" t="s">
        <v>690</v>
      </c>
      <c r="I68" s="642"/>
      <c r="J68" s="776">
        <v>1.41</v>
      </c>
      <c r="K68" s="829">
        <f t="shared" si="9"/>
        <v>1.54</v>
      </c>
    </row>
    <row r="69" spans="2:11" x14ac:dyDescent="0.3">
      <c r="B69" s="702">
        <v>300103</v>
      </c>
      <c r="C69" s="667" t="s">
        <v>697</v>
      </c>
      <c r="D69" s="668" t="s">
        <v>398</v>
      </c>
      <c r="E69" s="776">
        <f t="shared" si="8"/>
        <v>0.47</v>
      </c>
      <c r="F69" s="774">
        <v>1640</v>
      </c>
      <c r="G69" s="669">
        <f t="shared" si="10"/>
        <v>770.8</v>
      </c>
      <c r="H69" s="670" t="s">
        <v>690</v>
      </c>
      <c r="I69" s="642"/>
      <c r="J69" s="776">
        <v>0.43</v>
      </c>
      <c r="K69" s="829">
        <f t="shared" si="9"/>
        <v>0.47</v>
      </c>
    </row>
    <row r="70" spans="2:11" x14ac:dyDescent="0.3">
      <c r="B70" s="702">
        <v>30702</v>
      </c>
      <c r="C70" s="667" t="s">
        <v>698</v>
      </c>
      <c r="D70" s="668" t="s">
        <v>398</v>
      </c>
      <c r="E70" s="776">
        <f t="shared" si="8"/>
        <v>8.0500000000000007</v>
      </c>
      <c r="F70" s="774">
        <v>286.14999999999998</v>
      </c>
      <c r="G70" s="669">
        <f t="shared" si="10"/>
        <v>2303.5075000000002</v>
      </c>
      <c r="H70" s="670" t="s">
        <v>690</v>
      </c>
      <c r="I70" s="642"/>
      <c r="J70" s="776">
        <v>7.34</v>
      </c>
      <c r="K70" s="829">
        <f t="shared" si="9"/>
        <v>8.0500000000000007</v>
      </c>
    </row>
    <row r="71" spans="2:11" x14ac:dyDescent="0.3">
      <c r="B71" s="702">
        <v>30703</v>
      </c>
      <c r="C71" s="667" t="s">
        <v>699</v>
      </c>
      <c r="D71" s="668" t="s">
        <v>398</v>
      </c>
      <c r="E71" s="776">
        <f t="shared" si="8"/>
        <v>14.31</v>
      </c>
      <c r="F71" s="774">
        <v>154.1</v>
      </c>
      <c r="G71" s="669">
        <f t="shared" si="10"/>
        <v>2205.1709999999998</v>
      </c>
      <c r="H71" s="670" t="s">
        <v>690</v>
      </c>
      <c r="I71" s="642"/>
      <c r="J71" s="776">
        <v>13.04</v>
      </c>
      <c r="K71" s="829">
        <f t="shared" si="9"/>
        <v>14.31</v>
      </c>
    </row>
    <row r="72" spans="2:11" x14ac:dyDescent="0.3">
      <c r="B72" s="703"/>
      <c r="C72" s="663" t="s">
        <v>700</v>
      </c>
      <c r="D72" s="660"/>
      <c r="E72" s="686"/>
      <c r="F72" s="661"/>
      <c r="G72" s="665">
        <f>SUM(G73)</f>
        <v>4232.16</v>
      </c>
      <c r="H72" s="643"/>
      <c r="I72" s="642"/>
      <c r="J72" s="686"/>
      <c r="K72" s="686"/>
    </row>
    <row r="73" spans="2:11" x14ac:dyDescent="0.3">
      <c r="B73" s="702">
        <v>81801</v>
      </c>
      <c r="C73" s="667" t="s">
        <v>701</v>
      </c>
      <c r="D73" s="668" t="s">
        <v>216</v>
      </c>
      <c r="E73" s="776">
        <f t="shared" si="8"/>
        <v>705.36</v>
      </c>
      <c r="F73" s="774">
        <v>6</v>
      </c>
      <c r="G73" s="669">
        <f t="shared" ref="G73" si="11">E73*F73</f>
        <v>4232.16</v>
      </c>
      <c r="H73" s="670" t="s">
        <v>690</v>
      </c>
      <c r="I73" s="642"/>
      <c r="J73" s="776">
        <v>642.76</v>
      </c>
      <c r="K73" s="829">
        <f t="shared" si="9"/>
        <v>705.36</v>
      </c>
    </row>
    <row r="74" spans="2:11" x14ac:dyDescent="0.3">
      <c r="B74" s="703"/>
      <c r="C74" s="663" t="s">
        <v>703</v>
      </c>
      <c r="D74" s="660"/>
      <c r="E74" s="686"/>
      <c r="F74" s="661"/>
      <c r="G74" s="665">
        <f>SUM(G75:G76)</f>
        <v>247122.72</v>
      </c>
      <c r="H74" s="662"/>
      <c r="I74" s="642"/>
      <c r="J74" s="686"/>
      <c r="K74" s="686"/>
    </row>
    <row r="75" spans="2:11" x14ac:dyDescent="0.3">
      <c r="B75" s="702">
        <v>100401</v>
      </c>
      <c r="C75" s="667" t="s">
        <v>704</v>
      </c>
      <c r="D75" s="668" t="s">
        <v>398</v>
      </c>
      <c r="E75" s="776">
        <f t="shared" si="8"/>
        <v>0.09</v>
      </c>
      <c r="F75" s="774">
        <v>2064</v>
      </c>
      <c r="G75" s="669">
        <f t="shared" ref="G75:G76" si="12">E75*F75</f>
        <v>185.76</v>
      </c>
      <c r="H75" s="670" t="s">
        <v>690</v>
      </c>
      <c r="I75" s="642"/>
      <c r="J75" s="776">
        <v>0.09</v>
      </c>
      <c r="K75" s="829">
        <f t="shared" si="9"/>
        <v>0.09</v>
      </c>
    </row>
    <row r="76" spans="2:11" x14ac:dyDescent="0.3">
      <c r="B76" s="702">
        <v>100403</v>
      </c>
      <c r="C76" s="666" t="s">
        <v>705</v>
      </c>
      <c r="D76" s="668" t="s">
        <v>398</v>
      </c>
      <c r="E76" s="776">
        <f t="shared" si="8"/>
        <v>119.64</v>
      </c>
      <c r="F76" s="774">
        <v>2064</v>
      </c>
      <c r="G76" s="669">
        <f t="shared" si="12"/>
        <v>246936.95999999999</v>
      </c>
      <c r="H76" s="670" t="s">
        <v>690</v>
      </c>
      <c r="I76" s="642"/>
      <c r="J76" s="776">
        <v>109.03</v>
      </c>
      <c r="K76" s="829">
        <f t="shared" si="9"/>
        <v>119.64</v>
      </c>
    </row>
    <row r="77" spans="2:11" x14ac:dyDescent="0.3">
      <c r="B77" s="701"/>
      <c r="C77" s="663" t="s">
        <v>706</v>
      </c>
      <c r="D77" s="660"/>
      <c r="E77" s="686"/>
      <c r="F77" s="661"/>
      <c r="G77" s="665">
        <f>SUM(G78:G81)</f>
        <v>14418.067999999999</v>
      </c>
      <c r="H77" s="662"/>
      <c r="I77" s="642"/>
      <c r="J77" s="686"/>
      <c r="K77" s="686"/>
    </row>
    <row r="78" spans="2:11" x14ac:dyDescent="0.3">
      <c r="B78" s="702">
        <v>120501</v>
      </c>
      <c r="C78" s="666" t="s">
        <v>707</v>
      </c>
      <c r="D78" s="668" t="s">
        <v>548</v>
      </c>
      <c r="E78" s="776">
        <f t="shared" si="8"/>
        <v>139.80000000000001</v>
      </c>
      <c r="F78" s="774">
        <v>26.6</v>
      </c>
      <c r="G78" s="669">
        <f t="shared" ref="G78:G81" si="13">E78*F78</f>
        <v>3718.6800000000003</v>
      </c>
      <c r="H78" s="670" t="s">
        <v>690</v>
      </c>
      <c r="I78" s="642"/>
      <c r="J78" s="776">
        <v>127.4</v>
      </c>
      <c r="K78" s="829">
        <f t="shared" si="9"/>
        <v>139.80000000000001</v>
      </c>
    </row>
    <row r="79" spans="2:11" x14ac:dyDescent="0.3">
      <c r="B79" s="702">
        <v>120502</v>
      </c>
      <c r="C79" s="666" t="s">
        <v>708</v>
      </c>
      <c r="D79" s="668" t="s">
        <v>548</v>
      </c>
      <c r="E79" s="776">
        <f t="shared" si="8"/>
        <v>48.94</v>
      </c>
      <c r="F79" s="774">
        <v>25.4</v>
      </c>
      <c r="G79" s="669">
        <f t="shared" si="13"/>
        <v>1243.0759999999998</v>
      </c>
      <c r="H79" s="670" t="s">
        <v>690</v>
      </c>
      <c r="I79" s="642"/>
      <c r="J79" s="776">
        <v>44.6</v>
      </c>
      <c r="K79" s="829">
        <f t="shared" si="9"/>
        <v>48.94</v>
      </c>
    </row>
    <row r="80" spans="2:11" x14ac:dyDescent="0.3">
      <c r="B80" s="702">
        <v>120503</v>
      </c>
      <c r="C80" s="666" t="s">
        <v>709</v>
      </c>
      <c r="D80" s="668" t="s">
        <v>398</v>
      </c>
      <c r="E80" s="776">
        <f t="shared" si="8"/>
        <v>299.02999999999997</v>
      </c>
      <c r="F80" s="774">
        <v>26.4</v>
      </c>
      <c r="G80" s="669">
        <f t="shared" si="13"/>
        <v>7894.3919999999989</v>
      </c>
      <c r="H80" s="670" t="s">
        <v>690</v>
      </c>
      <c r="I80" s="642"/>
      <c r="J80" s="776">
        <v>272.49</v>
      </c>
      <c r="K80" s="829">
        <f t="shared" si="9"/>
        <v>299.02999999999997</v>
      </c>
    </row>
    <row r="81" spans="2:11" x14ac:dyDescent="0.3">
      <c r="B81" s="702">
        <v>120504</v>
      </c>
      <c r="C81" s="666" t="s">
        <v>710</v>
      </c>
      <c r="D81" s="668" t="s">
        <v>126</v>
      </c>
      <c r="E81" s="776">
        <f t="shared" si="8"/>
        <v>260.32</v>
      </c>
      <c r="F81" s="774">
        <v>6</v>
      </c>
      <c r="G81" s="669">
        <f t="shared" si="13"/>
        <v>1561.92</v>
      </c>
      <c r="H81" s="670" t="s">
        <v>690</v>
      </c>
      <c r="I81" s="642"/>
      <c r="J81" s="776">
        <v>237.22</v>
      </c>
      <c r="K81" s="829">
        <f t="shared" si="9"/>
        <v>260.32</v>
      </c>
    </row>
    <row r="82" spans="2:11" x14ac:dyDescent="0.3">
      <c r="B82" s="703"/>
      <c r="C82" s="663" t="s">
        <v>711</v>
      </c>
      <c r="D82" s="660"/>
      <c r="E82" s="686"/>
      <c r="F82" s="661"/>
      <c r="G82" s="665">
        <f>G83</f>
        <v>460.78199999999993</v>
      </c>
      <c r="H82" s="662"/>
      <c r="I82" s="642"/>
      <c r="J82" s="686"/>
      <c r="K82" s="686"/>
    </row>
    <row r="83" spans="2:11" x14ac:dyDescent="0.3">
      <c r="B83" s="702">
        <v>130101</v>
      </c>
      <c r="C83" s="666" t="s">
        <v>712</v>
      </c>
      <c r="D83" s="668" t="s">
        <v>398</v>
      </c>
      <c r="E83" s="776">
        <f t="shared" si="8"/>
        <v>24.38</v>
      </c>
      <c r="F83" s="774">
        <v>18.899999999999999</v>
      </c>
      <c r="G83" s="669">
        <f t="shared" ref="G83" si="14">E83*F83</f>
        <v>460.78199999999993</v>
      </c>
      <c r="H83" s="670" t="s">
        <v>690</v>
      </c>
      <c r="I83" s="642"/>
      <c r="J83" s="776">
        <v>22.22</v>
      </c>
      <c r="K83" s="829">
        <f t="shared" si="9"/>
        <v>24.38</v>
      </c>
    </row>
    <row r="84" spans="2:11" x14ac:dyDescent="0.3">
      <c r="B84" s="703"/>
      <c r="C84" s="663" t="s">
        <v>713</v>
      </c>
      <c r="D84" s="660"/>
      <c r="E84" s="686"/>
      <c r="F84" s="661"/>
      <c r="G84" s="665">
        <f>G85</f>
        <v>3839.15</v>
      </c>
      <c r="H84" s="662"/>
      <c r="I84" s="642"/>
      <c r="J84" s="686"/>
      <c r="K84" s="686"/>
    </row>
    <row r="85" spans="2:11" x14ac:dyDescent="0.3">
      <c r="B85" s="702">
        <v>130201</v>
      </c>
      <c r="C85" s="666" t="s">
        <v>714</v>
      </c>
      <c r="D85" s="668" t="s">
        <v>398</v>
      </c>
      <c r="E85" s="776">
        <f t="shared" si="8"/>
        <v>31.34</v>
      </c>
      <c r="F85" s="774">
        <v>122.5</v>
      </c>
      <c r="G85" s="669">
        <f t="shared" ref="G85" si="15">E85*F85</f>
        <v>3839.15</v>
      </c>
      <c r="H85" s="670" t="s">
        <v>690</v>
      </c>
      <c r="I85" s="642"/>
      <c r="J85" s="776">
        <v>28.56</v>
      </c>
      <c r="K85" s="829">
        <f t="shared" si="9"/>
        <v>31.34</v>
      </c>
    </row>
    <row r="86" spans="2:11" x14ac:dyDescent="0.3">
      <c r="B86" s="703"/>
      <c r="C86" s="663" t="s">
        <v>715</v>
      </c>
      <c r="D86" s="660"/>
      <c r="E86" s="686"/>
      <c r="F86" s="661"/>
      <c r="G86" s="665">
        <f>SUM(G87:G89)</f>
        <v>20471.000199999999</v>
      </c>
      <c r="H86" s="662"/>
      <c r="I86" s="642"/>
      <c r="J86" s="686"/>
      <c r="K86" s="686"/>
    </row>
    <row r="87" spans="2:11" x14ac:dyDescent="0.3">
      <c r="B87" s="702">
        <v>130305</v>
      </c>
      <c r="C87" s="666" t="s">
        <v>716</v>
      </c>
      <c r="D87" s="668" t="s">
        <v>398</v>
      </c>
      <c r="E87" s="776">
        <f t="shared" si="8"/>
        <v>17.54</v>
      </c>
      <c r="F87" s="774">
        <v>264.13</v>
      </c>
      <c r="G87" s="669">
        <f t="shared" ref="G87:G89" si="16">E87*F87</f>
        <v>4632.8401999999996</v>
      </c>
      <c r="H87" s="670" t="s">
        <v>690</v>
      </c>
      <c r="I87" s="642"/>
      <c r="J87" s="776">
        <v>15.99</v>
      </c>
      <c r="K87" s="829">
        <f t="shared" si="9"/>
        <v>17.54</v>
      </c>
    </row>
    <row r="88" spans="2:11" x14ac:dyDescent="0.3">
      <c r="B88" s="702">
        <v>130313</v>
      </c>
      <c r="C88" s="666" t="s">
        <v>717</v>
      </c>
      <c r="D88" s="668" t="s">
        <v>398</v>
      </c>
      <c r="E88" s="776">
        <f t="shared" si="8"/>
        <v>40.4</v>
      </c>
      <c r="F88" s="774">
        <v>322.5</v>
      </c>
      <c r="G88" s="669">
        <f t="shared" si="16"/>
        <v>13029</v>
      </c>
      <c r="H88" s="670" t="s">
        <v>690</v>
      </c>
      <c r="I88" s="642"/>
      <c r="J88" s="776">
        <v>36.82</v>
      </c>
      <c r="K88" s="829">
        <f t="shared" si="9"/>
        <v>40.4</v>
      </c>
    </row>
    <row r="89" spans="2:11" x14ac:dyDescent="0.3">
      <c r="B89" s="702">
        <v>130318</v>
      </c>
      <c r="C89" s="666" t="s">
        <v>718</v>
      </c>
      <c r="D89" s="668" t="s">
        <v>702</v>
      </c>
      <c r="E89" s="776">
        <f t="shared" si="8"/>
        <v>702.29</v>
      </c>
      <c r="F89" s="774">
        <v>4</v>
      </c>
      <c r="G89" s="669">
        <f t="shared" si="16"/>
        <v>2809.16</v>
      </c>
      <c r="H89" s="670" t="s">
        <v>690</v>
      </c>
      <c r="I89" s="642"/>
      <c r="J89" s="776">
        <v>639.96</v>
      </c>
      <c r="K89" s="829">
        <f t="shared" si="9"/>
        <v>702.29</v>
      </c>
    </row>
    <row r="90" spans="2:11" x14ac:dyDescent="0.3">
      <c r="B90" s="703"/>
      <c r="C90" s="663" t="s">
        <v>719</v>
      </c>
      <c r="D90" s="660"/>
      <c r="E90" s="686"/>
      <c r="F90" s="661"/>
      <c r="G90" s="665">
        <f>SUM(G91:G92)</f>
        <v>22234.608</v>
      </c>
      <c r="H90" s="662"/>
      <c r="I90" s="642"/>
      <c r="J90" s="686"/>
      <c r="K90" s="686"/>
    </row>
    <row r="91" spans="2:11" x14ac:dyDescent="0.3">
      <c r="B91" s="702">
        <v>140714</v>
      </c>
      <c r="C91" s="666" t="s">
        <v>720</v>
      </c>
      <c r="D91" s="668" t="s">
        <v>126</v>
      </c>
      <c r="E91" s="776">
        <f t="shared" si="8"/>
        <v>4.92</v>
      </c>
      <c r="F91" s="774">
        <v>312.39999999999998</v>
      </c>
      <c r="G91" s="669">
        <f t="shared" ref="G91:G92" si="17">E91*F91</f>
        <v>1537.0079999999998</v>
      </c>
      <c r="H91" s="670" t="s">
        <v>690</v>
      </c>
      <c r="I91" s="642"/>
      <c r="J91" s="776">
        <v>4.49</v>
      </c>
      <c r="K91" s="829">
        <f t="shared" si="9"/>
        <v>4.92</v>
      </c>
    </row>
    <row r="92" spans="2:11" x14ac:dyDescent="0.3">
      <c r="B92" s="702">
        <v>140723</v>
      </c>
      <c r="C92" s="666" t="s">
        <v>721</v>
      </c>
      <c r="D92" s="668" t="s">
        <v>126</v>
      </c>
      <c r="E92" s="776">
        <f t="shared" si="8"/>
        <v>98.56</v>
      </c>
      <c r="F92" s="774">
        <v>210</v>
      </c>
      <c r="G92" s="669">
        <f t="shared" si="17"/>
        <v>20697.600000000002</v>
      </c>
      <c r="H92" s="670" t="s">
        <v>690</v>
      </c>
      <c r="I92" s="642"/>
      <c r="J92" s="776">
        <v>89.82</v>
      </c>
      <c r="K92" s="829">
        <f t="shared" si="9"/>
        <v>98.56</v>
      </c>
    </row>
    <row r="93" spans="2:11" x14ac:dyDescent="0.3">
      <c r="B93" s="703"/>
      <c r="C93" s="663" t="s">
        <v>722</v>
      </c>
      <c r="D93" s="660"/>
      <c r="E93" s="686"/>
      <c r="F93" s="661"/>
      <c r="G93" s="665">
        <f>G94</f>
        <v>7407.45</v>
      </c>
      <c r="H93" s="662"/>
      <c r="I93" s="642"/>
      <c r="J93" s="686"/>
      <c r="K93" s="686"/>
    </row>
    <row r="94" spans="2:11" ht="24.6" x14ac:dyDescent="0.3">
      <c r="B94" s="702">
        <v>150104</v>
      </c>
      <c r="C94" s="666" t="s">
        <v>723</v>
      </c>
      <c r="D94" s="668" t="s">
        <v>702</v>
      </c>
      <c r="E94" s="776">
        <f t="shared" si="8"/>
        <v>7407.45</v>
      </c>
      <c r="F94" s="774">
        <v>1</v>
      </c>
      <c r="G94" s="669">
        <f t="shared" ref="G94" si="18">E94*F94</f>
        <v>7407.45</v>
      </c>
      <c r="H94" s="670" t="s">
        <v>690</v>
      </c>
      <c r="I94" s="642"/>
      <c r="J94" s="776">
        <v>6750</v>
      </c>
      <c r="K94" s="829">
        <f t="shared" si="9"/>
        <v>7407.45</v>
      </c>
    </row>
    <row r="95" spans="2:11" x14ac:dyDescent="0.3">
      <c r="B95" s="703"/>
      <c r="C95" s="663" t="s">
        <v>724</v>
      </c>
      <c r="D95" s="660"/>
      <c r="E95" s="686"/>
      <c r="F95" s="661"/>
      <c r="G95" s="665">
        <f>SUM(G96:G99)</f>
        <v>98944.226999999999</v>
      </c>
      <c r="H95" s="662"/>
      <c r="I95" s="642"/>
      <c r="J95" s="686"/>
      <c r="K95" s="686"/>
    </row>
    <row r="96" spans="2:11" x14ac:dyDescent="0.3">
      <c r="B96" s="702">
        <v>160101</v>
      </c>
      <c r="C96" s="666" t="s">
        <v>725</v>
      </c>
      <c r="D96" s="668" t="s">
        <v>398</v>
      </c>
      <c r="E96" s="776">
        <f t="shared" si="8"/>
        <v>1133.8399999999999</v>
      </c>
      <c r="F96" s="774">
        <v>2.1</v>
      </c>
      <c r="G96" s="669">
        <f t="shared" ref="G96:G99" si="19">E96*F96</f>
        <v>2381.0639999999999</v>
      </c>
      <c r="H96" s="670" t="s">
        <v>690</v>
      </c>
      <c r="I96" s="642"/>
      <c r="J96" s="776">
        <v>1033.21</v>
      </c>
      <c r="K96" s="829">
        <f t="shared" si="9"/>
        <v>1133.8399999999999</v>
      </c>
    </row>
    <row r="97" spans="2:11" x14ac:dyDescent="0.3">
      <c r="B97" s="702">
        <v>160102</v>
      </c>
      <c r="C97" s="666" t="s">
        <v>726</v>
      </c>
      <c r="D97" s="668" t="s">
        <v>398</v>
      </c>
      <c r="E97" s="776">
        <f t="shared" si="8"/>
        <v>833.01</v>
      </c>
      <c r="F97" s="774">
        <v>12</v>
      </c>
      <c r="G97" s="669">
        <f t="shared" si="19"/>
        <v>9996.119999999999</v>
      </c>
      <c r="H97" s="670" t="s">
        <v>690</v>
      </c>
      <c r="I97" s="642"/>
      <c r="J97" s="776">
        <v>759.08</v>
      </c>
      <c r="K97" s="829">
        <f t="shared" si="9"/>
        <v>833.01</v>
      </c>
    </row>
    <row r="98" spans="2:11" x14ac:dyDescent="0.3">
      <c r="B98" s="702">
        <v>160301</v>
      </c>
      <c r="C98" s="666" t="s">
        <v>727</v>
      </c>
      <c r="D98" s="668" t="s">
        <v>398</v>
      </c>
      <c r="E98" s="776">
        <f t="shared" si="8"/>
        <v>201.96</v>
      </c>
      <c r="F98" s="774">
        <f>156.23*2.5</f>
        <v>390.57499999999999</v>
      </c>
      <c r="G98" s="669">
        <f t="shared" si="19"/>
        <v>78880.527000000002</v>
      </c>
      <c r="H98" s="670" t="s">
        <v>690</v>
      </c>
      <c r="I98" s="642"/>
      <c r="J98" s="776">
        <v>184.04</v>
      </c>
      <c r="K98" s="829">
        <f t="shared" si="9"/>
        <v>201.96</v>
      </c>
    </row>
    <row r="99" spans="2:11" x14ac:dyDescent="0.3">
      <c r="B99" s="702">
        <v>160401</v>
      </c>
      <c r="C99" s="666" t="s">
        <v>728</v>
      </c>
      <c r="D99" s="668" t="s">
        <v>398</v>
      </c>
      <c r="E99" s="776">
        <f t="shared" si="8"/>
        <v>19.68</v>
      </c>
      <c r="F99" s="774">
        <f>156.23*2.5</f>
        <v>390.57499999999999</v>
      </c>
      <c r="G99" s="669">
        <f t="shared" si="19"/>
        <v>7686.5159999999996</v>
      </c>
      <c r="H99" s="670" t="s">
        <v>690</v>
      </c>
      <c r="I99" s="642"/>
      <c r="J99" s="776">
        <v>17.940000000000001</v>
      </c>
      <c r="K99" s="829">
        <f t="shared" si="9"/>
        <v>19.68</v>
      </c>
    </row>
    <row r="100" spans="2:11" x14ac:dyDescent="0.3">
      <c r="B100" s="703"/>
      <c r="C100" s="663" t="s">
        <v>729</v>
      </c>
      <c r="D100" s="660"/>
      <c r="E100" s="686"/>
      <c r="F100" s="661"/>
      <c r="G100" s="665">
        <f>SUM(G101:G105)</f>
        <v>3515.32</v>
      </c>
      <c r="H100" s="662"/>
      <c r="I100" s="642"/>
      <c r="J100" s="686"/>
      <c r="K100" s="686"/>
    </row>
    <row r="101" spans="2:11" x14ac:dyDescent="0.3">
      <c r="B101" s="702">
        <v>190609</v>
      </c>
      <c r="C101" s="666" t="s">
        <v>730</v>
      </c>
      <c r="D101" s="668" t="s">
        <v>702</v>
      </c>
      <c r="E101" s="776">
        <f t="shared" si="8"/>
        <v>618.04999999999995</v>
      </c>
      <c r="F101" s="774">
        <v>2</v>
      </c>
      <c r="G101" s="669">
        <f t="shared" ref="G101:G105" si="20">E101*F101</f>
        <v>1236.0999999999999</v>
      </c>
      <c r="H101" s="670" t="s">
        <v>690</v>
      </c>
      <c r="I101" s="642"/>
      <c r="J101" s="776">
        <v>563.20000000000005</v>
      </c>
      <c r="K101" s="829">
        <f t="shared" si="9"/>
        <v>618.04999999999995</v>
      </c>
    </row>
    <row r="102" spans="2:11" x14ac:dyDescent="0.3">
      <c r="B102" s="702">
        <v>190611</v>
      </c>
      <c r="C102" s="666" t="s">
        <v>731</v>
      </c>
      <c r="D102" s="668" t="s">
        <v>702</v>
      </c>
      <c r="E102" s="776">
        <f t="shared" si="8"/>
        <v>27.02</v>
      </c>
      <c r="F102" s="774">
        <v>2</v>
      </c>
      <c r="G102" s="669">
        <f t="shared" si="20"/>
        <v>54.04</v>
      </c>
      <c r="H102" s="670" t="s">
        <v>690</v>
      </c>
      <c r="I102" s="642"/>
      <c r="J102" s="776">
        <v>24.63</v>
      </c>
      <c r="K102" s="829">
        <f t="shared" si="9"/>
        <v>27.02</v>
      </c>
    </row>
    <row r="103" spans="2:11" ht="24.6" x14ac:dyDescent="0.3">
      <c r="B103" s="702">
        <v>190624</v>
      </c>
      <c r="C103" s="666" t="s">
        <v>732</v>
      </c>
      <c r="D103" s="668" t="s">
        <v>702</v>
      </c>
      <c r="E103" s="776">
        <f t="shared" si="8"/>
        <v>227.99</v>
      </c>
      <c r="F103" s="774">
        <v>2</v>
      </c>
      <c r="G103" s="669">
        <f t="shared" si="20"/>
        <v>455.98</v>
      </c>
      <c r="H103" s="670" t="s">
        <v>690</v>
      </c>
      <c r="I103" s="642"/>
      <c r="J103" s="776">
        <v>207.76</v>
      </c>
      <c r="K103" s="829">
        <f t="shared" si="9"/>
        <v>227.99</v>
      </c>
    </row>
    <row r="104" spans="2:11" x14ac:dyDescent="0.3">
      <c r="B104" s="702">
        <v>190629</v>
      </c>
      <c r="C104" s="666" t="s">
        <v>733</v>
      </c>
      <c r="D104" s="668" t="s">
        <v>702</v>
      </c>
      <c r="E104" s="776">
        <f t="shared" si="8"/>
        <v>182.38</v>
      </c>
      <c r="F104" s="774">
        <v>2</v>
      </c>
      <c r="G104" s="669">
        <f t="shared" si="20"/>
        <v>364.76</v>
      </c>
      <c r="H104" s="670" t="s">
        <v>690</v>
      </c>
      <c r="I104" s="642"/>
      <c r="J104" s="776">
        <v>166.2</v>
      </c>
      <c r="K104" s="829">
        <f t="shared" si="9"/>
        <v>182.38</v>
      </c>
    </row>
    <row r="105" spans="2:11" x14ac:dyDescent="0.3">
      <c r="B105" s="702">
        <v>190631</v>
      </c>
      <c r="C105" s="666" t="s">
        <v>734</v>
      </c>
      <c r="D105" s="668" t="s">
        <v>702</v>
      </c>
      <c r="E105" s="776">
        <f t="shared" si="8"/>
        <v>702.22</v>
      </c>
      <c r="F105" s="774">
        <v>2</v>
      </c>
      <c r="G105" s="669">
        <f t="shared" si="20"/>
        <v>1404.44</v>
      </c>
      <c r="H105" s="670" t="s">
        <v>690</v>
      </c>
      <c r="I105" s="642"/>
      <c r="J105" s="776">
        <v>639.9</v>
      </c>
      <c r="K105" s="829">
        <f t="shared" si="9"/>
        <v>702.22</v>
      </c>
    </row>
    <row r="106" spans="2:11" x14ac:dyDescent="0.3">
      <c r="B106" s="671"/>
      <c r="C106" s="671"/>
      <c r="D106" s="671"/>
      <c r="E106" s="671"/>
      <c r="F106" s="672"/>
      <c r="G106" s="641"/>
      <c r="H106" s="647"/>
      <c r="I106" s="642"/>
      <c r="J106" s="642"/>
      <c r="K106" s="642"/>
    </row>
    <row r="107" spans="2:11" x14ac:dyDescent="0.3">
      <c r="B107" s="1080" t="s">
        <v>735</v>
      </c>
      <c r="C107" s="1080"/>
      <c r="D107" s="1080"/>
      <c r="E107" s="1080"/>
      <c r="F107" s="1080"/>
      <c r="G107" s="673">
        <f>G109+G115+G126</f>
        <v>1618513.6279999998</v>
      </c>
      <c r="H107" s="662"/>
      <c r="I107" s="642"/>
      <c r="J107" s="642"/>
      <c r="K107" s="642"/>
    </row>
    <row r="108" spans="2:11" x14ac:dyDescent="0.3">
      <c r="B108" s="659" t="s">
        <v>682</v>
      </c>
      <c r="C108" s="643" t="s">
        <v>683</v>
      </c>
      <c r="D108" s="660" t="s">
        <v>216</v>
      </c>
      <c r="E108" s="660" t="s">
        <v>684</v>
      </c>
      <c r="F108" s="661" t="s">
        <v>685</v>
      </c>
      <c r="G108" s="662" t="s">
        <v>686</v>
      </c>
      <c r="H108" s="660" t="s">
        <v>687</v>
      </c>
      <c r="I108" s="642"/>
      <c r="J108" s="830" t="s">
        <v>930</v>
      </c>
      <c r="K108" s="831" t="s">
        <v>931</v>
      </c>
    </row>
    <row r="109" spans="2:11" x14ac:dyDescent="0.3">
      <c r="B109" s="659"/>
      <c r="C109" s="663" t="s">
        <v>688</v>
      </c>
      <c r="D109" s="674"/>
      <c r="E109" s="663"/>
      <c r="F109" s="664"/>
      <c r="G109" s="675">
        <f>SUM(G110:G114)</f>
        <v>6362.18</v>
      </c>
      <c r="H109" s="662"/>
      <c r="I109" s="642"/>
      <c r="J109" s="642"/>
      <c r="K109" s="642"/>
    </row>
    <row r="110" spans="2:11" x14ac:dyDescent="0.3">
      <c r="B110" s="666">
        <v>10102</v>
      </c>
      <c r="C110" s="667" t="s">
        <v>689</v>
      </c>
      <c r="D110" s="676" t="s">
        <v>398</v>
      </c>
      <c r="E110" s="776">
        <f t="shared" ref="E110:E114" si="21">K110</f>
        <v>461.7</v>
      </c>
      <c r="F110" s="774">
        <v>3</v>
      </c>
      <c r="G110" s="677">
        <f>E110*F110</f>
        <v>1385.1</v>
      </c>
      <c r="H110" s="670" t="s">
        <v>690</v>
      </c>
      <c r="I110" s="642"/>
      <c r="J110" s="776">
        <v>420.73</v>
      </c>
      <c r="K110" s="829">
        <f t="shared" ref="K110:K114" si="22">TRUNC(J110*$K$58,2)</f>
        <v>461.7</v>
      </c>
    </row>
    <row r="111" spans="2:11" x14ac:dyDescent="0.3">
      <c r="B111" s="666">
        <v>10103</v>
      </c>
      <c r="C111" s="667" t="s">
        <v>691</v>
      </c>
      <c r="D111" s="676" t="s">
        <v>398</v>
      </c>
      <c r="E111" s="776">
        <f t="shared" si="21"/>
        <v>353.54</v>
      </c>
      <c r="F111" s="774">
        <v>5</v>
      </c>
      <c r="G111" s="678">
        <f>E111*F111</f>
        <v>1767.7</v>
      </c>
      <c r="H111" s="670" t="s">
        <v>690</v>
      </c>
      <c r="I111" s="642"/>
      <c r="J111" s="776">
        <v>322.17</v>
      </c>
      <c r="K111" s="829">
        <f t="shared" si="22"/>
        <v>353.54</v>
      </c>
    </row>
    <row r="112" spans="2:11" x14ac:dyDescent="0.3">
      <c r="B112" s="666">
        <v>10104</v>
      </c>
      <c r="C112" s="667" t="s">
        <v>692</v>
      </c>
      <c r="D112" s="676" t="s">
        <v>398</v>
      </c>
      <c r="E112" s="776">
        <f t="shared" si="21"/>
        <v>658.52</v>
      </c>
      <c r="F112" s="774">
        <v>2</v>
      </c>
      <c r="G112" s="678">
        <f t="shared" ref="G112:G114" si="23">E112*F112</f>
        <v>1317.04</v>
      </c>
      <c r="H112" s="670" t="s">
        <v>690</v>
      </c>
      <c r="I112" s="642"/>
      <c r="J112" s="776">
        <v>600.08000000000004</v>
      </c>
      <c r="K112" s="829">
        <f t="shared" si="22"/>
        <v>658.52</v>
      </c>
    </row>
    <row r="113" spans="2:11" x14ac:dyDescent="0.3">
      <c r="B113" s="666">
        <v>10105</v>
      </c>
      <c r="C113" s="667" t="s">
        <v>693</v>
      </c>
      <c r="D113" s="676" t="s">
        <v>398</v>
      </c>
      <c r="E113" s="776">
        <f t="shared" si="21"/>
        <v>578.85</v>
      </c>
      <c r="F113" s="774">
        <v>2</v>
      </c>
      <c r="G113" s="678">
        <f t="shared" si="23"/>
        <v>1157.7</v>
      </c>
      <c r="H113" s="670" t="s">
        <v>690</v>
      </c>
      <c r="I113" s="642"/>
      <c r="J113" s="776">
        <v>527.48</v>
      </c>
      <c r="K113" s="829">
        <f t="shared" si="22"/>
        <v>578.85</v>
      </c>
    </row>
    <row r="114" spans="2:11" x14ac:dyDescent="0.3">
      <c r="B114" s="666">
        <v>10201</v>
      </c>
      <c r="C114" s="667" t="s">
        <v>694</v>
      </c>
      <c r="D114" s="676" t="s">
        <v>398</v>
      </c>
      <c r="E114" s="776">
        <f t="shared" si="21"/>
        <v>367.32</v>
      </c>
      <c r="F114" s="774">
        <v>2</v>
      </c>
      <c r="G114" s="678">
        <f t="shared" si="23"/>
        <v>734.64</v>
      </c>
      <c r="H114" s="670" t="s">
        <v>690</v>
      </c>
      <c r="I114" s="642"/>
      <c r="J114" s="776">
        <v>334.72</v>
      </c>
      <c r="K114" s="829">
        <f t="shared" si="22"/>
        <v>367.32</v>
      </c>
    </row>
    <row r="115" spans="2:11" x14ac:dyDescent="0.3">
      <c r="B115" s="663"/>
      <c r="C115" s="663" t="s">
        <v>736</v>
      </c>
      <c r="D115" s="674"/>
      <c r="E115" s="686"/>
      <c r="F115" s="661"/>
      <c r="G115" s="675">
        <f>SUM(G116:G125)</f>
        <v>1389870.0179999999</v>
      </c>
      <c r="H115" s="662"/>
      <c r="I115" s="642"/>
      <c r="J115" s="686"/>
      <c r="K115" s="686"/>
    </row>
    <row r="116" spans="2:11" x14ac:dyDescent="0.3">
      <c r="B116" s="666">
        <v>150301</v>
      </c>
      <c r="C116" s="666" t="s">
        <v>737</v>
      </c>
      <c r="D116" s="676" t="s">
        <v>398</v>
      </c>
      <c r="E116" s="776">
        <f t="shared" ref="E116:E125" si="24">K116</f>
        <v>2363.86</v>
      </c>
      <c r="F116" s="774">
        <v>200</v>
      </c>
      <c r="G116" s="678">
        <f t="shared" ref="G116:G125" si="25">E116*F116</f>
        <v>472772</v>
      </c>
      <c r="H116" s="670" t="s">
        <v>690</v>
      </c>
      <c r="I116" s="642"/>
      <c r="J116" s="776">
        <v>2154.06</v>
      </c>
      <c r="K116" s="829">
        <f t="shared" ref="K116:K125" si="26">TRUNC(J116*$K$58,2)</f>
        <v>2363.86</v>
      </c>
    </row>
    <row r="117" spans="2:11" x14ac:dyDescent="0.3">
      <c r="B117" s="666">
        <v>150401</v>
      </c>
      <c r="C117" s="666" t="s">
        <v>738</v>
      </c>
      <c r="D117" s="676" t="s">
        <v>398</v>
      </c>
      <c r="E117" s="776">
        <f t="shared" si="24"/>
        <v>278.69</v>
      </c>
      <c r="F117" s="774">
        <v>425.8</v>
      </c>
      <c r="G117" s="678">
        <f t="shared" si="25"/>
        <v>118666.202</v>
      </c>
      <c r="H117" s="670" t="s">
        <v>690</v>
      </c>
      <c r="I117" s="642"/>
      <c r="J117" s="776">
        <v>253.96</v>
      </c>
      <c r="K117" s="829">
        <f t="shared" si="26"/>
        <v>278.69</v>
      </c>
    </row>
    <row r="118" spans="2:11" x14ac:dyDescent="0.3">
      <c r="B118" s="666">
        <v>150501</v>
      </c>
      <c r="C118" s="666" t="s">
        <v>739</v>
      </c>
      <c r="D118" s="676" t="s">
        <v>398</v>
      </c>
      <c r="E118" s="776">
        <f t="shared" si="24"/>
        <v>422.09</v>
      </c>
      <c r="F118" s="774">
        <v>42.4</v>
      </c>
      <c r="G118" s="678">
        <f t="shared" si="25"/>
        <v>17896.615999999998</v>
      </c>
      <c r="H118" s="670" t="s">
        <v>690</v>
      </c>
      <c r="I118" s="642"/>
      <c r="J118" s="776">
        <v>384.63</v>
      </c>
      <c r="K118" s="829">
        <f t="shared" si="26"/>
        <v>422.09</v>
      </c>
    </row>
    <row r="119" spans="2:11" x14ac:dyDescent="0.3">
      <c r="B119" s="666">
        <v>150902</v>
      </c>
      <c r="C119" s="666" t="s">
        <v>740</v>
      </c>
      <c r="D119" s="676" t="s">
        <v>741</v>
      </c>
      <c r="E119" s="776">
        <f t="shared" si="24"/>
        <v>226.38</v>
      </c>
      <c r="F119" s="774">
        <v>240</v>
      </c>
      <c r="G119" s="678">
        <f t="shared" si="25"/>
        <v>54331.199999999997</v>
      </c>
      <c r="H119" s="670" t="s">
        <v>690</v>
      </c>
      <c r="I119" s="642"/>
      <c r="J119" s="776">
        <v>206.29</v>
      </c>
      <c r="K119" s="829">
        <f t="shared" si="26"/>
        <v>226.38</v>
      </c>
    </row>
    <row r="120" spans="2:11" x14ac:dyDescent="0.3">
      <c r="B120" s="666">
        <v>150903</v>
      </c>
      <c r="C120" s="666" t="s">
        <v>742</v>
      </c>
      <c r="D120" s="676" t="s">
        <v>741</v>
      </c>
      <c r="E120" s="776">
        <f t="shared" si="24"/>
        <v>236.82</v>
      </c>
      <c r="F120" s="774">
        <v>240</v>
      </c>
      <c r="G120" s="678">
        <f t="shared" si="25"/>
        <v>56836.799999999996</v>
      </c>
      <c r="H120" s="670" t="s">
        <v>690</v>
      </c>
      <c r="I120" s="642"/>
      <c r="J120" s="776">
        <f>122+93.81</f>
        <v>215.81</v>
      </c>
      <c r="K120" s="829">
        <f t="shared" si="26"/>
        <v>236.82</v>
      </c>
    </row>
    <row r="121" spans="2:11" x14ac:dyDescent="0.3">
      <c r="B121" s="666">
        <v>150904</v>
      </c>
      <c r="C121" s="666" t="s">
        <v>743</v>
      </c>
      <c r="D121" s="676" t="s">
        <v>741</v>
      </c>
      <c r="E121" s="776">
        <f t="shared" si="24"/>
        <v>279.55</v>
      </c>
      <c r="F121" s="774">
        <v>240</v>
      </c>
      <c r="G121" s="678">
        <f t="shared" si="25"/>
        <v>67092</v>
      </c>
      <c r="H121" s="670" t="s">
        <v>690</v>
      </c>
      <c r="I121" s="642"/>
      <c r="J121" s="776">
        <f>152+102.74</f>
        <v>254.74</v>
      </c>
      <c r="K121" s="829">
        <f t="shared" si="26"/>
        <v>279.55</v>
      </c>
    </row>
    <row r="122" spans="2:11" x14ac:dyDescent="0.3">
      <c r="B122" s="666">
        <v>150905</v>
      </c>
      <c r="C122" s="666" t="s">
        <v>744</v>
      </c>
      <c r="D122" s="676" t="s">
        <v>741</v>
      </c>
      <c r="E122" s="776">
        <f t="shared" si="24"/>
        <v>1548.32</v>
      </c>
      <c r="F122" s="774">
        <v>240</v>
      </c>
      <c r="G122" s="678">
        <f t="shared" si="25"/>
        <v>371596.79999999999</v>
      </c>
      <c r="H122" s="670" t="s">
        <v>690</v>
      </c>
      <c r="I122" s="642"/>
      <c r="J122" s="776">
        <f>ROUND((2370.77/1.8)+93.81,2)</f>
        <v>1410.9</v>
      </c>
      <c r="K122" s="829">
        <f t="shared" si="26"/>
        <v>1548.32</v>
      </c>
    </row>
    <row r="123" spans="2:11" x14ac:dyDescent="0.3">
      <c r="B123" s="666">
        <v>150906</v>
      </c>
      <c r="C123" s="666" t="s">
        <v>745</v>
      </c>
      <c r="D123" s="676" t="s">
        <v>398</v>
      </c>
      <c r="E123" s="776">
        <f t="shared" si="24"/>
        <v>881.2</v>
      </c>
      <c r="F123" s="774">
        <f>5*4*6</f>
        <v>120</v>
      </c>
      <c r="G123" s="678">
        <f t="shared" si="25"/>
        <v>105744</v>
      </c>
      <c r="H123" s="670" t="s">
        <v>690</v>
      </c>
      <c r="I123" s="642"/>
      <c r="J123" s="776">
        <f>720.79+82.2</f>
        <v>802.99</v>
      </c>
      <c r="K123" s="829">
        <f t="shared" si="26"/>
        <v>881.2</v>
      </c>
    </row>
    <row r="124" spans="2:11" x14ac:dyDescent="0.3">
      <c r="B124" s="666">
        <v>150915</v>
      </c>
      <c r="C124" s="666" t="s">
        <v>746</v>
      </c>
      <c r="D124" s="676" t="s">
        <v>741</v>
      </c>
      <c r="E124" s="776">
        <f t="shared" si="24"/>
        <v>127.45</v>
      </c>
      <c r="F124" s="774">
        <v>960</v>
      </c>
      <c r="G124" s="678">
        <f t="shared" si="25"/>
        <v>122352</v>
      </c>
      <c r="H124" s="670" t="s">
        <v>690</v>
      </c>
      <c r="I124" s="642"/>
      <c r="J124" s="776">
        <v>116.14</v>
      </c>
      <c r="K124" s="829">
        <f t="shared" si="26"/>
        <v>127.45</v>
      </c>
    </row>
    <row r="125" spans="2:11" x14ac:dyDescent="0.3">
      <c r="B125" s="666">
        <v>40803</v>
      </c>
      <c r="C125" s="666" t="s">
        <v>747</v>
      </c>
      <c r="D125" s="676" t="s">
        <v>741</v>
      </c>
      <c r="E125" s="776">
        <f t="shared" si="24"/>
        <v>2.69</v>
      </c>
      <c r="F125" s="774">
        <v>960</v>
      </c>
      <c r="G125" s="678">
        <f t="shared" si="25"/>
        <v>2582.4</v>
      </c>
      <c r="H125" s="670" t="s">
        <v>690</v>
      </c>
      <c r="I125" s="642"/>
      <c r="J125" s="776">
        <v>2.46</v>
      </c>
      <c r="K125" s="829">
        <f t="shared" si="26"/>
        <v>2.69</v>
      </c>
    </row>
    <row r="126" spans="2:11" x14ac:dyDescent="0.3">
      <c r="B126" s="663"/>
      <c r="C126" s="663" t="s">
        <v>748</v>
      </c>
      <c r="D126" s="674"/>
      <c r="E126" s="686"/>
      <c r="F126" s="661"/>
      <c r="G126" s="675">
        <f>SUM(G127)</f>
        <v>222281.43</v>
      </c>
      <c r="H126" s="662"/>
      <c r="I126" s="642"/>
      <c r="J126" s="686"/>
      <c r="K126" s="686"/>
    </row>
    <row r="127" spans="2:11" x14ac:dyDescent="0.3">
      <c r="B127" s="666"/>
      <c r="C127" s="666" t="s">
        <v>749</v>
      </c>
      <c r="D127" s="676" t="s">
        <v>556</v>
      </c>
      <c r="E127" s="776">
        <v>222281.43</v>
      </c>
      <c r="F127" s="774">
        <v>1</v>
      </c>
      <c r="G127" s="678">
        <f t="shared" ref="G127" si="27">E127*F127</f>
        <v>222281.43</v>
      </c>
      <c r="H127" s="670" t="s">
        <v>750</v>
      </c>
      <c r="I127" s="642"/>
      <c r="J127" s="776">
        <v>222281.43</v>
      </c>
      <c r="K127" s="829">
        <f t="shared" ref="K127" si="28">TRUNC(J127*$K$58,2)</f>
        <v>243931.64</v>
      </c>
    </row>
    <row r="128" spans="2:11" x14ac:dyDescent="0.3">
      <c r="B128" s="671"/>
      <c r="C128" s="671"/>
      <c r="D128" s="671"/>
      <c r="E128" s="671"/>
      <c r="F128" s="672"/>
      <c r="G128" s="641"/>
      <c r="H128" s="647"/>
      <c r="I128" s="642"/>
      <c r="J128" s="642"/>
      <c r="K128" s="642"/>
    </row>
    <row r="129" spans="2:11" x14ac:dyDescent="0.3">
      <c r="B129" s="1080" t="s">
        <v>751</v>
      </c>
      <c r="C129" s="1080"/>
      <c r="D129" s="1080"/>
      <c r="E129" s="1080"/>
      <c r="F129" s="1080"/>
      <c r="G129" s="673">
        <f>G131+G137+G142+G151+G162</f>
        <v>3053111.1779999998</v>
      </c>
      <c r="H129" s="658"/>
      <c r="I129" s="642"/>
      <c r="J129" s="642"/>
      <c r="K129" s="642"/>
    </row>
    <row r="130" spans="2:11" x14ac:dyDescent="0.3">
      <c r="B130" s="659" t="s">
        <v>682</v>
      </c>
      <c r="C130" s="643" t="s">
        <v>683</v>
      </c>
      <c r="D130" s="660" t="s">
        <v>216</v>
      </c>
      <c r="E130" s="660" t="s">
        <v>684</v>
      </c>
      <c r="F130" s="661" t="s">
        <v>685</v>
      </c>
      <c r="G130" s="662" t="s">
        <v>686</v>
      </c>
      <c r="H130" s="660" t="s">
        <v>687</v>
      </c>
      <c r="I130" s="642"/>
      <c r="J130" s="830" t="s">
        <v>930</v>
      </c>
      <c r="K130" s="831" t="s">
        <v>931</v>
      </c>
    </row>
    <row r="131" spans="2:11" x14ac:dyDescent="0.3">
      <c r="B131" s="659"/>
      <c r="C131" s="663" t="s">
        <v>688</v>
      </c>
      <c r="D131" s="663"/>
      <c r="E131" s="663"/>
      <c r="F131" s="664"/>
      <c r="G131" s="675">
        <f>SUM(G132:G136)</f>
        <v>6362.18</v>
      </c>
      <c r="H131" s="662"/>
      <c r="I131" s="642"/>
      <c r="J131" s="642"/>
      <c r="K131" s="642"/>
    </row>
    <row r="132" spans="2:11" x14ac:dyDescent="0.3">
      <c r="B132" s="666">
        <v>10102</v>
      </c>
      <c r="C132" s="667" t="s">
        <v>689</v>
      </c>
      <c r="D132" s="676" t="s">
        <v>398</v>
      </c>
      <c r="E132" s="776">
        <f>K132</f>
        <v>461.7</v>
      </c>
      <c r="F132" s="774">
        <v>3</v>
      </c>
      <c r="G132" s="677">
        <f>E132*F132</f>
        <v>1385.1</v>
      </c>
      <c r="H132" s="670" t="s">
        <v>690</v>
      </c>
      <c r="I132" s="642"/>
      <c r="J132" s="776">
        <v>420.73</v>
      </c>
      <c r="K132" s="829">
        <f t="shared" ref="K132:K163" si="29">TRUNC(J132*$K$58,2)</f>
        <v>461.7</v>
      </c>
    </row>
    <row r="133" spans="2:11" x14ac:dyDescent="0.3">
      <c r="B133" s="666">
        <v>10103</v>
      </c>
      <c r="C133" s="667" t="s">
        <v>691</v>
      </c>
      <c r="D133" s="676" t="s">
        <v>398</v>
      </c>
      <c r="E133" s="776">
        <f t="shared" ref="E133:E136" si="30">K133</f>
        <v>353.54</v>
      </c>
      <c r="F133" s="774">
        <v>5</v>
      </c>
      <c r="G133" s="678">
        <f>E133*F133</f>
        <v>1767.7</v>
      </c>
      <c r="H133" s="670" t="s">
        <v>690</v>
      </c>
      <c r="I133" s="642"/>
      <c r="J133" s="776">
        <v>322.17</v>
      </c>
      <c r="K133" s="829">
        <f t="shared" si="29"/>
        <v>353.54</v>
      </c>
    </row>
    <row r="134" spans="2:11" x14ac:dyDescent="0.3">
      <c r="B134" s="666">
        <v>10104</v>
      </c>
      <c r="C134" s="667" t="s">
        <v>692</v>
      </c>
      <c r="D134" s="676" t="s">
        <v>398</v>
      </c>
      <c r="E134" s="776">
        <f t="shared" si="30"/>
        <v>658.52</v>
      </c>
      <c r="F134" s="774">
        <v>2</v>
      </c>
      <c r="G134" s="678">
        <f t="shared" ref="G134:G136" si="31">E134*F134</f>
        <v>1317.04</v>
      </c>
      <c r="H134" s="670" t="s">
        <v>690</v>
      </c>
      <c r="I134" s="642"/>
      <c r="J134" s="776">
        <v>600.08000000000004</v>
      </c>
      <c r="K134" s="829">
        <f t="shared" si="29"/>
        <v>658.52</v>
      </c>
    </row>
    <row r="135" spans="2:11" x14ac:dyDescent="0.3">
      <c r="B135" s="666">
        <v>10105</v>
      </c>
      <c r="C135" s="667" t="s">
        <v>693</v>
      </c>
      <c r="D135" s="676" t="s">
        <v>398</v>
      </c>
      <c r="E135" s="776">
        <f t="shared" si="30"/>
        <v>578.85</v>
      </c>
      <c r="F135" s="774">
        <v>2</v>
      </c>
      <c r="G135" s="678">
        <f t="shared" si="31"/>
        <v>1157.7</v>
      </c>
      <c r="H135" s="670" t="s">
        <v>690</v>
      </c>
      <c r="I135" s="642"/>
      <c r="J135" s="776">
        <v>527.48</v>
      </c>
      <c r="K135" s="829">
        <f t="shared" si="29"/>
        <v>578.85</v>
      </c>
    </row>
    <row r="136" spans="2:11" x14ac:dyDescent="0.3">
      <c r="B136" s="666">
        <v>10201</v>
      </c>
      <c r="C136" s="667" t="s">
        <v>694</v>
      </c>
      <c r="D136" s="676" t="s">
        <v>398</v>
      </c>
      <c r="E136" s="776">
        <f t="shared" si="30"/>
        <v>367.32</v>
      </c>
      <c r="F136" s="774">
        <v>2</v>
      </c>
      <c r="G136" s="678">
        <f t="shared" si="31"/>
        <v>734.64</v>
      </c>
      <c r="H136" s="670" t="s">
        <v>690</v>
      </c>
      <c r="I136" s="642"/>
      <c r="J136" s="776">
        <v>334.72</v>
      </c>
      <c r="K136" s="829">
        <f t="shared" si="29"/>
        <v>367.32</v>
      </c>
    </row>
    <row r="137" spans="2:11" x14ac:dyDescent="0.3">
      <c r="B137" s="659"/>
      <c r="C137" s="663" t="s">
        <v>695</v>
      </c>
      <c r="D137" s="660"/>
      <c r="E137" s="686"/>
      <c r="F137" s="661"/>
      <c r="G137" s="665">
        <f>SUM(G138:G141)</f>
        <v>79083.611999999994</v>
      </c>
      <c r="H137" s="643"/>
      <c r="I137" s="642"/>
      <c r="J137" s="686"/>
      <c r="K137" s="686"/>
    </row>
    <row r="138" spans="2:11" x14ac:dyDescent="0.3">
      <c r="B138" s="666">
        <v>300101</v>
      </c>
      <c r="C138" s="666" t="s">
        <v>696</v>
      </c>
      <c r="D138" s="668" t="s">
        <v>398</v>
      </c>
      <c r="E138" s="776">
        <f>K138</f>
        <v>1.54</v>
      </c>
      <c r="F138" s="774">
        <v>5001.2</v>
      </c>
      <c r="G138" s="669">
        <f t="shared" ref="G138:G141" si="32">E138*F138</f>
        <v>7701.848</v>
      </c>
      <c r="H138" s="670" t="s">
        <v>690</v>
      </c>
      <c r="I138" s="642"/>
      <c r="J138" s="776">
        <v>1.41</v>
      </c>
      <c r="K138" s="829">
        <f t="shared" si="29"/>
        <v>1.54</v>
      </c>
    </row>
    <row r="139" spans="2:11" x14ac:dyDescent="0.3">
      <c r="B139" s="666">
        <v>300103</v>
      </c>
      <c r="C139" s="666" t="s">
        <v>697</v>
      </c>
      <c r="D139" s="668" t="s">
        <v>398</v>
      </c>
      <c r="E139" s="776">
        <f t="shared" ref="E139:E141" si="33">K139</f>
        <v>0.47</v>
      </c>
      <c r="F139" s="774">
        <v>5001.2</v>
      </c>
      <c r="G139" s="669">
        <f t="shared" si="32"/>
        <v>2350.5639999999999</v>
      </c>
      <c r="H139" s="670" t="s">
        <v>690</v>
      </c>
      <c r="I139" s="642"/>
      <c r="J139" s="776">
        <v>0.43</v>
      </c>
      <c r="K139" s="829">
        <f t="shared" si="29"/>
        <v>0.47</v>
      </c>
    </row>
    <row r="140" spans="2:11" x14ac:dyDescent="0.3">
      <c r="B140" s="666">
        <v>40101</v>
      </c>
      <c r="C140" s="666" t="s">
        <v>752</v>
      </c>
      <c r="D140" s="668" t="s">
        <v>741</v>
      </c>
      <c r="E140" s="776">
        <f t="shared" si="33"/>
        <v>4.4000000000000004</v>
      </c>
      <c r="F140" s="774">
        <v>5880</v>
      </c>
      <c r="G140" s="669">
        <f t="shared" si="32"/>
        <v>25872.000000000004</v>
      </c>
      <c r="H140" s="670" t="s">
        <v>690</v>
      </c>
      <c r="I140" s="642"/>
      <c r="J140" s="776">
        <v>4.01</v>
      </c>
      <c r="K140" s="829">
        <f t="shared" si="29"/>
        <v>4.4000000000000004</v>
      </c>
    </row>
    <row r="141" spans="2:11" ht="24.6" x14ac:dyDescent="0.3">
      <c r="B141" s="666">
        <v>40503</v>
      </c>
      <c r="C141" s="666" t="s">
        <v>753</v>
      </c>
      <c r="D141" s="668" t="s">
        <v>741</v>
      </c>
      <c r="E141" s="776">
        <f t="shared" si="33"/>
        <v>7.34</v>
      </c>
      <c r="F141" s="774">
        <v>5880</v>
      </c>
      <c r="G141" s="669">
        <f t="shared" si="32"/>
        <v>43159.199999999997</v>
      </c>
      <c r="H141" s="670" t="s">
        <v>690</v>
      </c>
      <c r="I141" s="642"/>
      <c r="J141" s="776">
        <v>6.69</v>
      </c>
      <c r="K141" s="829">
        <f t="shared" si="29"/>
        <v>7.34</v>
      </c>
    </row>
    <row r="142" spans="2:11" x14ac:dyDescent="0.3">
      <c r="B142" s="663"/>
      <c r="C142" s="663" t="s">
        <v>754</v>
      </c>
      <c r="D142" s="660"/>
      <c r="E142" s="686"/>
      <c r="F142" s="661"/>
      <c r="G142" s="665">
        <f>SUM(G143:G150)</f>
        <v>234654.69200000001</v>
      </c>
      <c r="H142" s="643"/>
      <c r="I142" s="642"/>
      <c r="J142" s="686"/>
      <c r="K142" s="686"/>
    </row>
    <row r="143" spans="2:11" x14ac:dyDescent="0.3">
      <c r="B143" s="666">
        <v>70201</v>
      </c>
      <c r="C143" s="666" t="s">
        <v>755</v>
      </c>
      <c r="D143" s="668" t="s">
        <v>741</v>
      </c>
      <c r="E143" s="776">
        <f>K143</f>
        <v>810.38</v>
      </c>
      <c r="F143" s="774">
        <v>10.4</v>
      </c>
      <c r="G143" s="669">
        <f t="shared" ref="G143:G150" si="34">E143*F143</f>
        <v>8427.9520000000011</v>
      </c>
      <c r="H143" s="670" t="s">
        <v>690</v>
      </c>
      <c r="I143" s="642"/>
      <c r="J143" s="776">
        <v>738.46</v>
      </c>
      <c r="K143" s="829">
        <f t="shared" si="29"/>
        <v>810.38</v>
      </c>
    </row>
    <row r="144" spans="2:11" x14ac:dyDescent="0.3">
      <c r="B144" s="666">
        <v>7302</v>
      </c>
      <c r="C144" s="666" t="s">
        <v>756</v>
      </c>
      <c r="D144" s="668" t="s">
        <v>741</v>
      </c>
      <c r="E144" s="776">
        <f t="shared" ref="E144:E150" si="35">K144</f>
        <v>257.76</v>
      </c>
      <c r="F144" s="774">
        <v>6</v>
      </c>
      <c r="G144" s="669">
        <f t="shared" si="34"/>
        <v>1546.56</v>
      </c>
      <c r="H144" s="670" t="s">
        <v>690</v>
      </c>
      <c r="I144" s="642"/>
      <c r="J144" s="776">
        <v>234.89</v>
      </c>
      <c r="K144" s="829">
        <f t="shared" si="29"/>
        <v>257.76</v>
      </c>
    </row>
    <row r="145" spans="2:11" x14ac:dyDescent="0.3">
      <c r="B145" s="666">
        <v>81801</v>
      </c>
      <c r="C145" s="666" t="s">
        <v>701</v>
      </c>
      <c r="D145" s="668" t="s">
        <v>702</v>
      </c>
      <c r="E145" s="776">
        <f t="shared" si="35"/>
        <v>705.36</v>
      </c>
      <c r="F145" s="774">
        <v>2</v>
      </c>
      <c r="G145" s="669">
        <f t="shared" si="34"/>
        <v>1410.72</v>
      </c>
      <c r="H145" s="670" t="s">
        <v>690</v>
      </c>
      <c r="I145" s="642"/>
      <c r="J145" s="776">
        <v>642.76</v>
      </c>
      <c r="K145" s="829">
        <f t="shared" si="29"/>
        <v>705.36</v>
      </c>
    </row>
    <row r="146" spans="2:11" ht="24.6" x14ac:dyDescent="0.3">
      <c r="B146" s="666">
        <v>91412</v>
      </c>
      <c r="C146" s="666" t="s">
        <v>757</v>
      </c>
      <c r="D146" s="668" t="s">
        <v>126</v>
      </c>
      <c r="E146" s="776">
        <f t="shared" si="35"/>
        <v>3.56</v>
      </c>
      <c r="F146" s="774">
        <v>302</v>
      </c>
      <c r="G146" s="669">
        <f t="shared" si="34"/>
        <v>1075.1200000000001</v>
      </c>
      <c r="H146" s="670" t="s">
        <v>690</v>
      </c>
      <c r="I146" s="642"/>
      <c r="J146" s="776">
        <v>3.25</v>
      </c>
      <c r="K146" s="832">
        <f t="shared" si="29"/>
        <v>3.56</v>
      </c>
    </row>
    <row r="147" spans="2:11" x14ac:dyDescent="0.3">
      <c r="B147" s="666">
        <v>80513</v>
      </c>
      <c r="C147" s="666" t="s">
        <v>758</v>
      </c>
      <c r="D147" s="668" t="s">
        <v>126</v>
      </c>
      <c r="E147" s="776">
        <f t="shared" si="35"/>
        <v>336.12</v>
      </c>
      <c r="F147" s="774">
        <v>302</v>
      </c>
      <c r="G147" s="669">
        <f t="shared" si="34"/>
        <v>101508.24</v>
      </c>
      <c r="H147" s="670" t="s">
        <v>690</v>
      </c>
      <c r="I147" s="642"/>
      <c r="J147" s="776">
        <v>306.29000000000002</v>
      </c>
      <c r="K147" s="829">
        <f t="shared" si="29"/>
        <v>336.12</v>
      </c>
    </row>
    <row r="148" spans="2:11" x14ac:dyDescent="0.3">
      <c r="B148" s="666"/>
      <c r="C148" s="666" t="s">
        <v>759</v>
      </c>
      <c r="D148" s="668" t="s">
        <v>126</v>
      </c>
      <c r="E148" s="776">
        <f t="shared" si="35"/>
        <v>31.94</v>
      </c>
      <c r="F148" s="774">
        <v>302</v>
      </c>
      <c r="G148" s="669">
        <f t="shared" si="34"/>
        <v>9645.880000000001</v>
      </c>
      <c r="H148" s="670" t="s">
        <v>864</v>
      </c>
      <c r="I148" s="642"/>
      <c r="J148" s="776">
        <v>29.105580000000003</v>
      </c>
      <c r="K148" s="829">
        <f t="shared" si="29"/>
        <v>31.94</v>
      </c>
    </row>
    <row r="149" spans="2:11" x14ac:dyDescent="0.3">
      <c r="B149" s="666">
        <v>40602</v>
      </c>
      <c r="C149" s="666" t="s">
        <v>760</v>
      </c>
      <c r="D149" s="668" t="s">
        <v>741</v>
      </c>
      <c r="E149" s="776">
        <f t="shared" si="35"/>
        <v>11.43</v>
      </c>
      <c r="F149" s="774">
        <v>3496</v>
      </c>
      <c r="G149" s="669">
        <f t="shared" si="34"/>
        <v>39959.279999999999</v>
      </c>
      <c r="H149" s="670" t="s">
        <v>690</v>
      </c>
      <c r="I149" s="642"/>
      <c r="J149" s="776">
        <v>10.42</v>
      </c>
      <c r="K149" s="829">
        <f t="shared" si="29"/>
        <v>11.43</v>
      </c>
    </row>
    <row r="150" spans="2:11" ht="24.6" x14ac:dyDescent="0.3">
      <c r="B150" s="666">
        <v>40607</v>
      </c>
      <c r="C150" s="666" t="s">
        <v>761</v>
      </c>
      <c r="D150" s="668" t="s">
        <v>741</v>
      </c>
      <c r="E150" s="776">
        <f t="shared" si="35"/>
        <v>143.02000000000001</v>
      </c>
      <c r="F150" s="774">
        <v>497</v>
      </c>
      <c r="G150" s="669">
        <f t="shared" si="34"/>
        <v>71080.94</v>
      </c>
      <c r="H150" s="670" t="s">
        <v>690</v>
      </c>
      <c r="I150" s="642"/>
      <c r="J150" s="776">
        <v>130.33000000000001</v>
      </c>
      <c r="K150" s="829">
        <f t="shared" si="29"/>
        <v>143.02000000000001</v>
      </c>
    </row>
    <row r="151" spans="2:11" x14ac:dyDescent="0.3">
      <c r="B151" s="666"/>
      <c r="C151" s="663" t="s">
        <v>762</v>
      </c>
      <c r="D151" s="660"/>
      <c r="E151" s="686"/>
      <c r="F151" s="661"/>
      <c r="G151" s="665">
        <f>SUM(G152:G161)</f>
        <v>522970.69399999996</v>
      </c>
      <c r="H151" s="670"/>
      <c r="I151" s="642"/>
      <c r="J151" s="686"/>
      <c r="K151" s="686"/>
    </row>
    <row r="152" spans="2:11" x14ac:dyDescent="0.3">
      <c r="B152" s="666">
        <v>800206</v>
      </c>
      <c r="C152" s="666" t="s">
        <v>763</v>
      </c>
      <c r="D152" s="668" t="s">
        <v>126</v>
      </c>
      <c r="E152" s="776">
        <f>K152</f>
        <v>120.2</v>
      </c>
      <c r="F152" s="774">
        <v>80</v>
      </c>
      <c r="G152" s="669">
        <f t="shared" ref="G152:G161" si="36">E152*F152</f>
        <v>9616</v>
      </c>
      <c r="H152" s="670" t="s">
        <v>690</v>
      </c>
      <c r="I152" s="642"/>
      <c r="J152" s="776">
        <v>109.54</v>
      </c>
      <c r="K152" s="829">
        <f t="shared" si="29"/>
        <v>120.2</v>
      </c>
    </row>
    <row r="153" spans="2:11" x14ac:dyDescent="0.3">
      <c r="B153" s="666">
        <v>800207</v>
      </c>
      <c r="C153" s="666" t="s">
        <v>764</v>
      </c>
      <c r="D153" s="668" t="s">
        <v>126</v>
      </c>
      <c r="E153" s="776">
        <f t="shared" ref="E153:E161" si="37">K153</f>
        <v>141.03</v>
      </c>
      <c r="F153" s="774">
        <v>160</v>
      </c>
      <c r="G153" s="669">
        <f t="shared" si="36"/>
        <v>22564.799999999999</v>
      </c>
      <c r="H153" s="670" t="s">
        <v>690</v>
      </c>
      <c r="I153" s="642"/>
      <c r="J153" s="776">
        <v>128.52000000000001</v>
      </c>
      <c r="K153" s="829">
        <f t="shared" si="29"/>
        <v>141.03</v>
      </c>
    </row>
    <row r="154" spans="2:11" x14ac:dyDescent="0.3">
      <c r="B154" s="666">
        <v>81004</v>
      </c>
      <c r="C154" s="666" t="s">
        <v>765</v>
      </c>
      <c r="D154" s="668" t="s">
        <v>741</v>
      </c>
      <c r="E154" s="776">
        <f t="shared" si="37"/>
        <v>667.58</v>
      </c>
      <c r="F154" s="774">
        <v>152.4</v>
      </c>
      <c r="G154" s="669">
        <f t="shared" si="36"/>
        <v>101739.19200000001</v>
      </c>
      <c r="H154" s="670" t="s">
        <v>690</v>
      </c>
      <c r="I154" s="642"/>
      <c r="J154" s="776">
        <v>608.33000000000004</v>
      </c>
      <c r="K154" s="829">
        <f t="shared" si="29"/>
        <v>667.58</v>
      </c>
    </row>
    <row r="155" spans="2:11" x14ac:dyDescent="0.3">
      <c r="B155" s="666">
        <v>800802</v>
      </c>
      <c r="C155" s="666" t="s">
        <v>766</v>
      </c>
      <c r="D155" s="668" t="s">
        <v>548</v>
      </c>
      <c r="E155" s="776">
        <f t="shared" si="37"/>
        <v>15.02</v>
      </c>
      <c r="F155" s="774">
        <v>9144</v>
      </c>
      <c r="G155" s="669">
        <f t="shared" si="36"/>
        <v>137342.88</v>
      </c>
      <c r="H155" s="670" t="s">
        <v>690</v>
      </c>
      <c r="I155" s="642"/>
      <c r="J155" s="776">
        <v>13.69</v>
      </c>
      <c r="K155" s="829">
        <f t="shared" si="29"/>
        <v>15.02</v>
      </c>
    </row>
    <row r="156" spans="2:11" x14ac:dyDescent="0.3">
      <c r="B156" s="666">
        <v>80803</v>
      </c>
      <c r="C156" s="666" t="s">
        <v>767</v>
      </c>
      <c r="D156" s="668" t="s">
        <v>548</v>
      </c>
      <c r="E156" s="776">
        <f t="shared" si="37"/>
        <v>11.63</v>
      </c>
      <c r="F156" s="774">
        <v>6096</v>
      </c>
      <c r="G156" s="669">
        <f t="shared" si="36"/>
        <v>70896.48000000001</v>
      </c>
      <c r="H156" s="670" t="s">
        <v>690</v>
      </c>
      <c r="I156" s="642"/>
      <c r="J156" s="776">
        <v>10.6</v>
      </c>
      <c r="K156" s="829">
        <f t="shared" si="29"/>
        <v>11.63</v>
      </c>
    </row>
    <row r="157" spans="2:11" x14ac:dyDescent="0.3">
      <c r="B157" s="666">
        <v>80602</v>
      </c>
      <c r="C157" s="666" t="s">
        <v>768</v>
      </c>
      <c r="D157" s="668" t="s">
        <v>398</v>
      </c>
      <c r="E157" s="776">
        <f t="shared" si="37"/>
        <v>31.94</v>
      </c>
      <c r="F157" s="774">
        <v>1828.8</v>
      </c>
      <c r="G157" s="669">
        <f t="shared" si="36"/>
        <v>58411.872000000003</v>
      </c>
      <c r="H157" s="670" t="s">
        <v>690</v>
      </c>
      <c r="I157" s="642"/>
      <c r="J157" s="776">
        <v>29.105580000000003</v>
      </c>
      <c r="K157" s="829">
        <f t="shared" si="29"/>
        <v>31.94</v>
      </c>
    </row>
    <row r="158" spans="2:11" x14ac:dyDescent="0.3">
      <c r="B158" s="666">
        <v>50104</v>
      </c>
      <c r="C158" s="666" t="s">
        <v>769</v>
      </c>
      <c r="D158" s="668" t="s">
        <v>398</v>
      </c>
      <c r="E158" s="776">
        <f t="shared" si="37"/>
        <v>51.96</v>
      </c>
      <c r="F158" s="774">
        <v>456</v>
      </c>
      <c r="G158" s="669">
        <f t="shared" si="36"/>
        <v>23693.760000000002</v>
      </c>
      <c r="H158" s="670" t="s">
        <v>690</v>
      </c>
      <c r="I158" s="642"/>
      <c r="J158" s="776">
        <v>47.35</v>
      </c>
      <c r="K158" s="829">
        <f t="shared" si="29"/>
        <v>51.96</v>
      </c>
    </row>
    <row r="159" spans="2:11" x14ac:dyDescent="0.3">
      <c r="B159" s="666">
        <v>40602</v>
      </c>
      <c r="C159" s="666" t="s">
        <v>760</v>
      </c>
      <c r="D159" s="668" t="s">
        <v>741</v>
      </c>
      <c r="E159" s="776">
        <f t="shared" si="37"/>
        <v>11.43</v>
      </c>
      <c r="F159" s="774">
        <v>1496</v>
      </c>
      <c r="G159" s="669">
        <f t="shared" si="36"/>
        <v>17099.28</v>
      </c>
      <c r="H159" s="670" t="s">
        <v>690</v>
      </c>
      <c r="I159" s="642"/>
      <c r="J159" s="776">
        <v>10.42</v>
      </c>
      <c r="K159" s="829">
        <f t="shared" si="29"/>
        <v>11.43</v>
      </c>
    </row>
    <row r="160" spans="2:11" ht="24.6" x14ac:dyDescent="0.3">
      <c r="B160" s="666">
        <v>40607</v>
      </c>
      <c r="C160" s="666" t="s">
        <v>761</v>
      </c>
      <c r="D160" s="668" t="s">
        <v>741</v>
      </c>
      <c r="E160" s="776">
        <f t="shared" si="37"/>
        <v>143.02000000000001</v>
      </c>
      <c r="F160" s="774">
        <v>497</v>
      </c>
      <c r="G160" s="669">
        <f t="shared" si="36"/>
        <v>71080.94</v>
      </c>
      <c r="H160" s="670" t="s">
        <v>690</v>
      </c>
      <c r="I160" s="642"/>
      <c r="J160" s="776">
        <v>130.33000000000001</v>
      </c>
      <c r="K160" s="829">
        <f t="shared" si="29"/>
        <v>143.02000000000001</v>
      </c>
    </row>
    <row r="161" spans="2:11" x14ac:dyDescent="0.3">
      <c r="B161" s="666">
        <v>150617</v>
      </c>
      <c r="C161" s="666" t="s">
        <v>770</v>
      </c>
      <c r="D161" s="668" t="s">
        <v>702</v>
      </c>
      <c r="E161" s="776">
        <f t="shared" si="37"/>
        <v>10525.49</v>
      </c>
      <c r="F161" s="774">
        <v>1</v>
      </c>
      <c r="G161" s="669">
        <f t="shared" si="36"/>
        <v>10525.49</v>
      </c>
      <c r="H161" s="670" t="s">
        <v>865</v>
      </c>
      <c r="I161" s="642"/>
      <c r="J161" s="776">
        <f>5759.3+3832</f>
        <v>9591.2999999999993</v>
      </c>
      <c r="K161" s="829">
        <f t="shared" si="29"/>
        <v>10525.49</v>
      </c>
    </row>
    <row r="162" spans="2:11" x14ac:dyDescent="0.3">
      <c r="B162" s="663"/>
      <c r="C162" s="663" t="s">
        <v>771</v>
      </c>
      <c r="D162" s="660"/>
      <c r="E162" s="660"/>
      <c r="F162" s="660"/>
      <c r="G162" s="665">
        <f>SUM(G163:G163)</f>
        <v>2210040</v>
      </c>
      <c r="H162" s="662"/>
      <c r="I162" s="642"/>
      <c r="J162" s="642"/>
      <c r="K162" s="642"/>
    </row>
    <row r="163" spans="2:11" x14ac:dyDescent="0.3">
      <c r="B163" s="666"/>
      <c r="C163" s="666" t="s">
        <v>772</v>
      </c>
      <c r="D163" s="668" t="s">
        <v>702</v>
      </c>
      <c r="E163" s="775">
        <f>K163</f>
        <v>18417</v>
      </c>
      <c r="F163" s="774">
        <v>120</v>
      </c>
      <c r="G163" s="669">
        <f t="shared" ref="G163" si="38">E163*F163</f>
        <v>2210040</v>
      </c>
      <c r="H163" s="670" t="s">
        <v>773</v>
      </c>
      <c r="I163" s="642"/>
      <c r="J163" s="776">
        <v>16782.400000000001</v>
      </c>
      <c r="K163" s="829">
        <f t="shared" si="29"/>
        <v>18417</v>
      </c>
    </row>
    <row r="164" spans="2:11" x14ac:dyDescent="0.3">
      <c r="B164" s="671"/>
      <c r="C164" s="604"/>
      <c r="D164" s="604"/>
      <c r="E164" s="604"/>
      <c r="F164" s="606"/>
      <c r="G164" s="604"/>
      <c r="H164" s="605"/>
      <c r="I164" s="642"/>
      <c r="J164" s="642"/>
      <c r="K164" s="642"/>
    </row>
    <row r="165" spans="2:11" x14ac:dyDescent="0.3">
      <c r="B165" s="1080" t="s">
        <v>774</v>
      </c>
      <c r="C165" s="1080"/>
      <c r="D165" s="1080"/>
      <c r="E165" s="1080"/>
      <c r="F165" s="1080"/>
      <c r="G165" s="673">
        <f>G167+G168</f>
        <v>9983800.6400000006</v>
      </c>
      <c r="H165" s="658"/>
      <c r="I165" s="642"/>
      <c r="J165" s="830" t="s">
        <v>930</v>
      </c>
      <c r="K165" s="831" t="s">
        <v>931</v>
      </c>
    </row>
    <row r="166" spans="2:11" x14ac:dyDescent="0.3">
      <c r="B166" s="659" t="s">
        <v>682</v>
      </c>
      <c r="C166" s="643" t="s">
        <v>683</v>
      </c>
      <c r="D166" s="660" t="s">
        <v>216</v>
      </c>
      <c r="E166" s="660" t="s">
        <v>684</v>
      </c>
      <c r="F166" s="661" t="s">
        <v>685</v>
      </c>
      <c r="G166" s="662" t="s">
        <v>686</v>
      </c>
      <c r="H166" s="660" t="s">
        <v>687</v>
      </c>
      <c r="I166" s="642"/>
    </row>
    <row r="167" spans="2:11" x14ac:dyDescent="0.3">
      <c r="B167" s="666">
        <v>10201</v>
      </c>
      <c r="C167" s="667" t="s">
        <v>694</v>
      </c>
      <c r="D167" s="666" t="s">
        <v>398</v>
      </c>
      <c r="E167" s="773">
        <f>K167</f>
        <v>367.32</v>
      </c>
      <c r="F167" s="774">
        <v>2</v>
      </c>
      <c r="G167" s="678">
        <f t="shared" ref="G167:G168" si="39">E167*F167</f>
        <v>734.64</v>
      </c>
      <c r="H167" s="670" t="s">
        <v>690</v>
      </c>
      <c r="I167" s="642"/>
      <c r="J167" s="773">
        <v>334.72</v>
      </c>
      <c r="K167" s="829">
        <f t="shared" ref="K167:K168" si="40">TRUNC(J167*$K$58,2)</f>
        <v>367.32</v>
      </c>
    </row>
    <row r="168" spans="2:11" x14ac:dyDescent="0.3">
      <c r="B168" s="666"/>
      <c r="C168" s="666" t="s">
        <v>775</v>
      </c>
      <c r="D168" s="668" t="s">
        <v>776</v>
      </c>
      <c r="E168" s="836">
        <f>K168</f>
        <v>199661.32</v>
      </c>
      <c r="F168" s="774">
        <v>50</v>
      </c>
      <c r="G168" s="669">
        <f t="shared" si="39"/>
        <v>9983066</v>
      </c>
      <c r="H168" s="670" t="s">
        <v>773</v>
      </c>
      <c r="I168" s="642"/>
      <c r="J168" s="773">
        <v>181940.34</v>
      </c>
      <c r="K168" s="829">
        <f t="shared" si="40"/>
        <v>199661.32</v>
      </c>
    </row>
    <row r="169" spans="2:11" x14ac:dyDescent="0.3">
      <c r="B169" s="604"/>
      <c r="C169" s="604"/>
      <c r="D169" s="604"/>
      <c r="E169" s="604"/>
      <c r="F169" s="606"/>
      <c r="G169" s="604"/>
      <c r="H169" s="605"/>
      <c r="I169" s="642"/>
      <c r="J169" s="642"/>
      <c r="K169" s="642"/>
    </row>
    <row r="170" spans="2:11" x14ac:dyDescent="0.3">
      <c r="B170" s="1080" t="s">
        <v>777</v>
      </c>
      <c r="C170" s="1080"/>
      <c r="D170" s="1080"/>
      <c r="E170" s="1080"/>
      <c r="F170" s="1080"/>
      <c r="G170" s="673">
        <f>G172+G178+G183</f>
        <v>937582.37599999993</v>
      </c>
      <c r="H170" s="717"/>
      <c r="I170" s="642"/>
      <c r="J170" s="642"/>
      <c r="K170" s="642"/>
    </row>
    <row r="171" spans="2:11" x14ac:dyDescent="0.3">
      <c r="B171" s="659" t="s">
        <v>682</v>
      </c>
      <c r="C171" s="643" t="s">
        <v>683</v>
      </c>
      <c r="D171" s="660" t="s">
        <v>216</v>
      </c>
      <c r="E171" s="660" t="s">
        <v>684</v>
      </c>
      <c r="F171" s="661" t="s">
        <v>685</v>
      </c>
      <c r="G171" s="662" t="s">
        <v>686</v>
      </c>
      <c r="H171" s="660" t="s">
        <v>687</v>
      </c>
      <c r="I171" s="642"/>
      <c r="J171" s="830" t="s">
        <v>930</v>
      </c>
      <c r="K171" s="831" t="s">
        <v>931</v>
      </c>
    </row>
    <row r="172" spans="2:11" x14ac:dyDescent="0.3">
      <c r="B172" s="659"/>
      <c r="C172" s="663" t="s">
        <v>688</v>
      </c>
      <c r="D172" s="663"/>
      <c r="E172" s="663"/>
      <c r="F172" s="664"/>
      <c r="G172" s="675">
        <f>SUM(G173:G177)</f>
        <v>6362.18</v>
      </c>
      <c r="H172" s="662"/>
      <c r="I172" s="642"/>
      <c r="J172" s="642"/>
      <c r="K172" s="642"/>
    </row>
    <row r="173" spans="2:11" x14ac:dyDescent="0.3">
      <c r="B173" s="666">
        <v>10102</v>
      </c>
      <c r="C173" s="667" t="s">
        <v>689</v>
      </c>
      <c r="D173" s="676" t="s">
        <v>398</v>
      </c>
      <c r="E173" s="776">
        <f>K173</f>
        <v>461.7</v>
      </c>
      <c r="F173" s="774">
        <v>3</v>
      </c>
      <c r="G173" s="677">
        <f>E173*F173</f>
        <v>1385.1</v>
      </c>
      <c r="H173" s="670" t="s">
        <v>690</v>
      </c>
      <c r="I173" s="642"/>
      <c r="J173" s="776">
        <v>420.73</v>
      </c>
      <c r="K173" s="829">
        <f t="shared" ref="K173:K177" si="41">TRUNC(J173*$K$58,2)</f>
        <v>461.7</v>
      </c>
    </row>
    <row r="174" spans="2:11" x14ac:dyDescent="0.3">
      <c r="B174" s="666">
        <v>10103</v>
      </c>
      <c r="C174" s="667" t="s">
        <v>691</v>
      </c>
      <c r="D174" s="676" t="s">
        <v>398</v>
      </c>
      <c r="E174" s="776">
        <f t="shared" ref="E174:E177" si="42">K174</f>
        <v>353.54</v>
      </c>
      <c r="F174" s="774">
        <v>5</v>
      </c>
      <c r="G174" s="678">
        <f>E174*F174</f>
        <v>1767.7</v>
      </c>
      <c r="H174" s="670" t="s">
        <v>690</v>
      </c>
      <c r="I174" s="642"/>
      <c r="J174" s="776">
        <v>322.17</v>
      </c>
      <c r="K174" s="829">
        <f t="shared" si="41"/>
        <v>353.54</v>
      </c>
    </row>
    <row r="175" spans="2:11" x14ac:dyDescent="0.3">
      <c r="B175" s="666">
        <v>10104</v>
      </c>
      <c r="C175" s="667" t="s">
        <v>692</v>
      </c>
      <c r="D175" s="676" t="s">
        <v>398</v>
      </c>
      <c r="E175" s="776">
        <f t="shared" si="42"/>
        <v>658.52</v>
      </c>
      <c r="F175" s="774">
        <v>2</v>
      </c>
      <c r="G175" s="678">
        <f t="shared" ref="G175:G177" si="43">E175*F175</f>
        <v>1317.04</v>
      </c>
      <c r="H175" s="670" t="s">
        <v>690</v>
      </c>
      <c r="I175" s="642"/>
      <c r="J175" s="776">
        <v>600.08000000000004</v>
      </c>
      <c r="K175" s="829">
        <f t="shared" si="41"/>
        <v>658.52</v>
      </c>
    </row>
    <row r="176" spans="2:11" x14ac:dyDescent="0.3">
      <c r="B176" s="666">
        <v>10105</v>
      </c>
      <c r="C176" s="667" t="s">
        <v>693</v>
      </c>
      <c r="D176" s="676" t="s">
        <v>398</v>
      </c>
      <c r="E176" s="776">
        <f t="shared" si="42"/>
        <v>578.85</v>
      </c>
      <c r="F176" s="774">
        <v>2</v>
      </c>
      <c r="G176" s="678">
        <f t="shared" si="43"/>
        <v>1157.7</v>
      </c>
      <c r="H176" s="670" t="s">
        <v>690</v>
      </c>
      <c r="I176" s="642"/>
      <c r="J176" s="776">
        <v>527.48</v>
      </c>
      <c r="K176" s="829">
        <f t="shared" si="41"/>
        <v>578.85</v>
      </c>
    </row>
    <row r="177" spans="2:12" x14ac:dyDescent="0.3">
      <c r="B177" s="666">
        <v>10201</v>
      </c>
      <c r="C177" s="667" t="s">
        <v>694</v>
      </c>
      <c r="D177" s="676" t="s">
        <v>398</v>
      </c>
      <c r="E177" s="776">
        <f t="shared" si="42"/>
        <v>367.32</v>
      </c>
      <c r="F177" s="774">
        <v>2</v>
      </c>
      <c r="G177" s="678">
        <f t="shared" si="43"/>
        <v>734.64</v>
      </c>
      <c r="H177" s="670" t="s">
        <v>690</v>
      </c>
      <c r="I177" s="642"/>
      <c r="J177" s="776">
        <v>334.72</v>
      </c>
      <c r="K177" s="829">
        <f t="shared" si="41"/>
        <v>367.32</v>
      </c>
    </row>
    <row r="178" spans="2:12" x14ac:dyDescent="0.3">
      <c r="B178" s="659"/>
      <c r="C178" s="663" t="s">
        <v>695</v>
      </c>
      <c r="D178" s="660"/>
      <c r="E178" s="686"/>
      <c r="F178" s="661"/>
      <c r="G178" s="665">
        <f>SUM(G179:G182)</f>
        <v>3974.4</v>
      </c>
      <c r="H178" s="643"/>
      <c r="I178" s="642"/>
      <c r="J178" s="686"/>
      <c r="K178" s="686"/>
    </row>
    <row r="179" spans="2:12" x14ac:dyDescent="0.3">
      <c r="B179" s="666">
        <v>300101</v>
      </c>
      <c r="C179" s="666" t="s">
        <v>696</v>
      </c>
      <c r="D179" s="668" t="s">
        <v>398</v>
      </c>
      <c r="E179" s="775">
        <f>K179</f>
        <v>1.54</v>
      </c>
      <c r="F179" s="774">
        <v>400</v>
      </c>
      <c r="G179" s="669">
        <f t="shared" ref="G179:G182" si="44">E179*F179</f>
        <v>616</v>
      </c>
      <c r="H179" s="670" t="s">
        <v>690</v>
      </c>
      <c r="I179" s="642"/>
      <c r="J179" s="776">
        <v>1.41</v>
      </c>
      <c r="K179" s="829">
        <f t="shared" ref="K179:K182" si="45">TRUNC(J179*$K$58,2)</f>
        <v>1.54</v>
      </c>
    </row>
    <row r="180" spans="2:12" x14ac:dyDescent="0.3">
      <c r="B180" s="666">
        <v>300103</v>
      </c>
      <c r="C180" s="666" t="s">
        <v>697</v>
      </c>
      <c r="D180" s="668" t="s">
        <v>398</v>
      </c>
      <c r="E180" s="775">
        <f t="shared" ref="E180:E182" si="46">K180</f>
        <v>0.47</v>
      </c>
      <c r="F180" s="774">
        <v>400</v>
      </c>
      <c r="G180" s="669">
        <f t="shared" si="44"/>
        <v>188</v>
      </c>
      <c r="H180" s="670" t="s">
        <v>690</v>
      </c>
      <c r="I180" s="642"/>
      <c r="J180" s="776">
        <v>0.43</v>
      </c>
      <c r="K180" s="829">
        <f t="shared" si="45"/>
        <v>0.47</v>
      </c>
    </row>
    <row r="181" spans="2:12" x14ac:dyDescent="0.3">
      <c r="B181" s="666">
        <v>40101</v>
      </c>
      <c r="C181" s="666" t="s">
        <v>752</v>
      </c>
      <c r="D181" s="668" t="s">
        <v>741</v>
      </c>
      <c r="E181" s="775">
        <f t="shared" si="46"/>
        <v>4.4000000000000004</v>
      </c>
      <c r="F181" s="774">
        <v>120</v>
      </c>
      <c r="G181" s="669">
        <f t="shared" si="44"/>
        <v>528</v>
      </c>
      <c r="H181" s="670" t="s">
        <v>690</v>
      </c>
      <c r="I181" s="642"/>
      <c r="J181" s="776">
        <v>4.01</v>
      </c>
      <c r="K181" s="829">
        <f t="shared" si="45"/>
        <v>4.4000000000000004</v>
      </c>
    </row>
    <row r="182" spans="2:12" ht="24.6" x14ac:dyDescent="0.3">
      <c r="B182" s="666">
        <v>40503</v>
      </c>
      <c r="C182" s="666" t="s">
        <v>753</v>
      </c>
      <c r="D182" s="668" t="s">
        <v>741</v>
      </c>
      <c r="E182" s="775">
        <f t="shared" si="46"/>
        <v>7.34</v>
      </c>
      <c r="F182" s="774">
        <v>360</v>
      </c>
      <c r="G182" s="669">
        <f t="shared" si="44"/>
        <v>2642.4</v>
      </c>
      <c r="H182" s="670" t="s">
        <v>690</v>
      </c>
      <c r="I182" s="642"/>
      <c r="J182" s="776">
        <v>6.69</v>
      </c>
      <c r="K182" s="829">
        <f t="shared" si="45"/>
        <v>7.34</v>
      </c>
    </row>
    <row r="183" spans="2:12" x14ac:dyDescent="0.3">
      <c r="B183" s="663"/>
      <c r="C183" s="663" t="s">
        <v>778</v>
      </c>
      <c r="D183" s="660"/>
      <c r="E183" s="686"/>
      <c r="F183" s="661"/>
      <c r="G183" s="665">
        <f>SUM(G184:G188)</f>
        <v>927245.79599999997</v>
      </c>
      <c r="H183" s="662"/>
      <c r="I183" s="642"/>
      <c r="J183" s="686"/>
      <c r="K183" s="686"/>
    </row>
    <row r="184" spans="2:12" ht="96" x14ac:dyDescent="0.3">
      <c r="B184" s="666"/>
      <c r="C184" s="679" t="s">
        <v>779</v>
      </c>
      <c r="D184" s="668" t="s">
        <v>702</v>
      </c>
      <c r="E184" s="775">
        <f>K184</f>
        <v>912361.59</v>
      </c>
      <c r="F184" s="774">
        <v>1</v>
      </c>
      <c r="G184" s="682">
        <f t="shared" ref="G184:G188" si="47">E184*F184</f>
        <v>912361.59</v>
      </c>
      <c r="H184" s="670" t="s">
        <v>864</v>
      </c>
      <c r="I184" s="642"/>
      <c r="J184" s="775">
        <v>831384.72</v>
      </c>
      <c r="K184" s="832">
        <f t="shared" ref="K184:K188" si="48">TRUNC(J184*$K$58,2)</f>
        <v>912361.59</v>
      </c>
      <c r="L184" s="3"/>
    </row>
    <row r="185" spans="2:12" x14ac:dyDescent="0.3">
      <c r="B185" s="666">
        <v>81004</v>
      </c>
      <c r="C185" s="666" t="s">
        <v>765</v>
      </c>
      <c r="D185" s="668" t="s">
        <v>741</v>
      </c>
      <c r="E185" s="775">
        <f t="shared" ref="E185:E188" si="49">K185</f>
        <v>667.58</v>
      </c>
      <c r="F185" s="774">
        <v>7.2</v>
      </c>
      <c r="G185" s="669">
        <f t="shared" si="47"/>
        <v>4806.576</v>
      </c>
      <c r="H185" s="670" t="s">
        <v>690</v>
      </c>
      <c r="I185" s="642"/>
      <c r="J185" s="776">
        <v>608.33000000000004</v>
      </c>
      <c r="K185" s="829">
        <f t="shared" si="48"/>
        <v>667.58</v>
      </c>
    </row>
    <row r="186" spans="2:12" x14ac:dyDescent="0.3">
      <c r="B186" s="666">
        <v>800802</v>
      </c>
      <c r="C186" s="666" t="s">
        <v>766</v>
      </c>
      <c r="D186" s="668" t="s">
        <v>548</v>
      </c>
      <c r="E186" s="775">
        <f t="shared" si="49"/>
        <v>15.02</v>
      </c>
      <c r="F186" s="774">
        <v>432</v>
      </c>
      <c r="G186" s="669">
        <f t="shared" si="47"/>
        <v>6488.6399999999994</v>
      </c>
      <c r="H186" s="670" t="s">
        <v>690</v>
      </c>
      <c r="I186" s="642"/>
      <c r="J186" s="776">
        <v>13.69</v>
      </c>
      <c r="K186" s="829">
        <f t="shared" si="48"/>
        <v>15.02</v>
      </c>
    </row>
    <row r="187" spans="2:12" x14ac:dyDescent="0.3">
      <c r="B187" s="666">
        <v>80803</v>
      </c>
      <c r="C187" s="666" t="s">
        <v>767</v>
      </c>
      <c r="D187" s="668" t="s">
        <v>548</v>
      </c>
      <c r="E187" s="775">
        <f t="shared" si="49"/>
        <v>11.63</v>
      </c>
      <c r="F187" s="774">
        <v>288</v>
      </c>
      <c r="G187" s="669">
        <f t="shared" si="47"/>
        <v>3349.44</v>
      </c>
      <c r="H187" s="670" t="s">
        <v>690</v>
      </c>
      <c r="I187" s="642"/>
      <c r="J187" s="776">
        <v>10.6</v>
      </c>
      <c r="K187" s="829">
        <f t="shared" si="48"/>
        <v>11.63</v>
      </c>
    </row>
    <row r="188" spans="2:12" x14ac:dyDescent="0.3">
      <c r="B188" s="666">
        <v>80602</v>
      </c>
      <c r="C188" s="666" t="s">
        <v>768</v>
      </c>
      <c r="D188" s="668" t="s">
        <v>398</v>
      </c>
      <c r="E188" s="775">
        <f t="shared" si="49"/>
        <v>31.94</v>
      </c>
      <c r="F188" s="774">
        <v>7.5</v>
      </c>
      <c r="G188" s="669">
        <f t="shared" si="47"/>
        <v>239.55</v>
      </c>
      <c r="H188" s="670" t="s">
        <v>690</v>
      </c>
      <c r="I188" s="642"/>
      <c r="J188" s="776">
        <v>29.105580000000003</v>
      </c>
      <c r="K188" s="829">
        <f t="shared" si="48"/>
        <v>31.94</v>
      </c>
    </row>
    <row r="189" spans="2:12" x14ac:dyDescent="0.3">
      <c r="B189" s="604"/>
      <c r="C189" s="604"/>
      <c r="D189" s="604"/>
      <c r="E189" s="604"/>
      <c r="F189" s="606"/>
      <c r="G189" s="604"/>
      <c r="H189" s="605"/>
      <c r="I189" s="642"/>
      <c r="J189" s="642"/>
      <c r="K189" s="642"/>
    </row>
    <row r="190" spans="2:12" x14ac:dyDescent="0.3">
      <c r="B190" s="1080" t="s">
        <v>780</v>
      </c>
      <c r="C190" s="1080"/>
      <c r="D190" s="1080"/>
      <c r="E190" s="1080"/>
      <c r="F190" s="1080"/>
      <c r="G190" s="673">
        <f>G192+G198</f>
        <v>1064767.93</v>
      </c>
      <c r="H190" s="658"/>
      <c r="I190" s="642"/>
      <c r="J190" s="642"/>
      <c r="K190" s="642"/>
    </row>
    <row r="191" spans="2:12" x14ac:dyDescent="0.3">
      <c r="B191" s="659" t="s">
        <v>682</v>
      </c>
      <c r="C191" s="643" t="s">
        <v>683</v>
      </c>
      <c r="D191" s="660" t="s">
        <v>216</v>
      </c>
      <c r="E191" s="660" t="s">
        <v>684</v>
      </c>
      <c r="F191" s="661" t="s">
        <v>685</v>
      </c>
      <c r="G191" s="662" t="s">
        <v>686</v>
      </c>
      <c r="H191" s="660" t="s">
        <v>687</v>
      </c>
      <c r="I191" s="642"/>
      <c r="J191" s="830" t="s">
        <v>930</v>
      </c>
      <c r="K191" s="831" t="s">
        <v>931</v>
      </c>
    </row>
    <row r="192" spans="2:12" x14ac:dyDescent="0.3">
      <c r="B192" s="659"/>
      <c r="C192" s="663" t="s">
        <v>688</v>
      </c>
      <c r="D192" s="663"/>
      <c r="E192" s="663"/>
      <c r="F192" s="664"/>
      <c r="G192" s="675">
        <f>SUM(G193:G197)</f>
        <v>6362.18</v>
      </c>
      <c r="H192" s="662"/>
      <c r="I192" s="642"/>
      <c r="J192" s="642"/>
      <c r="K192" s="642"/>
    </row>
    <row r="193" spans="2:11" x14ac:dyDescent="0.3">
      <c r="B193" s="666">
        <v>10102</v>
      </c>
      <c r="C193" s="667" t="s">
        <v>689</v>
      </c>
      <c r="D193" s="676" t="s">
        <v>398</v>
      </c>
      <c r="E193" s="776">
        <f>K193</f>
        <v>461.7</v>
      </c>
      <c r="F193" s="774">
        <v>3</v>
      </c>
      <c r="G193" s="677">
        <f>E193*F193</f>
        <v>1385.1</v>
      </c>
      <c r="H193" s="670" t="s">
        <v>690</v>
      </c>
      <c r="I193" s="642"/>
      <c r="J193" s="776">
        <v>420.73</v>
      </c>
      <c r="K193" s="829">
        <f t="shared" ref="K193:K197" si="50">TRUNC(J193*$K$58,2)</f>
        <v>461.7</v>
      </c>
    </row>
    <row r="194" spans="2:11" x14ac:dyDescent="0.3">
      <c r="B194" s="666">
        <v>10103</v>
      </c>
      <c r="C194" s="667" t="s">
        <v>691</v>
      </c>
      <c r="D194" s="676" t="s">
        <v>398</v>
      </c>
      <c r="E194" s="776">
        <f t="shared" ref="E194:E197" si="51">K194</f>
        <v>353.54</v>
      </c>
      <c r="F194" s="774">
        <v>5</v>
      </c>
      <c r="G194" s="678">
        <f>E194*F194</f>
        <v>1767.7</v>
      </c>
      <c r="H194" s="670" t="s">
        <v>690</v>
      </c>
      <c r="I194" s="642"/>
      <c r="J194" s="776">
        <v>322.17</v>
      </c>
      <c r="K194" s="829">
        <f t="shared" si="50"/>
        <v>353.54</v>
      </c>
    </row>
    <row r="195" spans="2:11" x14ac:dyDescent="0.3">
      <c r="B195" s="666">
        <v>10104</v>
      </c>
      <c r="C195" s="667" t="s">
        <v>692</v>
      </c>
      <c r="D195" s="676" t="s">
        <v>398</v>
      </c>
      <c r="E195" s="776">
        <f t="shared" si="51"/>
        <v>658.52</v>
      </c>
      <c r="F195" s="774">
        <v>2</v>
      </c>
      <c r="G195" s="678">
        <f t="shared" ref="G195:G197" si="52">E195*F195</f>
        <v>1317.04</v>
      </c>
      <c r="H195" s="670" t="s">
        <v>690</v>
      </c>
      <c r="I195" s="642"/>
      <c r="J195" s="776">
        <v>600.08000000000004</v>
      </c>
      <c r="K195" s="829">
        <f t="shared" si="50"/>
        <v>658.52</v>
      </c>
    </row>
    <row r="196" spans="2:11" x14ac:dyDescent="0.3">
      <c r="B196" s="666">
        <v>10105</v>
      </c>
      <c r="C196" s="667" t="s">
        <v>693</v>
      </c>
      <c r="D196" s="676" t="s">
        <v>398</v>
      </c>
      <c r="E196" s="776">
        <f t="shared" si="51"/>
        <v>578.85</v>
      </c>
      <c r="F196" s="774">
        <v>2</v>
      </c>
      <c r="G196" s="678">
        <f t="shared" si="52"/>
        <v>1157.7</v>
      </c>
      <c r="H196" s="670" t="s">
        <v>690</v>
      </c>
      <c r="I196" s="642"/>
      <c r="J196" s="776">
        <v>527.48</v>
      </c>
      <c r="K196" s="829">
        <f t="shared" si="50"/>
        <v>578.85</v>
      </c>
    </row>
    <row r="197" spans="2:11" x14ac:dyDescent="0.3">
      <c r="B197" s="666">
        <v>10201</v>
      </c>
      <c r="C197" s="667" t="s">
        <v>694</v>
      </c>
      <c r="D197" s="676" t="s">
        <v>398</v>
      </c>
      <c r="E197" s="776">
        <f t="shared" si="51"/>
        <v>367.32</v>
      </c>
      <c r="F197" s="774">
        <v>2</v>
      </c>
      <c r="G197" s="678">
        <f t="shared" si="52"/>
        <v>734.64</v>
      </c>
      <c r="H197" s="670" t="s">
        <v>690</v>
      </c>
      <c r="I197" s="642"/>
      <c r="J197" s="776">
        <v>334.72</v>
      </c>
      <c r="K197" s="829">
        <f t="shared" si="50"/>
        <v>367.32</v>
      </c>
    </row>
    <row r="198" spans="2:11" x14ac:dyDescent="0.3">
      <c r="B198" s="663"/>
      <c r="C198" s="663" t="s">
        <v>781</v>
      </c>
      <c r="D198" s="660"/>
      <c r="E198" s="686"/>
      <c r="F198" s="661"/>
      <c r="G198" s="665">
        <f>SUM(G199:G203)</f>
        <v>1058405.75</v>
      </c>
      <c r="H198" s="662"/>
      <c r="I198" s="642"/>
      <c r="J198" s="686"/>
      <c r="K198" s="686"/>
    </row>
    <row r="199" spans="2:11" x14ac:dyDescent="0.3">
      <c r="B199" s="666"/>
      <c r="C199" s="666" t="s">
        <v>782</v>
      </c>
      <c r="D199" s="668" t="s">
        <v>783</v>
      </c>
      <c r="E199" s="776">
        <f>K199</f>
        <v>13321.04</v>
      </c>
      <c r="F199" s="774">
        <v>5</v>
      </c>
      <c r="G199" s="669">
        <f t="shared" ref="G199:G203" si="53">E199*F199</f>
        <v>66605.200000000012</v>
      </c>
      <c r="H199" s="670" t="s">
        <v>773</v>
      </c>
      <c r="I199" s="642"/>
      <c r="J199" s="776">
        <f>60693.64*0.2</f>
        <v>12138.728000000001</v>
      </c>
      <c r="K199" s="829">
        <f t="shared" ref="K199:K203" si="54">TRUNC(J199*$K$58,2)</f>
        <v>13321.04</v>
      </c>
    </row>
    <row r="200" spans="2:11" x14ac:dyDescent="0.3">
      <c r="B200" s="666"/>
      <c r="C200" s="666" t="s">
        <v>784</v>
      </c>
      <c r="D200" s="668" t="s">
        <v>783</v>
      </c>
      <c r="E200" s="776">
        <f t="shared" ref="E200:E203" si="55">K200</f>
        <v>11229.38</v>
      </c>
      <c r="F200" s="774">
        <v>10</v>
      </c>
      <c r="G200" s="669">
        <f t="shared" si="53"/>
        <v>112293.79999999999</v>
      </c>
      <c r="H200" s="670" t="s">
        <v>773</v>
      </c>
      <c r="I200" s="642"/>
      <c r="J200" s="776">
        <f>51163.57*0.2</f>
        <v>10232.714</v>
      </c>
      <c r="K200" s="829">
        <f t="shared" si="54"/>
        <v>11229.38</v>
      </c>
    </row>
    <row r="201" spans="2:11" x14ac:dyDescent="0.3">
      <c r="B201" s="666"/>
      <c r="C201" s="666" t="s">
        <v>785</v>
      </c>
      <c r="D201" s="668" t="s">
        <v>783</v>
      </c>
      <c r="E201" s="776">
        <f t="shared" si="55"/>
        <v>9270.2900000000009</v>
      </c>
      <c r="F201" s="774">
        <v>25</v>
      </c>
      <c r="G201" s="669">
        <f t="shared" si="53"/>
        <v>231757.25000000003</v>
      </c>
      <c r="H201" s="670" t="s">
        <v>773</v>
      </c>
      <c r="I201" s="642"/>
      <c r="J201" s="776">
        <f>42237.56*0.2</f>
        <v>8447.5120000000006</v>
      </c>
      <c r="K201" s="829">
        <f t="shared" si="54"/>
        <v>9270.2900000000009</v>
      </c>
    </row>
    <row r="202" spans="2:11" x14ac:dyDescent="0.3">
      <c r="B202" s="666"/>
      <c r="C202" s="666" t="s">
        <v>786</v>
      </c>
      <c r="D202" s="668" t="s">
        <v>783</v>
      </c>
      <c r="E202" s="776">
        <f t="shared" si="55"/>
        <v>5591.47</v>
      </c>
      <c r="F202" s="774">
        <v>50</v>
      </c>
      <c r="G202" s="669">
        <f t="shared" si="53"/>
        <v>279573.5</v>
      </c>
      <c r="H202" s="670" t="s">
        <v>773</v>
      </c>
      <c r="I202" s="642"/>
      <c r="J202" s="776">
        <f>25476*0.2</f>
        <v>5095.2000000000007</v>
      </c>
      <c r="K202" s="829">
        <f t="shared" si="54"/>
        <v>5591.47</v>
      </c>
    </row>
    <row r="203" spans="2:11" x14ac:dyDescent="0.3">
      <c r="B203" s="666"/>
      <c r="C203" s="666" t="s">
        <v>787</v>
      </c>
      <c r="D203" s="668" t="s">
        <v>783</v>
      </c>
      <c r="E203" s="776">
        <f t="shared" si="55"/>
        <v>4602.2</v>
      </c>
      <c r="F203" s="774">
        <v>80</v>
      </c>
      <c r="G203" s="669">
        <f t="shared" si="53"/>
        <v>368176</v>
      </c>
      <c r="H203" s="670" t="s">
        <v>773</v>
      </c>
      <c r="I203" s="642"/>
      <c r="J203" s="775">
        <f>20968.66*0.2</f>
        <v>4193.732</v>
      </c>
      <c r="K203" s="829">
        <f t="shared" si="54"/>
        <v>4602.2</v>
      </c>
    </row>
    <row r="204" spans="2:11" x14ac:dyDescent="0.3">
      <c r="B204" s="671"/>
      <c r="C204" s="671"/>
      <c r="D204" s="680"/>
      <c r="E204" s="681"/>
      <c r="F204" s="672"/>
      <c r="G204" s="681"/>
      <c r="H204" s="647"/>
      <c r="I204" s="642"/>
      <c r="J204" s="642"/>
      <c r="K204" s="642"/>
    </row>
    <row r="205" spans="2:11" x14ac:dyDescent="0.3">
      <c r="B205" s="1080" t="s">
        <v>788</v>
      </c>
      <c r="C205" s="1080"/>
      <c r="D205" s="1080"/>
      <c r="E205" s="1080"/>
      <c r="F205" s="1080"/>
      <c r="G205" s="673">
        <f>G207+G213</f>
        <v>3643394.18</v>
      </c>
      <c r="H205" s="717"/>
      <c r="I205" s="642"/>
      <c r="J205" s="642"/>
      <c r="K205" s="642"/>
    </row>
    <row r="206" spans="2:11" x14ac:dyDescent="0.3">
      <c r="B206" s="659" t="s">
        <v>682</v>
      </c>
      <c r="C206" s="643" t="s">
        <v>683</v>
      </c>
      <c r="D206" s="660" t="s">
        <v>216</v>
      </c>
      <c r="E206" s="660" t="s">
        <v>684</v>
      </c>
      <c r="F206" s="661" t="s">
        <v>685</v>
      </c>
      <c r="G206" s="662" t="s">
        <v>686</v>
      </c>
      <c r="H206" s="660" t="s">
        <v>687</v>
      </c>
      <c r="I206" s="642"/>
      <c r="J206" s="830" t="s">
        <v>930</v>
      </c>
      <c r="K206" s="831" t="s">
        <v>931</v>
      </c>
    </row>
    <row r="207" spans="2:11" x14ac:dyDescent="0.3">
      <c r="B207" s="659"/>
      <c r="C207" s="663" t="s">
        <v>688</v>
      </c>
      <c r="D207" s="663"/>
      <c r="E207" s="663"/>
      <c r="F207" s="664"/>
      <c r="G207" s="675">
        <f>SUM(G208:G212)</f>
        <v>6362.18</v>
      </c>
      <c r="H207" s="662"/>
      <c r="I207" s="642"/>
      <c r="J207" s="642"/>
      <c r="K207" s="642"/>
    </row>
    <row r="208" spans="2:11" x14ac:dyDescent="0.3">
      <c r="B208" s="666">
        <v>10102</v>
      </c>
      <c r="C208" s="667" t="s">
        <v>689</v>
      </c>
      <c r="D208" s="676" t="s">
        <v>398</v>
      </c>
      <c r="E208" s="776">
        <f>K208</f>
        <v>461.7</v>
      </c>
      <c r="F208" s="774">
        <v>3</v>
      </c>
      <c r="G208" s="677">
        <f>E208*F208</f>
        <v>1385.1</v>
      </c>
      <c r="H208" s="670" t="s">
        <v>690</v>
      </c>
      <c r="I208" s="642"/>
      <c r="J208" s="776">
        <v>420.73</v>
      </c>
      <c r="K208" s="829">
        <f t="shared" ref="K208:K212" si="56">TRUNC(J208*$K$58,2)</f>
        <v>461.7</v>
      </c>
    </row>
    <row r="209" spans="2:11" x14ac:dyDescent="0.3">
      <c r="B209" s="666">
        <v>10103</v>
      </c>
      <c r="C209" s="667" t="s">
        <v>691</v>
      </c>
      <c r="D209" s="676" t="s">
        <v>398</v>
      </c>
      <c r="E209" s="776">
        <f t="shared" ref="E209:E212" si="57">K209</f>
        <v>353.54</v>
      </c>
      <c r="F209" s="774">
        <v>5</v>
      </c>
      <c r="G209" s="678">
        <f>E209*F209</f>
        <v>1767.7</v>
      </c>
      <c r="H209" s="670" t="s">
        <v>690</v>
      </c>
      <c r="I209" s="642"/>
      <c r="J209" s="776">
        <v>322.17</v>
      </c>
      <c r="K209" s="829">
        <f t="shared" si="56"/>
        <v>353.54</v>
      </c>
    </row>
    <row r="210" spans="2:11" x14ac:dyDescent="0.3">
      <c r="B210" s="666">
        <v>10104</v>
      </c>
      <c r="C210" s="667" t="s">
        <v>692</v>
      </c>
      <c r="D210" s="676" t="s">
        <v>398</v>
      </c>
      <c r="E210" s="776">
        <f t="shared" si="57"/>
        <v>658.52</v>
      </c>
      <c r="F210" s="774">
        <v>2</v>
      </c>
      <c r="G210" s="678">
        <f t="shared" ref="G210:G212" si="58">E210*F210</f>
        <v>1317.04</v>
      </c>
      <c r="H210" s="670" t="s">
        <v>690</v>
      </c>
      <c r="I210" s="642"/>
      <c r="J210" s="776">
        <v>600.08000000000004</v>
      </c>
      <c r="K210" s="829">
        <f t="shared" si="56"/>
        <v>658.52</v>
      </c>
    </row>
    <row r="211" spans="2:11" x14ac:dyDescent="0.3">
      <c r="B211" s="666">
        <v>10105</v>
      </c>
      <c r="C211" s="667" t="s">
        <v>693</v>
      </c>
      <c r="D211" s="676" t="s">
        <v>398</v>
      </c>
      <c r="E211" s="776">
        <f t="shared" si="57"/>
        <v>578.85</v>
      </c>
      <c r="F211" s="774">
        <v>2</v>
      </c>
      <c r="G211" s="678">
        <f t="shared" si="58"/>
        <v>1157.7</v>
      </c>
      <c r="H211" s="670" t="s">
        <v>690</v>
      </c>
      <c r="I211" s="642"/>
      <c r="J211" s="776">
        <v>527.48</v>
      </c>
      <c r="K211" s="829">
        <f t="shared" si="56"/>
        <v>578.85</v>
      </c>
    </row>
    <row r="212" spans="2:11" x14ac:dyDescent="0.3">
      <c r="B212" s="666">
        <v>10201</v>
      </c>
      <c r="C212" s="667" t="s">
        <v>694</v>
      </c>
      <c r="D212" s="676" t="s">
        <v>398</v>
      </c>
      <c r="E212" s="776">
        <f t="shared" si="57"/>
        <v>367.32</v>
      </c>
      <c r="F212" s="774">
        <v>2</v>
      </c>
      <c r="G212" s="678">
        <f t="shared" si="58"/>
        <v>734.64</v>
      </c>
      <c r="H212" s="670" t="s">
        <v>690</v>
      </c>
      <c r="I212" s="642"/>
      <c r="J212" s="776">
        <v>334.72</v>
      </c>
      <c r="K212" s="829">
        <f t="shared" si="56"/>
        <v>367.32</v>
      </c>
    </row>
    <row r="213" spans="2:11" x14ac:dyDescent="0.3">
      <c r="B213" s="663"/>
      <c r="C213" s="663" t="s">
        <v>789</v>
      </c>
      <c r="D213" s="660"/>
      <c r="E213" s="686"/>
      <c r="F213" s="661"/>
      <c r="G213" s="665">
        <f>SUM(G214:G214)</f>
        <v>3637032</v>
      </c>
      <c r="H213" s="662"/>
      <c r="I213" s="642"/>
      <c r="J213" s="686"/>
      <c r="K213" s="686"/>
    </row>
    <row r="214" spans="2:11" ht="36" x14ac:dyDescent="0.3">
      <c r="B214" s="679" t="s">
        <v>790</v>
      </c>
      <c r="C214" s="679" t="s">
        <v>791</v>
      </c>
      <c r="D214" s="668" t="s">
        <v>126</v>
      </c>
      <c r="E214" s="775">
        <f>K214</f>
        <v>2597.88</v>
      </c>
      <c r="F214" s="774">
        <v>1400</v>
      </c>
      <c r="G214" s="678">
        <f t="shared" ref="G214" si="59">E214*F214</f>
        <v>3637032</v>
      </c>
      <c r="H214" s="670" t="s">
        <v>773</v>
      </c>
      <c r="I214" s="642"/>
      <c r="J214" s="775">
        <v>2367.31</v>
      </c>
      <c r="K214" s="832">
        <f t="shared" ref="K214" si="60">TRUNC(J214*$K$58,2)</f>
        <v>2597.88</v>
      </c>
    </row>
    <row r="215" spans="2:11" ht="15" thickBot="1" x14ac:dyDescent="0.35">
      <c r="B215" s="671"/>
      <c r="C215" s="671"/>
      <c r="D215" s="680"/>
      <c r="E215" s="681"/>
      <c r="F215" s="672"/>
      <c r="G215" s="681"/>
      <c r="H215" s="647"/>
      <c r="I215" s="642"/>
      <c r="J215" s="642"/>
      <c r="K215" s="642"/>
    </row>
    <row r="216" spans="2:11" ht="15.6" thickTop="1" thickBot="1" x14ac:dyDescent="0.35">
      <c r="B216" s="649" t="s">
        <v>792</v>
      </c>
      <c r="C216" s="650"/>
      <c r="D216" s="651"/>
      <c r="E216" s="652"/>
      <c r="F216" s="653"/>
      <c r="G216" s="654">
        <f>G218+G229</f>
        <v>18343047.359999999</v>
      </c>
      <c r="H216" s="655"/>
      <c r="I216" s="642"/>
      <c r="J216" s="642"/>
      <c r="K216" s="642"/>
    </row>
    <row r="217" spans="2:11" ht="15" thickTop="1" x14ac:dyDescent="0.3">
      <c r="B217" s="671"/>
      <c r="C217" s="671"/>
      <c r="D217" s="680"/>
      <c r="E217" s="681"/>
      <c r="F217" s="672"/>
      <c r="G217" s="681"/>
      <c r="H217" s="647"/>
      <c r="I217" s="642"/>
      <c r="J217" s="642"/>
      <c r="K217" s="642"/>
    </row>
    <row r="218" spans="2:11" x14ac:dyDescent="0.3">
      <c r="B218" s="1080" t="s">
        <v>793</v>
      </c>
      <c r="C218" s="1080"/>
      <c r="D218" s="1080"/>
      <c r="E218" s="1080"/>
      <c r="F218" s="1080"/>
      <c r="G218" s="673">
        <f>G220+G226</f>
        <v>5031896.18</v>
      </c>
      <c r="H218" s="658"/>
      <c r="I218" s="642"/>
      <c r="J218" s="642"/>
      <c r="K218" s="642"/>
    </row>
    <row r="219" spans="2:11" x14ac:dyDescent="0.3">
      <c r="B219" s="659" t="s">
        <v>682</v>
      </c>
      <c r="C219" s="643" t="s">
        <v>683</v>
      </c>
      <c r="D219" s="660" t="s">
        <v>216</v>
      </c>
      <c r="E219" s="660" t="s">
        <v>684</v>
      </c>
      <c r="F219" s="661" t="s">
        <v>685</v>
      </c>
      <c r="G219" s="662" t="s">
        <v>686</v>
      </c>
      <c r="H219" s="660" t="s">
        <v>687</v>
      </c>
      <c r="I219" s="642"/>
      <c r="J219" s="830" t="s">
        <v>930</v>
      </c>
      <c r="K219" s="831" t="s">
        <v>931</v>
      </c>
    </row>
    <row r="220" spans="2:11" x14ac:dyDescent="0.3">
      <c r="B220" s="659"/>
      <c r="C220" s="663" t="s">
        <v>688</v>
      </c>
      <c r="D220" s="674"/>
      <c r="E220" s="663"/>
      <c r="F220" s="664"/>
      <c r="G220" s="683">
        <f>SUM(G221:G225)</f>
        <v>6362.18</v>
      </c>
      <c r="H220" s="662"/>
      <c r="I220" s="642"/>
      <c r="J220" s="642"/>
      <c r="K220" s="642"/>
    </row>
    <row r="221" spans="2:11" x14ac:dyDescent="0.3">
      <c r="B221" s="666">
        <v>10102</v>
      </c>
      <c r="C221" s="667" t="s">
        <v>689</v>
      </c>
      <c r="D221" s="676" t="s">
        <v>398</v>
      </c>
      <c r="E221" s="776">
        <f>K221</f>
        <v>461.7</v>
      </c>
      <c r="F221" s="774">
        <v>3</v>
      </c>
      <c r="G221" s="684">
        <f>E221*F221</f>
        <v>1385.1</v>
      </c>
      <c r="H221" s="670" t="s">
        <v>690</v>
      </c>
      <c r="I221" s="642"/>
      <c r="J221" s="776">
        <v>420.73</v>
      </c>
      <c r="K221" s="829">
        <f t="shared" ref="K221:K225" si="61">TRUNC(J221*$K$58,2)</f>
        <v>461.7</v>
      </c>
    </row>
    <row r="222" spans="2:11" x14ac:dyDescent="0.3">
      <c r="B222" s="666">
        <v>10103</v>
      </c>
      <c r="C222" s="667" t="s">
        <v>691</v>
      </c>
      <c r="D222" s="676" t="s">
        <v>398</v>
      </c>
      <c r="E222" s="776">
        <f t="shared" ref="E222:E225" si="62">K222</f>
        <v>353.54</v>
      </c>
      <c r="F222" s="774">
        <v>5</v>
      </c>
      <c r="G222" s="685">
        <f>E222*F222</f>
        <v>1767.7</v>
      </c>
      <c r="H222" s="670" t="s">
        <v>690</v>
      </c>
      <c r="I222" s="642"/>
      <c r="J222" s="776">
        <v>322.17</v>
      </c>
      <c r="K222" s="829">
        <f t="shared" si="61"/>
        <v>353.54</v>
      </c>
    </row>
    <row r="223" spans="2:11" x14ac:dyDescent="0.3">
      <c r="B223" s="666">
        <v>10104</v>
      </c>
      <c r="C223" s="667" t="s">
        <v>692</v>
      </c>
      <c r="D223" s="676" t="s">
        <v>398</v>
      </c>
      <c r="E223" s="776">
        <f t="shared" si="62"/>
        <v>658.52</v>
      </c>
      <c r="F223" s="774">
        <v>2</v>
      </c>
      <c r="G223" s="685">
        <f t="shared" ref="G223:G225" si="63">E223*F223</f>
        <v>1317.04</v>
      </c>
      <c r="H223" s="670" t="s">
        <v>690</v>
      </c>
      <c r="I223" s="642"/>
      <c r="J223" s="776">
        <v>600.08000000000004</v>
      </c>
      <c r="K223" s="829">
        <f t="shared" si="61"/>
        <v>658.52</v>
      </c>
    </row>
    <row r="224" spans="2:11" x14ac:dyDescent="0.3">
      <c r="B224" s="666">
        <v>10105</v>
      </c>
      <c r="C224" s="667" t="s">
        <v>693</v>
      </c>
      <c r="D224" s="676" t="s">
        <v>398</v>
      </c>
      <c r="E224" s="776">
        <f t="shared" si="62"/>
        <v>578.85</v>
      </c>
      <c r="F224" s="774">
        <v>2</v>
      </c>
      <c r="G224" s="685">
        <f t="shared" si="63"/>
        <v>1157.7</v>
      </c>
      <c r="H224" s="670" t="s">
        <v>690</v>
      </c>
      <c r="I224" s="642"/>
      <c r="J224" s="776">
        <v>527.48</v>
      </c>
      <c r="K224" s="829">
        <f t="shared" si="61"/>
        <v>578.85</v>
      </c>
    </row>
    <row r="225" spans="2:11" x14ac:dyDescent="0.3">
      <c r="B225" s="666">
        <v>10201</v>
      </c>
      <c r="C225" s="667" t="s">
        <v>694</v>
      </c>
      <c r="D225" s="676" t="s">
        <v>398</v>
      </c>
      <c r="E225" s="776">
        <f t="shared" si="62"/>
        <v>367.32</v>
      </c>
      <c r="F225" s="774">
        <v>2</v>
      </c>
      <c r="G225" s="685">
        <f t="shared" si="63"/>
        <v>734.64</v>
      </c>
      <c r="H225" s="670" t="s">
        <v>690</v>
      </c>
      <c r="I225" s="642"/>
      <c r="J225" s="776">
        <v>334.72</v>
      </c>
      <c r="K225" s="829">
        <f t="shared" si="61"/>
        <v>367.32</v>
      </c>
    </row>
    <row r="226" spans="2:11" x14ac:dyDescent="0.3">
      <c r="B226" s="663"/>
      <c r="C226" s="663" t="s">
        <v>794</v>
      </c>
      <c r="D226" s="660"/>
      <c r="E226" s="686"/>
      <c r="F226" s="661"/>
      <c r="G226" s="686">
        <f>SUM(G227:G227)</f>
        <v>5025534</v>
      </c>
      <c r="H226" s="662"/>
      <c r="I226" s="642"/>
      <c r="J226" s="686"/>
      <c r="K226" s="686"/>
    </row>
    <row r="227" spans="2:11" ht="24.6" x14ac:dyDescent="0.3">
      <c r="B227" s="666" t="s">
        <v>795</v>
      </c>
      <c r="C227" s="667" t="s">
        <v>796</v>
      </c>
      <c r="D227" s="676" t="s">
        <v>126</v>
      </c>
      <c r="E227" s="775">
        <f>K227</f>
        <v>1225.74</v>
      </c>
      <c r="F227" s="774">
        <v>4100</v>
      </c>
      <c r="G227" s="685">
        <f t="shared" ref="G227" si="64">E227*F227</f>
        <v>5025534</v>
      </c>
      <c r="H227" s="670" t="s">
        <v>773</v>
      </c>
      <c r="I227" s="642"/>
      <c r="J227" s="775">
        <v>1116.95</v>
      </c>
      <c r="K227" s="832">
        <f t="shared" ref="K227" si="65">TRUNC(J227*$K$58,2)</f>
        <v>1225.74</v>
      </c>
    </row>
    <row r="228" spans="2:11" x14ac:dyDescent="0.3">
      <c r="B228" s="604"/>
      <c r="C228" s="604"/>
      <c r="D228" s="604"/>
      <c r="E228" s="604"/>
      <c r="F228" s="606"/>
      <c r="G228" s="604"/>
      <c r="H228" s="605"/>
      <c r="I228" s="642"/>
      <c r="J228" s="642"/>
      <c r="K228" s="642"/>
    </row>
    <row r="229" spans="2:11" x14ac:dyDescent="0.3">
      <c r="B229" s="1080" t="s">
        <v>797</v>
      </c>
      <c r="C229" s="1080"/>
      <c r="D229" s="1080"/>
      <c r="E229" s="1080"/>
      <c r="F229" s="1080"/>
      <c r="G229" s="673">
        <f>G231+G237</f>
        <v>13311151.18</v>
      </c>
      <c r="H229" s="658"/>
      <c r="I229" s="642"/>
      <c r="J229" s="642"/>
      <c r="K229" s="642"/>
    </row>
    <row r="230" spans="2:11" x14ac:dyDescent="0.3">
      <c r="B230" s="659" t="s">
        <v>682</v>
      </c>
      <c r="C230" s="643" t="s">
        <v>683</v>
      </c>
      <c r="D230" s="660" t="s">
        <v>216</v>
      </c>
      <c r="E230" s="660" t="s">
        <v>684</v>
      </c>
      <c r="F230" s="661" t="s">
        <v>685</v>
      </c>
      <c r="G230" s="662" t="s">
        <v>686</v>
      </c>
      <c r="H230" s="660" t="s">
        <v>687</v>
      </c>
      <c r="I230" s="642"/>
      <c r="J230" s="830" t="s">
        <v>930</v>
      </c>
      <c r="K230" s="831" t="s">
        <v>931</v>
      </c>
    </row>
    <row r="231" spans="2:11" x14ac:dyDescent="0.3">
      <c r="B231" s="659"/>
      <c r="C231" s="663" t="s">
        <v>688</v>
      </c>
      <c r="D231" s="660"/>
      <c r="E231" s="660"/>
      <c r="F231" s="664"/>
      <c r="G231" s="683">
        <f>SUM(G232:G236)</f>
        <v>6362.18</v>
      </c>
      <c r="H231" s="662"/>
      <c r="I231" s="642"/>
      <c r="J231" s="642"/>
      <c r="K231" s="642"/>
    </row>
    <row r="232" spans="2:11" x14ac:dyDescent="0.3">
      <c r="B232" s="666">
        <v>10102</v>
      </c>
      <c r="C232" s="667" t="s">
        <v>689</v>
      </c>
      <c r="D232" s="668" t="s">
        <v>398</v>
      </c>
      <c r="E232" s="775">
        <f>K232</f>
        <v>461.7</v>
      </c>
      <c r="F232" s="774">
        <v>3</v>
      </c>
      <c r="G232" s="687">
        <f>E232*F232</f>
        <v>1385.1</v>
      </c>
      <c r="H232" s="670" t="s">
        <v>690</v>
      </c>
      <c r="I232" s="642"/>
      <c r="J232" s="775">
        <v>420.73</v>
      </c>
      <c r="K232" s="829">
        <f t="shared" ref="K232:K236" si="66">TRUNC(J232*$K$58,2)</f>
        <v>461.7</v>
      </c>
    </row>
    <row r="233" spans="2:11" x14ac:dyDescent="0.3">
      <c r="B233" s="666">
        <v>10103</v>
      </c>
      <c r="C233" s="667" t="s">
        <v>691</v>
      </c>
      <c r="D233" s="668" t="s">
        <v>398</v>
      </c>
      <c r="E233" s="775">
        <f t="shared" ref="E233:E236" si="67">K233</f>
        <v>353.54</v>
      </c>
      <c r="F233" s="774">
        <v>5</v>
      </c>
      <c r="G233" s="685">
        <f>E233*F233</f>
        <v>1767.7</v>
      </c>
      <c r="H233" s="670" t="s">
        <v>690</v>
      </c>
      <c r="I233" s="642"/>
      <c r="J233" s="775">
        <v>322.17</v>
      </c>
      <c r="K233" s="829">
        <f t="shared" si="66"/>
        <v>353.54</v>
      </c>
    </row>
    <row r="234" spans="2:11" x14ac:dyDescent="0.3">
      <c r="B234" s="666">
        <v>10104</v>
      </c>
      <c r="C234" s="667" t="s">
        <v>692</v>
      </c>
      <c r="D234" s="668" t="s">
        <v>398</v>
      </c>
      <c r="E234" s="775">
        <f t="shared" si="67"/>
        <v>658.52</v>
      </c>
      <c r="F234" s="774">
        <v>2</v>
      </c>
      <c r="G234" s="685">
        <f t="shared" ref="G234:G236" si="68">E234*F234</f>
        <v>1317.04</v>
      </c>
      <c r="H234" s="670" t="s">
        <v>690</v>
      </c>
      <c r="I234" s="642"/>
      <c r="J234" s="775">
        <v>600.08000000000004</v>
      </c>
      <c r="K234" s="829">
        <f t="shared" si="66"/>
        <v>658.52</v>
      </c>
    </row>
    <row r="235" spans="2:11" x14ac:dyDescent="0.3">
      <c r="B235" s="666">
        <v>10105</v>
      </c>
      <c r="C235" s="667" t="s">
        <v>693</v>
      </c>
      <c r="D235" s="668" t="s">
        <v>398</v>
      </c>
      <c r="E235" s="775">
        <f t="shared" si="67"/>
        <v>578.85</v>
      </c>
      <c r="F235" s="774">
        <v>2</v>
      </c>
      <c r="G235" s="685">
        <f t="shared" si="68"/>
        <v>1157.7</v>
      </c>
      <c r="H235" s="670" t="s">
        <v>690</v>
      </c>
      <c r="I235" s="642"/>
      <c r="J235" s="775">
        <v>527.48</v>
      </c>
      <c r="K235" s="829">
        <f t="shared" si="66"/>
        <v>578.85</v>
      </c>
    </row>
    <row r="236" spans="2:11" x14ac:dyDescent="0.3">
      <c r="B236" s="666">
        <v>10201</v>
      </c>
      <c r="C236" s="667" t="s">
        <v>694</v>
      </c>
      <c r="D236" s="668" t="s">
        <v>398</v>
      </c>
      <c r="E236" s="775">
        <f t="shared" si="67"/>
        <v>367.32</v>
      </c>
      <c r="F236" s="774">
        <v>2</v>
      </c>
      <c r="G236" s="685">
        <f t="shared" si="68"/>
        <v>734.64</v>
      </c>
      <c r="H236" s="670" t="s">
        <v>690</v>
      </c>
      <c r="I236" s="642"/>
      <c r="J236" s="775">
        <v>334.72</v>
      </c>
      <c r="K236" s="829">
        <f t="shared" si="66"/>
        <v>367.32</v>
      </c>
    </row>
    <row r="237" spans="2:11" x14ac:dyDescent="0.3">
      <c r="B237" s="663"/>
      <c r="C237" s="663" t="s">
        <v>798</v>
      </c>
      <c r="D237" s="660"/>
      <c r="E237" s="665"/>
      <c r="F237" s="661"/>
      <c r="G237" s="665">
        <f>SUM(G238:G239)</f>
        <v>13304789</v>
      </c>
      <c r="H237" s="662"/>
      <c r="I237" s="642"/>
      <c r="J237" s="665"/>
      <c r="K237" s="665"/>
    </row>
    <row r="238" spans="2:11" ht="36.6" x14ac:dyDescent="0.3">
      <c r="B238" s="666" t="s">
        <v>799</v>
      </c>
      <c r="C238" s="667" t="s">
        <v>800</v>
      </c>
      <c r="D238" s="668" t="s">
        <v>126</v>
      </c>
      <c r="E238" s="775">
        <f>K238</f>
        <v>511.1</v>
      </c>
      <c r="F238" s="774">
        <v>8900</v>
      </c>
      <c r="G238" s="685">
        <f t="shared" ref="G238:G239" si="69">E238*F238</f>
        <v>4548790</v>
      </c>
      <c r="H238" s="670" t="s">
        <v>773</v>
      </c>
      <c r="I238" s="642"/>
      <c r="J238" s="775">
        <v>465.74</v>
      </c>
      <c r="K238" s="832">
        <f t="shared" ref="K238:K239" si="70">TRUNC(J238*$K$58,2)</f>
        <v>511.1</v>
      </c>
    </row>
    <row r="239" spans="2:11" ht="36.6" x14ac:dyDescent="0.3">
      <c r="B239" s="666" t="s">
        <v>801</v>
      </c>
      <c r="C239" s="667" t="s">
        <v>802</v>
      </c>
      <c r="D239" s="668" t="s">
        <v>126</v>
      </c>
      <c r="E239" s="775">
        <f>K239</f>
        <v>862.66</v>
      </c>
      <c r="F239" s="774">
        <v>10150</v>
      </c>
      <c r="G239" s="685">
        <f t="shared" si="69"/>
        <v>8755999</v>
      </c>
      <c r="H239" s="670" t="s">
        <v>773</v>
      </c>
      <c r="I239" s="642"/>
      <c r="J239" s="775">
        <v>786.1</v>
      </c>
      <c r="K239" s="832">
        <f t="shared" si="70"/>
        <v>862.66</v>
      </c>
    </row>
    <row r="240" spans="2:11" ht="15" thickBot="1" x14ac:dyDescent="0.35">
      <c r="B240" s="604"/>
      <c r="C240" s="604"/>
      <c r="D240" s="604"/>
      <c r="E240" s="604"/>
      <c r="F240" s="606"/>
      <c r="G240" s="604"/>
      <c r="H240" s="605"/>
      <c r="I240" s="642"/>
      <c r="J240" s="642"/>
      <c r="K240" s="642"/>
    </row>
    <row r="241" spans="2:11" ht="15.6" thickTop="1" thickBot="1" x14ac:dyDescent="0.35">
      <c r="B241" s="649" t="s">
        <v>803</v>
      </c>
      <c r="C241" s="650"/>
      <c r="D241" s="651"/>
      <c r="E241" s="652"/>
      <c r="F241" s="653"/>
      <c r="G241" s="654">
        <f>G243</f>
        <v>8641454.9000000004</v>
      </c>
      <c r="H241" s="655"/>
      <c r="I241" s="642"/>
      <c r="J241" s="642"/>
      <c r="K241" s="642"/>
    </row>
    <row r="242" spans="2:11" ht="15" thickTop="1" x14ac:dyDescent="0.3">
      <c r="B242" s="604"/>
      <c r="C242" s="604"/>
      <c r="D242" s="604"/>
      <c r="E242" s="604"/>
      <c r="F242" s="606"/>
      <c r="G242" s="604"/>
      <c r="H242" s="605"/>
      <c r="I242" s="642"/>
      <c r="J242" s="642"/>
      <c r="K242" s="642"/>
    </row>
    <row r="243" spans="2:11" x14ac:dyDescent="0.3">
      <c r="B243" s="1080" t="s">
        <v>804</v>
      </c>
      <c r="C243" s="1080"/>
      <c r="D243" s="1080"/>
      <c r="E243" s="1080"/>
      <c r="F243" s="1080"/>
      <c r="G243" s="673">
        <f>G245+G254+G263+G272+G281</f>
        <v>8641454.9000000004</v>
      </c>
      <c r="H243" s="718"/>
      <c r="I243" s="642"/>
      <c r="J243" s="642"/>
      <c r="K243" s="642"/>
    </row>
    <row r="244" spans="2:11" x14ac:dyDescent="0.3">
      <c r="B244" s="659" t="s">
        <v>682</v>
      </c>
      <c r="C244" s="643" t="s">
        <v>683</v>
      </c>
      <c r="D244" s="660" t="s">
        <v>216</v>
      </c>
      <c r="E244" s="660" t="s">
        <v>684</v>
      </c>
      <c r="F244" s="661" t="s">
        <v>685</v>
      </c>
      <c r="G244" s="662" t="s">
        <v>686</v>
      </c>
      <c r="H244" s="660" t="s">
        <v>687</v>
      </c>
      <c r="I244" s="642"/>
      <c r="J244" s="830" t="s">
        <v>930</v>
      </c>
      <c r="K244" s="831" t="s">
        <v>931</v>
      </c>
    </row>
    <row r="245" spans="2:11" x14ac:dyDescent="0.3">
      <c r="B245" s="659"/>
      <c r="C245" s="643" t="s">
        <v>805</v>
      </c>
      <c r="D245" s="660"/>
      <c r="E245" s="660"/>
      <c r="F245" s="661"/>
      <c r="G245" s="683">
        <f>G246+G252</f>
        <v>565578.18000000005</v>
      </c>
      <c r="H245" s="660"/>
      <c r="I245" s="642"/>
      <c r="J245" s="642"/>
      <c r="K245" s="642"/>
    </row>
    <row r="246" spans="2:11" x14ac:dyDescent="0.3">
      <c r="B246" s="659"/>
      <c r="C246" s="663" t="s">
        <v>688</v>
      </c>
      <c r="D246" s="660"/>
      <c r="E246" s="660"/>
      <c r="F246" s="664"/>
      <c r="G246" s="683">
        <f>SUM(G247:G251)</f>
        <v>6362.18</v>
      </c>
      <c r="H246" s="662"/>
      <c r="I246" s="642"/>
      <c r="J246" s="642"/>
      <c r="K246" s="642"/>
    </row>
    <row r="247" spans="2:11" x14ac:dyDescent="0.3">
      <c r="B247" s="666">
        <v>10102</v>
      </c>
      <c r="C247" s="667" t="s">
        <v>689</v>
      </c>
      <c r="D247" s="668" t="s">
        <v>398</v>
      </c>
      <c r="E247" s="775">
        <f>K247</f>
        <v>461.7</v>
      </c>
      <c r="F247" s="774">
        <v>3</v>
      </c>
      <c r="G247" s="687">
        <f>E247*F247</f>
        <v>1385.1</v>
      </c>
      <c r="H247" s="670" t="s">
        <v>690</v>
      </c>
      <c r="I247" s="642"/>
      <c r="J247" s="775">
        <v>420.73</v>
      </c>
      <c r="K247" s="829">
        <f t="shared" ref="K247:K253" si="71">TRUNC(J247*$K$58,2)</f>
        <v>461.7</v>
      </c>
    </row>
    <row r="248" spans="2:11" x14ac:dyDescent="0.3">
      <c r="B248" s="666">
        <v>10103</v>
      </c>
      <c r="C248" s="667" t="s">
        <v>691</v>
      </c>
      <c r="D248" s="668" t="s">
        <v>398</v>
      </c>
      <c r="E248" s="775">
        <f t="shared" ref="E248:E251" si="72">K248</f>
        <v>353.54</v>
      </c>
      <c r="F248" s="774">
        <v>5</v>
      </c>
      <c r="G248" s="685">
        <f>E248*F248</f>
        <v>1767.7</v>
      </c>
      <c r="H248" s="670" t="s">
        <v>690</v>
      </c>
      <c r="I248" s="642"/>
      <c r="J248" s="775">
        <v>322.17</v>
      </c>
      <c r="K248" s="829">
        <f t="shared" si="71"/>
        <v>353.54</v>
      </c>
    </row>
    <row r="249" spans="2:11" x14ac:dyDescent="0.3">
      <c r="B249" s="666">
        <v>10104</v>
      </c>
      <c r="C249" s="667" t="s">
        <v>692</v>
      </c>
      <c r="D249" s="668" t="s">
        <v>398</v>
      </c>
      <c r="E249" s="775">
        <f t="shared" si="72"/>
        <v>658.52</v>
      </c>
      <c r="F249" s="774">
        <v>2</v>
      </c>
      <c r="G249" s="685">
        <f t="shared" ref="G249:G251" si="73">E249*F249</f>
        <v>1317.04</v>
      </c>
      <c r="H249" s="670" t="s">
        <v>690</v>
      </c>
      <c r="I249" s="642"/>
      <c r="J249" s="775">
        <v>600.08000000000004</v>
      </c>
      <c r="K249" s="829">
        <f t="shared" si="71"/>
        <v>658.52</v>
      </c>
    </row>
    <row r="250" spans="2:11" x14ac:dyDescent="0.3">
      <c r="B250" s="666">
        <v>10105</v>
      </c>
      <c r="C250" s="667" t="s">
        <v>693</v>
      </c>
      <c r="D250" s="668" t="s">
        <v>398</v>
      </c>
      <c r="E250" s="775">
        <f t="shared" si="72"/>
        <v>578.85</v>
      </c>
      <c r="F250" s="774">
        <v>2</v>
      </c>
      <c r="G250" s="685">
        <f t="shared" si="73"/>
        <v>1157.7</v>
      </c>
      <c r="H250" s="670" t="s">
        <v>690</v>
      </c>
      <c r="I250" s="642"/>
      <c r="J250" s="775">
        <v>527.48</v>
      </c>
      <c r="K250" s="829">
        <f t="shared" si="71"/>
        <v>578.85</v>
      </c>
    </row>
    <row r="251" spans="2:11" x14ac:dyDescent="0.3">
      <c r="B251" s="666">
        <v>10201</v>
      </c>
      <c r="C251" s="667" t="s">
        <v>694</v>
      </c>
      <c r="D251" s="668" t="s">
        <v>398</v>
      </c>
      <c r="E251" s="775">
        <f t="shared" si="72"/>
        <v>367.32</v>
      </c>
      <c r="F251" s="774">
        <v>2</v>
      </c>
      <c r="G251" s="685">
        <f t="shared" si="73"/>
        <v>734.64</v>
      </c>
      <c r="H251" s="670" t="s">
        <v>690</v>
      </c>
      <c r="I251" s="642"/>
      <c r="J251" s="775">
        <v>334.72</v>
      </c>
      <c r="K251" s="829">
        <f t="shared" si="71"/>
        <v>367.32</v>
      </c>
    </row>
    <row r="252" spans="2:11" x14ac:dyDescent="0.3">
      <c r="B252" s="666"/>
      <c r="C252" s="663" t="s">
        <v>806</v>
      </c>
      <c r="D252" s="660"/>
      <c r="E252" s="660"/>
      <c r="F252" s="664"/>
      <c r="G252" s="683">
        <f>SUM(G253:G253)</f>
        <v>559216</v>
      </c>
      <c r="H252" s="670"/>
      <c r="I252" s="642"/>
      <c r="J252" s="660"/>
      <c r="K252" s="660"/>
    </row>
    <row r="253" spans="2:11" x14ac:dyDescent="0.3">
      <c r="B253" s="666"/>
      <c r="C253" s="667" t="s">
        <v>807</v>
      </c>
      <c r="D253" s="668" t="s">
        <v>741</v>
      </c>
      <c r="E253" s="775">
        <f>K253</f>
        <v>5592.16</v>
      </c>
      <c r="F253" s="774">
        <v>100</v>
      </c>
      <c r="G253" s="685">
        <f t="shared" ref="G253" si="74">E253*F253</f>
        <v>559216</v>
      </c>
      <c r="H253" s="670" t="s">
        <v>773</v>
      </c>
      <c r="I253" s="642"/>
      <c r="J253" s="775">
        <v>5095.83</v>
      </c>
      <c r="K253" s="829">
        <f t="shared" si="71"/>
        <v>5592.16</v>
      </c>
    </row>
    <row r="254" spans="2:11" x14ac:dyDescent="0.3">
      <c r="B254" s="659"/>
      <c r="C254" s="643" t="s">
        <v>808</v>
      </c>
      <c r="D254" s="660"/>
      <c r="E254" s="660"/>
      <c r="F254" s="661"/>
      <c r="G254" s="683">
        <f>G255+G261</f>
        <v>1285334.18</v>
      </c>
      <c r="H254" s="660"/>
      <c r="I254" s="642"/>
      <c r="J254" s="660"/>
      <c r="K254" s="660"/>
    </row>
    <row r="255" spans="2:11" x14ac:dyDescent="0.3">
      <c r="B255" s="659"/>
      <c r="C255" s="663" t="s">
        <v>688</v>
      </c>
      <c r="D255" s="660"/>
      <c r="E255" s="660"/>
      <c r="F255" s="664"/>
      <c r="G255" s="683">
        <f>SUM(G256:G260)</f>
        <v>6362.18</v>
      </c>
      <c r="H255" s="662"/>
      <c r="I255" s="642"/>
      <c r="J255" s="660"/>
      <c r="K255" s="660"/>
    </row>
    <row r="256" spans="2:11" x14ac:dyDescent="0.3">
      <c r="B256" s="666">
        <v>10102</v>
      </c>
      <c r="C256" s="667" t="s">
        <v>689</v>
      </c>
      <c r="D256" s="668" t="s">
        <v>398</v>
      </c>
      <c r="E256" s="775">
        <f>K256</f>
        <v>461.7</v>
      </c>
      <c r="F256" s="774">
        <v>3</v>
      </c>
      <c r="G256" s="687">
        <f>E256*F256</f>
        <v>1385.1</v>
      </c>
      <c r="H256" s="670" t="s">
        <v>690</v>
      </c>
      <c r="I256" s="642"/>
      <c r="J256" s="775">
        <v>420.73</v>
      </c>
      <c r="K256" s="829">
        <f t="shared" ref="K256:K260" si="75">TRUNC(J256*$K$58,2)</f>
        <v>461.7</v>
      </c>
    </row>
    <row r="257" spans="2:11" x14ac:dyDescent="0.3">
      <c r="B257" s="666">
        <v>10103</v>
      </c>
      <c r="C257" s="667" t="s">
        <v>691</v>
      </c>
      <c r="D257" s="668" t="s">
        <v>398</v>
      </c>
      <c r="E257" s="775">
        <f t="shared" ref="E257:E260" si="76">K257</f>
        <v>353.54</v>
      </c>
      <c r="F257" s="774">
        <v>5</v>
      </c>
      <c r="G257" s="685">
        <f>E257*F257</f>
        <v>1767.7</v>
      </c>
      <c r="H257" s="670" t="s">
        <v>690</v>
      </c>
      <c r="I257" s="642"/>
      <c r="J257" s="775">
        <v>322.17</v>
      </c>
      <c r="K257" s="829">
        <f t="shared" si="75"/>
        <v>353.54</v>
      </c>
    </row>
    <row r="258" spans="2:11" x14ac:dyDescent="0.3">
      <c r="B258" s="666">
        <v>10104</v>
      </c>
      <c r="C258" s="667" t="s">
        <v>692</v>
      </c>
      <c r="D258" s="668" t="s">
        <v>398</v>
      </c>
      <c r="E258" s="775">
        <f t="shared" si="76"/>
        <v>658.52</v>
      </c>
      <c r="F258" s="774">
        <v>2</v>
      </c>
      <c r="G258" s="685">
        <f t="shared" ref="G258:G260" si="77">E258*F258</f>
        <v>1317.04</v>
      </c>
      <c r="H258" s="670" t="s">
        <v>690</v>
      </c>
      <c r="I258" s="642"/>
      <c r="J258" s="775">
        <v>600.08000000000004</v>
      </c>
      <c r="K258" s="829">
        <f t="shared" si="75"/>
        <v>658.52</v>
      </c>
    </row>
    <row r="259" spans="2:11" x14ac:dyDescent="0.3">
      <c r="B259" s="666">
        <v>10105</v>
      </c>
      <c r="C259" s="667" t="s">
        <v>693</v>
      </c>
      <c r="D259" s="668" t="s">
        <v>398</v>
      </c>
      <c r="E259" s="775">
        <f t="shared" si="76"/>
        <v>578.85</v>
      </c>
      <c r="F259" s="774">
        <v>2</v>
      </c>
      <c r="G259" s="685">
        <f t="shared" si="77"/>
        <v>1157.7</v>
      </c>
      <c r="H259" s="670" t="s">
        <v>690</v>
      </c>
      <c r="I259" s="642"/>
      <c r="J259" s="775">
        <v>527.48</v>
      </c>
      <c r="K259" s="829">
        <f t="shared" si="75"/>
        <v>578.85</v>
      </c>
    </row>
    <row r="260" spans="2:11" x14ac:dyDescent="0.3">
      <c r="B260" s="666">
        <v>10201</v>
      </c>
      <c r="C260" s="667" t="s">
        <v>694</v>
      </c>
      <c r="D260" s="668" t="s">
        <v>398</v>
      </c>
      <c r="E260" s="775">
        <f t="shared" si="76"/>
        <v>367.32</v>
      </c>
      <c r="F260" s="774">
        <v>2</v>
      </c>
      <c r="G260" s="685">
        <f t="shared" si="77"/>
        <v>734.64</v>
      </c>
      <c r="H260" s="670" t="s">
        <v>690</v>
      </c>
      <c r="I260" s="642"/>
      <c r="J260" s="775">
        <v>334.72</v>
      </c>
      <c r="K260" s="829">
        <f t="shared" si="75"/>
        <v>367.32</v>
      </c>
    </row>
    <row r="261" spans="2:11" x14ac:dyDescent="0.3">
      <c r="B261" s="666"/>
      <c r="C261" s="663" t="s">
        <v>806</v>
      </c>
      <c r="D261" s="660"/>
      <c r="E261" s="660"/>
      <c r="F261" s="664"/>
      <c r="G261" s="683">
        <f>SUM(G262:G262)</f>
        <v>1278972</v>
      </c>
      <c r="H261" s="670"/>
      <c r="I261" s="642"/>
      <c r="J261" s="660"/>
      <c r="K261" s="660"/>
    </row>
    <row r="262" spans="2:11" x14ac:dyDescent="0.3">
      <c r="B262" s="666"/>
      <c r="C262" s="667" t="s">
        <v>809</v>
      </c>
      <c r="D262" s="668" t="s">
        <v>741</v>
      </c>
      <c r="E262" s="775">
        <f>K262</f>
        <v>4263.24</v>
      </c>
      <c r="F262" s="774">
        <v>300</v>
      </c>
      <c r="G262" s="685">
        <f>E262*F262</f>
        <v>1278972</v>
      </c>
      <c r="H262" s="670" t="s">
        <v>773</v>
      </c>
      <c r="I262" s="642"/>
      <c r="J262" s="775">
        <v>3884.86</v>
      </c>
      <c r="K262" s="829">
        <f t="shared" ref="K262" si="78">TRUNC(J262*$K$58,2)</f>
        <v>4263.24</v>
      </c>
    </row>
    <row r="263" spans="2:11" x14ac:dyDescent="0.3">
      <c r="B263" s="659"/>
      <c r="C263" s="643" t="s">
        <v>810</v>
      </c>
      <c r="D263" s="660"/>
      <c r="E263" s="660"/>
      <c r="F263" s="661"/>
      <c r="G263" s="683">
        <f>G264+G270</f>
        <v>1887322.18</v>
      </c>
      <c r="H263" s="660"/>
      <c r="I263" s="642"/>
      <c r="J263" s="660"/>
      <c r="K263" s="660"/>
    </row>
    <row r="264" spans="2:11" x14ac:dyDescent="0.3">
      <c r="B264" s="659"/>
      <c r="C264" s="663" t="s">
        <v>688</v>
      </c>
      <c r="D264" s="660"/>
      <c r="E264" s="660"/>
      <c r="F264" s="664"/>
      <c r="G264" s="683">
        <f>SUM(G265:G269)</f>
        <v>6362.18</v>
      </c>
      <c r="H264" s="662"/>
      <c r="I264" s="642"/>
      <c r="J264" s="660"/>
      <c r="K264" s="660"/>
    </row>
    <row r="265" spans="2:11" x14ac:dyDescent="0.3">
      <c r="B265" s="666">
        <v>10102</v>
      </c>
      <c r="C265" s="667" t="s">
        <v>689</v>
      </c>
      <c r="D265" s="668" t="s">
        <v>398</v>
      </c>
      <c r="E265" s="775">
        <f>K265</f>
        <v>461.7</v>
      </c>
      <c r="F265" s="774">
        <v>3</v>
      </c>
      <c r="G265" s="687">
        <f>E265*F265</f>
        <v>1385.1</v>
      </c>
      <c r="H265" s="670" t="s">
        <v>690</v>
      </c>
      <c r="I265" s="642"/>
      <c r="J265" s="775">
        <v>420.73</v>
      </c>
      <c r="K265" s="829">
        <f t="shared" ref="K265:K269" si="79">TRUNC(J265*$K$58,2)</f>
        <v>461.7</v>
      </c>
    </row>
    <row r="266" spans="2:11" x14ac:dyDescent="0.3">
      <c r="B266" s="666">
        <v>10103</v>
      </c>
      <c r="C266" s="667" t="s">
        <v>691</v>
      </c>
      <c r="D266" s="668" t="s">
        <v>398</v>
      </c>
      <c r="E266" s="775">
        <f t="shared" ref="E266:E269" si="80">K266</f>
        <v>353.54</v>
      </c>
      <c r="F266" s="774">
        <v>5</v>
      </c>
      <c r="G266" s="685">
        <f>E266*F266</f>
        <v>1767.7</v>
      </c>
      <c r="H266" s="670" t="s">
        <v>690</v>
      </c>
      <c r="I266" s="642"/>
      <c r="J266" s="775">
        <v>322.17</v>
      </c>
      <c r="K266" s="829">
        <f t="shared" si="79"/>
        <v>353.54</v>
      </c>
    </row>
    <row r="267" spans="2:11" x14ac:dyDescent="0.3">
      <c r="B267" s="666">
        <v>10104</v>
      </c>
      <c r="C267" s="667" t="s">
        <v>692</v>
      </c>
      <c r="D267" s="668" t="s">
        <v>398</v>
      </c>
      <c r="E267" s="775">
        <f t="shared" si="80"/>
        <v>658.52</v>
      </c>
      <c r="F267" s="774">
        <v>2</v>
      </c>
      <c r="G267" s="685">
        <f t="shared" ref="G267:G269" si="81">E267*F267</f>
        <v>1317.04</v>
      </c>
      <c r="H267" s="670" t="s">
        <v>690</v>
      </c>
      <c r="I267" s="642"/>
      <c r="J267" s="775">
        <v>600.08000000000004</v>
      </c>
      <c r="K267" s="829">
        <f t="shared" si="79"/>
        <v>658.52</v>
      </c>
    </row>
    <row r="268" spans="2:11" x14ac:dyDescent="0.3">
      <c r="B268" s="666">
        <v>10105</v>
      </c>
      <c r="C268" s="667" t="s">
        <v>693</v>
      </c>
      <c r="D268" s="668" t="s">
        <v>398</v>
      </c>
      <c r="E268" s="775">
        <f t="shared" si="80"/>
        <v>578.85</v>
      </c>
      <c r="F268" s="774">
        <v>2</v>
      </c>
      <c r="G268" s="685">
        <f t="shared" si="81"/>
        <v>1157.7</v>
      </c>
      <c r="H268" s="670" t="s">
        <v>690</v>
      </c>
      <c r="I268" s="642"/>
      <c r="J268" s="775">
        <v>527.48</v>
      </c>
      <c r="K268" s="829">
        <f t="shared" si="79"/>
        <v>578.85</v>
      </c>
    </row>
    <row r="269" spans="2:11" x14ac:dyDescent="0.3">
      <c r="B269" s="666">
        <v>10201</v>
      </c>
      <c r="C269" s="667" t="s">
        <v>694</v>
      </c>
      <c r="D269" s="668" t="s">
        <v>398</v>
      </c>
      <c r="E269" s="775">
        <f t="shared" si="80"/>
        <v>367.32</v>
      </c>
      <c r="F269" s="774">
        <v>2</v>
      </c>
      <c r="G269" s="685">
        <f t="shared" si="81"/>
        <v>734.64</v>
      </c>
      <c r="H269" s="670" t="s">
        <v>690</v>
      </c>
      <c r="I269" s="642"/>
      <c r="J269" s="775">
        <v>334.72</v>
      </c>
      <c r="K269" s="829">
        <f t="shared" si="79"/>
        <v>367.32</v>
      </c>
    </row>
    <row r="270" spans="2:11" x14ac:dyDescent="0.3">
      <c r="B270" s="666"/>
      <c r="C270" s="663" t="s">
        <v>806</v>
      </c>
      <c r="D270" s="660"/>
      <c r="E270" s="660"/>
      <c r="F270" s="664"/>
      <c r="G270" s="683">
        <f>SUM(G271:G271)</f>
        <v>1880960</v>
      </c>
      <c r="H270" s="670"/>
      <c r="I270" s="642"/>
      <c r="J270" s="660"/>
      <c r="K270" s="660"/>
    </row>
    <row r="271" spans="2:11" x14ac:dyDescent="0.3">
      <c r="B271" s="666"/>
      <c r="C271" s="667" t="s">
        <v>811</v>
      </c>
      <c r="D271" s="668" t="s">
        <v>741</v>
      </c>
      <c r="E271" s="775">
        <f>K271</f>
        <v>3761.92</v>
      </c>
      <c r="F271" s="774">
        <v>500</v>
      </c>
      <c r="G271" s="685">
        <f>E271*F271</f>
        <v>1880960</v>
      </c>
      <c r="H271" s="670" t="s">
        <v>773</v>
      </c>
      <c r="I271" s="642"/>
      <c r="J271" s="775">
        <v>3428.03</v>
      </c>
      <c r="K271" s="829">
        <f t="shared" ref="K271" si="82">TRUNC(J271*$K$58,2)</f>
        <v>3761.92</v>
      </c>
    </row>
    <row r="272" spans="2:11" x14ac:dyDescent="0.3">
      <c r="B272" s="659"/>
      <c r="C272" s="643" t="s">
        <v>812</v>
      </c>
      <c r="D272" s="660"/>
      <c r="E272" s="660"/>
      <c r="F272" s="661"/>
      <c r="G272" s="683">
        <f>G273+G279</f>
        <v>2075418.18</v>
      </c>
      <c r="H272" s="660"/>
      <c r="I272" s="642"/>
      <c r="J272" s="660"/>
      <c r="K272" s="660"/>
    </row>
    <row r="273" spans="2:11" x14ac:dyDescent="0.3">
      <c r="B273" s="659"/>
      <c r="C273" s="663" t="s">
        <v>688</v>
      </c>
      <c r="D273" s="660"/>
      <c r="E273" s="660"/>
      <c r="F273" s="664"/>
      <c r="G273" s="683">
        <f>SUM(G274:G278)</f>
        <v>6362.18</v>
      </c>
      <c r="H273" s="662"/>
      <c r="I273" s="642"/>
      <c r="J273" s="660"/>
      <c r="K273" s="660"/>
    </row>
    <row r="274" spans="2:11" x14ac:dyDescent="0.3">
      <c r="B274" s="666">
        <v>10102</v>
      </c>
      <c r="C274" s="667" t="s">
        <v>689</v>
      </c>
      <c r="D274" s="668" t="s">
        <v>398</v>
      </c>
      <c r="E274" s="775">
        <f>K274</f>
        <v>461.7</v>
      </c>
      <c r="F274" s="774">
        <v>3</v>
      </c>
      <c r="G274" s="687">
        <f>E274*F274</f>
        <v>1385.1</v>
      </c>
      <c r="H274" s="670" t="s">
        <v>690</v>
      </c>
      <c r="I274" s="642"/>
      <c r="J274" s="775">
        <v>420.73</v>
      </c>
      <c r="K274" s="829">
        <f t="shared" ref="K274:K278" si="83">TRUNC(J274*$K$58,2)</f>
        <v>461.7</v>
      </c>
    </row>
    <row r="275" spans="2:11" x14ac:dyDescent="0.3">
      <c r="B275" s="666">
        <v>10103</v>
      </c>
      <c r="C275" s="667" t="s">
        <v>691</v>
      </c>
      <c r="D275" s="668" t="s">
        <v>398</v>
      </c>
      <c r="E275" s="775">
        <f t="shared" ref="E275:E278" si="84">K275</f>
        <v>353.54</v>
      </c>
      <c r="F275" s="774">
        <v>5</v>
      </c>
      <c r="G275" s="685">
        <f>E275*F275</f>
        <v>1767.7</v>
      </c>
      <c r="H275" s="670" t="s">
        <v>690</v>
      </c>
      <c r="I275" s="642"/>
      <c r="J275" s="775">
        <v>322.17</v>
      </c>
      <c r="K275" s="829">
        <f t="shared" si="83"/>
        <v>353.54</v>
      </c>
    </row>
    <row r="276" spans="2:11" x14ac:dyDescent="0.3">
      <c r="B276" s="666">
        <v>10104</v>
      </c>
      <c r="C276" s="667" t="s">
        <v>692</v>
      </c>
      <c r="D276" s="668" t="s">
        <v>398</v>
      </c>
      <c r="E276" s="775">
        <f t="shared" si="84"/>
        <v>658.52</v>
      </c>
      <c r="F276" s="774">
        <v>2</v>
      </c>
      <c r="G276" s="685">
        <f t="shared" ref="G276:G278" si="85">E276*F276</f>
        <v>1317.04</v>
      </c>
      <c r="H276" s="670" t="s">
        <v>690</v>
      </c>
      <c r="I276" s="642"/>
      <c r="J276" s="775">
        <v>600.08000000000004</v>
      </c>
      <c r="K276" s="829">
        <f t="shared" si="83"/>
        <v>658.52</v>
      </c>
    </row>
    <row r="277" spans="2:11" x14ac:dyDescent="0.3">
      <c r="B277" s="666">
        <v>10105</v>
      </c>
      <c r="C277" s="667" t="s">
        <v>693</v>
      </c>
      <c r="D277" s="668" t="s">
        <v>398</v>
      </c>
      <c r="E277" s="775">
        <f t="shared" si="84"/>
        <v>578.85</v>
      </c>
      <c r="F277" s="774">
        <v>2</v>
      </c>
      <c r="G277" s="685">
        <f t="shared" si="85"/>
        <v>1157.7</v>
      </c>
      <c r="H277" s="670" t="s">
        <v>690</v>
      </c>
      <c r="I277" s="642"/>
      <c r="J277" s="775">
        <v>527.48</v>
      </c>
      <c r="K277" s="829">
        <f t="shared" si="83"/>
        <v>578.85</v>
      </c>
    </row>
    <row r="278" spans="2:11" x14ac:dyDescent="0.3">
      <c r="B278" s="666">
        <v>10201</v>
      </c>
      <c r="C278" s="667" t="s">
        <v>694</v>
      </c>
      <c r="D278" s="668" t="s">
        <v>398</v>
      </c>
      <c r="E278" s="775">
        <f t="shared" si="84"/>
        <v>367.32</v>
      </c>
      <c r="F278" s="774">
        <v>2</v>
      </c>
      <c r="G278" s="685">
        <f t="shared" si="85"/>
        <v>734.64</v>
      </c>
      <c r="H278" s="670" t="s">
        <v>690</v>
      </c>
      <c r="I278" s="642"/>
      <c r="J278" s="775">
        <v>334.72</v>
      </c>
      <c r="K278" s="829">
        <f t="shared" si="83"/>
        <v>367.32</v>
      </c>
    </row>
    <row r="279" spans="2:11" x14ac:dyDescent="0.3">
      <c r="B279" s="666"/>
      <c r="C279" s="663" t="s">
        <v>806</v>
      </c>
      <c r="D279" s="660"/>
      <c r="E279" s="660"/>
      <c r="F279" s="664"/>
      <c r="G279" s="683">
        <f>SUM(G280:G280)</f>
        <v>2069056</v>
      </c>
      <c r="H279" s="670"/>
      <c r="I279" s="642"/>
      <c r="J279" s="660"/>
      <c r="K279" s="660"/>
    </row>
    <row r="280" spans="2:11" x14ac:dyDescent="0.3">
      <c r="B280" s="666"/>
      <c r="C280" s="667" t="s">
        <v>813</v>
      </c>
      <c r="D280" s="668" t="s">
        <v>741</v>
      </c>
      <c r="E280" s="775">
        <f>K280</f>
        <v>3761.92</v>
      </c>
      <c r="F280" s="774">
        <v>550</v>
      </c>
      <c r="G280" s="685">
        <f>E280*F280</f>
        <v>2069056</v>
      </c>
      <c r="H280" s="670" t="s">
        <v>773</v>
      </c>
      <c r="I280" s="642"/>
      <c r="J280" s="775">
        <v>3428.03</v>
      </c>
      <c r="K280" s="829">
        <f t="shared" ref="K280" si="86">TRUNC(J280*$K$58,2)</f>
        <v>3761.92</v>
      </c>
    </row>
    <row r="281" spans="2:11" x14ac:dyDescent="0.3">
      <c r="B281" s="659"/>
      <c r="C281" s="643" t="s">
        <v>814</v>
      </c>
      <c r="D281" s="660"/>
      <c r="E281" s="660"/>
      <c r="F281" s="661"/>
      <c r="G281" s="683">
        <f>G282+G288</f>
        <v>2827802.18</v>
      </c>
      <c r="H281" s="660"/>
      <c r="I281" s="642"/>
      <c r="J281" s="660"/>
      <c r="K281" s="660"/>
    </row>
    <row r="282" spans="2:11" x14ac:dyDescent="0.3">
      <c r="B282" s="659"/>
      <c r="C282" s="663" t="s">
        <v>688</v>
      </c>
      <c r="D282" s="660"/>
      <c r="E282" s="660"/>
      <c r="F282" s="664"/>
      <c r="G282" s="683">
        <f>SUM(G283:G287)</f>
        <v>6362.18</v>
      </c>
      <c r="H282" s="662"/>
      <c r="I282" s="642"/>
      <c r="J282" s="660"/>
      <c r="K282" s="660"/>
    </row>
    <row r="283" spans="2:11" x14ac:dyDescent="0.3">
      <c r="B283" s="666">
        <v>10102</v>
      </c>
      <c r="C283" s="667" t="s">
        <v>689</v>
      </c>
      <c r="D283" s="668" t="s">
        <v>398</v>
      </c>
      <c r="E283" s="775">
        <f>K283</f>
        <v>461.7</v>
      </c>
      <c r="F283" s="774">
        <v>3</v>
      </c>
      <c r="G283" s="687">
        <f>E283*F283</f>
        <v>1385.1</v>
      </c>
      <c r="H283" s="670" t="s">
        <v>690</v>
      </c>
      <c r="I283" s="642"/>
      <c r="J283" s="775">
        <v>420.73</v>
      </c>
      <c r="K283" s="829">
        <f t="shared" ref="K283:K287" si="87">TRUNC(J283*$K$58,2)</f>
        <v>461.7</v>
      </c>
    </row>
    <row r="284" spans="2:11" x14ac:dyDescent="0.3">
      <c r="B284" s="666">
        <v>10103</v>
      </c>
      <c r="C284" s="667" t="s">
        <v>691</v>
      </c>
      <c r="D284" s="668" t="s">
        <v>398</v>
      </c>
      <c r="E284" s="775">
        <f t="shared" ref="E284:E287" si="88">K284</f>
        <v>353.54</v>
      </c>
      <c r="F284" s="774">
        <v>5</v>
      </c>
      <c r="G284" s="685">
        <f>E284*F284</f>
        <v>1767.7</v>
      </c>
      <c r="H284" s="670" t="s">
        <v>690</v>
      </c>
      <c r="I284" s="642"/>
      <c r="J284" s="775">
        <v>322.17</v>
      </c>
      <c r="K284" s="829">
        <f t="shared" si="87"/>
        <v>353.54</v>
      </c>
    </row>
    <row r="285" spans="2:11" x14ac:dyDescent="0.3">
      <c r="B285" s="666">
        <v>10104</v>
      </c>
      <c r="C285" s="667" t="s">
        <v>692</v>
      </c>
      <c r="D285" s="668" t="s">
        <v>398</v>
      </c>
      <c r="E285" s="775">
        <f t="shared" si="88"/>
        <v>658.52</v>
      </c>
      <c r="F285" s="774">
        <v>2</v>
      </c>
      <c r="G285" s="685">
        <f t="shared" ref="G285:G287" si="89">E285*F285</f>
        <v>1317.04</v>
      </c>
      <c r="H285" s="670" t="s">
        <v>690</v>
      </c>
      <c r="I285" s="642"/>
      <c r="J285" s="775">
        <v>600.08000000000004</v>
      </c>
      <c r="K285" s="829">
        <f t="shared" si="87"/>
        <v>658.52</v>
      </c>
    </row>
    <row r="286" spans="2:11" x14ac:dyDescent="0.3">
      <c r="B286" s="666">
        <v>10105</v>
      </c>
      <c r="C286" s="667" t="s">
        <v>693</v>
      </c>
      <c r="D286" s="668" t="s">
        <v>398</v>
      </c>
      <c r="E286" s="775">
        <f t="shared" si="88"/>
        <v>578.85</v>
      </c>
      <c r="F286" s="774">
        <v>2</v>
      </c>
      <c r="G286" s="685">
        <f t="shared" si="89"/>
        <v>1157.7</v>
      </c>
      <c r="H286" s="670" t="s">
        <v>690</v>
      </c>
      <c r="I286" s="642"/>
      <c r="J286" s="775">
        <v>527.48</v>
      </c>
      <c r="K286" s="829">
        <f t="shared" si="87"/>
        <v>578.85</v>
      </c>
    </row>
    <row r="287" spans="2:11" x14ac:dyDescent="0.3">
      <c r="B287" s="666">
        <v>10201</v>
      </c>
      <c r="C287" s="667" t="s">
        <v>694</v>
      </c>
      <c r="D287" s="668" t="s">
        <v>398</v>
      </c>
      <c r="E287" s="775">
        <f t="shared" si="88"/>
        <v>367.32</v>
      </c>
      <c r="F287" s="774">
        <v>2</v>
      </c>
      <c r="G287" s="685">
        <f t="shared" si="89"/>
        <v>734.64</v>
      </c>
      <c r="H287" s="670" t="s">
        <v>690</v>
      </c>
      <c r="I287" s="642"/>
      <c r="J287" s="775">
        <v>334.72</v>
      </c>
      <c r="K287" s="829">
        <f t="shared" si="87"/>
        <v>367.32</v>
      </c>
    </row>
    <row r="288" spans="2:11" x14ac:dyDescent="0.3">
      <c r="B288" s="666"/>
      <c r="C288" s="663" t="s">
        <v>806</v>
      </c>
      <c r="D288" s="660"/>
      <c r="E288" s="660"/>
      <c r="F288" s="664"/>
      <c r="G288" s="683">
        <f>SUM(G289:G289)</f>
        <v>2821440</v>
      </c>
      <c r="H288" s="670"/>
      <c r="I288" s="642"/>
      <c r="J288" s="660"/>
      <c r="K288" s="660"/>
    </row>
    <row r="289" spans="2:11" x14ac:dyDescent="0.3">
      <c r="B289" s="666"/>
      <c r="C289" s="667" t="s">
        <v>815</v>
      </c>
      <c r="D289" s="668" t="s">
        <v>741</v>
      </c>
      <c r="E289" s="775">
        <f>K289</f>
        <v>3761.92</v>
      </c>
      <c r="F289" s="774">
        <v>750</v>
      </c>
      <c r="G289" s="685">
        <f>E289*F289</f>
        <v>2821440</v>
      </c>
      <c r="H289" s="670" t="s">
        <v>773</v>
      </c>
      <c r="I289" s="642"/>
      <c r="J289" s="775">
        <v>3428.03</v>
      </c>
      <c r="K289" s="829">
        <f t="shared" ref="K289" si="90">TRUNC(J289*$K$58,2)</f>
        <v>3761.92</v>
      </c>
    </row>
    <row r="290" spans="2:11" ht="15" thickBot="1" x14ac:dyDescent="0.35">
      <c r="B290" s="671"/>
      <c r="C290" s="688"/>
      <c r="D290" s="680"/>
      <c r="E290" s="689"/>
      <c r="F290" s="672"/>
      <c r="G290" s="690"/>
      <c r="H290" s="647"/>
      <c r="I290" s="642"/>
      <c r="J290" s="642"/>
      <c r="K290" s="642"/>
    </row>
    <row r="291" spans="2:11" ht="15.6" thickTop="1" thickBot="1" x14ac:dyDescent="0.35">
      <c r="B291" s="649" t="s">
        <v>816</v>
      </c>
      <c r="C291" s="650"/>
      <c r="D291" s="651"/>
      <c r="E291" s="652"/>
      <c r="F291" s="653"/>
      <c r="G291" s="654">
        <f>G293</f>
        <v>7908461.1299999999</v>
      </c>
      <c r="H291" s="655"/>
      <c r="I291" s="642"/>
      <c r="J291" s="642"/>
      <c r="K291" s="642"/>
    </row>
    <row r="292" spans="2:11" ht="15" thickTop="1" x14ac:dyDescent="0.3">
      <c r="B292" s="671"/>
      <c r="C292" s="688"/>
      <c r="D292" s="680"/>
      <c r="E292" s="689"/>
      <c r="F292" s="672"/>
      <c r="G292" s="690"/>
      <c r="H292" s="647"/>
      <c r="I292" s="642"/>
      <c r="J292" s="642"/>
      <c r="K292" s="642"/>
    </row>
    <row r="293" spans="2:11" x14ac:dyDescent="0.3">
      <c r="B293" s="691" t="s">
        <v>817</v>
      </c>
      <c r="C293" s="719"/>
      <c r="D293" s="719"/>
      <c r="E293" s="719"/>
      <c r="F293" s="720"/>
      <c r="G293" s="673">
        <f>G295</f>
        <v>7908461.1299999999</v>
      </c>
      <c r="H293" s="717"/>
      <c r="I293" s="642"/>
      <c r="J293" s="642"/>
      <c r="K293" s="642"/>
    </row>
    <row r="294" spans="2:11" x14ac:dyDescent="0.3">
      <c r="B294" s="659" t="s">
        <v>682</v>
      </c>
      <c r="C294" s="643" t="s">
        <v>683</v>
      </c>
      <c r="D294" s="660" t="s">
        <v>216</v>
      </c>
      <c r="E294" s="660" t="s">
        <v>684</v>
      </c>
      <c r="F294" s="661" t="s">
        <v>685</v>
      </c>
      <c r="G294" s="662" t="s">
        <v>686</v>
      </c>
      <c r="H294" s="660" t="s">
        <v>687</v>
      </c>
      <c r="I294" s="642"/>
      <c r="J294" s="830" t="s">
        <v>930</v>
      </c>
      <c r="K294" s="831" t="s">
        <v>931</v>
      </c>
    </row>
    <row r="295" spans="2:11" ht="24.6" x14ac:dyDescent="0.3">
      <c r="B295" s="666" t="s">
        <v>818</v>
      </c>
      <c r="C295" s="667" t="s">
        <v>819</v>
      </c>
      <c r="D295" s="668" t="s">
        <v>216</v>
      </c>
      <c r="E295" s="775">
        <f>K295</f>
        <v>1678.01</v>
      </c>
      <c r="F295" s="774">
        <v>4713</v>
      </c>
      <c r="G295" s="685">
        <f>E295*F295</f>
        <v>7908461.1299999999</v>
      </c>
      <c r="H295" s="670" t="s">
        <v>773</v>
      </c>
      <c r="I295" s="642"/>
      <c r="J295" s="775">
        <v>1529.0855145342668</v>
      </c>
      <c r="K295" s="829">
        <f t="shared" ref="K295" si="91">TRUNC(J295*$K$58,2)</f>
        <v>1678.01</v>
      </c>
    </row>
    <row r="296" spans="2:11" ht="15" thickBot="1" x14ac:dyDescent="0.35">
      <c r="B296" s="671"/>
      <c r="C296" s="688"/>
      <c r="D296" s="680"/>
      <c r="E296" s="689"/>
      <c r="F296" s="672"/>
      <c r="G296" s="690"/>
      <c r="H296" s="647"/>
      <c r="I296" s="642"/>
      <c r="J296" s="642"/>
      <c r="K296" s="642"/>
    </row>
    <row r="297" spans="2:11" ht="15.6" thickTop="1" thickBot="1" x14ac:dyDescent="0.35">
      <c r="B297" s="649" t="s">
        <v>820</v>
      </c>
      <c r="C297" s="650"/>
      <c r="D297" s="651"/>
      <c r="E297" s="652"/>
      <c r="F297" s="653"/>
      <c r="G297" s="654">
        <f>G299</f>
        <v>2016369.35</v>
      </c>
      <c r="H297" s="655"/>
      <c r="I297" s="642"/>
      <c r="J297" s="642"/>
      <c r="K297" s="642"/>
    </row>
    <row r="298" spans="2:11" ht="15" thickTop="1" x14ac:dyDescent="0.3">
      <c r="B298" s="671"/>
      <c r="C298" s="688"/>
      <c r="D298" s="680"/>
      <c r="E298" s="689"/>
      <c r="F298" s="672"/>
      <c r="G298" s="690"/>
      <c r="H298" s="647"/>
      <c r="I298" s="642"/>
      <c r="J298" s="642"/>
      <c r="K298" s="642"/>
    </row>
    <row r="299" spans="2:11" x14ac:dyDescent="0.3">
      <c r="B299" s="1080" t="s">
        <v>821</v>
      </c>
      <c r="C299" s="1080"/>
      <c r="D299" s="1080"/>
      <c r="E299" s="1080"/>
      <c r="F299" s="1080"/>
      <c r="G299" s="657">
        <f>SUM(G301:G306)</f>
        <v>2016369.35</v>
      </c>
      <c r="H299" s="721"/>
      <c r="I299" s="642"/>
      <c r="J299" s="642"/>
      <c r="K299" s="642"/>
    </row>
    <row r="300" spans="2:11" x14ac:dyDescent="0.3">
      <c r="B300" s="659" t="s">
        <v>682</v>
      </c>
      <c r="C300" s="643" t="s">
        <v>683</v>
      </c>
      <c r="D300" s="660" t="s">
        <v>216</v>
      </c>
      <c r="E300" s="660" t="s">
        <v>684</v>
      </c>
      <c r="F300" s="661" t="s">
        <v>685</v>
      </c>
      <c r="G300" s="662" t="s">
        <v>686</v>
      </c>
      <c r="H300" s="660" t="s">
        <v>687</v>
      </c>
      <c r="I300" s="642"/>
      <c r="J300" s="830" t="s">
        <v>930</v>
      </c>
      <c r="K300" s="831" t="s">
        <v>931</v>
      </c>
    </row>
    <row r="301" spans="2:11" ht="24.6" x14ac:dyDescent="0.3">
      <c r="B301" s="666"/>
      <c r="C301" s="667" t="s">
        <v>822</v>
      </c>
      <c r="D301" s="668" t="s">
        <v>556</v>
      </c>
      <c r="E301" s="775">
        <f>K301</f>
        <v>430598.9</v>
      </c>
      <c r="F301" s="774">
        <v>1</v>
      </c>
      <c r="G301" s="687">
        <f>E301*F301</f>
        <v>430598.9</v>
      </c>
      <c r="H301" s="670" t="s">
        <v>866</v>
      </c>
      <c r="I301" s="642"/>
      <c r="J301" s="775">
        <v>392381</v>
      </c>
      <c r="K301" s="832">
        <f t="shared" ref="K301:K306" si="92">TRUNC(J301*$K$58,2)</f>
        <v>430598.9</v>
      </c>
    </row>
    <row r="302" spans="2:11" x14ac:dyDescent="0.3">
      <c r="B302" s="666"/>
      <c r="C302" s="667" t="s">
        <v>823</v>
      </c>
      <c r="D302" s="668" t="s">
        <v>556</v>
      </c>
      <c r="E302" s="775">
        <f t="shared" ref="E302:E306" si="93">K302</f>
        <v>215841.02</v>
      </c>
      <c r="F302" s="774">
        <v>1</v>
      </c>
      <c r="G302" s="685">
        <f t="shared" ref="G302:G306" si="94">E302*F302</f>
        <v>215841.02</v>
      </c>
      <c r="H302" s="670" t="s">
        <v>866</v>
      </c>
      <c r="I302" s="642"/>
      <c r="J302" s="775">
        <v>196684</v>
      </c>
      <c r="K302" s="832">
        <f t="shared" si="92"/>
        <v>215841.02</v>
      </c>
    </row>
    <row r="303" spans="2:11" ht="24.6" x14ac:dyDescent="0.3">
      <c r="B303" s="666"/>
      <c r="C303" s="667" t="s">
        <v>824</v>
      </c>
      <c r="D303" s="668" t="s">
        <v>556</v>
      </c>
      <c r="E303" s="775">
        <f t="shared" si="93"/>
        <v>41236.99</v>
      </c>
      <c r="F303" s="774">
        <v>1</v>
      </c>
      <c r="G303" s="685">
        <f t="shared" si="94"/>
        <v>41236.99</v>
      </c>
      <c r="H303" s="670" t="s">
        <v>866</v>
      </c>
      <c r="I303" s="642"/>
      <c r="J303" s="775">
        <v>37577</v>
      </c>
      <c r="K303" s="832">
        <f t="shared" si="92"/>
        <v>41236.99</v>
      </c>
    </row>
    <row r="304" spans="2:11" ht="24.6" x14ac:dyDescent="0.3">
      <c r="B304" s="666"/>
      <c r="C304" s="667" t="s">
        <v>825</v>
      </c>
      <c r="D304" s="668" t="s">
        <v>556</v>
      </c>
      <c r="E304" s="775">
        <f t="shared" si="93"/>
        <v>120008.4</v>
      </c>
      <c r="F304" s="774">
        <v>1</v>
      </c>
      <c r="G304" s="685">
        <f t="shared" si="94"/>
        <v>120008.4</v>
      </c>
      <c r="H304" s="670" t="s">
        <v>866</v>
      </c>
      <c r="I304" s="642"/>
      <c r="J304" s="775">
        <f>72731+36626.03</f>
        <v>109357.03</v>
      </c>
      <c r="K304" s="832">
        <f t="shared" si="92"/>
        <v>120008.4</v>
      </c>
    </row>
    <row r="305" spans="2:11" ht="24.6" x14ac:dyDescent="0.3">
      <c r="B305" s="666"/>
      <c r="C305" s="667" t="s">
        <v>826</v>
      </c>
      <c r="D305" s="668" t="s">
        <v>556</v>
      </c>
      <c r="E305" s="775">
        <f t="shared" si="93"/>
        <v>705116.81</v>
      </c>
      <c r="F305" s="774">
        <v>1</v>
      </c>
      <c r="G305" s="685">
        <f t="shared" si="94"/>
        <v>705116.81</v>
      </c>
      <c r="H305" s="670" t="s">
        <v>866</v>
      </c>
      <c r="I305" s="642"/>
      <c r="J305" s="775">
        <v>642534</v>
      </c>
      <c r="K305" s="832">
        <f t="shared" si="92"/>
        <v>705116.81</v>
      </c>
    </row>
    <row r="306" spans="2:11" x14ac:dyDescent="0.3">
      <c r="B306" s="666"/>
      <c r="C306" s="667" t="s">
        <v>827</v>
      </c>
      <c r="D306" s="668" t="s">
        <v>556</v>
      </c>
      <c r="E306" s="775">
        <f t="shared" si="93"/>
        <v>503567.23</v>
      </c>
      <c r="F306" s="774">
        <v>1</v>
      </c>
      <c r="G306" s="685">
        <f t="shared" si="94"/>
        <v>503567.23</v>
      </c>
      <c r="H306" s="670" t="s">
        <v>866</v>
      </c>
      <c r="I306" s="642"/>
      <c r="J306" s="775">
        <v>458873</v>
      </c>
      <c r="K306" s="832">
        <f t="shared" si="92"/>
        <v>503567.23</v>
      </c>
    </row>
    <row r="307" spans="2:11" ht="15" thickBot="1" x14ac:dyDescent="0.35">
      <c r="B307" s="671"/>
      <c r="C307" s="688"/>
      <c r="D307" s="680"/>
      <c r="E307" s="689"/>
      <c r="F307" s="672"/>
      <c r="G307" s="690"/>
      <c r="H307" s="647"/>
      <c r="I307" s="642"/>
      <c r="J307" s="642"/>
      <c r="K307" s="642"/>
    </row>
    <row r="308" spans="2:11" ht="15.6" thickTop="1" thickBot="1" x14ac:dyDescent="0.35">
      <c r="B308" s="649" t="s">
        <v>828</v>
      </c>
      <c r="C308" s="650"/>
      <c r="D308" s="651"/>
      <c r="E308" s="652"/>
      <c r="F308" s="653"/>
      <c r="G308" s="654">
        <f>G310</f>
        <v>1511602.8061195549</v>
      </c>
      <c r="H308" s="655"/>
      <c r="I308" s="642"/>
      <c r="J308" s="642"/>
      <c r="K308" s="642"/>
    </row>
    <row r="309" spans="2:11" ht="15" thickTop="1" x14ac:dyDescent="0.3">
      <c r="B309" s="671"/>
      <c r="C309" s="688"/>
      <c r="D309" s="680"/>
      <c r="E309" s="689"/>
      <c r="F309" s="672"/>
      <c r="G309" s="690"/>
      <c r="H309" s="647"/>
      <c r="I309" s="642"/>
      <c r="J309" s="642"/>
      <c r="K309" s="642"/>
    </row>
    <row r="310" spans="2:11" x14ac:dyDescent="0.3">
      <c r="B310" s="1080" t="s">
        <v>829</v>
      </c>
      <c r="C310" s="1080"/>
      <c r="D310" s="1080"/>
      <c r="E310" s="1080"/>
      <c r="F310" s="1080"/>
      <c r="G310" s="657">
        <f>SUM(G312:G315)</f>
        <v>1511602.8061195549</v>
      </c>
      <c r="H310" s="721"/>
      <c r="I310" s="642"/>
      <c r="J310" s="642"/>
      <c r="K310" s="642"/>
    </row>
    <row r="311" spans="2:11" x14ac:dyDescent="0.3">
      <c r="B311" s="659" t="s">
        <v>682</v>
      </c>
      <c r="C311" s="643" t="s">
        <v>683</v>
      </c>
      <c r="D311" s="660" t="s">
        <v>216</v>
      </c>
      <c r="E311" s="660" t="s">
        <v>684</v>
      </c>
      <c r="F311" s="661" t="s">
        <v>685</v>
      </c>
      <c r="G311" s="662" t="s">
        <v>686</v>
      </c>
      <c r="H311" s="660" t="s">
        <v>687</v>
      </c>
      <c r="I311" s="642"/>
      <c r="J311" s="642"/>
      <c r="K311" s="642"/>
    </row>
    <row r="312" spans="2:11" x14ac:dyDescent="0.3">
      <c r="B312" s="666"/>
      <c r="C312" s="667" t="s">
        <v>830</v>
      </c>
      <c r="D312" s="668" t="s">
        <v>556</v>
      </c>
      <c r="E312" s="775">
        <f>G57*0.0271718140527672</f>
        <v>563497.69313646154</v>
      </c>
      <c r="F312" s="774">
        <v>1</v>
      </c>
      <c r="G312" s="685">
        <f t="shared" ref="G312:G315" si="95">E312*F312</f>
        <v>563497.69313646154</v>
      </c>
      <c r="H312" s="670" t="s">
        <v>866</v>
      </c>
      <c r="I312" s="642"/>
      <c r="J312" s="642"/>
      <c r="K312" s="642"/>
    </row>
    <row r="313" spans="2:11" x14ac:dyDescent="0.3">
      <c r="B313" s="666"/>
      <c r="C313" s="667" t="s">
        <v>831</v>
      </c>
      <c r="D313" s="668" t="s">
        <v>556</v>
      </c>
      <c r="E313" s="775">
        <f>G216*0.0271718140527672</f>
        <v>498413.87202702224</v>
      </c>
      <c r="F313" s="774">
        <v>1</v>
      </c>
      <c r="G313" s="685">
        <f t="shared" si="95"/>
        <v>498413.87202702224</v>
      </c>
      <c r="H313" s="670" t="s">
        <v>866</v>
      </c>
      <c r="I313" s="642"/>
      <c r="J313" s="642"/>
      <c r="K313" s="642"/>
    </row>
    <row r="314" spans="2:11" x14ac:dyDescent="0.3">
      <c r="B314" s="666"/>
      <c r="C314" s="667" t="s">
        <v>832</v>
      </c>
      <c r="D314" s="668" t="s">
        <v>556</v>
      </c>
      <c r="E314" s="775">
        <f>G241*0.0271718140527672</f>
        <v>234804.00568817399</v>
      </c>
      <c r="F314" s="774">
        <v>1</v>
      </c>
      <c r="G314" s="685">
        <f t="shared" si="95"/>
        <v>234804.00568817399</v>
      </c>
      <c r="H314" s="670" t="s">
        <v>866</v>
      </c>
      <c r="I314" s="642"/>
      <c r="J314" s="642"/>
      <c r="K314" s="642"/>
    </row>
    <row r="315" spans="2:11" x14ac:dyDescent="0.3">
      <c r="B315" s="666"/>
      <c r="C315" s="667" t="s">
        <v>833</v>
      </c>
      <c r="D315" s="668" t="s">
        <v>556</v>
      </c>
      <c r="E315" s="775">
        <f>G293*0.0271718140527672</f>
        <v>214887.23526789717</v>
      </c>
      <c r="F315" s="774">
        <v>1</v>
      </c>
      <c r="G315" s="685">
        <f t="shared" si="95"/>
        <v>214887.23526789717</v>
      </c>
      <c r="H315" s="670" t="s">
        <v>866</v>
      </c>
      <c r="I315" s="642"/>
      <c r="J315" s="642"/>
      <c r="K315" s="642"/>
    </row>
    <row r="316" spans="2:11" x14ac:dyDescent="0.3">
      <c r="B316" s="604"/>
      <c r="C316" s="604"/>
      <c r="D316" s="604"/>
      <c r="E316" s="604"/>
      <c r="F316" s="606"/>
      <c r="G316" s="604"/>
      <c r="H316" s="605"/>
      <c r="I316" s="642"/>
      <c r="J316" s="642"/>
      <c r="K316" s="642"/>
    </row>
    <row r="317" spans="2:11" ht="15" thickBot="1" x14ac:dyDescent="0.35">
      <c r="B317" s="671"/>
      <c r="C317" s="688"/>
      <c r="D317" s="680"/>
      <c r="E317" s="689"/>
      <c r="F317" s="672"/>
      <c r="G317" s="690"/>
      <c r="H317" s="647"/>
      <c r="I317" s="642"/>
      <c r="J317" s="642"/>
      <c r="K317" s="642"/>
    </row>
    <row r="318" spans="2:11" ht="15" thickBot="1" x14ac:dyDescent="0.35">
      <c r="B318" s="1083" t="s">
        <v>867</v>
      </c>
      <c r="C318" s="1084"/>
      <c r="D318" s="1084"/>
      <c r="E318" s="1084"/>
      <c r="F318" s="1084"/>
      <c r="G318" s="709">
        <f>G320+G334+G340+G346+G356</f>
        <v>246847286.63428748</v>
      </c>
      <c r="H318" s="710"/>
      <c r="I318" s="642"/>
      <c r="J318" s="642"/>
      <c r="K318" s="642"/>
    </row>
    <row r="319" spans="2:11" ht="15" thickBot="1" x14ac:dyDescent="0.35">
      <c r="B319" s="671"/>
      <c r="C319" s="688"/>
      <c r="D319" s="680"/>
      <c r="E319" s="689"/>
      <c r="F319" s="672"/>
      <c r="G319" s="690"/>
      <c r="H319" s="647"/>
      <c r="I319" s="642"/>
      <c r="J319" s="642"/>
      <c r="K319" s="642"/>
    </row>
    <row r="320" spans="2:11" ht="15" thickBot="1" x14ac:dyDescent="0.35">
      <c r="B320" s="722" t="s">
        <v>834</v>
      </c>
      <c r="C320" s="723"/>
      <c r="D320" s="724"/>
      <c r="E320" s="725"/>
      <c r="F320" s="726"/>
      <c r="G320" s="727">
        <f>G322+G330</f>
        <v>131559668.37</v>
      </c>
      <c r="H320" s="728"/>
      <c r="I320" s="642"/>
      <c r="J320" s="642"/>
      <c r="K320" s="642"/>
    </row>
    <row r="321" spans="2:18" x14ac:dyDescent="0.3">
      <c r="B321" s="729"/>
      <c r="C321" s="730"/>
      <c r="D321" s="731"/>
      <c r="E321" s="732"/>
      <c r="F321" s="733"/>
      <c r="G321" s="734"/>
      <c r="H321" s="735"/>
      <c r="I321" s="642"/>
      <c r="J321" s="642"/>
      <c r="K321" s="642"/>
    </row>
    <row r="322" spans="2:18" x14ac:dyDescent="0.3">
      <c r="B322" s="1081" t="s">
        <v>835</v>
      </c>
      <c r="C322" s="1081"/>
      <c r="D322" s="1081"/>
      <c r="E322" s="1081"/>
      <c r="F322" s="1081"/>
      <c r="G322" s="736">
        <f>SUM(G324:G328)</f>
        <v>105726580.95</v>
      </c>
      <c r="H322" s="737"/>
      <c r="I322" s="642"/>
      <c r="J322" s="642"/>
      <c r="K322" s="642"/>
    </row>
    <row r="323" spans="2:18" ht="28.8" x14ac:dyDescent="0.3">
      <c r="B323" s="659" t="s">
        <v>682</v>
      </c>
      <c r="C323" s="643" t="s">
        <v>683</v>
      </c>
      <c r="D323" s="660" t="s">
        <v>216</v>
      </c>
      <c r="E323" s="660" t="s">
        <v>684</v>
      </c>
      <c r="F323" s="661" t="s">
        <v>685</v>
      </c>
      <c r="G323" s="662" t="s">
        <v>686</v>
      </c>
      <c r="H323" s="660" t="s">
        <v>687</v>
      </c>
      <c r="I323" s="642"/>
      <c r="J323" s="830" t="s">
        <v>930</v>
      </c>
      <c r="K323" s="831" t="s">
        <v>931</v>
      </c>
      <c r="L323" s="805" t="s">
        <v>903</v>
      </c>
      <c r="M323" s="805" t="s">
        <v>907</v>
      </c>
      <c r="N323" s="805" t="s">
        <v>912</v>
      </c>
      <c r="O323" s="805" t="s">
        <v>15</v>
      </c>
      <c r="P323" s="805" t="s">
        <v>914</v>
      </c>
      <c r="Q323" s="805" t="s">
        <v>1026</v>
      </c>
      <c r="R323" s="805" t="s">
        <v>687</v>
      </c>
    </row>
    <row r="324" spans="2:18" ht="28.8" x14ac:dyDescent="0.3">
      <c r="B324" s="668" t="s">
        <v>836</v>
      </c>
      <c r="C324" s="679" t="s">
        <v>837</v>
      </c>
      <c r="D324" s="668" t="s">
        <v>126</v>
      </c>
      <c r="E324" s="775">
        <f>K324</f>
        <v>1604.55</v>
      </c>
      <c r="F324" s="774">
        <v>670</v>
      </c>
      <c r="G324" s="685">
        <f>E324*F324</f>
        <v>1075048.5</v>
      </c>
      <c r="H324" s="670" t="s">
        <v>773</v>
      </c>
      <c r="I324" s="642"/>
      <c r="J324" s="775">
        <f>1462.14</f>
        <v>1462.14</v>
      </c>
      <c r="K324" s="832">
        <f t="shared" ref="K324:K328" si="96">TRUNC(J324*$K$58,2)</f>
        <v>1604.55</v>
      </c>
      <c r="L324" s="382" t="s">
        <v>904</v>
      </c>
      <c r="M324" s="806" t="s">
        <v>908</v>
      </c>
      <c r="N324" s="807">
        <v>89643.85</v>
      </c>
      <c r="O324" s="809">
        <f>N324/$N$328</f>
        <v>0.57790001289324389</v>
      </c>
      <c r="P324" s="382">
        <v>298.39</v>
      </c>
      <c r="Q324" s="382">
        <f>TRUNC(P324*$K$58,2)</f>
        <v>327.45</v>
      </c>
      <c r="R324" s="670" t="s">
        <v>773</v>
      </c>
    </row>
    <row r="325" spans="2:18" ht="30.75" customHeight="1" x14ac:dyDescent="0.3">
      <c r="B325" s="668" t="s">
        <v>838</v>
      </c>
      <c r="C325" s="679" t="s">
        <v>899</v>
      </c>
      <c r="D325" s="668" t="s">
        <v>126</v>
      </c>
      <c r="E325" s="775">
        <f t="shared" ref="E325:E328" si="97">K325</f>
        <v>1364.33</v>
      </c>
      <c r="F325" s="774">
        <v>9500</v>
      </c>
      <c r="G325" s="685">
        <f>E325*F325</f>
        <v>12961135</v>
      </c>
      <c r="H325" s="670" t="s">
        <v>773</v>
      </c>
      <c r="I325" s="642"/>
      <c r="J325" s="775">
        <f>1243.24</f>
        <v>1243.24</v>
      </c>
      <c r="K325" s="832">
        <f t="shared" si="96"/>
        <v>1364.33</v>
      </c>
      <c r="L325" s="382" t="s">
        <v>905</v>
      </c>
      <c r="M325" s="806" t="s">
        <v>909</v>
      </c>
      <c r="N325" s="807">
        <v>63723.3</v>
      </c>
      <c r="O325" s="809">
        <f t="shared" ref="O325:O327" si="98">N325/$N$328</f>
        <v>0.41080002578648783</v>
      </c>
      <c r="P325" s="382">
        <v>490.99</v>
      </c>
      <c r="Q325" s="382">
        <f t="shared" ref="Q325:Q328" si="99">TRUNC(P325*$K$58,2)</f>
        <v>538.80999999999995</v>
      </c>
      <c r="R325" s="670" t="s">
        <v>773</v>
      </c>
    </row>
    <row r="326" spans="2:18" ht="34.5" customHeight="1" x14ac:dyDescent="0.3">
      <c r="B326" s="668" t="s">
        <v>839</v>
      </c>
      <c r="C326" s="679" t="s">
        <v>900</v>
      </c>
      <c r="D326" s="668" t="s">
        <v>126</v>
      </c>
      <c r="E326" s="775">
        <f t="shared" si="97"/>
        <v>1116.51</v>
      </c>
      <c r="F326" s="774">
        <v>15400</v>
      </c>
      <c r="G326" s="685">
        <f>E326*F326</f>
        <v>17194254</v>
      </c>
      <c r="H326" s="670" t="s">
        <v>773</v>
      </c>
      <c r="I326" s="642"/>
      <c r="J326" s="775">
        <v>1017.42</v>
      </c>
      <c r="K326" s="832">
        <f t="shared" si="96"/>
        <v>1116.51</v>
      </c>
      <c r="L326" s="382" t="s">
        <v>840</v>
      </c>
      <c r="M326" s="806" t="s">
        <v>910</v>
      </c>
      <c r="N326" s="807">
        <v>868.67</v>
      </c>
      <c r="O326" s="809">
        <f t="shared" si="98"/>
        <v>5.5999871067560587E-3</v>
      </c>
      <c r="P326" s="382">
        <v>497.42</v>
      </c>
      <c r="Q326" s="382">
        <f t="shared" si="99"/>
        <v>545.86</v>
      </c>
      <c r="R326" s="670" t="s">
        <v>773</v>
      </c>
    </row>
    <row r="327" spans="2:18" ht="48" x14ac:dyDescent="0.3">
      <c r="B327" s="668" t="s">
        <v>901</v>
      </c>
      <c r="C327" s="679" t="s">
        <v>902</v>
      </c>
      <c r="D327" s="668" t="s">
        <v>126</v>
      </c>
      <c r="E327" s="775">
        <f t="shared" si="97"/>
        <v>418.44</v>
      </c>
      <c r="F327" s="774">
        <v>155120</v>
      </c>
      <c r="G327" s="685">
        <f>E327*F327</f>
        <v>64908412.799999997</v>
      </c>
      <c r="H327" s="670" t="s">
        <v>773</v>
      </c>
      <c r="I327" s="642"/>
      <c r="J327" s="775">
        <v>381.31</v>
      </c>
      <c r="K327" s="832">
        <f t="shared" si="96"/>
        <v>418.44</v>
      </c>
      <c r="L327" s="808" t="s">
        <v>906</v>
      </c>
      <c r="M327" s="806" t="s">
        <v>911</v>
      </c>
      <c r="N327" s="807">
        <v>884.18</v>
      </c>
      <c r="O327" s="809">
        <f t="shared" si="98"/>
        <v>5.6999742135121186E-3</v>
      </c>
      <c r="P327" s="382">
        <v>768.43</v>
      </c>
      <c r="Q327" s="382">
        <f t="shared" si="99"/>
        <v>843.27</v>
      </c>
      <c r="R327" s="670" t="s">
        <v>773</v>
      </c>
    </row>
    <row r="328" spans="2:18" ht="24" x14ac:dyDescent="0.3">
      <c r="B328" s="668" t="s">
        <v>840</v>
      </c>
      <c r="C328" s="679" t="s">
        <v>841</v>
      </c>
      <c r="D328" s="668" t="s">
        <v>126</v>
      </c>
      <c r="E328" s="775">
        <f t="shared" si="97"/>
        <v>815.63</v>
      </c>
      <c r="F328" s="774">
        <v>11755</v>
      </c>
      <c r="G328" s="685">
        <f>E328*F328</f>
        <v>9587730.6500000004</v>
      </c>
      <c r="H328" s="670" t="s">
        <v>773</v>
      </c>
      <c r="I328" s="642"/>
      <c r="J328" s="775">
        <v>743.24</v>
      </c>
      <c r="K328" s="832">
        <f t="shared" si="96"/>
        <v>815.63</v>
      </c>
      <c r="L328" s="805" t="s">
        <v>5</v>
      </c>
      <c r="M328" s="805" t="s">
        <v>913</v>
      </c>
      <c r="N328" s="805">
        <f>SUM(N324:N327)</f>
        <v>155120.00000000003</v>
      </c>
      <c r="O328" s="810">
        <f>SUM(O324:O327)</f>
        <v>0.99999999999999989</v>
      </c>
      <c r="P328" s="805">
        <f>(P324*N324+P325*N325+P326*N326+N327*P327)/N328</f>
        <v>381.30386627965441</v>
      </c>
      <c r="Q328" s="805">
        <f t="shared" si="99"/>
        <v>418.44</v>
      </c>
      <c r="R328" s="805" t="s">
        <v>915</v>
      </c>
    </row>
    <row r="329" spans="2:18" x14ac:dyDescent="0.3">
      <c r="B329" s="671"/>
      <c r="C329" s="688"/>
      <c r="D329" s="680"/>
      <c r="E329" s="689"/>
      <c r="F329" s="672"/>
      <c r="G329" s="690"/>
      <c r="H329" s="647"/>
      <c r="I329" s="642"/>
      <c r="J329" s="642"/>
      <c r="K329" s="642"/>
    </row>
    <row r="330" spans="2:18" x14ac:dyDescent="0.3">
      <c r="B330" s="1081" t="s">
        <v>842</v>
      </c>
      <c r="C330" s="1081"/>
      <c r="D330" s="1081"/>
      <c r="E330" s="1081"/>
      <c r="F330" s="1081"/>
      <c r="G330" s="736">
        <f>G332</f>
        <v>25833087.420000002</v>
      </c>
      <c r="H330" s="737"/>
      <c r="I330" s="642"/>
      <c r="J330" s="642"/>
      <c r="K330" s="642"/>
    </row>
    <row r="331" spans="2:18" x14ac:dyDescent="0.3">
      <c r="B331" s="659" t="s">
        <v>682</v>
      </c>
      <c r="C331" s="643" t="s">
        <v>683</v>
      </c>
      <c r="D331" s="660" t="s">
        <v>216</v>
      </c>
      <c r="E331" s="660" t="s">
        <v>684</v>
      </c>
      <c r="F331" s="661" t="s">
        <v>685</v>
      </c>
      <c r="G331" s="662" t="s">
        <v>686</v>
      </c>
      <c r="H331" s="660" t="s">
        <v>687</v>
      </c>
      <c r="I331" s="642"/>
      <c r="J331" s="830" t="s">
        <v>930</v>
      </c>
      <c r="K331" s="831" t="s">
        <v>931</v>
      </c>
    </row>
    <row r="332" spans="2:18" x14ac:dyDescent="0.3">
      <c r="B332" s="666"/>
      <c r="C332" s="667" t="s">
        <v>843</v>
      </c>
      <c r="D332" s="668" t="s">
        <v>216</v>
      </c>
      <c r="E332" s="775">
        <f>K332</f>
        <v>615073.51</v>
      </c>
      <c r="F332" s="774">
        <v>42</v>
      </c>
      <c r="G332" s="685">
        <f>E332*F332</f>
        <v>25833087.420000002</v>
      </c>
      <c r="H332" s="670" t="s">
        <v>773</v>
      </c>
      <c r="I332" s="642"/>
      <c r="J332" s="775">
        <f>124551.67*4.5</f>
        <v>560482.51500000001</v>
      </c>
      <c r="K332" s="829">
        <f t="shared" ref="K332" si="100">TRUNC(J332*$K$58,2)</f>
        <v>615073.51</v>
      </c>
    </row>
    <row r="333" spans="2:18" ht="15" thickBot="1" x14ac:dyDescent="0.35">
      <c r="B333" s="671"/>
      <c r="C333" s="688"/>
      <c r="D333" s="680"/>
      <c r="E333" s="689"/>
      <c r="F333" s="672"/>
      <c r="G333" s="690"/>
      <c r="H333" s="647"/>
      <c r="I333" s="642"/>
      <c r="J333" s="642"/>
      <c r="K333" s="642"/>
    </row>
    <row r="334" spans="2:18" ht="15.6" thickTop="1" thickBot="1" x14ac:dyDescent="0.35">
      <c r="B334" s="692" t="s">
        <v>844</v>
      </c>
      <c r="C334" s="693"/>
      <c r="D334" s="694"/>
      <c r="E334" s="695"/>
      <c r="F334" s="696"/>
      <c r="G334" s="697">
        <f>G336</f>
        <v>79347741.900000006</v>
      </c>
      <c r="H334" s="698"/>
      <c r="I334" s="642"/>
      <c r="J334" s="642"/>
      <c r="K334" s="642"/>
    </row>
    <row r="335" spans="2:18" ht="15" thickTop="1" x14ac:dyDescent="0.3">
      <c r="B335" s="671"/>
      <c r="C335" s="688"/>
      <c r="D335" s="680"/>
      <c r="E335" s="689"/>
      <c r="F335" s="672"/>
      <c r="G335" s="690"/>
      <c r="H335" s="647"/>
      <c r="I335" s="642"/>
      <c r="J335" s="642"/>
      <c r="K335" s="642"/>
    </row>
    <row r="336" spans="2:18" x14ac:dyDescent="0.3">
      <c r="B336" s="1081" t="s">
        <v>845</v>
      </c>
      <c r="C336" s="1081"/>
      <c r="D336" s="1081"/>
      <c r="E336" s="1081"/>
      <c r="F336" s="1081"/>
      <c r="G336" s="736">
        <f>G338</f>
        <v>79347741.900000006</v>
      </c>
      <c r="H336" s="737"/>
      <c r="I336" s="642"/>
      <c r="J336" s="642"/>
      <c r="K336" s="642"/>
    </row>
    <row r="337" spans="2:11" x14ac:dyDescent="0.3">
      <c r="B337" s="659" t="s">
        <v>682</v>
      </c>
      <c r="C337" s="643" t="s">
        <v>683</v>
      </c>
      <c r="D337" s="660" t="s">
        <v>216</v>
      </c>
      <c r="E337" s="660" t="s">
        <v>684</v>
      </c>
      <c r="F337" s="661" t="s">
        <v>685</v>
      </c>
      <c r="G337" s="662" t="s">
        <v>686</v>
      </c>
      <c r="H337" s="660" t="s">
        <v>687</v>
      </c>
      <c r="I337" s="642"/>
      <c r="J337" s="830" t="s">
        <v>930</v>
      </c>
      <c r="K337" s="831" t="s">
        <v>931</v>
      </c>
    </row>
    <row r="338" spans="2:11" ht="24.6" x14ac:dyDescent="0.3">
      <c r="B338" s="666"/>
      <c r="C338" s="667" t="s">
        <v>846</v>
      </c>
      <c r="D338" s="668" t="s">
        <v>776</v>
      </c>
      <c r="E338" s="775">
        <f>K338</f>
        <v>377846.39</v>
      </c>
      <c r="F338" s="774">
        <v>210</v>
      </c>
      <c r="G338" s="685">
        <f>E338*F338</f>
        <v>79347741.900000006</v>
      </c>
      <c r="H338" s="670" t="s">
        <v>773</v>
      </c>
      <c r="I338" s="642"/>
      <c r="J338" s="775">
        <v>344310.55</v>
      </c>
      <c r="K338" s="832">
        <f t="shared" ref="K338" si="101">TRUNC(J338*$K$58,2)</f>
        <v>377846.39</v>
      </c>
    </row>
    <row r="339" spans="2:11" ht="15" thickBot="1" x14ac:dyDescent="0.35">
      <c r="B339" s="671"/>
      <c r="C339" s="688"/>
      <c r="D339" s="680"/>
      <c r="E339" s="689"/>
      <c r="F339" s="672"/>
      <c r="G339" s="690"/>
      <c r="H339" s="647"/>
      <c r="I339" s="642"/>
      <c r="J339" s="642"/>
      <c r="K339" s="642"/>
    </row>
    <row r="340" spans="2:11" ht="15.6" thickTop="1" thickBot="1" x14ac:dyDescent="0.35">
      <c r="B340" s="738" t="s">
        <v>847</v>
      </c>
      <c r="C340" s="739"/>
      <c r="D340" s="740"/>
      <c r="E340" s="741"/>
      <c r="F340" s="742"/>
      <c r="G340" s="743">
        <f>G342</f>
        <v>29570642.530000001</v>
      </c>
      <c r="H340" s="744"/>
      <c r="I340" s="642"/>
      <c r="J340" s="642"/>
      <c r="K340" s="642"/>
    </row>
    <row r="341" spans="2:11" ht="15" thickTop="1" x14ac:dyDescent="0.3">
      <c r="B341" s="729"/>
      <c r="C341" s="730"/>
      <c r="D341" s="731"/>
      <c r="E341" s="732"/>
      <c r="F341" s="733"/>
      <c r="G341" s="734"/>
      <c r="H341" s="735"/>
      <c r="I341" s="642"/>
      <c r="J341" s="642"/>
      <c r="K341" s="642"/>
    </row>
    <row r="342" spans="2:11" x14ac:dyDescent="0.3">
      <c r="B342" s="1081" t="s">
        <v>848</v>
      </c>
      <c r="C342" s="1081"/>
      <c r="D342" s="1081"/>
      <c r="E342" s="1081"/>
      <c r="F342" s="1081"/>
      <c r="G342" s="736">
        <f>G344</f>
        <v>29570642.530000001</v>
      </c>
      <c r="H342" s="737"/>
      <c r="I342" s="642"/>
      <c r="J342" s="642"/>
      <c r="K342" s="642"/>
    </row>
    <row r="343" spans="2:11" x14ac:dyDescent="0.3">
      <c r="B343" s="659" t="s">
        <v>682</v>
      </c>
      <c r="C343" s="643" t="s">
        <v>683</v>
      </c>
      <c r="D343" s="660" t="s">
        <v>216</v>
      </c>
      <c r="E343" s="660" t="s">
        <v>684</v>
      </c>
      <c r="F343" s="661" t="s">
        <v>685</v>
      </c>
      <c r="G343" s="662" t="s">
        <v>686</v>
      </c>
      <c r="H343" s="660" t="s">
        <v>687</v>
      </c>
      <c r="I343" s="642"/>
      <c r="J343" s="830" t="s">
        <v>930</v>
      </c>
      <c r="K343" s="831" t="s">
        <v>931</v>
      </c>
    </row>
    <row r="344" spans="2:11" ht="24.6" x14ac:dyDescent="0.3">
      <c r="B344" s="666" t="s">
        <v>849</v>
      </c>
      <c r="C344" s="667" t="s">
        <v>850</v>
      </c>
      <c r="D344" s="668" t="s">
        <v>216</v>
      </c>
      <c r="E344" s="775">
        <f>K344</f>
        <v>3705.13</v>
      </c>
      <c r="F344" s="774">
        <v>7981</v>
      </c>
      <c r="G344" s="685">
        <f>E344*F344</f>
        <v>29570642.530000001</v>
      </c>
      <c r="H344" s="670" t="s">
        <v>773</v>
      </c>
      <c r="I344" s="642"/>
      <c r="J344" s="775">
        <v>3376.2821801779223</v>
      </c>
      <c r="K344" s="832">
        <f t="shared" ref="K344" si="102">TRUNC(J344*$K$58,2)</f>
        <v>3705.13</v>
      </c>
    </row>
    <row r="345" spans="2:11" ht="15" thickBot="1" x14ac:dyDescent="0.35">
      <c r="B345" s="671"/>
      <c r="C345" s="688"/>
      <c r="D345" s="680"/>
      <c r="E345" s="689"/>
      <c r="F345" s="672"/>
      <c r="G345" s="690"/>
      <c r="H345" s="647"/>
      <c r="I345" s="642"/>
      <c r="J345" s="642"/>
      <c r="K345" s="642"/>
    </row>
    <row r="346" spans="2:11" ht="15.6" thickTop="1" thickBot="1" x14ac:dyDescent="0.35">
      <c r="B346" s="738" t="s">
        <v>851</v>
      </c>
      <c r="C346" s="739"/>
      <c r="D346" s="740"/>
      <c r="E346" s="741"/>
      <c r="F346" s="742"/>
      <c r="G346" s="743">
        <f>G348</f>
        <v>3639572.8499999996</v>
      </c>
      <c r="H346" s="744"/>
      <c r="I346" s="642"/>
      <c r="J346" s="642"/>
      <c r="K346" s="642"/>
    </row>
    <row r="347" spans="2:11" ht="15" thickTop="1" x14ac:dyDescent="0.3">
      <c r="B347" s="729"/>
      <c r="C347" s="730"/>
      <c r="D347" s="731"/>
      <c r="E347" s="732"/>
      <c r="F347" s="733"/>
      <c r="G347" s="734"/>
      <c r="H347" s="735"/>
      <c r="I347" s="642"/>
      <c r="J347" s="642"/>
      <c r="K347" s="642"/>
    </row>
    <row r="348" spans="2:11" x14ac:dyDescent="0.3">
      <c r="B348" s="1082" t="s">
        <v>852</v>
      </c>
      <c r="C348" s="1082"/>
      <c r="D348" s="1082"/>
      <c r="E348" s="1082"/>
      <c r="F348" s="1082"/>
      <c r="G348" s="699">
        <f>SUM(G350:G354)</f>
        <v>3639572.8499999996</v>
      </c>
      <c r="H348" s="700"/>
      <c r="I348" s="642"/>
      <c r="J348" s="642"/>
      <c r="K348" s="642"/>
    </row>
    <row r="349" spans="2:11" x14ac:dyDescent="0.3">
      <c r="B349" s="659" t="s">
        <v>682</v>
      </c>
      <c r="C349" s="643" t="s">
        <v>683</v>
      </c>
      <c r="D349" s="660" t="s">
        <v>216</v>
      </c>
      <c r="E349" s="660" t="s">
        <v>684</v>
      </c>
      <c r="F349" s="661" t="s">
        <v>685</v>
      </c>
      <c r="G349" s="662" t="s">
        <v>686</v>
      </c>
      <c r="H349" s="660" t="s">
        <v>687</v>
      </c>
      <c r="I349" s="642"/>
      <c r="J349" s="830" t="s">
        <v>930</v>
      </c>
      <c r="K349" s="831" t="s">
        <v>931</v>
      </c>
    </row>
    <row r="350" spans="2:11" ht="24.6" x14ac:dyDescent="0.3">
      <c r="B350" s="666"/>
      <c r="C350" s="667" t="s">
        <v>853</v>
      </c>
      <c r="D350" s="668" t="s">
        <v>556</v>
      </c>
      <c r="E350" s="775">
        <f>K350</f>
        <v>482770.4</v>
      </c>
      <c r="F350" s="774">
        <v>1</v>
      </c>
      <c r="G350" s="685">
        <f t="shared" ref="G350" si="103">E350*F350</f>
        <v>482770.4</v>
      </c>
      <c r="H350" s="670" t="s">
        <v>866</v>
      </c>
      <c r="I350" s="642"/>
      <c r="J350" s="775">
        <v>439922</v>
      </c>
      <c r="K350" s="832">
        <f t="shared" ref="K350:K354" si="104">TRUNC(J350*$K$58,2)</f>
        <v>482770.4</v>
      </c>
    </row>
    <row r="351" spans="2:11" x14ac:dyDescent="0.3">
      <c r="B351" s="666"/>
      <c r="C351" s="667" t="s">
        <v>854</v>
      </c>
      <c r="D351" s="668" t="s">
        <v>556</v>
      </c>
      <c r="E351" s="775">
        <f t="shared" ref="E351:E354" si="105">K351</f>
        <v>858257.56</v>
      </c>
      <c r="F351" s="774">
        <v>1</v>
      </c>
      <c r="G351" s="685">
        <f>E351*F351</f>
        <v>858257.56</v>
      </c>
      <c r="H351" s="670" t="s">
        <v>866</v>
      </c>
      <c r="I351" s="642"/>
      <c r="J351" s="775">
        <v>782082.71</v>
      </c>
      <c r="K351" s="832">
        <f t="shared" si="104"/>
        <v>858257.56</v>
      </c>
    </row>
    <row r="352" spans="2:11" x14ac:dyDescent="0.3">
      <c r="B352" s="666"/>
      <c r="C352" s="667" t="s">
        <v>855</v>
      </c>
      <c r="D352" s="668" t="s">
        <v>556</v>
      </c>
      <c r="E352" s="775">
        <f t="shared" si="105"/>
        <v>293569.86</v>
      </c>
      <c r="F352" s="774">
        <v>1</v>
      </c>
      <c r="G352" s="685">
        <f>E352*F352</f>
        <v>293569.86</v>
      </c>
      <c r="H352" s="670" t="s">
        <v>866</v>
      </c>
      <c r="I352" s="642"/>
      <c r="J352" s="775">
        <v>267514</v>
      </c>
      <c r="K352" s="832">
        <f t="shared" si="104"/>
        <v>293569.86</v>
      </c>
    </row>
    <row r="353" spans="2:11" x14ac:dyDescent="0.3">
      <c r="B353" s="666"/>
      <c r="C353" s="667" t="s">
        <v>856</v>
      </c>
      <c r="D353" s="668" t="s">
        <v>556</v>
      </c>
      <c r="E353" s="775">
        <f t="shared" si="105"/>
        <v>127072.33</v>
      </c>
      <c r="F353" s="774">
        <v>1</v>
      </c>
      <c r="G353" s="685">
        <f>E353*F353</f>
        <v>127072.33</v>
      </c>
      <c r="H353" s="670" t="s">
        <v>866</v>
      </c>
      <c r="I353" s="642"/>
      <c r="J353" s="775">
        <v>115794</v>
      </c>
      <c r="K353" s="832">
        <f t="shared" si="104"/>
        <v>127072.33</v>
      </c>
    </row>
    <row r="354" spans="2:11" ht="24.6" x14ac:dyDescent="0.3">
      <c r="B354" s="666"/>
      <c r="C354" s="667" t="s">
        <v>857</v>
      </c>
      <c r="D354" s="668" t="s">
        <v>556</v>
      </c>
      <c r="E354" s="775">
        <f t="shared" si="105"/>
        <v>1877902.7</v>
      </c>
      <c r="F354" s="774">
        <v>1</v>
      </c>
      <c r="G354" s="685">
        <f>E354*F354</f>
        <v>1877902.7</v>
      </c>
      <c r="H354" s="670" t="s">
        <v>866</v>
      </c>
      <c r="I354" s="642"/>
      <c r="J354" s="775">
        <v>1711229</v>
      </c>
      <c r="K354" s="832">
        <f t="shared" si="104"/>
        <v>1877902.7</v>
      </c>
    </row>
    <row r="355" spans="2:11" ht="15" thickBot="1" x14ac:dyDescent="0.35">
      <c r="B355" s="604"/>
      <c r="C355" s="604"/>
      <c r="D355" s="604"/>
      <c r="E355" s="604"/>
      <c r="F355" s="606"/>
      <c r="G355" s="604"/>
      <c r="H355" s="605"/>
      <c r="I355" s="642"/>
      <c r="J355" s="642"/>
    </row>
    <row r="356" spans="2:11" ht="15.6" thickTop="1" thickBot="1" x14ac:dyDescent="0.35">
      <c r="B356" s="738" t="s">
        <v>858</v>
      </c>
      <c r="C356" s="739"/>
      <c r="D356" s="740"/>
      <c r="E356" s="741"/>
      <c r="F356" s="742"/>
      <c r="G356" s="743">
        <f>G358</f>
        <v>2729660.9842874841</v>
      </c>
      <c r="H356" s="744"/>
      <c r="I356" s="642"/>
      <c r="J356" s="642"/>
    </row>
    <row r="357" spans="2:11" ht="15" thickTop="1" x14ac:dyDescent="0.3">
      <c r="B357" s="729"/>
      <c r="C357" s="730"/>
      <c r="D357" s="731"/>
      <c r="E357" s="732"/>
      <c r="F357" s="733"/>
      <c r="G357" s="734"/>
      <c r="H357" s="735"/>
      <c r="I357" s="642"/>
      <c r="J357" s="642"/>
    </row>
    <row r="358" spans="2:11" x14ac:dyDescent="0.3">
      <c r="B358" s="1081" t="s">
        <v>829</v>
      </c>
      <c r="C358" s="1081"/>
      <c r="D358" s="1081"/>
      <c r="E358" s="1081"/>
      <c r="F358" s="1081"/>
      <c r="G358" s="745">
        <f>SUM(G360:G362)</f>
        <v>2729660.9842874841</v>
      </c>
      <c r="H358" s="746"/>
      <c r="I358" s="642"/>
      <c r="J358" s="642"/>
    </row>
    <row r="359" spans="2:11" x14ac:dyDescent="0.3">
      <c r="B359" s="659" t="s">
        <v>682</v>
      </c>
      <c r="C359" s="643" t="s">
        <v>683</v>
      </c>
      <c r="D359" s="660" t="s">
        <v>216</v>
      </c>
      <c r="E359" s="660" t="s">
        <v>684</v>
      </c>
      <c r="F359" s="661" t="s">
        <v>685</v>
      </c>
      <c r="G359" s="662" t="s">
        <v>686</v>
      </c>
      <c r="H359" s="660" t="s">
        <v>687</v>
      </c>
      <c r="I359" s="642"/>
      <c r="J359" s="642"/>
    </row>
    <row r="360" spans="2:11" x14ac:dyDescent="0.3">
      <c r="B360" s="666"/>
      <c r="C360" s="667" t="s">
        <v>881</v>
      </c>
      <c r="D360" s="668" t="s">
        <v>556</v>
      </c>
      <c r="E360" s="775">
        <f>G320*1.13509775736486%</f>
        <v>1493330.845264517</v>
      </c>
      <c r="F360" s="774">
        <v>1</v>
      </c>
      <c r="G360" s="685">
        <f t="shared" ref="G360:G362" si="106">E360*F360</f>
        <v>1493330.845264517</v>
      </c>
      <c r="H360" s="670" t="s">
        <v>866</v>
      </c>
      <c r="I360" s="642"/>
      <c r="J360" s="642"/>
    </row>
    <row r="361" spans="2:11" x14ac:dyDescent="0.3">
      <c r="B361" s="666"/>
      <c r="C361" s="667" t="s">
        <v>859</v>
      </c>
      <c r="D361" s="668" t="s">
        <v>556</v>
      </c>
      <c r="E361" s="775">
        <f>G334*1.13509775736486%</f>
        <v>900674.43882655737</v>
      </c>
      <c r="F361" s="774">
        <v>1</v>
      </c>
      <c r="G361" s="685">
        <f t="shared" si="106"/>
        <v>900674.43882655737</v>
      </c>
      <c r="H361" s="670" t="s">
        <v>866</v>
      </c>
      <c r="I361" s="642"/>
      <c r="J361" s="642"/>
    </row>
    <row r="362" spans="2:11" x14ac:dyDescent="0.3">
      <c r="B362" s="666"/>
      <c r="C362" s="667" t="s">
        <v>860</v>
      </c>
      <c r="D362" s="668" t="s">
        <v>556</v>
      </c>
      <c r="E362" s="775">
        <f>G340*1.13509775736486%</f>
        <v>335655.70019640948</v>
      </c>
      <c r="F362" s="774">
        <v>1</v>
      </c>
      <c r="G362" s="685">
        <f t="shared" si="106"/>
        <v>335655.70019640948</v>
      </c>
      <c r="H362" s="670" t="s">
        <v>866</v>
      </c>
      <c r="I362" s="642"/>
      <c r="J362" s="642"/>
    </row>
    <row r="363" spans="2:11" x14ac:dyDescent="0.3">
      <c r="I363" s="642"/>
      <c r="J363" s="642"/>
    </row>
    <row r="364" spans="2:11" x14ac:dyDescent="0.3">
      <c r="I364" s="642"/>
      <c r="J364" s="642"/>
    </row>
    <row r="365" spans="2:11" x14ac:dyDescent="0.3">
      <c r="I365" s="642"/>
      <c r="J365" s="642"/>
    </row>
    <row r="366" spans="2:11" x14ac:dyDescent="0.3">
      <c r="I366" s="642"/>
    </row>
    <row r="367" spans="2:11" x14ac:dyDescent="0.3">
      <c r="I367" s="642"/>
    </row>
    <row r="368" spans="2:11" x14ac:dyDescent="0.3">
      <c r="I368" s="642"/>
    </row>
    <row r="369" spans="9:9" x14ac:dyDescent="0.3">
      <c r="I369" s="642"/>
    </row>
    <row r="370" spans="9:9" x14ac:dyDescent="0.3">
      <c r="I370" s="642"/>
    </row>
    <row r="371" spans="9:9" x14ac:dyDescent="0.3">
      <c r="I371" s="642"/>
    </row>
    <row r="372" spans="9:9" x14ac:dyDescent="0.3">
      <c r="I372" s="642"/>
    </row>
    <row r="373" spans="9:9" x14ac:dyDescent="0.3">
      <c r="I373" s="642"/>
    </row>
    <row r="374" spans="9:9" x14ac:dyDescent="0.3">
      <c r="I374" s="642"/>
    </row>
    <row r="375" spans="9:9" x14ac:dyDescent="0.3">
      <c r="I375" s="642"/>
    </row>
    <row r="376" spans="9:9" x14ac:dyDescent="0.3">
      <c r="I376" s="642"/>
    </row>
    <row r="377" spans="9:9" x14ac:dyDescent="0.3">
      <c r="I377" s="642"/>
    </row>
    <row r="378" spans="9:9" x14ac:dyDescent="0.3">
      <c r="I378" s="642"/>
    </row>
    <row r="379" spans="9:9" x14ac:dyDescent="0.3">
      <c r="I379" s="642"/>
    </row>
    <row r="380" spans="9:9" x14ac:dyDescent="0.3">
      <c r="I380" s="642"/>
    </row>
    <row r="381" spans="9:9" x14ac:dyDescent="0.3">
      <c r="I381" s="642"/>
    </row>
    <row r="382" spans="9:9" x14ac:dyDescent="0.3">
      <c r="I382" s="642"/>
    </row>
    <row r="383" spans="9:9" x14ac:dyDescent="0.3">
      <c r="I383" s="642"/>
    </row>
    <row r="384" spans="9:9" x14ac:dyDescent="0.3">
      <c r="I384" s="642"/>
    </row>
    <row r="385" spans="9:9" x14ac:dyDescent="0.3">
      <c r="I385" s="642"/>
    </row>
    <row r="386" spans="9:9" x14ac:dyDescent="0.3">
      <c r="I386" s="642"/>
    </row>
    <row r="387" spans="9:9" x14ac:dyDescent="0.3">
      <c r="I387" s="642"/>
    </row>
    <row r="388" spans="9:9" x14ac:dyDescent="0.3">
      <c r="I388" s="642"/>
    </row>
    <row r="389" spans="9:9" x14ac:dyDescent="0.3">
      <c r="I389" s="642"/>
    </row>
    <row r="390" spans="9:9" x14ac:dyDescent="0.3">
      <c r="I390" s="642"/>
    </row>
    <row r="391" spans="9:9" x14ac:dyDescent="0.3">
      <c r="I391" s="642"/>
    </row>
  </sheetData>
  <mergeCells count="23">
    <mergeCell ref="B342:F342"/>
    <mergeCell ref="B348:F348"/>
    <mergeCell ref="B358:F358"/>
    <mergeCell ref="B299:F299"/>
    <mergeCell ref="B310:F310"/>
    <mergeCell ref="B318:F318"/>
    <mergeCell ref="B322:F322"/>
    <mergeCell ref="B330:F330"/>
    <mergeCell ref="B205:F205"/>
    <mergeCell ref="B218:F218"/>
    <mergeCell ref="B229:F229"/>
    <mergeCell ref="B243:F243"/>
    <mergeCell ref="B336:F336"/>
    <mergeCell ref="B107:F107"/>
    <mergeCell ref="B129:F129"/>
    <mergeCell ref="B165:F165"/>
    <mergeCell ref="B170:F170"/>
    <mergeCell ref="B190:F190"/>
    <mergeCell ref="C52:E52"/>
    <mergeCell ref="C51:E51"/>
    <mergeCell ref="C1:F1"/>
    <mergeCell ref="C50:F50"/>
    <mergeCell ref="C53:E53"/>
  </mergeCells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99"/>
  <sheetViews>
    <sheetView showGridLines="0" zoomScale="80" zoomScaleNormal="80" workbookViewId="0">
      <pane xSplit="2" ySplit="1" topLeftCell="C61" activePane="bottomRight" state="frozen"/>
      <selection pane="topRight" activeCell="E1" sqref="E1"/>
      <selection pane="bottomLeft" activeCell="A3" sqref="A3"/>
      <selection pane="bottomRight" activeCell="M83" sqref="M83"/>
    </sheetView>
  </sheetViews>
  <sheetFormatPr defaultRowHeight="14.4" x14ac:dyDescent="0.3"/>
  <cols>
    <col min="1" max="1" width="14" customWidth="1"/>
    <col min="2" max="2" width="57.109375" customWidth="1"/>
    <col min="3" max="5" width="22.6640625" customWidth="1"/>
    <col min="6" max="7" width="21.109375" customWidth="1"/>
    <col min="8" max="10" width="20.6640625" customWidth="1"/>
    <col min="11" max="14" width="20" customWidth="1"/>
    <col min="15" max="15" width="19.5546875" customWidth="1"/>
    <col min="16" max="17" width="20" customWidth="1"/>
    <col min="18" max="18" width="19.5546875" customWidth="1"/>
    <col min="19" max="19" width="20" customWidth="1"/>
    <col min="20" max="20" width="20" bestFit="1" customWidth="1"/>
    <col min="21" max="21" width="19.5546875" bestFit="1" customWidth="1"/>
    <col min="22" max="22" width="20" bestFit="1" customWidth="1"/>
    <col min="23" max="23" width="19.5546875" bestFit="1" customWidth="1"/>
    <col min="24" max="24" width="20" bestFit="1" customWidth="1"/>
    <col min="25" max="25" width="19.5546875" bestFit="1" customWidth="1"/>
    <col min="26" max="37" width="20" bestFit="1" customWidth="1"/>
    <col min="38" max="38" width="22.88671875" bestFit="1" customWidth="1"/>
    <col min="39" max="39" width="19.88671875" customWidth="1"/>
    <col min="40" max="40" width="18.44140625" bestFit="1" customWidth="1"/>
    <col min="41" max="41" width="17.44140625" customWidth="1"/>
    <col min="42" max="45" width="9.33203125" bestFit="1" customWidth="1"/>
    <col min="47" max="47" width="9.33203125" bestFit="1" customWidth="1"/>
  </cols>
  <sheetData>
    <row r="1" spans="1:40" ht="15" thickBot="1" x14ac:dyDescent="0.35">
      <c r="A1" s="318" t="s">
        <v>522</v>
      </c>
      <c r="B1" s="460" t="s">
        <v>17</v>
      </c>
      <c r="C1" s="461">
        <v>1</v>
      </c>
      <c r="D1" s="461">
        <f t="shared" ref="D1:AF1" si="0">C1+1</f>
        <v>2</v>
      </c>
      <c r="E1" s="461">
        <f t="shared" si="0"/>
        <v>3</v>
      </c>
      <c r="F1" s="461">
        <f t="shared" si="0"/>
        <v>4</v>
      </c>
      <c r="G1" s="461">
        <f t="shared" si="0"/>
        <v>5</v>
      </c>
      <c r="H1" s="461">
        <f t="shared" si="0"/>
        <v>6</v>
      </c>
      <c r="I1" s="461">
        <f t="shared" si="0"/>
        <v>7</v>
      </c>
      <c r="J1" s="461">
        <f t="shared" si="0"/>
        <v>8</v>
      </c>
      <c r="K1" s="461">
        <f t="shared" si="0"/>
        <v>9</v>
      </c>
      <c r="L1" s="461">
        <f t="shared" si="0"/>
        <v>10</v>
      </c>
      <c r="M1" s="461">
        <f t="shared" si="0"/>
        <v>11</v>
      </c>
      <c r="N1" s="461">
        <f t="shared" si="0"/>
        <v>12</v>
      </c>
      <c r="O1" s="461">
        <f t="shared" si="0"/>
        <v>13</v>
      </c>
      <c r="P1" s="461">
        <f t="shared" si="0"/>
        <v>14</v>
      </c>
      <c r="Q1" s="461">
        <f t="shared" si="0"/>
        <v>15</v>
      </c>
      <c r="R1" s="461">
        <f t="shared" si="0"/>
        <v>16</v>
      </c>
      <c r="S1" s="461">
        <f t="shared" si="0"/>
        <v>17</v>
      </c>
      <c r="T1" s="461">
        <f t="shared" si="0"/>
        <v>18</v>
      </c>
      <c r="U1" s="461">
        <f t="shared" si="0"/>
        <v>19</v>
      </c>
      <c r="V1" s="461">
        <f t="shared" si="0"/>
        <v>20</v>
      </c>
      <c r="W1" s="461">
        <f t="shared" si="0"/>
        <v>21</v>
      </c>
      <c r="X1" s="461">
        <f t="shared" si="0"/>
        <v>22</v>
      </c>
      <c r="Y1" s="461">
        <f t="shared" si="0"/>
        <v>23</v>
      </c>
      <c r="Z1" s="461">
        <f t="shared" si="0"/>
        <v>24</v>
      </c>
      <c r="AA1" s="461">
        <f t="shared" si="0"/>
        <v>25</v>
      </c>
      <c r="AB1" s="461">
        <f t="shared" si="0"/>
        <v>26</v>
      </c>
      <c r="AC1" s="461">
        <f t="shared" si="0"/>
        <v>27</v>
      </c>
      <c r="AD1" s="461">
        <f t="shared" si="0"/>
        <v>28</v>
      </c>
      <c r="AE1" s="461">
        <f t="shared" si="0"/>
        <v>29</v>
      </c>
      <c r="AF1" s="461">
        <f t="shared" si="0"/>
        <v>30</v>
      </c>
      <c r="AG1" s="461">
        <f t="shared" ref="AG1" si="1">AF1+1</f>
        <v>31</v>
      </c>
      <c r="AH1" s="461">
        <f t="shared" ref="AH1" si="2">AG1+1</f>
        <v>32</v>
      </c>
      <c r="AI1" s="461">
        <f t="shared" ref="AI1" si="3">AH1+1</f>
        <v>33</v>
      </c>
      <c r="AJ1" s="461">
        <f t="shared" ref="AJ1" si="4">AI1+1</f>
        <v>34</v>
      </c>
      <c r="AK1" s="461">
        <f t="shared" ref="AK1" si="5">AJ1+1</f>
        <v>35</v>
      </c>
      <c r="AL1" s="462"/>
    </row>
    <row r="2" spans="1:40" ht="15" thickBot="1" x14ac:dyDescent="0.35">
      <c r="A2" s="147" t="s">
        <v>528</v>
      </c>
      <c r="B2" s="463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464"/>
    </row>
    <row r="3" spans="1:40" ht="15.6" thickTop="1" thickBot="1" x14ac:dyDescent="0.35">
      <c r="A3" s="222" t="s">
        <v>524</v>
      </c>
      <c r="B3" s="465" t="s">
        <v>652</v>
      </c>
      <c r="C3" s="102">
        <v>1</v>
      </c>
      <c r="D3" s="102">
        <f t="shared" ref="D3:D4" si="6">C3+1</f>
        <v>2</v>
      </c>
      <c r="E3" s="102">
        <f t="shared" ref="E3:E4" si="7">D3+1</f>
        <v>3</v>
      </c>
      <c r="F3" s="102">
        <f t="shared" ref="F3:F4" si="8">E3+1</f>
        <v>4</v>
      </c>
      <c r="G3" s="102">
        <f t="shared" ref="G3:G4" si="9">F3+1</f>
        <v>5</v>
      </c>
      <c r="H3" s="102">
        <f t="shared" ref="H3:H4" si="10">G3+1</f>
        <v>6</v>
      </c>
      <c r="I3" s="102">
        <f t="shared" ref="I3:I4" si="11">H3+1</f>
        <v>7</v>
      </c>
      <c r="J3" s="102">
        <f t="shared" ref="J3:J4" si="12">I3+1</f>
        <v>8</v>
      </c>
      <c r="K3" s="102">
        <f t="shared" ref="K3:K4" si="13">J3+1</f>
        <v>9</v>
      </c>
      <c r="L3" s="102">
        <f t="shared" ref="L3:L4" si="14">K3+1</f>
        <v>10</v>
      </c>
      <c r="M3" s="102">
        <f t="shared" ref="M3:M4" si="15">L3+1</f>
        <v>11</v>
      </c>
      <c r="N3" s="102">
        <f t="shared" ref="N3:N4" si="16">M3+1</f>
        <v>12</v>
      </c>
      <c r="O3" s="102">
        <f t="shared" ref="O3:O4" si="17">N3+1</f>
        <v>13</v>
      </c>
      <c r="P3" s="102">
        <f t="shared" ref="P3:P4" si="18">O3+1</f>
        <v>14</v>
      </c>
      <c r="Q3" s="102">
        <f t="shared" ref="Q3:Q4" si="19">P3+1</f>
        <v>15</v>
      </c>
      <c r="R3" s="102">
        <f t="shared" ref="R3:R4" si="20">Q3+1</f>
        <v>16</v>
      </c>
      <c r="S3" s="102">
        <f t="shared" ref="S3:S4" si="21">R3+1</f>
        <v>17</v>
      </c>
      <c r="T3" s="102">
        <f t="shared" ref="T3:T4" si="22">S3+1</f>
        <v>18</v>
      </c>
      <c r="U3" s="102">
        <f t="shared" ref="U3:U4" si="23">T3+1</f>
        <v>19</v>
      </c>
      <c r="V3" s="102">
        <f t="shared" ref="V3:V4" si="24">U3+1</f>
        <v>20</v>
      </c>
      <c r="W3" s="102">
        <f t="shared" ref="W3:W4" si="25">V3+1</f>
        <v>21</v>
      </c>
      <c r="X3" s="102">
        <f t="shared" ref="X3:X4" si="26">W3+1</f>
        <v>22</v>
      </c>
      <c r="Y3" s="102">
        <f t="shared" ref="Y3:Y4" si="27">X3+1</f>
        <v>23</v>
      </c>
      <c r="Z3" s="102">
        <f t="shared" ref="Z3:Z4" si="28">Y3+1</f>
        <v>24</v>
      </c>
      <c r="AA3" s="102">
        <f t="shared" ref="AA3:AA4" si="29">Z3+1</f>
        <v>25</v>
      </c>
      <c r="AB3" s="102">
        <f t="shared" ref="AB3:AB4" si="30">AA3+1</f>
        <v>26</v>
      </c>
      <c r="AC3" s="102">
        <f t="shared" ref="AC3:AC4" si="31">AB3+1</f>
        <v>27</v>
      </c>
      <c r="AD3" s="102">
        <f t="shared" ref="AD3:AD4" si="32">AC3+1</f>
        <v>28</v>
      </c>
      <c r="AE3" s="102">
        <f t="shared" ref="AE3:AE4" si="33">AD3+1</f>
        <v>29</v>
      </c>
      <c r="AF3" s="102">
        <f t="shared" ref="AF3:AF4" si="34">AE3+1</f>
        <v>30</v>
      </c>
      <c r="AG3" s="102">
        <f t="shared" ref="AG3:AG4" si="35">AF3+1</f>
        <v>31</v>
      </c>
      <c r="AH3" s="102">
        <f t="shared" ref="AH3:AH4" si="36">AG3+1</f>
        <v>32</v>
      </c>
      <c r="AI3" s="102">
        <f t="shared" ref="AI3:AI4" si="37">AH3+1</f>
        <v>33</v>
      </c>
      <c r="AJ3" s="102">
        <f t="shared" ref="AJ3:AJ4" si="38">AI3+1</f>
        <v>34</v>
      </c>
      <c r="AK3" s="102">
        <f t="shared" ref="AK3:AK4" si="39">AJ3+1</f>
        <v>35</v>
      </c>
      <c r="AL3" s="1085" t="s">
        <v>23</v>
      </c>
    </row>
    <row r="4" spans="1:40" x14ac:dyDescent="0.3">
      <c r="B4" s="466"/>
      <c r="C4" s="103">
        <f>'FCD PROJETO'!F24</f>
        <v>2027</v>
      </c>
      <c r="D4" s="103">
        <f t="shared" si="6"/>
        <v>2028</v>
      </c>
      <c r="E4" s="103">
        <f t="shared" si="7"/>
        <v>2029</v>
      </c>
      <c r="F4" s="103">
        <f t="shared" si="8"/>
        <v>2030</v>
      </c>
      <c r="G4" s="103">
        <f t="shared" si="9"/>
        <v>2031</v>
      </c>
      <c r="H4" s="103">
        <f t="shared" si="10"/>
        <v>2032</v>
      </c>
      <c r="I4" s="103">
        <f t="shared" si="11"/>
        <v>2033</v>
      </c>
      <c r="J4" s="103">
        <f t="shared" si="12"/>
        <v>2034</v>
      </c>
      <c r="K4" s="103">
        <f t="shared" si="13"/>
        <v>2035</v>
      </c>
      <c r="L4" s="103">
        <f t="shared" si="14"/>
        <v>2036</v>
      </c>
      <c r="M4" s="103">
        <f t="shared" si="15"/>
        <v>2037</v>
      </c>
      <c r="N4" s="103">
        <f t="shared" si="16"/>
        <v>2038</v>
      </c>
      <c r="O4" s="103">
        <f t="shared" si="17"/>
        <v>2039</v>
      </c>
      <c r="P4" s="103">
        <f t="shared" si="18"/>
        <v>2040</v>
      </c>
      <c r="Q4" s="103">
        <f t="shared" si="19"/>
        <v>2041</v>
      </c>
      <c r="R4" s="103">
        <f t="shared" si="20"/>
        <v>2042</v>
      </c>
      <c r="S4" s="103">
        <f t="shared" si="21"/>
        <v>2043</v>
      </c>
      <c r="T4" s="103">
        <f t="shared" si="22"/>
        <v>2044</v>
      </c>
      <c r="U4" s="103">
        <f t="shared" si="23"/>
        <v>2045</v>
      </c>
      <c r="V4" s="103">
        <f t="shared" si="24"/>
        <v>2046</v>
      </c>
      <c r="W4" s="103">
        <f t="shared" si="25"/>
        <v>2047</v>
      </c>
      <c r="X4" s="103">
        <f t="shared" si="26"/>
        <v>2048</v>
      </c>
      <c r="Y4" s="103">
        <f t="shared" si="27"/>
        <v>2049</v>
      </c>
      <c r="Z4" s="103">
        <f t="shared" si="28"/>
        <v>2050</v>
      </c>
      <c r="AA4" s="103">
        <f t="shared" si="29"/>
        <v>2051</v>
      </c>
      <c r="AB4" s="103">
        <f t="shared" si="30"/>
        <v>2052</v>
      </c>
      <c r="AC4" s="103">
        <f t="shared" si="31"/>
        <v>2053</v>
      </c>
      <c r="AD4" s="103">
        <f t="shared" si="32"/>
        <v>2054</v>
      </c>
      <c r="AE4" s="103">
        <f t="shared" si="33"/>
        <v>2055</v>
      </c>
      <c r="AF4" s="103">
        <f t="shared" si="34"/>
        <v>2056</v>
      </c>
      <c r="AG4" s="103">
        <f t="shared" si="35"/>
        <v>2057</v>
      </c>
      <c r="AH4" s="103">
        <f t="shared" si="36"/>
        <v>2058</v>
      </c>
      <c r="AI4" s="103">
        <f t="shared" si="37"/>
        <v>2059</v>
      </c>
      <c r="AJ4" s="103">
        <f t="shared" si="38"/>
        <v>2060</v>
      </c>
      <c r="AK4" s="103">
        <f t="shared" si="39"/>
        <v>2061</v>
      </c>
      <c r="AL4" s="1086"/>
    </row>
    <row r="5" spans="1:40" x14ac:dyDescent="0.3">
      <c r="B5" s="467" t="s">
        <v>70</v>
      </c>
      <c r="C5" s="148">
        <f>ROUND(CAPEX!$D5*'Base Física'!F$33,2)</f>
        <v>0</v>
      </c>
      <c r="D5" s="148">
        <f>ROUND(CAPEX!$D5*'Base Física'!G$33,2)</f>
        <v>2091864.28</v>
      </c>
      <c r="E5" s="148">
        <f>ROUND(CAPEX!$D5*'Base Física'!H$33,2)</f>
        <v>423174.84</v>
      </c>
      <c r="F5" s="148">
        <f>ROUND(CAPEX!$D5*'Base Física'!I$33,2)</f>
        <v>0</v>
      </c>
      <c r="G5" s="148">
        <f>ROUND(CAPEX!$D5*'Base Física'!J$33,2)</f>
        <v>0</v>
      </c>
      <c r="H5" s="148">
        <f>ROUND(CAPEX!$D5*'Base Física'!K$33,2)</f>
        <v>0</v>
      </c>
      <c r="I5" s="148">
        <f>ROUND(CAPEX!$D5*'Base Física'!L$33,2)</f>
        <v>0</v>
      </c>
      <c r="J5" s="148">
        <f>ROUND(CAPEX!$D5*'Base Física'!M$33,2)</f>
        <v>0</v>
      </c>
      <c r="K5" s="148">
        <f>ROUND(CAPEX!$D5*'Base Física'!N$33,2)</f>
        <v>1500.62</v>
      </c>
      <c r="L5" s="148">
        <f>ROUND(CAPEX!$D5*'Base Física'!O$33,2)</f>
        <v>0</v>
      </c>
      <c r="M5" s="148">
        <f>ROUND(CAPEX!$D5*'Base Física'!P$33,2)</f>
        <v>0</v>
      </c>
      <c r="N5" s="148">
        <f>ROUND(CAPEX!$D5*'Base Física'!Q$33,2)</f>
        <v>0</v>
      </c>
      <c r="O5" s="148">
        <f>ROUND(CAPEX!$D5*'Base Física'!R$33,2)</f>
        <v>0</v>
      </c>
      <c r="P5" s="148">
        <f>ROUND(CAPEX!$D5*'Base Física'!S$33,2)</f>
        <v>0</v>
      </c>
      <c r="Q5" s="148">
        <f>ROUND(CAPEX!$D5*'Base Física'!T$33,2)</f>
        <v>0</v>
      </c>
      <c r="R5" s="148">
        <f>ROUND(CAPEX!$D5*'Base Física'!U$33,2)</f>
        <v>0</v>
      </c>
      <c r="S5" s="148">
        <f>ROUND(CAPEX!$D5*'Base Física'!V$33,2)</f>
        <v>0</v>
      </c>
      <c r="T5" s="148">
        <f>ROUND(CAPEX!$D5*'Base Física'!W$33,2)</f>
        <v>0</v>
      </c>
      <c r="U5" s="148">
        <f>ROUND(CAPEX!$D5*'Base Física'!X$33,2)</f>
        <v>1500.62</v>
      </c>
      <c r="V5" s="148">
        <f>ROUND(CAPEX!$D5*'Base Física'!Y$33,2)</f>
        <v>0</v>
      </c>
      <c r="W5" s="148">
        <f>ROUND(CAPEX!$D5*'Base Física'!Z$33,2)</f>
        <v>0</v>
      </c>
      <c r="X5" s="148">
        <f>ROUND(CAPEX!$D5*'Base Física'!AA$33,2)</f>
        <v>0</v>
      </c>
      <c r="Y5" s="148">
        <f>ROUND(CAPEX!$D5*'Base Física'!AB$33,2)</f>
        <v>1500.62</v>
      </c>
      <c r="Z5" s="148">
        <f>ROUND(CAPEX!$D5*'Base Física'!AC$33,2)</f>
        <v>0</v>
      </c>
      <c r="AA5" s="148">
        <f>ROUND(CAPEX!$D5*'Base Física'!AD$33,2)</f>
        <v>0</v>
      </c>
      <c r="AB5" s="148">
        <f>ROUND(CAPEX!$D5*'Base Física'!AE$33,2)</f>
        <v>0</v>
      </c>
      <c r="AC5" s="148">
        <f>ROUND(CAPEX!$D5*'Base Física'!AF$33,2)</f>
        <v>0</v>
      </c>
      <c r="AD5" s="148">
        <f>ROUND(CAPEX!$D5*'Base Física'!AG$33,2)</f>
        <v>0</v>
      </c>
      <c r="AE5" s="148">
        <f>ROUND(CAPEX!$D5*'Base Física'!AH$33,2)</f>
        <v>0</v>
      </c>
      <c r="AF5" s="148">
        <f>ROUND(CAPEX!$D5*'Base Física'!AI$33,2)</f>
        <v>0</v>
      </c>
      <c r="AG5" s="148">
        <f>ROUND(CAPEX!$D5*'Base Física'!AJ$33,2)</f>
        <v>1500.62</v>
      </c>
      <c r="AH5" s="148">
        <f>ROUND(CAPEX!$D5*'Base Física'!AK$33,2)</f>
        <v>0</v>
      </c>
      <c r="AI5" s="148">
        <f>ROUND(CAPEX!$D5*'Base Física'!AL$33,2)</f>
        <v>0</v>
      </c>
      <c r="AJ5" s="148">
        <f>ROUND(CAPEX!$D5*'Base Física'!AM$33,2)</f>
        <v>0</v>
      </c>
      <c r="AK5" s="148">
        <f>ROUND(CAPEX!$D5*'Base Física'!AN$33,2)</f>
        <v>0</v>
      </c>
      <c r="AL5" s="468">
        <f>+SUM(C5:AK5)+5.7</f>
        <v>2521047.3000000007</v>
      </c>
      <c r="AM5" s="71"/>
      <c r="AN5" s="71"/>
    </row>
    <row r="6" spans="1:40" x14ac:dyDescent="0.3">
      <c r="B6" s="467" t="s">
        <v>65</v>
      </c>
      <c r="C6" s="148">
        <f>ROUND(CAPEX!$D6*'Base Física'!F$33,2)</f>
        <v>0</v>
      </c>
      <c r="D6" s="148">
        <f>ROUND(CAPEX!$D6*'Base Física'!G$33,2)</f>
        <v>1865464.74</v>
      </c>
      <c r="E6" s="148">
        <f>ROUND(CAPEX!$D6*'Base Física'!H$33,2)</f>
        <v>377375.22</v>
      </c>
      <c r="F6" s="148">
        <f>ROUND(CAPEX!$D6*'Base Física'!I$33,2)</f>
        <v>0</v>
      </c>
      <c r="G6" s="148">
        <f>ROUND(CAPEX!$D6*'Base Física'!J$33,2)</f>
        <v>0</v>
      </c>
      <c r="H6" s="148">
        <f>ROUND(CAPEX!$D6*'Base Física'!K$33,2)</f>
        <v>0</v>
      </c>
      <c r="I6" s="148">
        <f>ROUND(CAPEX!$D6*'Base Física'!L$33,2)</f>
        <v>0</v>
      </c>
      <c r="J6" s="148">
        <f>ROUND(CAPEX!$D6*'Base Física'!M$33,2)</f>
        <v>0</v>
      </c>
      <c r="K6" s="148">
        <f>ROUND(CAPEX!$D6*'Base Física'!N$33,2)</f>
        <v>1338.21</v>
      </c>
      <c r="L6" s="148">
        <f>ROUND(CAPEX!$D6*'Base Física'!O$33,2)</f>
        <v>0</v>
      </c>
      <c r="M6" s="148">
        <f>ROUND(CAPEX!$D6*'Base Física'!P$33,2)</f>
        <v>0</v>
      </c>
      <c r="N6" s="148">
        <f>ROUND(CAPEX!$D6*'Base Física'!Q$33,2)</f>
        <v>0</v>
      </c>
      <c r="O6" s="148">
        <f>ROUND(CAPEX!$D6*'Base Física'!R$33,2)</f>
        <v>0</v>
      </c>
      <c r="P6" s="148">
        <f>ROUND(CAPEX!$D6*'Base Física'!S$33,2)</f>
        <v>0</v>
      </c>
      <c r="Q6" s="148">
        <f>ROUND(CAPEX!$D6*'Base Física'!T$33,2)</f>
        <v>0</v>
      </c>
      <c r="R6" s="148">
        <f>ROUND(CAPEX!$D6*'Base Física'!U$33,2)</f>
        <v>0</v>
      </c>
      <c r="S6" s="148">
        <f>ROUND(CAPEX!$D6*'Base Física'!V$33,2)</f>
        <v>0</v>
      </c>
      <c r="T6" s="148">
        <f>ROUND(CAPEX!$D6*'Base Física'!W$33,2)</f>
        <v>0</v>
      </c>
      <c r="U6" s="148">
        <f>ROUND(CAPEX!$D6*'Base Física'!X$33,2)</f>
        <v>1338.21</v>
      </c>
      <c r="V6" s="148">
        <f>ROUND(CAPEX!$D6*'Base Física'!Y$33,2)</f>
        <v>0</v>
      </c>
      <c r="W6" s="148">
        <f>ROUND(CAPEX!$D6*'Base Física'!Z$33,2)</f>
        <v>0</v>
      </c>
      <c r="X6" s="148">
        <f>ROUND(CAPEX!$D6*'Base Física'!AA$33,2)</f>
        <v>0</v>
      </c>
      <c r="Y6" s="148">
        <f>ROUND(CAPEX!$D6*'Base Física'!AB$33,2)</f>
        <v>1338.21</v>
      </c>
      <c r="Z6" s="148">
        <f>ROUND(CAPEX!$D6*'Base Física'!AC$33,2)</f>
        <v>0</v>
      </c>
      <c r="AA6" s="148">
        <f>ROUND(CAPEX!$D6*'Base Física'!AD$33,2)</f>
        <v>0</v>
      </c>
      <c r="AB6" s="148">
        <f>ROUND(CAPEX!$D6*'Base Física'!AE$33,2)</f>
        <v>0</v>
      </c>
      <c r="AC6" s="148">
        <f>ROUND(CAPEX!$D6*'Base Física'!AF$33,2)</f>
        <v>0</v>
      </c>
      <c r="AD6" s="148">
        <f>ROUND(CAPEX!$D6*'Base Física'!AG$33,2)</f>
        <v>0</v>
      </c>
      <c r="AE6" s="148">
        <f>ROUND(CAPEX!$D6*'Base Física'!AH$33,2)</f>
        <v>0</v>
      </c>
      <c r="AF6" s="148">
        <f>ROUND(CAPEX!$D6*'Base Física'!AI$33,2)</f>
        <v>0</v>
      </c>
      <c r="AG6" s="148">
        <f>ROUND(CAPEX!$D6*'Base Física'!AJ$33,2)</f>
        <v>1338.21</v>
      </c>
      <c r="AH6" s="148">
        <f>ROUND(CAPEX!$D6*'Base Física'!AK$33,2)</f>
        <v>0</v>
      </c>
      <c r="AI6" s="148">
        <f>ROUND(CAPEX!$D6*'Base Física'!AL$33,2)</f>
        <v>0</v>
      </c>
      <c r="AJ6" s="148">
        <f>ROUND(CAPEX!$D6*'Base Física'!AM$33,2)</f>
        <v>0</v>
      </c>
      <c r="AK6" s="148">
        <f>ROUND(CAPEX!$D6*'Base Física'!AN$33,2)</f>
        <v>0</v>
      </c>
      <c r="AL6" s="468">
        <f>+SUM(C6:AK6)-1.34</f>
        <v>2248191.46</v>
      </c>
      <c r="AM6" s="71"/>
    </row>
    <row r="7" spans="1:40" x14ac:dyDescent="0.3">
      <c r="B7" s="467" t="s">
        <v>66</v>
      </c>
      <c r="C7" s="148">
        <f>ROUND(CAPEX!$D7*'Base Física'!F$33,2)</f>
        <v>0</v>
      </c>
      <c r="D7" s="148">
        <f>ROUND(CAPEX!$D7*'Base Física'!G$33,2)</f>
        <v>878833.36</v>
      </c>
      <c r="E7" s="148">
        <f>ROUND(CAPEX!$D7*'Base Física'!H$33,2)</f>
        <v>177784.08</v>
      </c>
      <c r="F7" s="148">
        <f>ROUND(CAPEX!$D7*'Base Física'!I$33,2)</f>
        <v>0</v>
      </c>
      <c r="G7" s="148">
        <f>ROUND(CAPEX!$D7*'Base Física'!J$33,2)</f>
        <v>0</v>
      </c>
      <c r="H7" s="148">
        <f>ROUND(CAPEX!$D7*'Base Física'!K$33,2)</f>
        <v>0</v>
      </c>
      <c r="I7" s="148">
        <f>ROUND(CAPEX!$D7*'Base Física'!L$33,2)</f>
        <v>0</v>
      </c>
      <c r="J7" s="148">
        <f>ROUND(CAPEX!$D7*'Base Física'!M$33,2)</f>
        <v>0</v>
      </c>
      <c r="K7" s="148">
        <f>ROUND(CAPEX!$D7*'Base Física'!N$33,2)</f>
        <v>630.44000000000005</v>
      </c>
      <c r="L7" s="148">
        <f>ROUND(CAPEX!$D7*'Base Física'!O$33,2)</f>
        <v>0</v>
      </c>
      <c r="M7" s="148">
        <f>ROUND(CAPEX!$D7*'Base Física'!P$33,2)</f>
        <v>0</v>
      </c>
      <c r="N7" s="148">
        <f>ROUND(CAPEX!$D7*'Base Física'!Q$33,2)</f>
        <v>0</v>
      </c>
      <c r="O7" s="148">
        <f>ROUND(CAPEX!$D7*'Base Física'!R$33,2)</f>
        <v>0</v>
      </c>
      <c r="P7" s="148">
        <f>ROUND(CAPEX!$D7*'Base Física'!S$33,2)</f>
        <v>0</v>
      </c>
      <c r="Q7" s="148">
        <f>ROUND(CAPEX!$D7*'Base Física'!T$33,2)</f>
        <v>0</v>
      </c>
      <c r="R7" s="148">
        <f>ROUND(CAPEX!$D7*'Base Física'!U$33,2)</f>
        <v>0</v>
      </c>
      <c r="S7" s="148">
        <f>ROUND(CAPEX!$D7*'Base Física'!V$33,2)</f>
        <v>0</v>
      </c>
      <c r="T7" s="148">
        <f>ROUND(CAPEX!$D7*'Base Física'!W$33,2)</f>
        <v>0</v>
      </c>
      <c r="U7" s="148">
        <f>ROUND(CAPEX!$D7*'Base Física'!X$33,2)</f>
        <v>630.44000000000005</v>
      </c>
      <c r="V7" s="148">
        <f>ROUND(CAPEX!$D7*'Base Física'!Y$33,2)</f>
        <v>0</v>
      </c>
      <c r="W7" s="148">
        <f>ROUND(CAPEX!$D7*'Base Física'!Z$33,2)</f>
        <v>0</v>
      </c>
      <c r="X7" s="148">
        <f>ROUND(CAPEX!$D7*'Base Física'!AA$33,2)</f>
        <v>0</v>
      </c>
      <c r="Y7" s="148">
        <f>ROUND(CAPEX!$D7*'Base Física'!AB$33,2)</f>
        <v>630.44000000000005</v>
      </c>
      <c r="Z7" s="148">
        <f>ROUND(CAPEX!$D7*'Base Física'!AC$33,2)</f>
        <v>0</v>
      </c>
      <c r="AA7" s="148">
        <f>ROUND(CAPEX!$D7*'Base Física'!AD$33,2)</f>
        <v>0</v>
      </c>
      <c r="AB7" s="148">
        <f>ROUND(CAPEX!$D7*'Base Física'!AE$33,2)</f>
        <v>0</v>
      </c>
      <c r="AC7" s="148">
        <f>ROUND(CAPEX!$D7*'Base Física'!AF$33,2)</f>
        <v>0</v>
      </c>
      <c r="AD7" s="148">
        <f>ROUND(CAPEX!$D7*'Base Física'!AG$33,2)</f>
        <v>0</v>
      </c>
      <c r="AE7" s="148">
        <f>ROUND(CAPEX!$D7*'Base Física'!AH$33,2)</f>
        <v>0</v>
      </c>
      <c r="AF7" s="148">
        <f>ROUND(CAPEX!$D7*'Base Física'!AI$33,2)</f>
        <v>0</v>
      </c>
      <c r="AG7" s="148">
        <f>ROUND(CAPEX!$D7*'Base Física'!AJ$33,2)</f>
        <v>630.44000000000005</v>
      </c>
      <c r="AH7" s="148">
        <f>ROUND(CAPEX!$D7*'Base Física'!AK$33,2)</f>
        <v>0</v>
      </c>
      <c r="AI7" s="148">
        <f>ROUND(CAPEX!$D7*'Base Física'!AL$33,2)</f>
        <v>0</v>
      </c>
      <c r="AJ7" s="148">
        <f>ROUND(CAPEX!$D7*'Base Física'!AM$33,2)</f>
        <v>0</v>
      </c>
      <c r="AK7" s="148">
        <f>ROUND(CAPEX!$D7*'Base Física'!AN$33,2)</f>
        <v>0</v>
      </c>
      <c r="AL7" s="468">
        <f>+SUM(C7:AK7)+0.38</f>
        <v>1059139.5799999996</v>
      </c>
      <c r="AM7" s="71"/>
    </row>
    <row r="8" spans="1:40" x14ac:dyDescent="0.3">
      <c r="B8" s="467" t="s">
        <v>161</v>
      </c>
      <c r="C8" s="148">
        <f>ROUND(CAPEX!$D8*'Base Física'!F$33,2)</f>
        <v>0</v>
      </c>
      <c r="D8" s="148">
        <f>ROUND(CAPEX!$D8*'Base Física'!G$33,2)</f>
        <v>804282.24</v>
      </c>
      <c r="E8" s="148">
        <f>ROUND(CAPEX!$D8*'Base Física'!H$33,2)</f>
        <v>162702.72</v>
      </c>
      <c r="F8" s="148">
        <f>ROUND(CAPEX!$D8*'Base Física'!I$33,2)</f>
        <v>0</v>
      </c>
      <c r="G8" s="148">
        <f>ROUND(CAPEX!$D8*'Base Física'!J$33,2)</f>
        <v>0</v>
      </c>
      <c r="H8" s="148">
        <f>ROUND(CAPEX!$D8*'Base Física'!K$33,2)</f>
        <v>0</v>
      </c>
      <c r="I8" s="148">
        <f>ROUND(CAPEX!$D8*'Base Física'!L$33,2)</f>
        <v>0</v>
      </c>
      <c r="J8" s="148">
        <f>ROUND(CAPEX!$D8*'Base Física'!M$33,2)</f>
        <v>0</v>
      </c>
      <c r="K8" s="148">
        <f>ROUND(CAPEX!$D8*'Base Física'!N$33,2)</f>
        <v>576.96</v>
      </c>
      <c r="L8" s="148">
        <f>ROUND(CAPEX!$D8*'Base Física'!O$33,2)</f>
        <v>0</v>
      </c>
      <c r="M8" s="148">
        <f>ROUND(CAPEX!$D8*'Base Física'!P$33,2)</f>
        <v>0</v>
      </c>
      <c r="N8" s="148">
        <f>ROUND(CAPEX!$D8*'Base Física'!Q$33,2)</f>
        <v>0</v>
      </c>
      <c r="O8" s="148">
        <f>ROUND(CAPEX!$D8*'Base Física'!R$33,2)</f>
        <v>0</v>
      </c>
      <c r="P8" s="148">
        <f>ROUND(CAPEX!$D8*'Base Física'!S$33,2)</f>
        <v>0</v>
      </c>
      <c r="Q8" s="148">
        <f>ROUND(CAPEX!$D8*'Base Física'!T$33,2)</f>
        <v>0</v>
      </c>
      <c r="R8" s="148">
        <f>ROUND(CAPEX!$D8*'Base Física'!U$33,2)</f>
        <v>0</v>
      </c>
      <c r="S8" s="148">
        <f>ROUND(CAPEX!$D8*'Base Física'!V$33,2)</f>
        <v>0</v>
      </c>
      <c r="T8" s="148">
        <f>ROUND(CAPEX!$D8*'Base Física'!W$33,2)</f>
        <v>0</v>
      </c>
      <c r="U8" s="148">
        <f>ROUND(CAPEX!$D8*'Base Física'!X$33,2)</f>
        <v>576.96</v>
      </c>
      <c r="V8" s="148">
        <f>ROUND(CAPEX!$D8*'Base Física'!Y$33,2)</f>
        <v>0</v>
      </c>
      <c r="W8" s="148">
        <f>ROUND(CAPEX!$D8*'Base Física'!Z$33,2)</f>
        <v>0</v>
      </c>
      <c r="X8" s="148">
        <f>ROUND(CAPEX!$D8*'Base Física'!AA$33,2)</f>
        <v>0</v>
      </c>
      <c r="Y8" s="148">
        <f>ROUND(CAPEX!$D8*'Base Física'!AB$33,2)</f>
        <v>576.96</v>
      </c>
      <c r="Z8" s="148">
        <f>ROUND(CAPEX!$D8*'Base Física'!AC$33,2)</f>
        <v>0</v>
      </c>
      <c r="AA8" s="148">
        <f>ROUND(CAPEX!$D8*'Base Física'!AD$33,2)</f>
        <v>0</v>
      </c>
      <c r="AB8" s="148">
        <f>ROUND(CAPEX!$D8*'Base Física'!AE$33,2)</f>
        <v>0</v>
      </c>
      <c r="AC8" s="148">
        <f>ROUND(CAPEX!$D8*'Base Física'!AF$33,2)</f>
        <v>0</v>
      </c>
      <c r="AD8" s="148">
        <f>ROUND(CAPEX!$D8*'Base Física'!AG$33,2)</f>
        <v>0</v>
      </c>
      <c r="AE8" s="148">
        <f>ROUND(CAPEX!$D8*'Base Física'!AH$33,2)</f>
        <v>0</v>
      </c>
      <c r="AF8" s="148">
        <f>ROUND(CAPEX!$D8*'Base Física'!AI$33,2)</f>
        <v>0</v>
      </c>
      <c r="AG8" s="148">
        <f>ROUND(CAPEX!$D8*'Base Física'!AJ$33,2)</f>
        <v>576.96</v>
      </c>
      <c r="AH8" s="148">
        <f>ROUND(CAPEX!$D8*'Base Física'!AK$33,2)</f>
        <v>0</v>
      </c>
      <c r="AI8" s="148">
        <f>ROUND(CAPEX!$D8*'Base Física'!AL$33,2)</f>
        <v>0</v>
      </c>
      <c r="AJ8" s="148">
        <f>ROUND(CAPEX!$D8*'Base Física'!AM$33,2)</f>
        <v>0</v>
      </c>
      <c r="AK8" s="148">
        <f>ROUND(CAPEX!$D8*'Base Física'!AN$33,2)</f>
        <v>0</v>
      </c>
      <c r="AL8" s="468">
        <f>+SUM(C8:AK8)-1.07</f>
        <v>969291.72999999986</v>
      </c>
      <c r="AM8" s="71"/>
    </row>
    <row r="9" spans="1:40" x14ac:dyDescent="0.3">
      <c r="B9" s="467" t="s">
        <v>67</v>
      </c>
      <c r="C9" s="148">
        <f>ROUND(CAPEX!$D9*'Base Física'!F$33,2)</f>
        <v>0</v>
      </c>
      <c r="D9" s="148">
        <f>ROUND(CAPEX!$D9*'Base Física'!G$33,2)</f>
        <v>102528.7</v>
      </c>
      <c r="E9" s="148">
        <f>ROUND(CAPEX!$D9*'Base Física'!H$33,2)</f>
        <v>20741.099999999999</v>
      </c>
      <c r="F9" s="148">
        <f>ROUND(CAPEX!$D9*'Base Física'!I$33,2)</f>
        <v>0</v>
      </c>
      <c r="G9" s="148">
        <f>ROUND(CAPEX!$D9*'Base Física'!J$33,2)</f>
        <v>0</v>
      </c>
      <c r="H9" s="148">
        <f>ROUND(CAPEX!$D9*'Base Física'!K$33,2)</f>
        <v>0</v>
      </c>
      <c r="I9" s="148">
        <f>ROUND(CAPEX!$D9*'Base Física'!L$33,2)</f>
        <v>0</v>
      </c>
      <c r="J9" s="148">
        <f>ROUND(CAPEX!$D9*'Base Física'!M$33,2)</f>
        <v>0</v>
      </c>
      <c r="K9" s="148">
        <f>ROUND(CAPEX!$D9*'Base Física'!N$33,2)</f>
        <v>73.55</v>
      </c>
      <c r="L9" s="148">
        <f>ROUND(CAPEX!$D9*'Base Física'!O$33,2)</f>
        <v>0</v>
      </c>
      <c r="M9" s="148">
        <f>ROUND(CAPEX!$D9*'Base Física'!P$33,2)</f>
        <v>0</v>
      </c>
      <c r="N9" s="148">
        <f>ROUND(CAPEX!$D9*'Base Física'!Q$33,2)</f>
        <v>0</v>
      </c>
      <c r="O9" s="148">
        <f>ROUND(CAPEX!$D9*'Base Física'!R$33,2)</f>
        <v>0</v>
      </c>
      <c r="P9" s="148">
        <f>ROUND(CAPEX!$D9*'Base Física'!S$33,2)</f>
        <v>0</v>
      </c>
      <c r="Q9" s="148">
        <f>ROUND(CAPEX!$D9*'Base Física'!T$33,2)</f>
        <v>0</v>
      </c>
      <c r="R9" s="148">
        <f>ROUND(CAPEX!$D9*'Base Física'!U$33,2)</f>
        <v>0</v>
      </c>
      <c r="S9" s="148">
        <f>ROUND(CAPEX!$D9*'Base Física'!V$33,2)</f>
        <v>0</v>
      </c>
      <c r="T9" s="148">
        <f>ROUND(CAPEX!$D9*'Base Física'!W$33,2)</f>
        <v>0</v>
      </c>
      <c r="U9" s="148">
        <f>ROUND(CAPEX!$D9*'Base Física'!X$33,2)</f>
        <v>73.55</v>
      </c>
      <c r="V9" s="148">
        <f>ROUND(CAPEX!$D9*'Base Física'!Y$33,2)</f>
        <v>0</v>
      </c>
      <c r="W9" s="148">
        <f>ROUND(CAPEX!$D9*'Base Física'!Z$33,2)</f>
        <v>0</v>
      </c>
      <c r="X9" s="148">
        <f>ROUND(CAPEX!$D9*'Base Física'!AA$33,2)</f>
        <v>0</v>
      </c>
      <c r="Y9" s="148">
        <f>ROUND(CAPEX!$D9*'Base Física'!AB$33,2)</f>
        <v>73.55</v>
      </c>
      <c r="Z9" s="148">
        <f>ROUND(CAPEX!$D9*'Base Física'!AC$33,2)</f>
        <v>0</v>
      </c>
      <c r="AA9" s="148">
        <f>ROUND(CAPEX!$D9*'Base Física'!AD$33,2)</f>
        <v>0</v>
      </c>
      <c r="AB9" s="148">
        <f>ROUND(CAPEX!$D9*'Base Física'!AE$33,2)</f>
        <v>0</v>
      </c>
      <c r="AC9" s="148">
        <f>ROUND(CAPEX!$D9*'Base Física'!AF$33,2)</f>
        <v>0</v>
      </c>
      <c r="AD9" s="148">
        <f>ROUND(CAPEX!$D9*'Base Física'!AG$33,2)</f>
        <v>0</v>
      </c>
      <c r="AE9" s="148">
        <f>ROUND(CAPEX!$D9*'Base Física'!AH$33,2)</f>
        <v>0</v>
      </c>
      <c r="AF9" s="148">
        <f>ROUND(CAPEX!$D9*'Base Física'!AI$33,2)</f>
        <v>0</v>
      </c>
      <c r="AG9" s="148">
        <f>ROUND(CAPEX!$D9*'Base Física'!AJ$33,2)</f>
        <v>73.55</v>
      </c>
      <c r="AH9" s="148">
        <f>ROUND(CAPEX!$D9*'Base Física'!AK$33,2)</f>
        <v>0</v>
      </c>
      <c r="AI9" s="148">
        <f>ROUND(CAPEX!$D9*'Base Física'!AL$33,2)</f>
        <v>0</v>
      </c>
      <c r="AJ9" s="148">
        <f>ROUND(CAPEX!$D9*'Base Física'!AM$33,2)</f>
        <v>0</v>
      </c>
      <c r="AK9" s="148">
        <f>ROUND(CAPEX!$D9*'Base Física'!AN$33,2)</f>
        <v>0</v>
      </c>
      <c r="AL9" s="468">
        <f>+SUM(C9:AK9)+0.42</f>
        <v>123564.42</v>
      </c>
      <c r="AM9" s="71"/>
    </row>
    <row r="10" spans="1:40" x14ac:dyDescent="0.3">
      <c r="B10" s="467" t="s">
        <v>69</v>
      </c>
      <c r="C10" s="148">
        <f>ROUND(CAPEX!$D10*'Base Física'!F$33,2)</f>
        <v>0</v>
      </c>
      <c r="D10" s="148">
        <f>ROUND(CAPEX!$D10*'Base Física'!G$33,2)</f>
        <v>102528.7</v>
      </c>
      <c r="E10" s="148">
        <f>ROUND(CAPEX!$D10*'Base Física'!H$33,2)</f>
        <v>20741.099999999999</v>
      </c>
      <c r="F10" s="148">
        <f>ROUND(CAPEX!$D10*'Base Física'!I$33,2)</f>
        <v>0</v>
      </c>
      <c r="G10" s="148">
        <f>ROUND(CAPEX!$D10*'Base Física'!J$33,2)</f>
        <v>0</v>
      </c>
      <c r="H10" s="148">
        <f>ROUND(CAPEX!$D10*'Base Física'!K$33,2)</f>
        <v>0</v>
      </c>
      <c r="I10" s="148">
        <f>ROUND(CAPEX!$D10*'Base Física'!L$33,2)</f>
        <v>0</v>
      </c>
      <c r="J10" s="148">
        <f>ROUND(CAPEX!$D10*'Base Física'!M$33,2)</f>
        <v>0</v>
      </c>
      <c r="K10" s="148">
        <f>ROUND(CAPEX!$D10*'Base Física'!N$33,2)</f>
        <v>73.55</v>
      </c>
      <c r="L10" s="148">
        <f>ROUND(CAPEX!$D10*'Base Física'!O$33,2)</f>
        <v>0</v>
      </c>
      <c r="M10" s="148">
        <f>ROUND(CAPEX!$D10*'Base Física'!P$33,2)</f>
        <v>0</v>
      </c>
      <c r="N10" s="148">
        <f>ROUND(CAPEX!$D10*'Base Física'!Q$33,2)</f>
        <v>0</v>
      </c>
      <c r="O10" s="148">
        <f>ROUND(CAPEX!$D10*'Base Física'!R$33,2)</f>
        <v>0</v>
      </c>
      <c r="P10" s="148">
        <f>ROUND(CAPEX!$D10*'Base Física'!S$33,2)</f>
        <v>0</v>
      </c>
      <c r="Q10" s="148">
        <f>ROUND(CAPEX!$D10*'Base Física'!T$33,2)</f>
        <v>0</v>
      </c>
      <c r="R10" s="148">
        <f>ROUND(CAPEX!$D10*'Base Física'!U$33,2)</f>
        <v>0</v>
      </c>
      <c r="S10" s="148">
        <f>ROUND(CAPEX!$D10*'Base Física'!V$33,2)</f>
        <v>0</v>
      </c>
      <c r="T10" s="148">
        <f>ROUND(CAPEX!$D10*'Base Física'!W$33,2)</f>
        <v>0</v>
      </c>
      <c r="U10" s="148">
        <f>ROUND(CAPEX!$D10*'Base Física'!X$33,2)</f>
        <v>73.55</v>
      </c>
      <c r="V10" s="148">
        <f>ROUND(CAPEX!$D10*'Base Física'!Y$33,2)</f>
        <v>0</v>
      </c>
      <c r="W10" s="148">
        <f>ROUND(CAPEX!$D10*'Base Física'!Z$33,2)</f>
        <v>0</v>
      </c>
      <c r="X10" s="148">
        <f>ROUND(CAPEX!$D10*'Base Física'!AA$33,2)</f>
        <v>0</v>
      </c>
      <c r="Y10" s="148">
        <f>ROUND(CAPEX!$D10*'Base Física'!AB$33,2)</f>
        <v>73.55</v>
      </c>
      <c r="Z10" s="148">
        <f>ROUND(CAPEX!$D10*'Base Física'!AC$33,2)</f>
        <v>0</v>
      </c>
      <c r="AA10" s="148">
        <f>ROUND(CAPEX!$D10*'Base Física'!AD$33,2)</f>
        <v>0</v>
      </c>
      <c r="AB10" s="148">
        <f>ROUND(CAPEX!$D10*'Base Física'!AE$33,2)</f>
        <v>0</v>
      </c>
      <c r="AC10" s="148">
        <f>ROUND(CAPEX!$D10*'Base Física'!AF$33,2)</f>
        <v>0</v>
      </c>
      <c r="AD10" s="148">
        <f>ROUND(CAPEX!$D10*'Base Física'!AG$33,2)</f>
        <v>0</v>
      </c>
      <c r="AE10" s="148">
        <f>ROUND(CAPEX!$D10*'Base Física'!AH$33,2)</f>
        <v>0</v>
      </c>
      <c r="AF10" s="148">
        <f>ROUND(CAPEX!$D10*'Base Física'!AI$33,2)</f>
        <v>0</v>
      </c>
      <c r="AG10" s="148">
        <f>ROUND(CAPEX!$D10*'Base Física'!AJ$33,2)</f>
        <v>73.55</v>
      </c>
      <c r="AH10" s="148">
        <f>ROUND(CAPEX!$D10*'Base Física'!AK$33,2)</f>
        <v>0</v>
      </c>
      <c r="AI10" s="148">
        <f>ROUND(CAPEX!$D10*'Base Física'!AL$33,2)</f>
        <v>0</v>
      </c>
      <c r="AJ10" s="148">
        <f>ROUND(CAPEX!$D10*'Base Física'!AM$33,2)</f>
        <v>0</v>
      </c>
      <c r="AK10" s="148">
        <f>ROUND(CAPEX!$D10*'Base Física'!AN$33,2)</f>
        <v>0</v>
      </c>
      <c r="AL10" s="468">
        <f>+SUM(C10:AK10)+0.42</f>
        <v>123564.42</v>
      </c>
      <c r="AM10" s="71"/>
    </row>
    <row r="11" spans="1:40" x14ac:dyDescent="0.3">
      <c r="B11" s="467" t="s">
        <v>68</v>
      </c>
      <c r="C11" s="148">
        <f>ROUND(CAPEX!$D11*'Base Física'!F$33,2)</f>
        <v>0</v>
      </c>
      <c r="D11" s="148">
        <f>ROUND(CAPEX!$D11*'Base Física'!G$33,2)</f>
        <v>153730.32</v>
      </c>
      <c r="E11" s="148">
        <f>ROUND(CAPEX!$D11*'Base Física'!H$33,2)</f>
        <v>31098.959999999999</v>
      </c>
      <c r="F11" s="148">
        <f>ROUND(CAPEX!$D11*'Base Física'!I$33,2)</f>
        <v>0</v>
      </c>
      <c r="G11" s="148">
        <f>ROUND(CAPEX!$D11*'Base Física'!J$33,2)</f>
        <v>0</v>
      </c>
      <c r="H11" s="148">
        <f>ROUND(CAPEX!$D11*'Base Física'!K$33,2)</f>
        <v>0</v>
      </c>
      <c r="I11" s="148">
        <f>ROUND(CAPEX!$D11*'Base Física'!L$33,2)</f>
        <v>0</v>
      </c>
      <c r="J11" s="148">
        <f>ROUND(CAPEX!$D11*'Base Física'!M$33,2)</f>
        <v>0</v>
      </c>
      <c r="K11" s="148">
        <f>ROUND(CAPEX!$D11*'Base Física'!N$33,2)</f>
        <v>110.28</v>
      </c>
      <c r="L11" s="148">
        <f>ROUND(CAPEX!$D11*'Base Física'!O$33,2)</f>
        <v>0</v>
      </c>
      <c r="M11" s="148">
        <f>ROUND(CAPEX!$D11*'Base Física'!P$33,2)</f>
        <v>0</v>
      </c>
      <c r="N11" s="148">
        <f>ROUND(CAPEX!$D11*'Base Física'!Q$33,2)</f>
        <v>0</v>
      </c>
      <c r="O11" s="148">
        <f>ROUND(CAPEX!$D11*'Base Física'!R$33,2)</f>
        <v>0</v>
      </c>
      <c r="P11" s="148">
        <f>ROUND(CAPEX!$D11*'Base Física'!S$33,2)</f>
        <v>0</v>
      </c>
      <c r="Q11" s="148">
        <f>ROUND(CAPEX!$D11*'Base Física'!T$33,2)</f>
        <v>0</v>
      </c>
      <c r="R11" s="148">
        <f>ROUND(CAPEX!$D11*'Base Física'!U$33,2)</f>
        <v>0</v>
      </c>
      <c r="S11" s="148">
        <f>ROUND(CAPEX!$D11*'Base Física'!V$33,2)</f>
        <v>0</v>
      </c>
      <c r="T11" s="148">
        <f>ROUND(CAPEX!$D11*'Base Física'!W$33,2)</f>
        <v>0</v>
      </c>
      <c r="U11" s="148">
        <f>ROUND(CAPEX!$D11*'Base Física'!X$33,2)</f>
        <v>110.28</v>
      </c>
      <c r="V11" s="148">
        <f>ROUND(CAPEX!$D11*'Base Física'!Y$33,2)</f>
        <v>0</v>
      </c>
      <c r="W11" s="148">
        <f>ROUND(CAPEX!$D11*'Base Física'!Z$33,2)</f>
        <v>0</v>
      </c>
      <c r="X11" s="148">
        <f>ROUND(CAPEX!$D11*'Base Física'!AA$33,2)</f>
        <v>0</v>
      </c>
      <c r="Y11" s="148">
        <f>ROUND(CAPEX!$D11*'Base Física'!AB$33,2)</f>
        <v>110.28</v>
      </c>
      <c r="Z11" s="148">
        <f>ROUND(CAPEX!$D11*'Base Física'!AC$33,2)</f>
        <v>0</v>
      </c>
      <c r="AA11" s="148">
        <f>ROUND(CAPEX!$D11*'Base Física'!AD$33,2)</f>
        <v>0</v>
      </c>
      <c r="AB11" s="148">
        <f>ROUND(CAPEX!$D11*'Base Física'!AE$33,2)</f>
        <v>0</v>
      </c>
      <c r="AC11" s="148">
        <f>ROUND(CAPEX!$D11*'Base Física'!AF$33,2)</f>
        <v>0</v>
      </c>
      <c r="AD11" s="148">
        <f>ROUND(CAPEX!$D11*'Base Física'!AG$33,2)</f>
        <v>0</v>
      </c>
      <c r="AE11" s="148">
        <f>ROUND(CAPEX!$D11*'Base Física'!AH$33,2)</f>
        <v>0</v>
      </c>
      <c r="AF11" s="148">
        <f>ROUND(CAPEX!$D11*'Base Física'!AI$33,2)</f>
        <v>0</v>
      </c>
      <c r="AG11" s="148">
        <f>ROUND(CAPEX!$D11*'Base Física'!AJ$33,2)</f>
        <v>110.28</v>
      </c>
      <c r="AH11" s="148">
        <f>ROUND(CAPEX!$D11*'Base Física'!AK$33,2)</f>
        <v>0</v>
      </c>
      <c r="AI11" s="148">
        <f>ROUND(CAPEX!$D11*'Base Física'!AL$33,2)</f>
        <v>0</v>
      </c>
      <c r="AJ11" s="148">
        <f>ROUND(CAPEX!$D11*'Base Física'!AM$33,2)</f>
        <v>0</v>
      </c>
      <c r="AK11" s="148">
        <f>ROUND(CAPEX!$D11*'Base Física'!AN$33,2)</f>
        <v>0</v>
      </c>
      <c r="AL11" s="468">
        <f>+SUM(C11:AK11)+1.28</f>
        <v>185271.67999999999</v>
      </c>
      <c r="AM11" s="71"/>
    </row>
    <row r="12" spans="1:40" x14ac:dyDescent="0.3">
      <c r="B12" s="469" t="s">
        <v>92</v>
      </c>
      <c r="C12" s="150">
        <f t="shared" ref="C12:AK12" si="40">SUM(C5:C11)</f>
        <v>0</v>
      </c>
      <c r="D12" s="150">
        <f t="shared" si="40"/>
        <v>5999232.3400000008</v>
      </c>
      <c r="E12" s="150">
        <f t="shared" si="40"/>
        <v>1213618.0200000003</v>
      </c>
      <c r="F12" s="150">
        <f t="shared" si="40"/>
        <v>0</v>
      </c>
      <c r="G12" s="150">
        <f t="shared" si="40"/>
        <v>0</v>
      </c>
      <c r="H12" s="150">
        <f t="shared" si="40"/>
        <v>0</v>
      </c>
      <c r="I12" s="150">
        <f t="shared" si="40"/>
        <v>0</v>
      </c>
      <c r="J12" s="150">
        <f t="shared" si="40"/>
        <v>0</v>
      </c>
      <c r="K12" s="150">
        <f t="shared" si="40"/>
        <v>4303.6099999999997</v>
      </c>
      <c r="L12" s="150">
        <f t="shared" si="40"/>
        <v>0</v>
      </c>
      <c r="M12" s="150">
        <f t="shared" si="40"/>
        <v>0</v>
      </c>
      <c r="N12" s="150">
        <f t="shared" si="40"/>
        <v>0</v>
      </c>
      <c r="O12" s="150">
        <f t="shared" si="40"/>
        <v>0</v>
      </c>
      <c r="P12" s="150">
        <f t="shared" si="40"/>
        <v>0</v>
      </c>
      <c r="Q12" s="150">
        <f t="shared" si="40"/>
        <v>0</v>
      </c>
      <c r="R12" s="150">
        <f t="shared" si="40"/>
        <v>0</v>
      </c>
      <c r="S12" s="150">
        <f t="shared" si="40"/>
        <v>0</v>
      </c>
      <c r="T12" s="150">
        <f t="shared" si="40"/>
        <v>0</v>
      </c>
      <c r="U12" s="150">
        <f t="shared" si="40"/>
        <v>4303.6099999999997</v>
      </c>
      <c r="V12" s="150">
        <f t="shared" si="40"/>
        <v>0</v>
      </c>
      <c r="W12" s="150">
        <f t="shared" si="40"/>
        <v>0</v>
      </c>
      <c r="X12" s="150">
        <f t="shared" si="40"/>
        <v>0</v>
      </c>
      <c r="Y12" s="150">
        <f t="shared" si="40"/>
        <v>4303.6099999999997</v>
      </c>
      <c r="Z12" s="150">
        <f t="shared" si="40"/>
        <v>0</v>
      </c>
      <c r="AA12" s="150">
        <f t="shared" si="40"/>
        <v>0</v>
      </c>
      <c r="AB12" s="150">
        <f t="shared" si="40"/>
        <v>0</v>
      </c>
      <c r="AC12" s="150">
        <f t="shared" si="40"/>
        <v>0</v>
      </c>
      <c r="AD12" s="150">
        <f t="shared" si="40"/>
        <v>0</v>
      </c>
      <c r="AE12" s="150">
        <f t="shared" si="40"/>
        <v>0</v>
      </c>
      <c r="AF12" s="150">
        <f t="shared" si="40"/>
        <v>0</v>
      </c>
      <c r="AG12" s="150">
        <f t="shared" si="40"/>
        <v>4303.6099999999997</v>
      </c>
      <c r="AH12" s="150">
        <f t="shared" si="40"/>
        <v>0</v>
      </c>
      <c r="AI12" s="150">
        <f t="shared" si="40"/>
        <v>0</v>
      </c>
      <c r="AJ12" s="150">
        <f t="shared" si="40"/>
        <v>0</v>
      </c>
      <c r="AK12" s="150">
        <f t="shared" si="40"/>
        <v>0</v>
      </c>
      <c r="AL12" s="470">
        <f>+SUM(C12:AK12)+5.8</f>
        <v>7230070.6000000024</v>
      </c>
      <c r="AM12" s="71"/>
      <c r="AN12" s="71"/>
    </row>
    <row r="13" spans="1:40" x14ac:dyDescent="0.3">
      <c r="B13" s="467" t="s">
        <v>0</v>
      </c>
      <c r="C13" s="148">
        <f>ROUND(CAPEX!$D13*'Base Física'!F$34,2)</f>
        <v>0</v>
      </c>
      <c r="D13" s="148">
        <f>ROUND(CAPEX!$D13*'Base Física'!G$34,2)</f>
        <v>20047399.199999999</v>
      </c>
      <c r="E13" s="148">
        <f>ROUND(CAPEX!$D13*'Base Física'!H$34,2)</f>
        <v>20562129.719999999</v>
      </c>
      <c r="F13" s="148">
        <f>ROUND(CAPEX!$D13*'Base Física'!I$34,2)</f>
        <v>21054284.34</v>
      </c>
      <c r="G13" s="148">
        <f>ROUND(CAPEX!$D13*'Base Física'!J$34,2)</f>
        <v>21519347.879999999</v>
      </c>
      <c r="H13" s="148">
        <f>ROUND(CAPEX!$D13*'Base Física'!K$34,2)</f>
        <v>5332427.58</v>
      </c>
      <c r="I13" s="148">
        <f>ROUND(CAPEX!$D13*'Base Física'!L$34,2)</f>
        <v>5438534.3099999996</v>
      </c>
      <c r="J13" s="148">
        <f>ROUND(CAPEX!$D13*'Base Física'!M$34,2)</f>
        <v>2160513.63</v>
      </c>
      <c r="K13" s="148">
        <f>ROUND(CAPEX!$D13*'Base Física'!N$34,2)</f>
        <v>2201150.25</v>
      </c>
      <c r="L13" s="148">
        <f>ROUND(CAPEX!$D13*'Base Física'!O$34,2)</f>
        <v>2239529.2799999998</v>
      </c>
      <c r="M13" s="148">
        <f>ROUND(CAPEX!$D13*'Base Física'!P$34,2)</f>
        <v>2277908.31</v>
      </c>
      <c r="N13" s="148">
        <f>ROUND(CAPEX!$D13*'Base Física'!Q$34,2)</f>
        <v>2311772.1600000001</v>
      </c>
      <c r="O13" s="148">
        <f>ROUND(CAPEX!$D13*'Base Física'!R$34,2)</f>
        <v>0</v>
      </c>
      <c r="P13" s="148">
        <f>ROUND(CAPEX!$D13*'Base Física'!S$34,2)</f>
        <v>0</v>
      </c>
      <c r="Q13" s="148">
        <f>ROUND(CAPEX!$D13*'Base Física'!T$34,2)</f>
        <v>0</v>
      </c>
      <c r="R13" s="148">
        <f>ROUND(CAPEX!$D13*'Base Física'!U$34,2)</f>
        <v>0</v>
      </c>
      <c r="S13" s="148">
        <f>ROUND(CAPEX!$D13*'Base Física'!V$34,2)</f>
        <v>0</v>
      </c>
      <c r="T13" s="148">
        <f>ROUND(CAPEX!$D13*'Base Física'!W$34,2)</f>
        <v>0</v>
      </c>
      <c r="U13" s="148">
        <f>ROUND(CAPEX!$D13*'Base Física'!X$34,2)</f>
        <v>2257.59</v>
      </c>
      <c r="V13" s="148">
        <f>ROUND(CAPEX!$D13*'Base Física'!Y$34,2)</f>
        <v>0</v>
      </c>
      <c r="W13" s="148">
        <f>ROUND(CAPEX!$D13*'Base Física'!Z$34,2)</f>
        <v>0</v>
      </c>
      <c r="X13" s="148">
        <f>ROUND(CAPEX!$D13*'Base Física'!AA$34,2)</f>
        <v>0</v>
      </c>
      <c r="Y13" s="148">
        <f>ROUND(CAPEX!$D13*'Base Física'!AB$34,2)</f>
        <v>2257.59</v>
      </c>
      <c r="Z13" s="148">
        <f>ROUND(CAPEX!$D13*'Base Física'!AC$34,2)</f>
        <v>0</v>
      </c>
      <c r="AA13" s="148">
        <f>ROUND(CAPEX!$D13*'Base Física'!AD$34,2)</f>
        <v>0</v>
      </c>
      <c r="AB13" s="148">
        <f>ROUND(CAPEX!$D13*'Base Física'!AE$34,2)</f>
        <v>0</v>
      </c>
      <c r="AC13" s="148">
        <f>ROUND(CAPEX!$D13*'Base Física'!AF$34,2)</f>
        <v>0</v>
      </c>
      <c r="AD13" s="148">
        <f>ROUND(CAPEX!$D13*'Base Física'!AG$34,2)</f>
        <v>0</v>
      </c>
      <c r="AE13" s="148">
        <f>ROUND(CAPEX!$D13*'Base Física'!AH$34,2)</f>
        <v>0</v>
      </c>
      <c r="AF13" s="148">
        <f>ROUND(CAPEX!$D13*'Base Física'!AI$34,2)</f>
        <v>0</v>
      </c>
      <c r="AG13" s="148">
        <f>ROUND(CAPEX!$D13*'Base Física'!AJ$34,2)</f>
        <v>2257.59</v>
      </c>
      <c r="AH13" s="148">
        <f>ROUND(CAPEX!$D13*'Base Física'!AK$34,2)</f>
        <v>0</v>
      </c>
      <c r="AI13" s="148">
        <f>ROUND(CAPEX!$D13*'Base Física'!AL$34,2)</f>
        <v>0</v>
      </c>
      <c r="AJ13" s="148">
        <f>ROUND(CAPEX!$D13*'Base Física'!AM$34,2)</f>
        <v>0</v>
      </c>
      <c r="AK13" s="148">
        <f>ROUND(CAPEX!$D13*'Base Física'!AN$34,2)</f>
        <v>0</v>
      </c>
      <c r="AL13" s="468">
        <f>+SUM(C13:AK13)-88.59</f>
        <v>105151680.84</v>
      </c>
      <c r="AM13" s="71"/>
    </row>
    <row r="14" spans="1:40" x14ac:dyDescent="0.3">
      <c r="B14" s="467" t="s">
        <v>1</v>
      </c>
      <c r="C14" s="148">
        <f>ROUND(CAPEX!$D14*'Base Física'!F$34,2)</f>
        <v>0</v>
      </c>
      <c r="D14" s="148">
        <f>ROUND(CAPEX!$D14*'Base Física'!G$34,2)</f>
        <v>12091185.6</v>
      </c>
      <c r="E14" s="148">
        <f>ROUND(CAPEX!$D14*'Base Física'!H$34,2)</f>
        <v>12401634.960000001</v>
      </c>
      <c r="F14" s="148">
        <f>ROUND(CAPEX!$D14*'Base Física'!I$34,2)</f>
        <v>12698468.119999999</v>
      </c>
      <c r="G14" s="148">
        <f>ROUND(CAPEX!$D14*'Base Física'!J$34,2)</f>
        <v>12978961.84</v>
      </c>
      <c r="H14" s="148">
        <f>ROUND(CAPEX!$D14*'Base Física'!K$34,2)</f>
        <v>3216146.44</v>
      </c>
      <c r="I14" s="148">
        <f>ROUND(CAPEX!$D14*'Base Física'!L$34,2)</f>
        <v>3280142.58</v>
      </c>
      <c r="J14" s="148">
        <f>ROUND(CAPEX!$D14*'Base Física'!M$34,2)</f>
        <v>1303070.3400000001</v>
      </c>
      <c r="K14" s="148">
        <f>ROUND(CAPEX!$D14*'Base Física'!N$34,2)</f>
        <v>1327579.5</v>
      </c>
      <c r="L14" s="148">
        <f>ROUND(CAPEX!$D14*'Base Física'!O$34,2)</f>
        <v>1350727.04</v>
      </c>
      <c r="M14" s="148">
        <f>ROUND(CAPEX!$D14*'Base Física'!P$34,2)</f>
        <v>1373874.58</v>
      </c>
      <c r="N14" s="148">
        <f>ROUND(CAPEX!$D14*'Base Física'!Q$34,2)</f>
        <v>1394298.8799999999</v>
      </c>
      <c r="O14" s="148">
        <f>ROUND(CAPEX!$D14*'Base Física'!R$34,2)</f>
        <v>0</v>
      </c>
      <c r="P14" s="148">
        <f>ROUND(CAPEX!$D14*'Base Física'!S$34,2)</f>
        <v>0</v>
      </c>
      <c r="Q14" s="148">
        <f>ROUND(CAPEX!$D14*'Base Física'!T$34,2)</f>
        <v>0</v>
      </c>
      <c r="R14" s="148">
        <f>ROUND(CAPEX!$D14*'Base Física'!U$34,2)</f>
        <v>0</v>
      </c>
      <c r="S14" s="148">
        <f>ROUND(CAPEX!$D14*'Base Física'!V$34,2)</f>
        <v>0</v>
      </c>
      <c r="T14" s="148">
        <f>ROUND(CAPEX!$D14*'Base Física'!W$34,2)</f>
        <v>0</v>
      </c>
      <c r="U14" s="148">
        <f>ROUND(CAPEX!$D14*'Base Física'!X$34,2)</f>
        <v>1361.62</v>
      </c>
      <c r="V14" s="148">
        <f>ROUND(CAPEX!$D14*'Base Física'!Y$34,2)</f>
        <v>0</v>
      </c>
      <c r="W14" s="148">
        <f>ROUND(CAPEX!$D14*'Base Física'!Z$34,2)</f>
        <v>0</v>
      </c>
      <c r="X14" s="148">
        <f>ROUND(CAPEX!$D14*'Base Física'!AA$34,2)</f>
        <v>0</v>
      </c>
      <c r="Y14" s="148">
        <f>ROUND(CAPEX!$D14*'Base Física'!AB$34,2)</f>
        <v>1361.62</v>
      </c>
      <c r="Z14" s="148">
        <f>ROUND(CAPEX!$D14*'Base Física'!AC$34,2)</f>
        <v>0</v>
      </c>
      <c r="AA14" s="148">
        <f>ROUND(CAPEX!$D14*'Base Física'!AD$34,2)</f>
        <v>0</v>
      </c>
      <c r="AB14" s="148">
        <f>ROUND(CAPEX!$D14*'Base Física'!AE$34,2)</f>
        <v>0</v>
      </c>
      <c r="AC14" s="148">
        <f>ROUND(CAPEX!$D14*'Base Física'!AF$34,2)</f>
        <v>0</v>
      </c>
      <c r="AD14" s="148">
        <f>ROUND(CAPEX!$D14*'Base Física'!AG$34,2)</f>
        <v>0</v>
      </c>
      <c r="AE14" s="148">
        <f>ROUND(CAPEX!$D14*'Base Física'!AH$34,2)</f>
        <v>0</v>
      </c>
      <c r="AF14" s="148">
        <f>ROUND(CAPEX!$D14*'Base Física'!AI$34,2)</f>
        <v>0</v>
      </c>
      <c r="AG14" s="148">
        <f>ROUND(CAPEX!$D14*'Base Física'!AJ$34,2)</f>
        <v>1361.62</v>
      </c>
      <c r="AH14" s="148">
        <f>ROUND(CAPEX!$D14*'Base Física'!AK$34,2)</f>
        <v>0</v>
      </c>
      <c r="AI14" s="148">
        <f>ROUND(CAPEX!$D14*'Base Física'!AL$34,2)</f>
        <v>0</v>
      </c>
      <c r="AJ14" s="148">
        <f>ROUND(CAPEX!$D14*'Base Física'!AM$34,2)</f>
        <v>0</v>
      </c>
      <c r="AK14" s="148">
        <f>ROUND(CAPEX!$D14*'Base Física'!AN$34,2)</f>
        <v>0</v>
      </c>
      <c r="AL14" s="468">
        <f>+SUM(C14:AK14)-76.1</f>
        <v>63420098.639999986</v>
      </c>
      <c r="AM14" s="71"/>
    </row>
    <row r="15" spans="1:40" x14ac:dyDescent="0.3">
      <c r="B15" s="467" t="s">
        <v>162</v>
      </c>
      <c r="C15" s="148">
        <f>ROUND(CAPEX!$D15*'Base Física'!F$34,2)</f>
        <v>0</v>
      </c>
      <c r="D15" s="148">
        <f>ROUND(CAPEX!$D15*'Base Física'!G$34,2)</f>
        <v>4506067.2</v>
      </c>
      <c r="E15" s="148">
        <f>ROUND(CAPEX!$D15*'Base Física'!H$34,2)</f>
        <v>4621763.5199999996</v>
      </c>
      <c r="F15" s="148">
        <f>ROUND(CAPEX!$D15*'Base Física'!I$34,2)</f>
        <v>4732385.4400000004</v>
      </c>
      <c r="G15" s="148">
        <f>ROUND(CAPEX!$D15*'Base Física'!J$34,2)</f>
        <v>4836918.08</v>
      </c>
      <c r="H15" s="148">
        <f>ROUND(CAPEX!$D15*'Base Física'!K$34,2)</f>
        <v>1198573.28</v>
      </c>
      <c r="I15" s="148">
        <f>ROUND(CAPEX!$D15*'Base Física'!L$34,2)</f>
        <v>1222422.96</v>
      </c>
      <c r="J15" s="148">
        <f>ROUND(CAPEX!$D15*'Base Física'!M$34,2)</f>
        <v>485620.08</v>
      </c>
      <c r="K15" s="148">
        <f>ROUND(CAPEX!$D15*'Base Física'!N$34,2)</f>
        <v>494754</v>
      </c>
      <c r="L15" s="148">
        <f>ROUND(CAPEX!$D15*'Base Física'!O$34,2)</f>
        <v>503380.47999999998</v>
      </c>
      <c r="M15" s="148">
        <f>ROUND(CAPEX!$D15*'Base Física'!P$34,2)</f>
        <v>512006.96</v>
      </c>
      <c r="N15" s="148">
        <f>ROUND(CAPEX!$D15*'Base Física'!Q$34,2)</f>
        <v>519618.56</v>
      </c>
      <c r="O15" s="148">
        <f>ROUND(CAPEX!$D15*'Base Física'!R$34,2)</f>
        <v>0</v>
      </c>
      <c r="P15" s="148">
        <f>ROUND(CAPEX!$D15*'Base Física'!S$34,2)</f>
        <v>0</v>
      </c>
      <c r="Q15" s="148">
        <f>ROUND(CAPEX!$D15*'Base Física'!T$34,2)</f>
        <v>0</v>
      </c>
      <c r="R15" s="148">
        <f>ROUND(CAPEX!$D15*'Base Física'!U$34,2)</f>
        <v>0</v>
      </c>
      <c r="S15" s="148">
        <f>ROUND(CAPEX!$D15*'Base Física'!V$34,2)</f>
        <v>0</v>
      </c>
      <c r="T15" s="148">
        <f>ROUND(CAPEX!$D15*'Base Física'!W$34,2)</f>
        <v>0</v>
      </c>
      <c r="U15" s="148">
        <f>ROUND(CAPEX!$D15*'Base Física'!X$34,2)</f>
        <v>507.44</v>
      </c>
      <c r="V15" s="148">
        <f>ROUND(CAPEX!$D15*'Base Física'!Y$34,2)</f>
        <v>0</v>
      </c>
      <c r="W15" s="148">
        <f>ROUND(CAPEX!$D15*'Base Física'!Z$34,2)</f>
        <v>0</v>
      </c>
      <c r="X15" s="148">
        <f>ROUND(CAPEX!$D15*'Base Física'!AA$34,2)</f>
        <v>0</v>
      </c>
      <c r="Y15" s="148">
        <f>ROUND(CAPEX!$D15*'Base Física'!AB$34,2)</f>
        <v>507.44</v>
      </c>
      <c r="Z15" s="148">
        <f>ROUND(CAPEX!$D15*'Base Física'!AC$34,2)</f>
        <v>0</v>
      </c>
      <c r="AA15" s="148">
        <f>ROUND(CAPEX!$D15*'Base Física'!AD$34,2)</f>
        <v>0</v>
      </c>
      <c r="AB15" s="148">
        <f>ROUND(CAPEX!$D15*'Base Física'!AE$34,2)</f>
        <v>0</v>
      </c>
      <c r="AC15" s="148">
        <f>ROUND(CAPEX!$D15*'Base Física'!AF$34,2)</f>
        <v>0</v>
      </c>
      <c r="AD15" s="148">
        <f>ROUND(CAPEX!$D15*'Base Física'!AG$34,2)</f>
        <v>0</v>
      </c>
      <c r="AE15" s="148">
        <f>ROUND(CAPEX!$D15*'Base Física'!AH$34,2)</f>
        <v>0</v>
      </c>
      <c r="AF15" s="148">
        <f>ROUND(CAPEX!$D15*'Base Física'!AI$34,2)</f>
        <v>0</v>
      </c>
      <c r="AG15" s="148">
        <f>ROUND(CAPEX!$D15*'Base Física'!AJ$34,2)</f>
        <v>507.44</v>
      </c>
      <c r="AH15" s="148">
        <f>ROUND(CAPEX!$D15*'Base Física'!AK$34,2)</f>
        <v>0</v>
      </c>
      <c r="AI15" s="148">
        <f>ROUND(CAPEX!$D15*'Base Física'!AL$34,2)</f>
        <v>0</v>
      </c>
      <c r="AJ15" s="148">
        <f>ROUND(CAPEX!$D15*'Base Física'!AM$34,2)</f>
        <v>0</v>
      </c>
      <c r="AK15" s="148">
        <f>ROUND(CAPEX!$D15*'Base Física'!AN$34,2)</f>
        <v>0</v>
      </c>
      <c r="AL15" s="468">
        <f>+SUM(C15:AK15)+191.49</f>
        <v>23635224.370000005</v>
      </c>
      <c r="AM15" s="71"/>
    </row>
    <row r="16" spans="1:40" x14ac:dyDescent="0.3">
      <c r="B16" s="467" t="s">
        <v>71</v>
      </c>
      <c r="C16" s="148">
        <f>ROUND(CAPEX!$D16*'Base Física'!F$34,2)</f>
        <v>0</v>
      </c>
      <c r="D16" s="148">
        <f>ROUND(CAPEX!$D16*'Base Física'!G$34,2)</f>
        <v>277322.40000000002</v>
      </c>
      <c r="E16" s="148">
        <f>ROUND(CAPEX!$D16*'Base Física'!H$34,2)</f>
        <v>284442.84000000003</v>
      </c>
      <c r="F16" s="148">
        <f>ROUND(CAPEX!$D16*'Base Física'!I$34,2)</f>
        <v>291250.98</v>
      </c>
      <c r="G16" s="148">
        <f>ROUND(CAPEX!$D16*'Base Física'!J$34,2)</f>
        <v>297684.36</v>
      </c>
      <c r="H16" s="148">
        <f>ROUND(CAPEX!$D16*'Base Física'!K$34,2)</f>
        <v>73765.259999999995</v>
      </c>
      <c r="I16" s="148">
        <f>ROUND(CAPEX!$D16*'Base Física'!L$34,2)</f>
        <v>75233.070000000007</v>
      </c>
      <c r="J16" s="148">
        <f>ROUND(CAPEX!$D16*'Base Física'!M$34,2)</f>
        <v>29887.11</v>
      </c>
      <c r="K16" s="148">
        <f>ROUND(CAPEX!$D16*'Base Física'!N$34,2)</f>
        <v>30449.25</v>
      </c>
      <c r="L16" s="148">
        <f>ROUND(CAPEX!$D16*'Base Física'!O$34,2)</f>
        <v>30980.16</v>
      </c>
      <c r="M16" s="148">
        <f>ROUND(CAPEX!$D16*'Base Física'!P$34,2)</f>
        <v>31511.07</v>
      </c>
      <c r="N16" s="148">
        <f>ROUND(CAPEX!$D16*'Base Física'!Q$34,2)</f>
        <v>31979.52</v>
      </c>
      <c r="O16" s="148">
        <f>ROUND(CAPEX!$D16*'Base Física'!R$34,2)</f>
        <v>0</v>
      </c>
      <c r="P16" s="148">
        <f>ROUND(CAPEX!$D16*'Base Física'!S$34,2)</f>
        <v>0</v>
      </c>
      <c r="Q16" s="148">
        <f>ROUND(CAPEX!$D16*'Base Física'!T$34,2)</f>
        <v>0</v>
      </c>
      <c r="R16" s="148">
        <f>ROUND(CAPEX!$D16*'Base Física'!U$34,2)</f>
        <v>0</v>
      </c>
      <c r="S16" s="148">
        <f>ROUND(CAPEX!$D16*'Base Física'!V$34,2)</f>
        <v>0</v>
      </c>
      <c r="T16" s="148">
        <f>ROUND(CAPEX!$D16*'Base Física'!W$34,2)</f>
        <v>0</v>
      </c>
      <c r="U16" s="148">
        <f>ROUND(CAPEX!$D16*'Base Física'!X$34,2)</f>
        <v>31.23</v>
      </c>
      <c r="V16" s="148">
        <f>ROUND(CAPEX!$D16*'Base Física'!Y$34,2)</f>
        <v>0</v>
      </c>
      <c r="W16" s="148">
        <f>ROUND(CAPEX!$D16*'Base Física'!Z$34,2)</f>
        <v>0</v>
      </c>
      <c r="X16" s="148">
        <f>ROUND(CAPEX!$D16*'Base Física'!AA$34,2)</f>
        <v>0</v>
      </c>
      <c r="Y16" s="148">
        <f>ROUND(CAPEX!$D16*'Base Física'!AB$34,2)</f>
        <v>31.23</v>
      </c>
      <c r="Z16" s="148">
        <f>ROUND(CAPEX!$D16*'Base Física'!AC$34,2)</f>
        <v>0</v>
      </c>
      <c r="AA16" s="148">
        <f>ROUND(CAPEX!$D16*'Base Física'!AD$34,2)</f>
        <v>0</v>
      </c>
      <c r="AB16" s="148">
        <f>ROUND(CAPEX!$D16*'Base Física'!AE$34,2)</f>
        <v>0</v>
      </c>
      <c r="AC16" s="148">
        <f>ROUND(CAPEX!$D16*'Base Física'!AF$34,2)</f>
        <v>0</v>
      </c>
      <c r="AD16" s="148">
        <f>ROUND(CAPEX!$D16*'Base Física'!AG$34,2)</f>
        <v>0</v>
      </c>
      <c r="AE16" s="148">
        <f>ROUND(CAPEX!$D16*'Base Física'!AH$34,2)</f>
        <v>0</v>
      </c>
      <c r="AF16" s="148">
        <f>ROUND(CAPEX!$D16*'Base Física'!AI$34,2)</f>
        <v>0</v>
      </c>
      <c r="AG16" s="148">
        <f>ROUND(CAPEX!$D16*'Base Física'!AJ$34,2)</f>
        <v>31.23</v>
      </c>
      <c r="AH16" s="148">
        <f>ROUND(CAPEX!$D16*'Base Física'!AK$34,2)</f>
        <v>0</v>
      </c>
      <c r="AI16" s="148">
        <f>ROUND(CAPEX!$D16*'Base Física'!AL$34,2)</f>
        <v>0</v>
      </c>
      <c r="AJ16" s="148">
        <f>ROUND(CAPEX!$D16*'Base Física'!AM$34,2)</f>
        <v>0</v>
      </c>
      <c r="AK16" s="148">
        <f>ROUND(CAPEX!$D16*'Base Física'!AN$34,2)</f>
        <v>0</v>
      </c>
      <c r="AL16" s="468">
        <f>+SUM(C16:AK16)-94.16</f>
        <v>1454505.5500000003</v>
      </c>
      <c r="AM16" s="71"/>
    </row>
    <row r="17" spans="1:39" x14ac:dyDescent="0.3">
      <c r="B17" s="467" t="s">
        <v>72</v>
      </c>
      <c r="C17" s="148">
        <f>ROUND(CAPEX!$D17*'Base Física'!F$34,2)</f>
        <v>0</v>
      </c>
      <c r="D17" s="148">
        <f>ROUND(CAPEX!$D17*'Base Física'!G$34,2)</f>
        <v>277322.40000000002</v>
      </c>
      <c r="E17" s="148">
        <f>ROUND(CAPEX!$D17*'Base Física'!H$34,2)</f>
        <v>284442.84000000003</v>
      </c>
      <c r="F17" s="148">
        <f>ROUND(CAPEX!$D17*'Base Física'!I$34,2)</f>
        <v>291250.98</v>
      </c>
      <c r="G17" s="148">
        <f>ROUND(CAPEX!$D17*'Base Física'!J$34,2)</f>
        <v>297684.36</v>
      </c>
      <c r="H17" s="148">
        <f>ROUND(CAPEX!$D17*'Base Física'!K$34,2)</f>
        <v>73765.259999999995</v>
      </c>
      <c r="I17" s="148">
        <f>ROUND(CAPEX!$D17*'Base Física'!L$34,2)</f>
        <v>75233.070000000007</v>
      </c>
      <c r="J17" s="148">
        <f>ROUND(CAPEX!$D17*'Base Física'!M$34,2)</f>
        <v>29887.11</v>
      </c>
      <c r="K17" s="148">
        <f>ROUND(CAPEX!$D17*'Base Física'!N$34,2)</f>
        <v>30449.25</v>
      </c>
      <c r="L17" s="148">
        <f>ROUND(CAPEX!$D17*'Base Física'!O$34,2)</f>
        <v>30980.16</v>
      </c>
      <c r="M17" s="148">
        <f>ROUND(CAPEX!$D17*'Base Física'!P$34,2)</f>
        <v>31511.07</v>
      </c>
      <c r="N17" s="148">
        <f>ROUND(CAPEX!$D17*'Base Física'!Q$34,2)</f>
        <v>31979.52</v>
      </c>
      <c r="O17" s="148">
        <f>ROUND(CAPEX!$D17*'Base Física'!R$34,2)</f>
        <v>0</v>
      </c>
      <c r="P17" s="148">
        <f>ROUND(CAPEX!$D17*'Base Física'!S$34,2)</f>
        <v>0</v>
      </c>
      <c r="Q17" s="148">
        <f>ROUND(CAPEX!$D17*'Base Física'!T$34,2)</f>
        <v>0</v>
      </c>
      <c r="R17" s="148">
        <f>ROUND(CAPEX!$D17*'Base Física'!U$34,2)</f>
        <v>0</v>
      </c>
      <c r="S17" s="148">
        <f>ROUND(CAPEX!$D17*'Base Física'!V$34,2)</f>
        <v>0</v>
      </c>
      <c r="T17" s="148">
        <f>ROUND(CAPEX!$D17*'Base Física'!W$34,2)</f>
        <v>0</v>
      </c>
      <c r="U17" s="148">
        <f>ROUND(CAPEX!$D17*'Base Física'!X$34,2)</f>
        <v>31.23</v>
      </c>
      <c r="V17" s="148">
        <f>ROUND(CAPEX!$D17*'Base Física'!Y$34,2)</f>
        <v>0</v>
      </c>
      <c r="W17" s="148">
        <f>ROUND(CAPEX!$D17*'Base Física'!Z$34,2)</f>
        <v>0</v>
      </c>
      <c r="X17" s="148">
        <f>ROUND(CAPEX!$D17*'Base Física'!AA$34,2)</f>
        <v>0</v>
      </c>
      <c r="Y17" s="148">
        <f>ROUND(CAPEX!$D17*'Base Física'!AB$34,2)</f>
        <v>31.23</v>
      </c>
      <c r="Z17" s="148">
        <f>ROUND(CAPEX!$D17*'Base Física'!AC$34,2)</f>
        <v>0</v>
      </c>
      <c r="AA17" s="148">
        <f>ROUND(CAPEX!$D17*'Base Física'!AD$34,2)</f>
        <v>0</v>
      </c>
      <c r="AB17" s="148">
        <f>ROUND(CAPEX!$D17*'Base Física'!AE$34,2)</f>
        <v>0</v>
      </c>
      <c r="AC17" s="148">
        <f>ROUND(CAPEX!$D17*'Base Física'!AF$34,2)</f>
        <v>0</v>
      </c>
      <c r="AD17" s="148">
        <f>ROUND(CAPEX!$D17*'Base Física'!AG$34,2)</f>
        <v>0</v>
      </c>
      <c r="AE17" s="148">
        <f>ROUND(CAPEX!$D17*'Base Física'!AH$34,2)</f>
        <v>0</v>
      </c>
      <c r="AF17" s="148">
        <f>ROUND(CAPEX!$D17*'Base Física'!AI$34,2)</f>
        <v>0</v>
      </c>
      <c r="AG17" s="148">
        <f>ROUND(CAPEX!$D17*'Base Física'!AJ$34,2)</f>
        <v>31.23</v>
      </c>
      <c r="AH17" s="148">
        <f>ROUND(CAPEX!$D17*'Base Física'!AK$34,2)</f>
        <v>0</v>
      </c>
      <c r="AI17" s="148">
        <f>ROUND(CAPEX!$D17*'Base Física'!AL$34,2)</f>
        <v>0</v>
      </c>
      <c r="AJ17" s="148">
        <f>ROUND(CAPEX!$D17*'Base Física'!AM$34,2)</f>
        <v>0</v>
      </c>
      <c r="AK17" s="148">
        <f>ROUND(CAPEX!$D17*'Base Física'!AN$34,2)</f>
        <v>0</v>
      </c>
      <c r="AL17" s="468">
        <f>+SUM(C17:AK17)-94.16</f>
        <v>1454505.5500000003</v>
      </c>
      <c r="AM17" s="71"/>
    </row>
    <row r="18" spans="1:39" x14ac:dyDescent="0.3">
      <c r="A18" s="69"/>
      <c r="B18" s="467" t="s">
        <v>73</v>
      </c>
      <c r="C18" s="148">
        <f>ROUND(CAPEX!$D18*'Base Física'!F$34,2)</f>
        <v>0</v>
      </c>
      <c r="D18" s="148">
        <f>ROUND(CAPEX!$D18*'Base Física'!G$34,2)</f>
        <v>207969.6</v>
      </c>
      <c r="E18" s="148">
        <f>ROUND(CAPEX!$D18*'Base Física'!H$34,2)</f>
        <v>213309.36</v>
      </c>
      <c r="F18" s="148">
        <f>ROUND(CAPEX!$D18*'Base Física'!I$34,2)</f>
        <v>218414.92</v>
      </c>
      <c r="G18" s="148">
        <f>ROUND(CAPEX!$D18*'Base Física'!J$34,2)</f>
        <v>223239.44</v>
      </c>
      <c r="H18" s="148">
        <f>ROUND(CAPEX!$D18*'Base Física'!K$34,2)</f>
        <v>55318.04</v>
      </c>
      <c r="I18" s="148">
        <f>ROUND(CAPEX!$D18*'Base Física'!L$34,2)</f>
        <v>56418.78</v>
      </c>
      <c r="J18" s="148">
        <f>ROUND(CAPEX!$D18*'Base Física'!M$34,2)</f>
        <v>22412.94</v>
      </c>
      <c r="K18" s="148">
        <f>ROUND(CAPEX!$D18*'Base Física'!N$34,2)</f>
        <v>22834.5</v>
      </c>
      <c r="L18" s="148">
        <f>ROUND(CAPEX!$D18*'Base Física'!O$34,2)</f>
        <v>23232.639999999999</v>
      </c>
      <c r="M18" s="148">
        <f>ROUND(CAPEX!$D18*'Base Física'!P$34,2)</f>
        <v>23630.78</v>
      </c>
      <c r="N18" s="148">
        <f>ROUND(CAPEX!$D18*'Base Física'!Q$34,2)</f>
        <v>23982.080000000002</v>
      </c>
      <c r="O18" s="148">
        <f>ROUND(CAPEX!$D18*'Base Física'!R$34,2)</f>
        <v>0</v>
      </c>
      <c r="P18" s="148">
        <f>ROUND(CAPEX!$D18*'Base Física'!S$34,2)</f>
        <v>0</v>
      </c>
      <c r="Q18" s="148">
        <f>ROUND(CAPEX!$D18*'Base Física'!T$34,2)</f>
        <v>0</v>
      </c>
      <c r="R18" s="148">
        <f>ROUND(CAPEX!$D18*'Base Física'!U$34,2)</f>
        <v>0</v>
      </c>
      <c r="S18" s="148">
        <f>ROUND(CAPEX!$D18*'Base Física'!V$34,2)</f>
        <v>0</v>
      </c>
      <c r="T18" s="148">
        <f>ROUND(CAPEX!$D18*'Base Física'!W$34,2)</f>
        <v>0</v>
      </c>
      <c r="U18" s="148">
        <f>ROUND(CAPEX!$D18*'Base Física'!X$34,2)</f>
        <v>23.42</v>
      </c>
      <c r="V18" s="148">
        <f>ROUND(CAPEX!$D18*'Base Física'!Y$34,2)</f>
        <v>0</v>
      </c>
      <c r="W18" s="148">
        <f>ROUND(CAPEX!$D18*'Base Física'!Z$34,2)</f>
        <v>0</v>
      </c>
      <c r="X18" s="148">
        <f>ROUND(CAPEX!$D18*'Base Física'!AA$34,2)</f>
        <v>0</v>
      </c>
      <c r="Y18" s="148">
        <f>ROUND(CAPEX!$D18*'Base Física'!AB$34,2)</f>
        <v>23.42</v>
      </c>
      <c r="Z18" s="148">
        <f>ROUND(CAPEX!$D18*'Base Física'!AC$34,2)</f>
        <v>0</v>
      </c>
      <c r="AA18" s="148">
        <f>ROUND(CAPEX!$D18*'Base Física'!AD$34,2)</f>
        <v>0</v>
      </c>
      <c r="AB18" s="148">
        <f>ROUND(CAPEX!$D18*'Base Física'!AE$34,2)</f>
        <v>0</v>
      </c>
      <c r="AC18" s="148">
        <f>ROUND(CAPEX!$D18*'Base Física'!AF$34,2)</f>
        <v>0</v>
      </c>
      <c r="AD18" s="148">
        <f>ROUND(CAPEX!$D18*'Base Física'!AG$34,2)</f>
        <v>0</v>
      </c>
      <c r="AE18" s="148">
        <f>ROUND(CAPEX!$D18*'Base Física'!AH$34,2)</f>
        <v>0</v>
      </c>
      <c r="AF18" s="148">
        <f>ROUND(CAPEX!$D18*'Base Física'!AI$34,2)</f>
        <v>0</v>
      </c>
      <c r="AG18" s="148">
        <f>ROUND(CAPEX!$D18*'Base Física'!AJ$34,2)</f>
        <v>23.42</v>
      </c>
      <c r="AH18" s="148">
        <f>ROUND(CAPEX!$D18*'Base Física'!AK$34,2)</f>
        <v>0</v>
      </c>
      <c r="AI18" s="148">
        <f>ROUND(CAPEX!$D18*'Base Física'!AL$34,2)</f>
        <v>0</v>
      </c>
      <c r="AJ18" s="148">
        <f>ROUND(CAPEX!$D18*'Base Física'!AM$34,2)</f>
        <v>0</v>
      </c>
      <c r="AK18" s="148">
        <f>ROUND(CAPEX!$D18*'Base Física'!AN$34,2)</f>
        <v>0</v>
      </c>
      <c r="AL18" s="468">
        <f>+SUM(C18:AK18)+171.84</f>
        <v>1091005.18</v>
      </c>
      <c r="AM18" s="71"/>
    </row>
    <row r="19" spans="1:39" x14ac:dyDescent="0.3">
      <c r="A19" s="69"/>
      <c r="B19" s="469" t="s">
        <v>91</v>
      </c>
      <c r="C19" s="150">
        <f t="shared" ref="C19:AK19" si="41">SUM(C13:C18)</f>
        <v>0</v>
      </c>
      <c r="D19" s="150">
        <f t="shared" si="41"/>
        <v>37407266.399999999</v>
      </c>
      <c r="E19" s="150">
        <f t="shared" si="41"/>
        <v>38367723.24000001</v>
      </c>
      <c r="F19" s="150">
        <f t="shared" si="41"/>
        <v>39286054.779999994</v>
      </c>
      <c r="G19" s="150">
        <f t="shared" si="41"/>
        <v>40153835.959999993</v>
      </c>
      <c r="H19" s="150">
        <f t="shared" si="41"/>
        <v>9949995.8599999975</v>
      </c>
      <c r="I19" s="150">
        <f t="shared" si="41"/>
        <v>10147984.770000001</v>
      </c>
      <c r="J19" s="150">
        <f t="shared" si="41"/>
        <v>4031391.2099999995</v>
      </c>
      <c r="K19" s="150">
        <f t="shared" si="41"/>
        <v>4107216.75</v>
      </c>
      <c r="L19" s="150">
        <f t="shared" si="41"/>
        <v>4178829.7600000002</v>
      </c>
      <c r="M19" s="150">
        <f t="shared" si="41"/>
        <v>4250442.7700000005</v>
      </c>
      <c r="N19" s="150">
        <f t="shared" si="41"/>
        <v>4313630.7199999988</v>
      </c>
      <c r="O19" s="150">
        <f t="shared" si="41"/>
        <v>0</v>
      </c>
      <c r="P19" s="150">
        <f t="shared" si="41"/>
        <v>0</v>
      </c>
      <c r="Q19" s="150">
        <f t="shared" si="41"/>
        <v>0</v>
      </c>
      <c r="R19" s="150">
        <f t="shared" si="41"/>
        <v>0</v>
      </c>
      <c r="S19" s="150">
        <f t="shared" si="41"/>
        <v>0</v>
      </c>
      <c r="T19" s="150">
        <f t="shared" si="41"/>
        <v>0</v>
      </c>
      <c r="U19" s="150">
        <f t="shared" si="41"/>
        <v>4212.5299999999988</v>
      </c>
      <c r="V19" s="150">
        <f t="shared" si="41"/>
        <v>0</v>
      </c>
      <c r="W19" s="150">
        <f t="shared" si="41"/>
        <v>0</v>
      </c>
      <c r="X19" s="150">
        <f t="shared" si="41"/>
        <v>0</v>
      </c>
      <c r="Y19" s="150">
        <f t="shared" si="41"/>
        <v>4212.5299999999988</v>
      </c>
      <c r="Z19" s="150">
        <f t="shared" si="41"/>
        <v>0</v>
      </c>
      <c r="AA19" s="150">
        <f t="shared" si="41"/>
        <v>0</v>
      </c>
      <c r="AB19" s="150">
        <f t="shared" si="41"/>
        <v>0</v>
      </c>
      <c r="AC19" s="150">
        <f t="shared" si="41"/>
        <v>0</v>
      </c>
      <c r="AD19" s="150">
        <f t="shared" si="41"/>
        <v>0</v>
      </c>
      <c r="AE19" s="150">
        <f t="shared" si="41"/>
        <v>0</v>
      </c>
      <c r="AF19" s="150">
        <f t="shared" si="41"/>
        <v>0</v>
      </c>
      <c r="AG19" s="150">
        <f t="shared" si="41"/>
        <v>4212.5299999999988</v>
      </c>
      <c r="AH19" s="150">
        <f t="shared" si="41"/>
        <v>0</v>
      </c>
      <c r="AI19" s="150">
        <f t="shared" si="41"/>
        <v>0</v>
      </c>
      <c r="AJ19" s="150">
        <f t="shared" si="41"/>
        <v>0</v>
      </c>
      <c r="AK19" s="150">
        <f t="shared" si="41"/>
        <v>0</v>
      </c>
      <c r="AL19" s="470">
        <f>+SUM(C19:AK19)+10.32</f>
        <v>196207020.13</v>
      </c>
      <c r="AM19" s="71"/>
    </row>
    <row r="20" spans="1:39" x14ac:dyDescent="0.3">
      <c r="A20" s="69"/>
      <c r="B20" s="471" t="s">
        <v>90</v>
      </c>
      <c r="C20" s="150">
        <f t="shared" ref="C20:AK20" si="42">C12+C19</f>
        <v>0</v>
      </c>
      <c r="D20" s="150">
        <f t="shared" si="42"/>
        <v>43406498.740000002</v>
      </c>
      <c r="E20" s="150">
        <f t="shared" si="42"/>
        <v>39581341.260000013</v>
      </c>
      <c r="F20" s="150">
        <f t="shared" si="42"/>
        <v>39286054.779999994</v>
      </c>
      <c r="G20" s="150">
        <f t="shared" si="42"/>
        <v>40153835.959999993</v>
      </c>
      <c r="H20" s="150">
        <f t="shared" si="42"/>
        <v>9949995.8599999975</v>
      </c>
      <c r="I20" s="150">
        <f t="shared" si="42"/>
        <v>10147984.770000001</v>
      </c>
      <c r="J20" s="150">
        <f t="shared" si="42"/>
        <v>4031391.2099999995</v>
      </c>
      <c r="K20" s="150">
        <f t="shared" si="42"/>
        <v>4111520.36</v>
      </c>
      <c r="L20" s="150">
        <f t="shared" si="42"/>
        <v>4178829.7600000002</v>
      </c>
      <c r="M20" s="150">
        <f t="shared" si="42"/>
        <v>4250442.7700000005</v>
      </c>
      <c r="N20" s="150">
        <f t="shared" si="42"/>
        <v>4313630.7199999988</v>
      </c>
      <c r="O20" s="150">
        <f t="shared" si="42"/>
        <v>0</v>
      </c>
      <c r="P20" s="150">
        <f t="shared" si="42"/>
        <v>0</v>
      </c>
      <c r="Q20" s="150">
        <f t="shared" si="42"/>
        <v>0</v>
      </c>
      <c r="R20" s="150">
        <f t="shared" si="42"/>
        <v>0</v>
      </c>
      <c r="S20" s="150">
        <f t="shared" si="42"/>
        <v>0</v>
      </c>
      <c r="T20" s="150">
        <f t="shared" si="42"/>
        <v>0</v>
      </c>
      <c r="U20" s="150">
        <f t="shared" si="42"/>
        <v>8516.14</v>
      </c>
      <c r="V20" s="150">
        <f t="shared" si="42"/>
        <v>0</v>
      </c>
      <c r="W20" s="150">
        <f t="shared" si="42"/>
        <v>0</v>
      </c>
      <c r="X20" s="150">
        <f t="shared" si="42"/>
        <v>0</v>
      </c>
      <c r="Y20" s="150">
        <f t="shared" si="42"/>
        <v>8516.14</v>
      </c>
      <c r="Z20" s="150">
        <f t="shared" si="42"/>
        <v>0</v>
      </c>
      <c r="AA20" s="150">
        <f t="shared" si="42"/>
        <v>0</v>
      </c>
      <c r="AB20" s="150">
        <f t="shared" si="42"/>
        <v>0</v>
      </c>
      <c r="AC20" s="150">
        <f t="shared" si="42"/>
        <v>0</v>
      </c>
      <c r="AD20" s="150">
        <f t="shared" si="42"/>
        <v>0</v>
      </c>
      <c r="AE20" s="150">
        <f t="shared" si="42"/>
        <v>0</v>
      </c>
      <c r="AF20" s="150">
        <f t="shared" si="42"/>
        <v>0</v>
      </c>
      <c r="AG20" s="150">
        <f t="shared" si="42"/>
        <v>8516.14</v>
      </c>
      <c r="AH20" s="150">
        <f t="shared" si="42"/>
        <v>0</v>
      </c>
      <c r="AI20" s="150">
        <f t="shared" si="42"/>
        <v>0</v>
      </c>
      <c r="AJ20" s="150">
        <f t="shared" si="42"/>
        <v>0</v>
      </c>
      <c r="AK20" s="150">
        <f t="shared" si="42"/>
        <v>0</v>
      </c>
      <c r="AL20" s="470">
        <f>+SUM(C20:AK20)+16.12</f>
        <v>203437090.72999999</v>
      </c>
      <c r="AM20" s="71"/>
    </row>
    <row r="21" spans="1:39" ht="15" thickBot="1" x14ac:dyDescent="0.35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</row>
    <row r="22" spans="1:39" ht="15.6" thickTop="1" thickBot="1" x14ac:dyDescent="0.35">
      <c r="A22" s="69"/>
      <c r="B22" s="113" t="s">
        <v>535</v>
      </c>
      <c r="C22" s="102">
        <v>1</v>
      </c>
      <c r="D22" s="102">
        <f t="shared" ref="D22:D23" si="43">C22+1</f>
        <v>2</v>
      </c>
      <c r="E22" s="102">
        <f t="shared" ref="E22:E23" si="44">D22+1</f>
        <v>3</v>
      </c>
      <c r="F22" s="102">
        <f t="shared" ref="F22:F23" si="45">E22+1</f>
        <v>4</v>
      </c>
      <c r="G22" s="102">
        <f t="shared" ref="G22:G23" si="46">F22+1</f>
        <v>5</v>
      </c>
      <c r="H22" s="102">
        <f t="shared" ref="H22:H23" si="47">G22+1</f>
        <v>6</v>
      </c>
      <c r="I22" s="102">
        <f t="shared" ref="I22:I23" si="48">H22+1</f>
        <v>7</v>
      </c>
      <c r="J22" s="102">
        <f t="shared" ref="J22:J23" si="49">I22+1</f>
        <v>8</v>
      </c>
      <c r="K22" s="102">
        <f t="shared" ref="K22:K23" si="50">J22+1</f>
        <v>9</v>
      </c>
      <c r="L22" s="102">
        <f t="shared" ref="L22:L23" si="51">K22+1</f>
        <v>10</v>
      </c>
      <c r="M22" s="102">
        <f t="shared" ref="M22:M23" si="52">L22+1</f>
        <v>11</v>
      </c>
      <c r="N22" s="102">
        <f t="shared" ref="N22:N23" si="53">M22+1</f>
        <v>12</v>
      </c>
      <c r="O22" s="102">
        <f t="shared" ref="O22:O23" si="54">N22+1</f>
        <v>13</v>
      </c>
      <c r="P22" s="102">
        <f t="shared" ref="P22:P23" si="55">O22+1</f>
        <v>14</v>
      </c>
      <c r="Q22" s="102">
        <f t="shared" ref="Q22:Q23" si="56">P22+1</f>
        <v>15</v>
      </c>
      <c r="R22" s="102">
        <f t="shared" ref="R22:R23" si="57">Q22+1</f>
        <v>16</v>
      </c>
      <c r="S22" s="102">
        <f t="shared" ref="S22:S23" si="58">R22+1</f>
        <v>17</v>
      </c>
      <c r="T22" s="102">
        <f t="shared" ref="T22:T23" si="59">S22+1</f>
        <v>18</v>
      </c>
      <c r="U22" s="102">
        <f t="shared" ref="U22:U23" si="60">T22+1</f>
        <v>19</v>
      </c>
      <c r="V22" s="102">
        <f t="shared" ref="V22:V23" si="61">U22+1</f>
        <v>20</v>
      </c>
      <c r="W22" s="102">
        <f t="shared" ref="W22:W23" si="62">V22+1</f>
        <v>21</v>
      </c>
      <c r="X22" s="102">
        <f t="shared" ref="X22:X23" si="63">W22+1</f>
        <v>22</v>
      </c>
      <c r="Y22" s="102">
        <f t="shared" ref="Y22:Y23" si="64">X22+1</f>
        <v>23</v>
      </c>
      <c r="Z22" s="102">
        <f t="shared" ref="Z22:Z23" si="65">Y22+1</f>
        <v>24</v>
      </c>
      <c r="AA22" s="102">
        <f t="shared" ref="AA22:AA23" si="66">Z22+1</f>
        <v>25</v>
      </c>
      <c r="AB22" s="102">
        <f t="shared" ref="AB22:AB23" si="67">AA22+1</f>
        <v>26</v>
      </c>
      <c r="AC22" s="102">
        <f t="shared" ref="AC22:AC23" si="68">AB22+1</f>
        <v>27</v>
      </c>
      <c r="AD22" s="102">
        <f t="shared" ref="AD22:AD23" si="69">AC22+1</f>
        <v>28</v>
      </c>
      <c r="AE22" s="102">
        <f t="shared" ref="AE22:AE23" si="70">AD22+1</f>
        <v>29</v>
      </c>
      <c r="AF22" s="102">
        <f t="shared" ref="AF22:AF23" si="71">AE22+1</f>
        <v>30</v>
      </c>
      <c r="AG22" s="102">
        <f t="shared" ref="AG22:AG23" si="72">AF22+1</f>
        <v>31</v>
      </c>
      <c r="AH22" s="102">
        <f t="shared" ref="AH22:AH23" si="73">AG22+1</f>
        <v>32</v>
      </c>
      <c r="AI22" s="102">
        <f t="shared" ref="AI22:AI23" si="74">AH22+1</f>
        <v>33</v>
      </c>
      <c r="AJ22" s="102">
        <f t="shared" ref="AJ22:AJ23" si="75">AI22+1</f>
        <v>34</v>
      </c>
      <c r="AK22" s="102">
        <f t="shared" ref="AK22:AK23" si="76">AJ22+1</f>
        <v>35</v>
      </c>
      <c r="AL22" s="1087" t="s">
        <v>23</v>
      </c>
    </row>
    <row r="23" spans="1:39" x14ac:dyDescent="0.3">
      <c r="A23" s="69"/>
      <c r="B23" s="114"/>
      <c r="C23" s="103">
        <v>2025</v>
      </c>
      <c r="D23" s="103">
        <f t="shared" si="43"/>
        <v>2026</v>
      </c>
      <c r="E23" s="103">
        <f t="shared" si="44"/>
        <v>2027</v>
      </c>
      <c r="F23" s="103">
        <f t="shared" si="45"/>
        <v>2028</v>
      </c>
      <c r="G23" s="103">
        <f t="shared" si="46"/>
        <v>2029</v>
      </c>
      <c r="H23" s="103">
        <f t="shared" si="47"/>
        <v>2030</v>
      </c>
      <c r="I23" s="103">
        <f t="shared" si="48"/>
        <v>2031</v>
      </c>
      <c r="J23" s="103">
        <f t="shared" si="49"/>
        <v>2032</v>
      </c>
      <c r="K23" s="103">
        <f t="shared" si="50"/>
        <v>2033</v>
      </c>
      <c r="L23" s="103">
        <f t="shared" si="51"/>
        <v>2034</v>
      </c>
      <c r="M23" s="103">
        <f t="shared" si="52"/>
        <v>2035</v>
      </c>
      <c r="N23" s="103">
        <f t="shared" si="53"/>
        <v>2036</v>
      </c>
      <c r="O23" s="103">
        <f t="shared" si="54"/>
        <v>2037</v>
      </c>
      <c r="P23" s="103">
        <f t="shared" si="55"/>
        <v>2038</v>
      </c>
      <c r="Q23" s="103">
        <f t="shared" si="56"/>
        <v>2039</v>
      </c>
      <c r="R23" s="103">
        <f t="shared" si="57"/>
        <v>2040</v>
      </c>
      <c r="S23" s="103">
        <f t="shared" si="58"/>
        <v>2041</v>
      </c>
      <c r="T23" s="103">
        <f t="shared" si="59"/>
        <v>2042</v>
      </c>
      <c r="U23" s="103">
        <f t="shared" si="60"/>
        <v>2043</v>
      </c>
      <c r="V23" s="103">
        <f t="shared" si="61"/>
        <v>2044</v>
      </c>
      <c r="W23" s="103">
        <f t="shared" si="62"/>
        <v>2045</v>
      </c>
      <c r="X23" s="103">
        <f t="shared" si="63"/>
        <v>2046</v>
      </c>
      <c r="Y23" s="103">
        <f t="shared" si="64"/>
        <v>2047</v>
      </c>
      <c r="Z23" s="103">
        <f t="shared" si="65"/>
        <v>2048</v>
      </c>
      <c r="AA23" s="103">
        <f t="shared" si="66"/>
        <v>2049</v>
      </c>
      <c r="AB23" s="103">
        <f t="shared" si="67"/>
        <v>2050</v>
      </c>
      <c r="AC23" s="103">
        <f t="shared" si="68"/>
        <v>2051</v>
      </c>
      <c r="AD23" s="103">
        <f t="shared" si="69"/>
        <v>2052</v>
      </c>
      <c r="AE23" s="103">
        <f t="shared" si="70"/>
        <v>2053</v>
      </c>
      <c r="AF23" s="103">
        <f t="shared" si="71"/>
        <v>2054</v>
      </c>
      <c r="AG23" s="103">
        <f t="shared" si="72"/>
        <v>2055</v>
      </c>
      <c r="AH23" s="103">
        <f t="shared" si="73"/>
        <v>2056</v>
      </c>
      <c r="AI23" s="103">
        <f t="shared" si="74"/>
        <v>2057</v>
      </c>
      <c r="AJ23" s="103">
        <f t="shared" si="75"/>
        <v>2058</v>
      </c>
      <c r="AK23" s="103">
        <f t="shared" si="76"/>
        <v>2059</v>
      </c>
      <c r="AL23" s="1088"/>
    </row>
    <row r="24" spans="1:39" x14ac:dyDescent="0.3">
      <c r="A24" s="69"/>
      <c r="B24" s="114" t="s">
        <v>70</v>
      </c>
      <c r="C24" s="148">
        <f>ROUND(CAPEX!$D24*'Base Física'!F$21,2)</f>
        <v>977851.9</v>
      </c>
      <c r="D24" s="148">
        <f>ROUND(CAPEX!$D24*'Base Física'!G$21,2)</f>
        <v>944792.85</v>
      </c>
      <c r="E24" s="148">
        <f>ROUND(CAPEX!$D24*'Base Física'!H$21,2)</f>
        <v>913473.75</v>
      </c>
      <c r="F24" s="148">
        <f>ROUND(CAPEX!$D24*'Base Física'!I$21,2)</f>
        <v>880414.7</v>
      </c>
      <c r="G24" s="148">
        <f>ROUND(CAPEX!$D24*'Base Física'!J$21,2)</f>
        <v>849095.6</v>
      </c>
      <c r="H24" s="148">
        <f>ROUND(CAPEX!$D24*'Base Física'!K$21,2)</f>
        <v>817776.5</v>
      </c>
      <c r="I24" s="148">
        <f>ROUND(CAPEX!$D24*'Base Física'!L$21,2)</f>
        <v>788197.35</v>
      </c>
      <c r="J24" s="148">
        <f>ROUND(CAPEX!$D24*'Base Física'!M$21,2)</f>
        <v>756878.25</v>
      </c>
      <c r="K24" s="148">
        <f>ROUND(CAPEX!$D24*'Base Física'!N$21,2)</f>
        <v>727299.1</v>
      </c>
      <c r="L24" s="148">
        <f>ROUND(CAPEX!$D24*'Base Física'!O$21,2)</f>
        <v>699459.9</v>
      </c>
      <c r="M24" s="148">
        <f>ROUND(CAPEX!$D24*'Base Física'!P$21,2)</f>
        <v>671620.7</v>
      </c>
      <c r="N24" s="148">
        <f>ROUND(CAPEX!$D24*'Base Física'!Q$21,2)</f>
        <v>643781.5</v>
      </c>
      <c r="O24" s="148">
        <f>ROUND(CAPEX!$D24*'Base Física'!R$21,2)</f>
        <v>617682.25</v>
      </c>
      <c r="P24" s="148">
        <f>ROUND(CAPEX!$D24*'Base Física'!S$21,2)</f>
        <v>591583</v>
      </c>
      <c r="Q24" s="148">
        <f>ROUND(CAPEX!$D24*'Base Física'!T$21,2)</f>
        <v>567223.69999999995</v>
      </c>
      <c r="R24" s="148">
        <f>ROUND(CAPEX!$D24*'Base Física'!U$21,2)</f>
        <v>542864.4</v>
      </c>
      <c r="S24" s="148">
        <f>ROUND(CAPEX!$D24*'Base Física'!V$21,2)</f>
        <v>518505.1</v>
      </c>
      <c r="T24" s="148">
        <f>ROUND(CAPEX!$D24*'Base Física'!W$21,2)</f>
        <v>495885.75</v>
      </c>
      <c r="U24" s="148">
        <f>ROUND(CAPEX!$D24*'Base Física'!X$21,2)</f>
        <v>473266.4</v>
      </c>
      <c r="V24" s="148">
        <f>ROUND(CAPEX!$D24*'Base Física'!Y$21,2)</f>
        <v>452387</v>
      </c>
      <c r="W24" s="148">
        <f>ROUND(CAPEX!$D24*'Base Física'!Z$21,2)</f>
        <v>431507.6</v>
      </c>
      <c r="X24" s="148">
        <f>ROUND(CAPEX!$D24*'Base Física'!AA$21,2)</f>
        <v>412368.15</v>
      </c>
      <c r="Y24" s="148">
        <f>ROUND(CAPEX!$D24*'Base Física'!AB$21,2)</f>
        <v>393228.7</v>
      </c>
      <c r="Z24" s="148">
        <f>ROUND(CAPEX!$D24*'Base Física'!AC$21,2)</f>
        <v>375829.2</v>
      </c>
      <c r="AA24" s="148">
        <f>ROUND(CAPEX!$D24*'Base Física'!AD$21,2)</f>
        <v>358429.7</v>
      </c>
      <c r="AB24" s="148">
        <f>ROUND(CAPEX!$D24*'Base Física'!AE$21,2)</f>
        <v>341030.2</v>
      </c>
      <c r="AC24" s="148">
        <f>ROUND(CAPEX!$D24*'Base Física'!AF$21,2)</f>
        <v>325370.65000000002</v>
      </c>
      <c r="AD24" s="148">
        <f>ROUND(CAPEX!$D24*'Base Física'!AG$21,2)</f>
        <v>309711.09999999998</v>
      </c>
      <c r="AE24" s="148">
        <f>ROUND(CAPEX!$D24*'Base Física'!AH$21,2)</f>
        <v>294051.55</v>
      </c>
      <c r="AF24" s="148">
        <f>ROUND(CAPEX!$D24*'Base Física'!AI$21,2)</f>
        <v>280131.95</v>
      </c>
      <c r="AG24" s="148">
        <f>ROUND(CAPEX!$D24*'Base Física'!AJ$21,2)</f>
        <v>266212.34999999998</v>
      </c>
      <c r="AH24" s="148">
        <f>ROUND(CAPEX!$D24*'Base Física'!AK$21,2)</f>
        <v>254032.7</v>
      </c>
      <c r="AI24" s="148">
        <f>ROUND(CAPEX!$D24*'Base Física'!AL$21,2)</f>
        <v>241853.05</v>
      </c>
      <c r="AJ24" s="148">
        <f>ROUND(CAPEX!$D24*'Base Física'!AM$21,2)</f>
        <v>234893.25</v>
      </c>
      <c r="AK24" s="148">
        <f>ROUND(CAPEX!$D24*'Base Física'!AN$21,2)</f>
        <v>-231413.35</v>
      </c>
      <c r="AL24" s="149">
        <f>+SUM(C24:AK24)</f>
        <v>18217276.499999996</v>
      </c>
      <c r="AM24" s="71"/>
    </row>
    <row r="25" spans="1:39" x14ac:dyDescent="0.3">
      <c r="A25" s="69"/>
      <c r="B25" s="114" t="s">
        <v>65</v>
      </c>
      <c r="C25" s="148">
        <f>ROUND(CAPEX!$D25*'Base Física'!F$21,2)</f>
        <v>863923.26</v>
      </c>
      <c r="D25" s="148">
        <f>ROUND(CAPEX!$D25*'Base Física'!G$21,2)</f>
        <v>834715.89</v>
      </c>
      <c r="E25" s="148">
        <f>ROUND(CAPEX!$D25*'Base Física'!H$21,2)</f>
        <v>807045.75</v>
      </c>
      <c r="F25" s="148">
        <f>ROUND(CAPEX!$D25*'Base Física'!I$21,2)</f>
        <v>777838.38</v>
      </c>
      <c r="G25" s="148">
        <f>ROUND(CAPEX!$D25*'Base Física'!J$21,2)</f>
        <v>750168.24</v>
      </c>
      <c r="H25" s="148">
        <f>ROUND(CAPEX!$D25*'Base Física'!K$21,2)</f>
        <v>722498.1</v>
      </c>
      <c r="I25" s="148">
        <f>ROUND(CAPEX!$D25*'Base Física'!L$21,2)</f>
        <v>696365.19</v>
      </c>
      <c r="J25" s="148">
        <f>ROUND(CAPEX!$D25*'Base Física'!M$21,2)</f>
        <v>668695.05000000005</v>
      </c>
      <c r="K25" s="148">
        <f>ROUND(CAPEX!$D25*'Base Física'!N$21,2)</f>
        <v>642562.14</v>
      </c>
      <c r="L25" s="148">
        <f>ROUND(CAPEX!$D25*'Base Física'!O$21,2)</f>
        <v>617966.46</v>
      </c>
      <c r="M25" s="148">
        <f>ROUND(CAPEX!$D25*'Base Física'!P$21,2)</f>
        <v>593370.78</v>
      </c>
      <c r="N25" s="148">
        <f>ROUND(CAPEX!$D25*'Base Física'!Q$21,2)</f>
        <v>568775.1</v>
      </c>
      <c r="O25" s="148">
        <f>ROUND(CAPEX!$D25*'Base Física'!R$21,2)</f>
        <v>545716.65</v>
      </c>
      <c r="P25" s="148">
        <f>ROUND(CAPEX!$D25*'Base Física'!S$21,2)</f>
        <v>522658.2</v>
      </c>
      <c r="Q25" s="148">
        <f>ROUND(CAPEX!$D25*'Base Física'!T$21,2)</f>
        <v>501136.98</v>
      </c>
      <c r="R25" s="148">
        <f>ROUND(CAPEX!$D25*'Base Física'!U$21,2)</f>
        <v>479615.76</v>
      </c>
      <c r="S25" s="148">
        <f>ROUND(CAPEX!$D25*'Base Física'!V$21,2)</f>
        <v>458094.54</v>
      </c>
      <c r="T25" s="148">
        <f>ROUND(CAPEX!$D25*'Base Física'!W$21,2)</f>
        <v>438110.55</v>
      </c>
      <c r="U25" s="148">
        <f>ROUND(CAPEX!$D25*'Base Física'!X$21,2)</f>
        <v>418126.56</v>
      </c>
      <c r="V25" s="148">
        <f>ROUND(CAPEX!$D25*'Base Física'!Y$21,2)</f>
        <v>399679.8</v>
      </c>
      <c r="W25" s="148">
        <f>ROUND(CAPEX!$D25*'Base Física'!Z$21,2)</f>
        <v>381233.04</v>
      </c>
      <c r="X25" s="148">
        <f>ROUND(CAPEX!$D25*'Base Física'!AA$21,2)</f>
        <v>364323.51</v>
      </c>
      <c r="Y25" s="148">
        <f>ROUND(CAPEX!$D25*'Base Física'!AB$21,2)</f>
        <v>347413.98</v>
      </c>
      <c r="Z25" s="148">
        <f>ROUND(CAPEX!$D25*'Base Física'!AC$21,2)</f>
        <v>332041.68</v>
      </c>
      <c r="AA25" s="148">
        <f>ROUND(CAPEX!$D25*'Base Física'!AD$21,2)</f>
        <v>316669.38</v>
      </c>
      <c r="AB25" s="148">
        <f>ROUND(CAPEX!$D25*'Base Física'!AE$21,2)</f>
        <v>301297.08</v>
      </c>
      <c r="AC25" s="148">
        <f>ROUND(CAPEX!$D25*'Base Física'!AF$21,2)</f>
        <v>287462.01</v>
      </c>
      <c r="AD25" s="148">
        <f>ROUND(CAPEX!$D25*'Base Física'!AG$21,2)</f>
        <v>273626.94</v>
      </c>
      <c r="AE25" s="148">
        <f>ROUND(CAPEX!$D25*'Base Física'!AH$21,2)</f>
        <v>259791.87</v>
      </c>
      <c r="AF25" s="148">
        <f>ROUND(CAPEX!$D25*'Base Física'!AI$21,2)</f>
        <v>247494.03</v>
      </c>
      <c r="AG25" s="148">
        <f>ROUND(CAPEX!$D25*'Base Física'!AJ$21,2)</f>
        <v>235196.19</v>
      </c>
      <c r="AH25" s="148">
        <f>ROUND(CAPEX!$D25*'Base Física'!AK$21,2)</f>
        <v>224435.58</v>
      </c>
      <c r="AI25" s="148">
        <f>ROUND(CAPEX!$D25*'Base Física'!AL$21,2)</f>
        <v>213674.97</v>
      </c>
      <c r="AJ25" s="148">
        <f>ROUND(CAPEX!$D25*'Base Física'!AM$21,2)</f>
        <v>207526.05</v>
      </c>
      <c r="AK25" s="148">
        <f>ROUND(CAPEX!$D25*'Base Física'!AN$21,2)</f>
        <v>-204451.59</v>
      </c>
      <c r="AL25" s="149">
        <f t="shared" ref="AL25:AL37" si="77">+SUM(C25:AK25)</f>
        <v>16094798.099999998</v>
      </c>
      <c r="AM25" s="71"/>
    </row>
    <row r="26" spans="1:39" x14ac:dyDescent="0.3">
      <c r="A26" s="69"/>
      <c r="B26" s="114" t="s">
        <v>654</v>
      </c>
      <c r="C26" s="148">
        <f>ROUND(CAPEX!$D26*'Base Física'!F$21,2)</f>
        <v>407000.4</v>
      </c>
      <c r="D26" s="148">
        <f>ROUND(CAPEX!$D26*'Base Física'!G$21,2)</f>
        <v>393240.6</v>
      </c>
      <c r="E26" s="148">
        <f>ROUND(CAPEX!$D26*'Base Física'!H$21,2)</f>
        <v>380205</v>
      </c>
      <c r="F26" s="148">
        <f>ROUND(CAPEX!$D26*'Base Física'!I$21,2)</f>
        <v>366445.2</v>
      </c>
      <c r="G26" s="148">
        <f>ROUND(CAPEX!$D26*'Base Física'!J$21,2)</f>
        <v>353409.6</v>
      </c>
      <c r="H26" s="148">
        <f>ROUND(CAPEX!$D26*'Base Física'!K$21,2)</f>
        <v>340374</v>
      </c>
      <c r="I26" s="148">
        <f>ROUND(CAPEX!$D26*'Base Física'!L$21,2)</f>
        <v>328062.59999999998</v>
      </c>
      <c r="J26" s="148">
        <f>ROUND(CAPEX!$D26*'Base Física'!M$21,2)</f>
        <v>315027</v>
      </c>
      <c r="K26" s="148">
        <f>ROUND(CAPEX!$D26*'Base Física'!N$21,2)</f>
        <v>302715.59999999998</v>
      </c>
      <c r="L26" s="148">
        <f>ROUND(CAPEX!$D26*'Base Física'!O$21,2)</f>
        <v>291128.40000000002</v>
      </c>
      <c r="M26" s="148">
        <f>ROUND(CAPEX!$D26*'Base Física'!P$21,2)</f>
        <v>279541.2</v>
      </c>
      <c r="N26" s="148">
        <f>ROUND(CAPEX!$D26*'Base Física'!Q$21,2)</f>
        <v>267954</v>
      </c>
      <c r="O26" s="148">
        <f>ROUND(CAPEX!$D26*'Base Física'!R$21,2)</f>
        <v>257091</v>
      </c>
      <c r="P26" s="148">
        <f>ROUND(CAPEX!$D26*'Base Física'!S$21,2)</f>
        <v>246228</v>
      </c>
      <c r="Q26" s="148">
        <f>ROUND(CAPEX!$D26*'Base Física'!T$21,2)</f>
        <v>236089.2</v>
      </c>
      <c r="R26" s="148">
        <f>ROUND(CAPEX!$D26*'Base Física'!U$21,2)</f>
        <v>225950.4</v>
      </c>
      <c r="S26" s="148">
        <f>ROUND(CAPEX!$D26*'Base Física'!V$21,2)</f>
        <v>215811.6</v>
      </c>
      <c r="T26" s="148">
        <f>ROUND(CAPEX!$D26*'Base Física'!W$21,2)</f>
        <v>206397</v>
      </c>
      <c r="U26" s="148">
        <f>ROUND(CAPEX!$D26*'Base Física'!X$21,2)</f>
        <v>196982.39999999999</v>
      </c>
      <c r="V26" s="148">
        <f>ROUND(CAPEX!$D26*'Base Física'!Y$21,2)</f>
        <v>188292</v>
      </c>
      <c r="W26" s="148">
        <f>ROUND(CAPEX!$D26*'Base Física'!Z$21,2)</f>
        <v>179601.6</v>
      </c>
      <c r="X26" s="148">
        <f>ROUND(CAPEX!$D26*'Base Física'!AA$21,2)</f>
        <v>171635.4</v>
      </c>
      <c r="Y26" s="148">
        <f>ROUND(CAPEX!$D26*'Base Física'!AB$21,2)</f>
        <v>163669.20000000001</v>
      </c>
      <c r="Z26" s="148">
        <f>ROUND(CAPEX!$D26*'Base Física'!AC$21,2)</f>
        <v>156427.20000000001</v>
      </c>
      <c r="AA26" s="148">
        <f>ROUND(CAPEX!$D26*'Base Física'!AD$21,2)</f>
        <v>149185.20000000001</v>
      </c>
      <c r="AB26" s="148">
        <f>ROUND(CAPEX!$D26*'Base Física'!AE$21,2)</f>
        <v>141943.20000000001</v>
      </c>
      <c r="AC26" s="148">
        <f>ROUND(CAPEX!$D26*'Base Física'!AF$21,2)</f>
        <v>135425.4</v>
      </c>
      <c r="AD26" s="148">
        <f>ROUND(CAPEX!$D26*'Base Física'!AG$21,2)</f>
        <v>128907.6</v>
      </c>
      <c r="AE26" s="148">
        <f>ROUND(CAPEX!$D26*'Base Física'!AH$21,2)</f>
        <v>122389.8</v>
      </c>
      <c r="AF26" s="148">
        <f>ROUND(CAPEX!$D26*'Base Física'!AI$21,2)</f>
        <v>116596.2</v>
      </c>
      <c r="AG26" s="148">
        <f>ROUND(CAPEX!$D26*'Base Física'!AJ$21,2)</f>
        <v>110802.6</v>
      </c>
      <c r="AH26" s="148">
        <f>ROUND(CAPEX!$D26*'Base Física'!AK$21,2)</f>
        <v>105733.2</v>
      </c>
      <c r="AI26" s="148">
        <f>ROUND(CAPEX!$D26*'Base Física'!AL$21,2)</f>
        <v>100663.8</v>
      </c>
      <c r="AJ26" s="148">
        <f>ROUND(CAPEX!$D26*'Base Física'!AM$21,2)</f>
        <v>97767</v>
      </c>
      <c r="AK26" s="148">
        <f>ROUND(CAPEX!$D26*'Base Física'!AN$21,2)</f>
        <v>-96318.6</v>
      </c>
      <c r="AL26" s="149">
        <f t="shared" si="77"/>
        <v>7582374.0000000009</v>
      </c>
      <c r="AM26" s="71"/>
    </row>
    <row r="27" spans="1:39" x14ac:dyDescent="0.3">
      <c r="A27" s="69"/>
      <c r="B27" s="115" t="s">
        <v>161</v>
      </c>
      <c r="C27" s="148">
        <f>ROUND(CAPEX!$D27*'Base Física'!F$21,2)</f>
        <v>372476.74</v>
      </c>
      <c r="D27" s="148">
        <f>ROUND(CAPEX!$D27*'Base Física'!G$21,2)</f>
        <v>359884.11</v>
      </c>
      <c r="E27" s="148">
        <f>ROUND(CAPEX!$D27*'Base Física'!H$21,2)</f>
        <v>347954.25</v>
      </c>
      <c r="F27" s="148">
        <f>ROUND(CAPEX!$D27*'Base Física'!I$21,2)</f>
        <v>335361.62</v>
      </c>
      <c r="G27" s="148">
        <f>ROUND(CAPEX!$D27*'Base Física'!J$21,2)</f>
        <v>323431.76</v>
      </c>
      <c r="H27" s="148">
        <f>ROUND(CAPEX!$D27*'Base Física'!K$21,2)</f>
        <v>311501.90000000002</v>
      </c>
      <c r="I27" s="148">
        <f>ROUND(CAPEX!$D27*'Base Física'!L$21,2)</f>
        <v>300234.81</v>
      </c>
      <c r="J27" s="148">
        <f>ROUND(CAPEX!$D27*'Base Física'!M$21,2)</f>
        <v>288304.95</v>
      </c>
      <c r="K27" s="148">
        <f>ROUND(CAPEX!$D27*'Base Física'!N$21,2)</f>
        <v>277037.86</v>
      </c>
      <c r="L27" s="148">
        <f>ROUND(CAPEX!$D27*'Base Física'!O$21,2)</f>
        <v>266433.53999999998</v>
      </c>
      <c r="M27" s="148">
        <f>ROUND(CAPEX!$D27*'Base Física'!P$21,2)</f>
        <v>255829.22</v>
      </c>
      <c r="N27" s="148">
        <f>ROUND(CAPEX!$D27*'Base Física'!Q$21,2)</f>
        <v>245224.9</v>
      </c>
      <c r="O27" s="148">
        <f>ROUND(CAPEX!$D27*'Base Física'!R$21,2)</f>
        <v>235283.35</v>
      </c>
      <c r="P27" s="148">
        <f>ROUND(CAPEX!$D27*'Base Física'!S$21,2)</f>
        <v>225341.8</v>
      </c>
      <c r="Q27" s="148">
        <f>ROUND(CAPEX!$D27*'Base Física'!T$21,2)</f>
        <v>216063.02</v>
      </c>
      <c r="R27" s="148">
        <f>ROUND(CAPEX!$D27*'Base Física'!U$21,2)</f>
        <v>206784.24</v>
      </c>
      <c r="S27" s="148">
        <f>ROUND(CAPEX!$D27*'Base Física'!V$21,2)</f>
        <v>197505.46</v>
      </c>
      <c r="T27" s="148">
        <f>ROUND(CAPEX!$D27*'Base Física'!W$21,2)</f>
        <v>188889.45</v>
      </c>
      <c r="U27" s="148">
        <f>ROUND(CAPEX!$D27*'Base Física'!X$21,2)</f>
        <v>180273.44</v>
      </c>
      <c r="V27" s="148">
        <f>ROUND(CAPEX!$D27*'Base Física'!Y$21,2)</f>
        <v>172320.2</v>
      </c>
      <c r="W27" s="148">
        <f>ROUND(CAPEX!$D27*'Base Física'!Z$21,2)</f>
        <v>164366.96</v>
      </c>
      <c r="X27" s="148">
        <f>ROUND(CAPEX!$D27*'Base Física'!AA$21,2)</f>
        <v>157076.49</v>
      </c>
      <c r="Y27" s="148">
        <f>ROUND(CAPEX!$D27*'Base Física'!AB$21,2)</f>
        <v>149786.01999999999</v>
      </c>
      <c r="Z27" s="148">
        <f>ROUND(CAPEX!$D27*'Base Física'!AC$21,2)</f>
        <v>143158.32</v>
      </c>
      <c r="AA27" s="148">
        <f>ROUND(CAPEX!$D27*'Base Física'!AD$21,2)</f>
        <v>136530.62</v>
      </c>
      <c r="AB27" s="148">
        <f>ROUND(CAPEX!$D27*'Base Física'!AE$21,2)</f>
        <v>129902.92</v>
      </c>
      <c r="AC27" s="148">
        <f>ROUND(CAPEX!$D27*'Base Física'!AF$21,2)</f>
        <v>123937.99</v>
      </c>
      <c r="AD27" s="148">
        <f>ROUND(CAPEX!$D27*'Base Física'!AG$21,2)</f>
        <v>117973.06</v>
      </c>
      <c r="AE27" s="148">
        <f>ROUND(CAPEX!$D27*'Base Física'!AH$21,2)</f>
        <v>112008.13</v>
      </c>
      <c r="AF27" s="148">
        <f>ROUND(CAPEX!$D27*'Base Física'!AI$21,2)</f>
        <v>106705.97</v>
      </c>
      <c r="AG27" s="148">
        <f>ROUND(CAPEX!$D27*'Base Física'!AJ$21,2)</f>
        <v>101403.81</v>
      </c>
      <c r="AH27" s="148">
        <f>ROUND(CAPEX!$D27*'Base Física'!AK$21,2)</f>
        <v>96764.42</v>
      </c>
      <c r="AI27" s="148">
        <f>ROUND(CAPEX!$D27*'Base Física'!AL$21,2)</f>
        <v>92125.03</v>
      </c>
      <c r="AJ27" s="148">
        <f>ROUND(CAPEX!$D27*'Base Física'!AM$21,2)</f>
        <v>89473.95</v>
      </c>
      <c r="AK27" s="148">
        <f>ROUND(CAPEX!$D27*'Base Física'!AN$21,2)</f>
        <v>-88148.41</v>
      </c>
      <c r="AL27" s="149">
        <f t="shared" si="77"/>
        <v>6939201.9000000004</v>
      </c>
      <c r="AM27" s="71"/>
    </row>
    <row r="28" spans="1:39" x14ac:dyDescent="0.3">
      <c r="A28" s="69"/>
      <c r="B28" s="115" t="s">
        <v>67</v>
      </c>
      <c r="C28" s="148">
        <f>ROUND(CAPEX!$D28*'Base Física'!F$21,2)</f>
        <v>47483.38</v>
      </c>
      <c r="D28" s="148">
        <f>ROUND(CAPEX!$D28*'Base Física'!G$21,2)</f>
        <v>45878.07</v>
      </c>
      <c r="E28" s="148">
        <f>ROUND(CAPEX!$D28*'Base Física'!H$21,2)</f>
        <v>44357.25</v>
      </c>
      <c r="F28" s="148">
        <f>ROUND(CAPEX!$D28*'Base Física'!I$21,2)</f>
        <v>42751.94</v>
      </c>
      <c r="G28" s="148">
        <f>ROUND(CAPEX!$D28*'Base Física'!J$21,2)</f>
        <v>41231.120000000003</v>
      </c>
      <c r="H28" s="148">
        <f>ROUND(CAPEX!$D28*'Base Física'!K$21,2)</f>
        <v>39710.300000000003</v>
      </c>
      <c r="I28" s="148">
        <f>ROUND(CAPEX!$D28*'Base Física'!L$21,2)</f>
        <v>38273.97</v>
      </c>
      <c r="J28" s="148">
        <f>ROUND(CAPEX!$D28*'Base Física'!M$21,2)</f>
        <v>36753.15</v>
      </c>
      <c r="K28" s="148">
        <f>ROUND(CAPEX!$D28*'Base Física'!N$21,2)</f>
        <v>35316.82</v>
      </c>
      <c r="L28" s="148">
        <f>ROUND(CAPEX!$D28*'Base Física'!O$21,2)</f>
        <v>33964.980000000003</v>
      </c>
      <c r="M28" s="148">
        <f>ROUND(CAPEX!$D28*'Base Física'!P$21,2)</f>
        <v>32613.14</v>
      </c>
      <c r="N28" s="148">
        <f>ROUND(CAPEX!$D28*'Base Física'!Q$21,2)</f>
        <v>31261.3</v>
      </c>
      <c r="O28" s="148">
        <f>ROUND(CAPEX!$D28*'Base Física'!R$21,2)</f>
        <v>29993.95</v>
      </c>
      <c r="P28" s="148">
        <f>ROUND(CAPEX!$D28*'Base Física'!S$21,2)</f>
        <v>28726.6</v>
      </c>
      <c r="Q28" s="148">
        <f>ROUND(CAPEX!$D28*'Base Física'!T$21,2)</f>
        <v>27543.74</v>
      </c>
      <c r="R28" s="148">
        <f>ROUND(CAPEX!$D28*'Base Física'!U$21,2)</f>
        <v>26360.880000000001</v>
      </c>
      <c r="S28" s="148">
        <f>ROUND(CAPEX!$D28*'Base Física'!V$21,2)</f>
        <v>25178.02</v>
      </c>
      <c r="T28" s="148">
        <f>ROUND(CAPEX!$D28*'Base Física'!W$21,2)</f>
        <v>24079.65</v>
      </c>
      <c r="U28" s="148">
        <f>ROUND(CAPEX!$D28*'Base Física'!X$21,2)</f>
        <v>22981.279999999999</v>
      </c>
      <c r="V28" s="148">
        <f>ROUND(CAPEX!$D28*'Base Física'!Y$21,2)</f>
        <v>21967.4</v>
      </c>
      <c r="W28" s="148">
        <f>ROUND(CAPEX!$D28*'Base Física'!Z$21,2)</f>
        <v>20953.52</v>
      </c>
      <c r="X28" s="148">
        <f>ROUND(CAPEX!$D28*'Base Física'!AA$21,2)</f>
        <v>20024.13</v>
      </c>
      <c r="Y28" s="148">
        <f>ROUND(CAPEX!$D28*'Base Física'!AB$21,2)</f>
        <v>19094.740000000002</v>
      </c>
      <c r="Z28" s="148">
        <f>ROUND(CAPEX!$D28*'Base Física'!AC$21,2)</f>
        <v>18249.84</v>
      </c>
      <c r="AA28" s="148">
        <f>ROUND(CAPEX!$D28*'Base Física'!AD$21,2)</f>
        <v>17404.939999999999</v>
      </c>
      <c r="AB28" s="148">
        <f>ROUND(CAPEX!$D28*'Base Física'!AE$21,2)</f>
        <v>16560.04</v>
      </c>
      <c r="AC28" s="148">
        <f>ROUND(CAPEX!$D28*'Base Física'!AF$21,2)</f>
        <v>15799.63</v>
      </c>
      <c r="AD28" s="148">
        <f>ROUND(CAPEX!$D28*'Base Física'!AG$21,2)</f>
        <v>15039.22</v>
      </c>
      <c r="AE28" s="148">
        <f>ROUND(CAPEX!$D28*'Base Física'!AH$21,2)</f>
        <v>14278.81</v>
      </c>
      <c r="AF28" s="148">
        <f>ROUND(CAPEX!$D28*'Base Física'!AI$21,2)</f>
        <v>13602.89</v>
      </c>
      <c r="AG28" s="148">
        <f>ROUND(CAPEX!$D28*'Base Física'!AJ$21,2)</f>
        <v>12926.97</v>
      </c>
      <c r="AH28" s="148">
        <f>ROUND(CAPEX!$D28*'Base Física'!AK$21,2)</f>
        <v>12335.54</v>
      </c>
      <c r="AI28" s="148">
        <f>ROUND(CAPEX!$D28*'Base Física'!AL$21,2)</f>
        <v>11744.11</v>
      </c>
      <c r="AJ28" s="148">
        <f>ROUND(CAPEX!$D28*'Base Física'!AM$21,2)</f>
        <v>11406.15</v>
      </c>
      <c r="AK28" s="148">
        <f>ROUND(CAPEX!$D28*'Base Física'!AN$21,2)</f>
        <v>-11237.17</v>
      </c>
      <c r="AL28" s="149">
        <f t="shared" si="77"/>
        <v>884610.30000000016</v>
      </c>
      <c r="AM28" s="71"/>
    </row>
    <row r="29" spans="1:39" x14ac:dyDescent="0.3">
      <c r="A29" s="69"/>
      <c r="B29" s="115" t="s">
        <v>69</v>
      </c>
      <c r="C29" s="148">
        <f>ROUND(CAPEX!$D29*'Base Física'!F$21,2)</f>
        <v>47483.38</v>
      </c>
      <c r="D29" s="148">
        <f>ROUND(CAPEX!$D29*'Base Física'!G$21,2)</f>
        <v>45878.07</v>
      </c>
      <c r="E29" s="148">
        <f>ROUND(CAPEX!$D29*'Base Física'!H$21,2)</f>
        <v>44357.25</v>
      </c>
      <c r="F29" s="148">
        <f>ROUND(CAPEX!$D29*'Base Física'!I$21,2)</f>
        <v>42751.94</v>
      </c>
      <c r="G29" s="148">
        <f>ROUND(CAPEX!$D29*'Base Física'!J$21,2)</f>
        <v>41231.120000000003</v>
      </c>
      <c r="H29" s="148">
        <f>ROUND(CAPEX!$D29*'Base Física'!K$21,2)</f>
        <v>39710.300000000003</v>
      </c>
      <c r="I29" s="148">
        <f>ROUND(CAPEX!$D29*'Base Física'!L$21,2)</f>
        <v>38273.97</v>
      </c>
      <c r="J29" s="148">
        <f>ROUND(CAPEX!$D29*'Base Física'!M$21,2)</f>
        <v>36753.15</v>
      </c>
      <c r="K29" s="148">
        <f>ROUND(CAPEX!$D29*'Base Física'!N$21,2)</f>
        <v>35316.82</v>
      </c>
      <c r="L29" s="148">
        <f>ROUND(CAPEX!$D29*'Base Física'!O$21,2)</f>
        <v>33964.980000000003</v>
      </c>
      <c r="M29" s="148">
        <f>ROUND(CAPEX!$D29*'Base Física'!P$21,2)</f>
        <v>32613.14</v>
      </c>
      <c r="N29" s="148">
        <f>ROUND(CAPEX!$D29*'Base Física'!Q$21,2)</f>
        <v>31261.3</v>
      </c>
      <c r="O29" s="148">
        <f>ROUND(CAPEX!$D29*'Base Física'!R$21,2)</f>
        <v>29993.95</v>
      </c>
      <c r="P29" s="148">
        <f>ROUND(CAPEX!$D29*'Base Física'!S$21,2)</f>
        <v>28726.6</v>
      </c>
      <c r="Q29" s="148">
        <f>ROUND(CAPEX!$D29*'Base Física'!T$21,2)</f>
        <v>27543.74</v>
      </c>
      <c r="R29" s="148">
        <f>ROUND(CAPEX!$D29*'Base Física'!U$21,2)</f>
        <v>26360.880000000001</v>
      </c>
      <c r="S29" s="148">
        <f>ROUND(CAPEX!$D29*'Base Física'!V$21,2)</f>
        <v>25178.02</v>
      </c>
      <c r="T29" s="148">
        <f>ROUND(CAPEX!$D29*'Base Física'!W$21,2)</f>
        <v>24079.65</v>
      </c>
      <c r="U29" s="148">
        <f>ROUND(CAPEX!$D29*'Base Física'!X$21,2)</f>
        <v>22981.279999999999</v>
      </c>
      <c r="V29" s="148">
        <f>ROUND(CAPEX!$D29*'Base Física'!Y$21,2)</f>
        <v>21967.4</v>
      </c>
      <c r="W29" s="148">
        <f>ROUND(CAPEX!$D29*'Base Física'!Z$21,2)</f>
        <v>20953.52</v>
      </c>
      <c r="X29" s="148">
        <f>ROUND(CAPEX!$D29*'Base Física'!AA$21,2)</f>
        <v>20024.13</v>
      </c>
      <c r="Y29" s="148">
        <f>ROUND(CAPEX!$D29*'Base Física'!AB$21,2)</f>
        <v>19094.740000000002</v>
      </c>
      <c r="Z29" s="148">
        <f>ROUND(CAPEX!$D29*'Base Física'!AC$21,2)</f>
        <v>18249.84</v>
      </c>
      <c r="AA29" s="148">
        <f>ROUND(CAPEX!$D29*'Base Física'!AD$21,2)</f>
        <v>17404.939999999999</v>
      </c>
      <c r="AB29" s="148">
        <f>ROUND(CAPEX!$D29*'Base Física'!AE$21,2)</f>
        <v>16560.04</v>
      </c>
      <c r="AC29" s="148">
        <f>ROUND(CAPEX!$D29*'Base Física'!AF$21,2)</f>
        <v>15799.63</v>
      </c>
      <c r="AD29" s="148">
        <f>ROUND(CAPEX!$D29*'Base Física'!AG$21,2)</f>
        <v>15039.22</v>
      </c>
      <c r="AE29" s="148">
        <f>ROUND(CAPEX!$D29*'Base Física'!AH$21,2)</f>
        <v>14278.81</v>
      </c>
      <c r="AF29" s="148">
        <f>ROUND(CAPEX!$D29*'Base Física'!AI$21,2)</f>
        <v>13602.89</v>
      </c>
      <c r="AG29" s="148">
        <f>ROUND(CAPEX!$D29*'Base Física'!AJ$21,2)</f>
        <v>12926.97</v>
      </c>
      <c r="AH29" s="148">
        <f>ROUND(CAPEX!$D29*'Base Física'!AK$21,2)</f>
        <v>12335.54</v>
      </c>
      <c r="AI29" s="148">
        <f>ROUND(CAPEX!$D29*'Base Física'!AL$21,2)</f>
        <v>11744.11</v>
      </c>
      <c r="AJ29" s="148">
        <f>ROUND(CAPEX!$D29*'Base Física'!AM$21,2)</f>
        <v>11406.15</v>
      </c>
      <c r="AK29" s="148">
        <f>ROUND(CAPEX!$D29*'Base Física'!AN$21,2)</f>
        <v>-11237.17</v>
      </c>
      <c r="AL29" s="149">
        <f t="shared" si="77"/>
        <v>884610.30000000016</v>
      </c>
      <c r="AM29" s="71"/>
    </row>
    <row r="30" spans="1:39" x14ac:dyDescent="0.3">
      <c r="A30" s="69"/>
      <c r="B30" s="115" t="s">
        <v>68</v>
      </c>
      <c r="C30" s="148">
        <f>ROUND(CAPEX!$D30*'Base Física'!F$21,2)</f>
        <v>71194.16</v>
      </c>
      <c r="D30" s="148">
        <f>ROUND(CAPEX!$D30*'Base Física'!G$21,2)</f>
        <v>68787.240000000005</v>
      </c>
      <c r="E30" s="148">
        <f>ROUND(CAPEX!$D30*'Base Física'!H$21,2)</f>
        <v>66507</v>
      </c>
      <c r="F30" s="148">
        <f>ROUND(CAPEX!$D30*'Base Física'!I$21,2)</f>
        <v>64100.08</v>
      </c>
      <c r="G30" s="148">
        <f>ROUND(CAPEX!$D30*'Base Física'!J$21,2)</f>
        <v>61819.839999999997</v>
      </c>
      <c r="H30" s="148">
        <f>ROUND(CAPEX!$D30*'Base Física'!K$21,2)</f>
        <v>59539.6</v>
      </c>
      <c r="I30" s="148">
        <f>ROUND(CAPEX!$D30*'Base Física'!L$21,2)</f>
        <v>57386.04</v>
      </c>
      <c r="J30" s="148">
        <f>ROUND(CAPEX!$D30*'Base Física'!M$21,2)</f>
        <v>55105.8</v>
      </c>
      <c r="K30" s="148">
        <f>ROUND(CAPEX!$D30*'Base Física'!N$21,2)</f>
        <v>52952.24</v>
      </c>
      <c r="L30" s="148">
        <f>ROUND(CAPEX!$D30*'Base Física'!O$21,2)</f>
        <v>50925.36</v>
      </c>
      <c r="M30" s="148">
        <f>ROUND(CAPEX!$D30*'Base Física'!P$21,2)</f>
        <v>48898.48</v>
      </c>
      <c r="N30" s="148">
        <f>ROUND(CAPEX!$D30*'Base Física'!Q$21,2)</f>
        <v>46871.6</v>
      </c>
      <c r="O30" s="148">
        <f>ROUND(CAPEX!$D30*'Base Física'!R$21,2)</f>
        <v>44971.4</v>
      </c>
      <c r="P30" s="148">
        <f>ROUND(CAPEX!$D30*'Base Física'!S$21,2)</f>
        <v>43071.199999999997</v>
      </c>
      <c r="Q30" s="148">
        <f>ROUND(CAPEX!$D30*'Base Física'!T$21,2)</f>
        <v>41297.68</v>
      </c>
      <c r="R30" s="148">
        <f>ROUND(CAPEX!$D30*'Base Física'!U$21,2)</f>
        <v>39524.160000000003</v>
      </c>
      <c r="S30" s="148">
        <f>ROUND(CAPEX!$D30*'Base Física'!V$21,2)</f>
        <v>37750.639999999999</v>
      </c>
      <c r="T30" s="148">
        <f>ROUND(CAPEX!$D30*'Base Física'!W$21,2)</f>
        <v>36103.800000000003</v>
      </c>
      <c r="U30" s="148">
        <f>ROUND(CAPEX!$D30*'Base Física'!X$21,2)</f>
        <v>34456.959999999999</v>
      </c>
      <c r="V30" s="148">
        <f>ROUND(CAPEX!$D30*'Base Física'!Y$21,2)</f>
        <v>32936.800000000003</v>
      </c>
      <c r="W30" s="148">
        <f>ROUND(CAPEX!$D30*'Base Física'!Z$21,2)</f>
        <v>31416.639999999999</v>
      </c>
      <c r="X30" s="148">
        <f>ROUND(CAPEX!$D30*'Base Física'!AA$21,2)</f>
        <v>30023.16</v>
      </c>
      <c r="Y30" s="148">
        <f>ROUND(CAPEX!$D30*'Base Física'!AB$21,2)</f>
        <v>28629.68</v>
      </c>
      <c r="Z30" s="148">
        <f>ROUND(CAPEX!$D30*'Base Física'!AC$21,2)</f>
        <v>27362.880000000001</v>
      </c>
      <c r="AA30" s="148">
        <f>ROUND(CAPEX!$D30*'Base Física'!AD$21,2)</f>
        <v>26096.080000000002</v>
      </c>
      <c r="AB30" s="148">
        <f>ROUND(CAPEX!$D30*'Base Física'!AE$21,2)</f>
        <v>24829.279999999999</v>
      </c>
      <c r="AC30" s="148">
        <f>ROUND(CAPEX!$D30*'Base Física'!AF$21,2)</f>
        <v>23689.16</v>
      </c>
      <c r="AD30" s="148">
        <f>ROUND(CAPEX!$D30*'Base Física'!AG$21,2)</f>
        <v>22549.040000000001</v>
      </c>
      <c r="AE30" s="148">
        <f>ROUND(CAPEX!$D30*'Base Física'!AH$21,2)</f>
        <v>21408.92</v>
      </c>
      <c r="AF30" s="148">
        <f>ROUND(CAPEX!$D30*'Base Física'!AI$21,2)</f>
        <v>20395.48</v>
      </c>
      <c r="AG30" s="148">
        <f>ROUND(CAPEX!$D30*'Base Física'!AJ$21,2)</f>
        <v>19382.04</v>
      </c>
      <c r="AH30" s="148">
        <f>ROUND(CAPEX!$D30*'Base Física'!AK$21,2)</f>
        <v>18495.28</v>
      </c>
      <c r="AI30" s="148">
        <f>ROUND(CAPEX!$D30*'Base Física'!AL$21,2)</f>
        <v>17608.52</v>
      </c>
      <c r="AJ30" s="148">
        <f>ROUND(CAPEX!$D30*'Base Física'!AM$21,2)</f>
        <v>17101.8</v>
      </c>
      <c r="AK30" s="148">
        <f>ROUND(CAPEX!$D30*'Base Física'!AN$21,2)</f>
        <v>-16848.439999999999</v>
      </c>
      <c r="AL30" s="149">
        <f t="shared" si="77"/>
        <v>1326339.6000000001</v>
      </c>
      <c r="AM30" s="71"/>
    </row>
    <row r="31" spans="1:39" x14ac:dyDescent="0.3">
      <c r="A31" s="69"/>
      <c r="B31" s="116" t="s">
        <v>92</v>
      </c>
      <c r="C31" s="150">
        <f>SUM(C24:C30)</f>
        <v>2787413.2199999997</v>
      </c>
      <c r="D31" s="150">
        <f t="shared" ref="D31:AK31" si="78">SUM(D24:D30)</f>
        <v>2693176.8299999996</v>
      </c>
      <c r="E31" s="150">
        <f t="shared" si="78"/>
        <v>2603900.25</v>
      </c>
      <c r="F31" s="150">
        <f t="shared" si="78"/>
        <v>2509663.86</v>
      </c>
      <c r="G31" s="150">
        <f t="shared" si="78"/>
        <v>2420387.2800000003</v>
      </c>
      <c r="H31" s="150">
        <f t="shared" si="78"/>
        <v>2331110.6999999997</v>
      </c>
      <c r="I31" s="150">
        <f t="shared" si="78"/>
        <v>2246793.9300000006</v>
      </c>
      <c r="J31" s="150">
        <f t="shared" si="78"/>
        <v>2157517.3499999996</v>
      </c>
      <c r="K31" s="150">
        <f t="shared" si="78"/>
        <v>2073200.5799999998</v>
      </c>
      <c r="L31" s="150">
        <f t="shared" si="78"/>
        <v>1993843.6199999999</v>
      </c>
      <c r="M31" s="150">
        <f t="shared" si="78"/>
        <v>1914486.6599999997</v>
      </c>
      <c r="N31" s="150">
        <f t="shared" si="78"/>
        <v>1835129.7000000002</v>
      </c>
      <c r="O31" s="150">
        <f t="shared" si="78"/>
        <v>1760732.5499999998</v>
      </c>
      <c r="P31" s="150">
        <f t="shared" si="78"/>
        <v>1686335.4000000001</v>
      </c>
      <c r="Q31" s="150">
        <f t="shared" si="78"/>
        <v>1616898.0599999998</v>
      </c>
      <c r="R31" s="150">
        <f t="shared" si="78"/>
        <v>1547460.7199999997</v>
      </c>
      <c r="S31" s="150">
        <f t="shared" si="78"/>
        <v>1478023.38</v>
      </c>
      <c r="T31" s="150">
        <f t="shared" si="78"/>
        <v>1413545.8499999999</v>
      </c>
      <c r="U31" s="150">
        <f t="shared" si="78"/>
        <v>1349068.3199999998</v>
      </c>
      <c r="V31" s="150">
        <f t="shared" si="78"/>
        <v>1289550.5999999999</v>
      </c>
      <c r="W31" s="150">
        <f t="shared" si="78"/>
        <v>1230032.8799999999</v>
      </c>
      <c r="X31" s="150">
        <f t="shared" si="78"/>
        <v>1175474.9699999997</v>
      </c>
      <c r="Y31" s="150">
        <f t="shared" si="78"/>
        <v>1120917.0599999998</v>
      </c>
      <c r="Z31" s="150">
        <f t="shared" si="78"/>
        <v>1071318.96</v>
      </c>
      <c r="AA31" s="150">
        <f t="shared" si="78"/>
        <v>1021720.8599999999</v>
      </c>
      <c r="AB31" s="150">
        <f t="shared" si="78"/>
        <v>972122.76000000013</v>
      </c>
      <c r="AC31" s="150">
        <f t="shared" si="78"/>
        <v>927484.47000000009</v>
      </c>
      <c r="AD31" s="150">
        <f t="shared" si="78"/>
        <v>882846.17999999993</v>
      </c>
      <c r="AE31" s="150">
        <f t="shared" si="78"/>
        <v>838207.89000000013</v>
      </c>
      <c r="AF31" s="150">
        <f t="shared" si="78"/>
        <v>798529.40999999992</v>
      </c>
      <c r="AG31" s="150">
        <f t="shared" si="78"/>
        <v>758850.92999999993</v>
      </c>
      <c r="AH31" s="150">
        <f t="shared" si="78"/>
        <v>724132.26000000013</v>
      </c>
      <c r="AI31" s="150">
        <f t="shared" si="78"/>
        <v>689413.59000000008</v>
      </c>
      <c r="AJ31" s="150">
        <f t="shared" si="78"/>
        <v>669574.35000000009</v>
      </c>
      <c r="AK31" s="150">
        <f t="shared" si="78"/>
        <v>-659654.7300000001</v>
      </c>
      <c r="AL31" s="151">
        <f t="shared" si="77"/>
        <v>51929210.700000003</v>
      </c>
      <c r="AM31" s="71"/>
    </row>
    <row r="32" spans="1:39" x14ac:dyDescent="0.3">
      <c r="A32" s="69"/>
      <c r="B32" s="114" t="s">
        <v>0</v>
      </c>
      <c r="C32" s="148">
        <f>ROUND(CAPEX!$D32*'Base Física'!F$22,2)</f>
        <v>1417515.74</v>
      </c>
      <c r="D32" s="148">
        <f>ROUND(CAPEX!$D32*'Base Física'!G$22,2)</f>
        <v>1369592.61</v>
      </c>
      <c r="E32" s="148">
        <f>ROUND(CAPEX!$D32*'Base Física'!H$22,2)</f>
        <v>1324191.75</v>
      </c>
      <c r="F32" s="148">
        <f>ROUND(CAPEX!$D32*'Base Física'!I$22,2)</f>
        <v>1276268.6200000001</v>
      </c>
      <c r="G32" s="148">
        <f>ROUND(CAPEX!$D32*'Base Física'!J$22,2)</f>
        <v>1230867.76</v>
      </c>
      <c r="H32" s="148">
        <f>ROUND(CAPEX!$D32*'Base Física'!K$22,2)</f>
        <v>1185466.8999999999</v>
      </c>
      <c r="I32" s="148">
        <f>ROUND(CAPEX!$D32*'Base Física'!L$22,2)</f>
        <v>1142588.31</v>
      </c>
      <c r="J32" s="148">
        <f>ROUND(CAPEX!$D32*'Base Física'!M$22,2)</f>
        <v>1097187.45</v>
      </c>
      <c r="K32" s="148">
        <f>ROUND(CAPEX!$D32*'Base Física'!N$22,2)</f>
        <v>1054308.8600000001</v>
      </c>
      <c r="L32" s="148">
        <f>ROUND(CAPEX!$D32*'Base Física'!O$22,2)</f>
        <v>1013952.54</v>
      </c>
      <c r="M32" s="148">
        <f>ROUND(CAPEX!$D32*'Base Física'!P$22,2)</f>
        <v>973596.22</v>
      </c>
      <c r="N32" s="148">
        <f>ROUND(CAPEX!$D32*'Base Física'!Q$22,2)</f>
        <v>933239.9</v>
      </c>
      <c r="O32" s="148">
        <f>ROUND(CAPEX!$D32*'Base Física'!R$22,2)</f>
        <v>895405.85</v>
      </c>
      <c r="P32" s="148">
        <f>ROUND(CAPEX!$D32*'Base Física'!S$22,2)</f>
        <v>857571.8</v>
      </c>
      <c r="Q32" s="148">
        <f>ROUND(CAPEX!$D32*'Base Física'!T$22,2)</f>
        <v>822260.02</v>
      </c>
      <c r="R32" s="148">
        <f>ROUND(CAPEX!$D32*'Base Física'!U$22,2)</f>
        <v>786948.24</v>
      </c>
      <c r="S32" s="148">
        <f>ROUND(CAPEX!$D32*'Base Física'!V$22,2)</f>
        <v>751636.46</v>
      </c>
      <c r="T32" s="148">
        <f>ROUND(CAPEX!$D32*'Base Física'!W$22,2)</f>
        <v>718846.95</v>
      </c>
      <c r="U32" s="148">
        <f>ROUND(CAPEX!$D32*'Base Física'!X$22,2)</f>
        <v>686057.44</v>
      </c>
      <c r="V32" s="148">
        <f>ROUND(CAPEX!$D32*'Base Física'!Y$22,2)</f>
        <v>655790.19999999995</v>
      </c>
      <c r="W32" s="148">
        <f>ROUND(CAPEX!$D32*'Base Física'!Z$22,2)</f>
        <v>625522.96</v>
      </c>
      <c r="X32" s="148">
        <f>ROUND(CAPEX!$D32*'Base Física'!AA$22,2)</f>
        <v>597777.99</v>
      </c>
      <c r="Y32" s="148">
        <f>ROUND(CAPEX!$D32*'Base Física'!AB$22,2)</f>
        <v>570033.02</v>
      </c>
      <c r="Z32" s="148">
        <f>ROUND(CAPEX!$D32*'Base Física'!AC$22,2)</f>
        <v>544810.31999999995</v>
      </c>
      <c r="AA32" s="148">
        <f>ROUND(CAPEX!$D32*'Base Física'!AD$22,2)</f>
        <v>519587.62</v>
      </c>
      <c r="AB32" s="148">
        <f>ROUND(CAPEX!$D32*'Base Física'!AE$22,2)</f>
        <v>494364.92</v>
      </c>
      <c r="AC32" s="148">
        <f>ROUND(CAPEX!$D32*'Base Física'!AF$22,2)</f>
        <v>471664.49</v>
      </c>
      <c r="AD32" s="148">
        <f>ROUND(CAPEX!$D32*'Base Física'!AG$22,2)</f>
        <v>448964.06</v>
      </c>
      <c r="AE32" s="148">
        <f>ROUND(CAPEX!$D32*'Base Física'!AH$22,2)</f>
        <v>426263.63</v>
      </c>
      <c r="AF32" s="148">
        <f>ROUND(CAPEX!$D32*'Base Física'!AI$22,2)</f>
        <v>406085.47</v>
      </c>
      <c r="AG32" s="148">
        <f>ROUND(CAPEX!$D32*'Base Física'!AJ$22,2)</f>
        <v>385907.31</v>
      </c>
      <c r="AH32" s="148">
        <f>ROUND(CAPEX!$D32*'Base Física'!AK$22,2)</f>
        <v>368251.42</v>
      </c>
      <c r="AI32" s="148">
        <f>ROUND(CAPEX!$D32*'Base Física'!AL$22,2)</f>
        <v>350595.53</v>
      </c>
      <c r="AJ32" s="148">
        <f>ROUND(CAPEX!$D32*'Base Física'!AM$22,2)</f>
        <v>340506.45</v>
      </c>
      <c r="AK32" s="148">
        <f>ROUND(CAPEX!$D32*'Base Física'!AN$22,2)</f>
        <v>-335461.90999999997</v>
      </c>
      <c r="AL32" s="149">
        <f t="shared" si="77"/>
        <v>26408166.899999999</v>
      </c>
      <c r="AM32" s="71"/>
    </row>
    <row r="33" spans="1:40" x14ac:dyDescent="0.3">
      <c r="A33" s="69"/>
      <c r="B33" s="114" t="s">
        <v>21</v>
      </c>
      <c r="C33" s="148">
        <f>ROUND(CAPEX!$D33*'Base Física'!F$22,2)</f>
        <v>854948.12</v>
      </c>
      <c r="D33" s="148">
        <f>ROUND(CAPEX!$D33*'Base Física'!G$22,2)</f>
        <v>826044.18</v>
      </c>
      <c r="E33" s="148">
        <f>ROUND(CAPEX!$D33*'Base Física'!H$22,2)</f>
        <v>798661.5</v>
      </c>
      <c r="F33" s="148">
        <f>ROUND(CAPEX!$D33*'Base Física'!I$22,2)</f>
        <v>769757.56</v>
      </c>
      <c r="G33" s="148">
        <f>ROUND(CAPEX!$D33*'Base Física'!J$22,2)</f>
        <v>742374.88</v>
      </c>
      <c r="H33" s="148">
        <f>ROUND(CAPEX!$D33*'Base Física'!K$22,2)</f>
        <v>714992.2</v>
      </c>
      <c r="I33" s="148">
        <f>ROUND(CAPEX!$D33*'Base Física'!L$22,2)</f>
        <v>689130.78</v>
      </c>
      <c r="J33" s="148">
        <f>ROUND(CAPEX!$D33*'Base Física'!M$22,2)</f>
        <v>661748.1</v>
      </c>
      <c r="K33" s="148">
        <f>ROUND(CAPEX!$D33*'Base Física'!N$22,2)</f>
        <v>635886.68000000005</v>
      </c>
      <c r="L33" s="148">
        <f>ROUND(CAPEX!$D33*'Base Física'!O$22,2)</f>
        <v>611546.52</v>
      </c>
      <c r="M33" s="148">
        <f>ROUND(CAPEX!$D33*'Base Física'!P$22,2)</f>
        <v>587206.36</v>
      </c>
      <c r="N33" s="148">
        <f>ROUND(CAPEX!$D33*'Base Física'!Q$22,2)</f>
        <v>562866.19999999995</v>
      </c>
      <c r="O33" s="148">
        <f>ROUND(CAPEX!$D33*'Base Física'!R$22,2)</f>
        <v>540047.30000000005</v>
      </c>
      <c r="P33" s="148">
        <f>ROUND(CAPEX!$D33*'Base Física'!S$22,2)</f>
        <v>517228.4</v>
      </c>
      <c r="Q33" s="148">
        <f>ROUND(CAPEX!$D33*'Base Física'!T$22,2)</f>
        <v>495930.76</v>
      </c>
      <c r="R33" s="148">
        <f>ROUND(CAPEX!$D33*'Base Física'!U$22,2)</f>
        <v>474633.12</v>
      </c>
      <c r="S33" s="148">
        <f>ROUND(CAPEX!$D33*'Base Física'!V$22,2)</f>
        <v>453335.48</v>
      </c>
      <c r="T33" s="148">
        <f>ROUND(CAPEX!$D33*'Base Física'!W$22,2)</f>
        <v>433559.1</v>
      </c>
      <c r="U33" s="148">
        <f>ROUND(CAPEX!$D33*'Base Física'!X$22,2)</f>
        <v>413782.72</v>
      </c>
      <c r="V33" s="148">
        <f>ROUND(CAPEX!$D33*'Base Física'!Y$22,2)</f>
        <v>395527.6</v>
      </c>
      <c r="W33" s="148">
        <f>ROUND(CAPEX!$D33*'Base Física'!Z$22,2)</f>
        <v>377272.48</v>
      </c>
      <c r="X33" s="148">
        <f>ROUND(CAPEX!$D33*'Base Física'!AA$22,2)</f>
        <v>360538.62</v>
      </c>
      <c r="Y33" s="148">
        <f>ROUND(CAPEX!$D33*'Base Física'!AB$22,2)</f>
        <v>343804.76</v>
      </c>
      <c r="Z33" s="148">
        <f>ROUND(CAPEX!$D33*'Base Física'!AC$22,2)</f>
        <v>328592.15999999997</v>
      </c>
      <c r="AA33" s="148">
        <f>ROUND(CAPEX!$D33*'Base Física'!AD$22,2)</f>
        <v>313379.56</v>
      </c>
      <c r="AB33" s="148">
        <f>ROUND(CAPEX!$D33*'Base Física'!AE$22,2)</f>
        <v>298166.96000000002</v>
      </c>
      <c r="AC33" s="148">
        <f>ROUND(CAPEX!$D33*'Base Física'!AF$22,2)</f>
        <v>284475.62</v>
      </c>
      <c r="AD33" s="148">
        <f>ROUND(CAPEX!$D33*'Base Física'!AG$22,2)</f>
        <v>270784.28000000003</v>
      </c>
      <c r="AE33" s="148">
        <f>ROUND(CAPEX!$D33*'Base Física'!AH$22,2)</f>
        <v>257092.94</v>
      </c>
      <c r="AF33" s="148">
        <f>ROUND(CAPEX!$D33*'Base Física'!AI$22,2)</f>
        <v>244922.86</v>
      </c>
      <c r="AG33" s="148">
        <f>ROUND(CAPEX!$D33*'Base Física'!AJ$22,2)</f>
        <v>232752.78</v>
      </c>
      <c r="AH33" s="148">
        <f>ROUND(CAPEX!$D33*'Base Física'!AK$22,2)</f>
        <v>222103.96</v>
      </c>
      <c r="AI33" s="148">
        <f>ROUND(CAPEX!$D33*'Base Física'!AL$22,2)</f>
        <v>211455.14</v>
      </c>
      <c r="AJ33" s="148">
        <f>ROUND(CAPEX!$D33*'Base Física'!AM$22,2)</f>
        <v>205370.1</v>
      </c>
      <c r="AK33" s="148">
        <f>ROUND(CAPEX!$D33*'Base Física'!AN$22,2)</f>
        <v>-202327.58</v>
      </c>
      <c r="AL33" s="149">
        <f t="shared" si="77"/>
        <v>15927592.199999999</v>
      </c>
      <c r="AM33" s="71"/>
    </row>
    <row r="34" spans="1:40" x14ac:dyDescent="0.3">
      <c r="A34" s="69"/>
      <c r="B34" s="115" t="s">
        <v>162</v>
      </c>
      <c r="C34" s="148">
        <f>ROUND(CAPEX!$D34*'Base Física'!F$22,2)</f>
        <v>318614.65999999997</v>
      </c>
      <c r="D34" s="148">
        <f>ROUND(CAPEX!$D34*'Base Física'!G$22,2)</f>
        <v>307842.99</v>
      </c>
      <c r="E34" s="148">
        <f>ROUND(CAPEX!$D34*'Base Física'!H$22,2)</f>
        <v>297638.25</v>
      </c>
      <c r="F34" s="148">
        <f>ROUND(CAPEX!$D34*'Base Física'!I$22,2)</f>
        <v>286866.58</v>
      </c>
      <c r="G34" s="148">
        <f>ROUND(CAPEX!$D34*'Base Física'!J$22,2)</f>
        <v>276661.84000000003</v>
      </c>
      <c r="H34" s="148">
        <f>ROUND(CAPEX!$D34*'Base Física'!K$22,2)</f>
        <v>266457.09999999998</v>
      </c>
      <c r="I34" s="148">
        <f>ROUND(CAPEX!$D34*'Base Física'!L$22,2)</f>
        <v>256819.29</v>
      </c>
      <c r="J34" s="148">
        <f>ROUND(CAPEX!$D34*'Base Física'!M$22,2)</f>
        <v>246614.55</v>
      </c>
      <c r="K34" s="148">
        <f>ROUND(CAPEX!$D34*'Base Física'!N$22,2)</f>
        <v>236976.74</v>
      </c>
      <c r="L34" s="148">
        <f>ROUND(CAPEX!$D34*'Base Física'!O$22,2)</f>
        <v>227905.86</v>
      </c>
      <c r="M34" s="148">
        <f>ROUND(CAPEX!$D34*'Base Física'!P$22,2)</f>
        <v>218834.98</v>
      </c>
      <c r="N34" s="148">
        <f>ROUND(CAPEX!$D34*'Base Física'!Q$22,2)</f>
        <v>209764.1</v>
      </c>
      <c r="O34" s="148">
        <f>ROUND(CAPEX!$D34*'Base Física'!R$22,2)</f>
        <v>201260.15</v>
      </c>
      <c r="P34" s="148">
        <f>ROUND(CAPEX!$D34*'Base Física'!S$22,2)</f>
        <v>192756.2</v>
      </c>
      <c r="Q34" s="148">
        <f>ROUND(CAPEX!$D34*'Base Física'!T$22,2)</f>
        <v>184819.18</v>
      </c>
      <c r="R34" s="148">
        <f>ROUND(CAPEX!$D34*'Base Física'!U$22,2)</f>
        <v>176882.16</v>
      </c>
      <c r="S34" s="148">
        <f>ROUND(CAPEX!$D34*'Base Física'!V$22,2)</f>
        <v>168945.14</v>
      </c>
      <c r="T34" s="148">
        <f>ROUND(CAPEX!$D34*'Base Física'!W$22,2)</f>
        <v>161575.04999999999</v>
      </c>
      <c r="U34" s="148">
        <f>ROUND(CAPEX!$D34*'Base Física'!X$22,2)</f>
        <v>154204.96</v>
      </c>
      <c r="V34" s="148">
        <f>ROUND(CAPEX!$D34*'Base Física'!Y$22,2)</f>
        <v>147401.79999999999</v>
      </c>
      <c r="W34" s="148">
        <f>ROUND(CAPEX!$D34*'Base Física'!Z$22,2)</f>
        <v>140598.64000000001</v>
      </c>
      <c r="X34" s="148">
        <f>ROUND(CAPEX!$D34*'Base Física'!AA$22,2)</f>
        <v>134362.41</v>
      </c>
      <c r="Y34" s="148">
        <f>ROUND(CAPEX!$D34*'Base Física'!AB$22,2)</f>
        <v>128126.18</v>
      </c>
      <c r="Z34" s="148">
        <f>ROUND(CAPEX!$D34*'Base Física'!AC$22,2)</f>
        <v>122456.88</v>
      </c>
      <c r="AA34" s="148">
        <f>ROUND(CAPEX!$D34*'Base Física'!AD$22,2)</f>
        <v>116787.58</v>
      </c>
      <c r="AB34" s="148">
        <f>ROUND(CAPEX!$D34*'Base Física'!AE$22,2)</f>
        <v>111118.28</v>
      </c>
      <c r="AC34" s="148">
        <f>ROUND(CAPEX!$D34*'Base Física'!AF$22,2)</f>
        <v>106015.91</v>
      </c>
      <c r="AD34" s="148">
        <f>ROUND(CAPEX!$D34*'Base Física'!AG$22,2)</f>
        <v>100913.54</v>
      </c>
      <c r="AE34" s="148">
        <f>ROUND(CAPEX!$D34*'Base Física'!AH$22,2)</f>
        <v>95811.17</v>
      </c>
      <c r="AF34" s="148">
        <f>ROUND(CAPEX!$D34*'Base Física'!AI$22,2)</f>
        <v>91275.73</v>
      </c>
      <c r="AG34" s="148">
        <f>ROUND(CAPEX!$D34*'Base Física'!AJ$22,2)</f>
        <v>86740.29</v>
      </c>
      <c r="AH34" s="148">
        <f>ROUND(CAPEX!$D34*'Base Física'!AK$22,2)</f>
        <v>82771.78</v>
      </c>
      <c r="AI34" s="148">
        <f>ROUND(CAPEX!$D34*'Base Física'!AL$22,2)</f>
        <v>78803.27</v>
      </c>
      <c r="AJ34" s="148">
        <f>ROUND(CAPEX!$D34*'Base Física'!AM$22,2)</f>
        <v>76535.55</v>
      </c>
      <c r="AK34" s="148">
        <f>ROUND(CAPEX!$D34*'Base Física'!AN$22,2)</f>
        <v>-75401.69</v>
      </c>
      <c r="AL34" s="149">
        <f t="shared" si="77"/>
        <v>5935757.0999999996</v>
      </c>
      <c r="AM34" s="71"/>
    </row>
    <row r="35" spans="1:40" x14ac:dyDescent="0.3">
      <c r="A35" s="69"/>
      <c r="B35" s="115" t="s">
        <v>71</v>
      </c>
      <c r="C35" s="148">
        <f>ROUND(CAPEX!$D35*'Base Física'!F$22,2)</f>
        <v>19608.18</v>
      </c>
      <c r="D35" s="148">
        <f>ROUND(CAPEX!$D35*'Base Física'!G$22,2)</f>
        <v>18945.27</v>
      </c>
      <c r="E35" s="148">
        <f>ROUND(CAPEX!$D35*'Base Física'!H$22,2)</f>
        <v>18317.25</v>
      </c>
      <c r="F35" s="148">
        <f>ROUND(CAPEX!$D35*'Base Física'!I$22,2)</f>
        <v>17654.34</v>
      </c>
      <c r="G35" s="148">
        <f>ROUND(CAPEX!$D35*'Base Física'!J$22,2)</f>
        <v>17026.32</v>
      </c>
      <c r="H35" s="148">
        <f>ROUND(CAPEX!$D35*'Base Física'!K$22,2)</f>
        <v>16398.3</v>
      </c>
      <c r="I35" s="148">
        <f>ROUND(CAPEX!$D35*'Base Física'!L$22,2)</f>
        <v>15805.17</v>
      </c>
      <c r="J35" s="148">
        <f>ROUND(CAPEX!$D35*'Base Física'!M$22,2)</f>
        <v>15177.15</v>
      </c>
      <c r="K35" s="148">
        <f>ROUND(CAPEX!$D35*'Base Física'!N$22,2)</f>
        <v>14584.02</v>
      </c>
      <c r="L35" s="148">
        <f>ROUND(CAPEX!$D35*'Base Física'!O$22,2)</f>
        <v>14025.78</v>
      </c>
      <c r="M35" s="148">
        <f>ROUND(CAPEX!$D35*'Base Física'!P$22,2)</f>
        <v>13467.54</v>
      </c>
      <c r="N35" s="148">
        <f>ROUND(CAPEX!$D35*'Base Física'!Q$22,2)</f>
        <v>12909.3</v>
      </c>
      <c r="O35" s="148">
        <f>ROUND(CAPEX!$D35*'Base Física'!R$22,2)</f>
        <v>12385.95</v>
      </c>
      <c r="P35" s="148">
        <f>ROUND(CAPEX!$D35*'Base Física'!S$22,2)</f>
        <v>11862.6</v>
      </c>
      <c r="Q35" s="148">
        <f>ROUND(CAPEX!$D35*'Base Física'!T$22,2)</f>
        <v>11374.14</v>
      </c>
      <c r="R35" s="148">
        <f>ROUND(CAPEX!$D35*'Base Física'!U$22,2)</f>
        <v>10885.68</v>
      </c>
      <c r="S35" s="148">
        <f>ROUND(CAPEX!$D35*'Base Física'!V$22,2)</f>
        <v>10397.219999999999</v>
      </c>
      <c r="T35" s="148">
        <f>ROUND(CAPEX!$D35*'Base Física'!W$22,2)</f>
        <v>9943.65</v>
      </c>
      <c r="U35" s="148">
        <f>ROUND(CAPEX!$D35*'Base Física'!X$22,2)</f>
        <v>9490.08</v>
      </c>
      <c r="V35" s="148">
        <f>ROUND(CAPEX!$D35*'Base Física'!Y$22,2)</f>
        <v>9071.4</v>
      </c>
      <c r="W35" s="148">
        <f>ROUND(CAPEX!$D35*'Base Física'!Z$22,2)</f>
        <v>8652.7199999999993</v>
      </c>
      <c r="X35" s="148">
        <f>ROUND(CAPEX!$D35*'Base Física'!AA$22,2)</f>
        <v>8268.93</v>
      </c>
      <c r="Y35" s="148">
        <f>ROUND(CAPEX!$D35*'Base Física'!AB$22,2)</f>
        <v>7885.14</v>
      </c>
      <c r="Z35" s="148">
        <f>ROUND(CAPEX!$D35*'Base Física'!AC$22,2)</f>
        <v>7536.24</v>
      </c>
      <c r="AA35" s="148">
        <f>ROUND(CAPEX!$D35*'Base Física'!AD$22,2)</f>
        <v>7187.34</v>
      </c>
      <c r="AB35" s="148">
        <f>ROUND(CAPEX!$D35*'Base Física'!AE$22,2)</f>
        <v>6838.44</v>
      </c>
      <c r="AC35" s="148">
        <f>ROUND(CAPEX!$D35*'Base Física'!AF$22,2)</f>
        <v>6524.43</v>
      </c>
      <c r="AD35" s="148">
        <f>ROUND(CAPEX!$D35*'Base Física'!AG$22,2)</f>
        <v>6210.42</v>
      </c>
      <c r="AE35" s="148">
        <f>ROUND(CAPEX!$D35*'Base Física'!AH$22,2)</f>
        <v>5896.41</v>
      </c>
      <c r="AF35" s="148">
        <f>ROUND(CAPEX!$D35*'Base Física'!AI$22,2)</f>
        <v>5617.29</v>
      </c>
      <c r="AG35" s="148">
        <f>ROUND(CAPEX!$D35*'Base Física'!AJ$22,2)</f>
        <v>5338.17</v>
      </c>
      <c r="AH35" s="148">
        <f>ROUND(CAPEX!$D35*'Base Física'!AK$22,2)</f>
        <v>5093.9399999999996</v>
      </c>
      <c r="AI35" s="148">
        <f>ROUND(CAPEX!$D35*'Base Física'!AL$22,2)</f>
        <v>4849.71</v>
      </c>
      <c r="AJ35" s="148">
        <f>ROUND(CAPEX!$D35*'Base Física'!AM$22,2)</f>
        <v>4710.1499999999996</v>
      </c>
      <c r="AK35" s="148">
        <f>ROUND(CAPEX!$D35*'Base Física'!AN$22,2)</f>
        <v>-4640.37</v>
      </c>
      <c r="AL35" s="149">
        <f t="shared" si="77"/>
        <v>365298.3</v>
      </c>
      <c r="AM35" s="71"/>
    </row>
    <row r="36" spans="1:40" x14ac:dyDescent="0.3">
      <c r="A36" s="69"/>
      <c r="B36" s="115" t="s">
        <v>72</v>
      </c>
      <c r="C36" s="148">
        <f>ROUND(CAPEX!$D36*'Base Física'!F$22,2)</f>
        <v>19608.18</v>
      </c>
      <c r="D36" s="148">
        <f>ROUND(CAPEX!$D36*'Base Física'!G$22,2)</f>
        <v>18945.27</v>
      </c>
      <c r="E36" s="148">
        <f>ROUND(CAPEX!$D36*'Base Física'!H$22,2)</f>
        <v>18317.25</v>
      </c>
      <c r="F36" s="148">
        <f>ROUND(CAPEX!$D36*'Base Física'!I$22,2)</f>
        <v>17654.34</v>
      </c>
      <c r="G36" s="148">
        <f>ROUND(CAPEX!$D36*'Base Física'!J$22,2)</f>
        <v>17026.32</v>
      </c>
      <c r="H36" s="148">
        <f>ROUND(CAPEX!$D36*'Base Física'!K$22,2)</f>
        <v>16398.3</v>
      </c>
      <c r="I36" s="148">
        <f>ROUND(CAPEX!$D36*'Base Física'!L$22,2)</f>
        <v>15805.17</v>
      </c>
      <c r="J36" s="148">
        <f>ROUND(CAPEX!$D36*'Base Física'!M$22,2)</f>
        <v>15177.15</v>
      </c>
      <c r="K36" s="148">
        <f>ROUND(CAPEX!$D36*'Base Física'!N$22,2)</f>
        <v>14584.02</v>
      </c>
      <c r="L36" s="148">
        <f>ROUND(CAPEX!$D36*'Base Física'!O$22,2)</f>
        <v>14025.78</v>
      </c>
      <c r="M36" s="148">
        <f>ROUND(CAPEX!$D36*'Base Física'!P$22,2)</f>
        <v>13467.54</v>
      </c>
      <c r="N36" s="148">
        <f>ROUND(CAPEX!$D36*'Base Física'!Q$22,2)</f>
        <v>12909.3</v>
      </c>
      <c r="O36" s="148">
        <f>ROUND(CAPEX!$D36*'Base Física'!R$22,2)</f>
        <v>12385.95</v>
      </c>
      <c r="P36" s="148">
        <f>ROUND(CAPEX!$D36*'Base Física'!S$22,2)</f>
        <v>11862.6</v>
      </c>
      <c r="Q36" s="148">
        <f>ROUND(CAPEX!$D36*'Base Física'!T$22,2)</f>
        <v>11374.14</v>
      </c>
      <c r="R36" s="148">
        <f>ROUND(CAPEX!$D36*'Base Física'!U$22,2)</f>
        <v>10885.68</v>
      </c>
      <c r="S36" s="148">
        <f>ROUND(CAPEX!$D36*'Base Física'!V$22,2)</f>
        <v>10397.219999999999</v>
      </c>
      <c r="T36" s="148">
        <f>ROUND(CAPEX!$D36*'Base Física'!W$22,2)</f>
        <v>9943.65</v>
      </c>
      <c r="U36" s="148">
        <f>ROUND(CAPEX!$D36*'Base Física'!X$22,2)</f>
        <v>9490.08</v>
      </c>
      <c r="V36" s="148">
        <f>ROUND(CAPEX!$D36*'Base Física'!Y$22,2)</f>
        <v>9071.4</v>
      </c>
      <c r="W36" s="148">
        <f>ROUND(CAPEX!$D36*'Base Física'!Z$22,2)</f>
        <v>8652.7199999999993</v>
      </c>
      <c r="X36" s="148">
        <f>ROUND(CAPEX!$D36*'Base Física'!AA$22,2)</f>
        <v>8268.93</v>
      </c>
      <c r="Y36" s="148">
        <f>ROUND(CAPEX!$D36*'Base Física'!AB$22,2)</f>
        <v>7885.14</v>
      </c>
      <c r="Z36" s="148">
        <f>ROUND(CAPEX!$D36*'Base Física'!AC$22,2)</f>
        <v>7536.24</v>
      </c>
      <c r="AA36" s="148">
        <f>ROUND(CAPEX!$D36*'Base Física'!AD$22,2)</f>
        <v>7187.34</v>
      </c>
      <c r="AB36" s="148">
        <f>ROUND(CAPEX!$D36*'Base Física'!AE$22,2)</f>
        <v>6838.44</v>
      </c>
      <c r="AC36" s="148">
        <f>ROUND(CAPEX!$D36*'Base Física'!AF$22,2)</f>
        <v>6524.43</v>
      </c>
      <c r="AD36" s="148">
        <f>ROUND(CAPEX!$D36*'Base Física'!AG$22,2)</f>
        <v>6210.42</v>
      </c>
      <c r="AE36" s="148">
        <f>ROUND(CAPEX!$D36*'Base Física'!AH$22,2)</f>
        <v>5896.41</v>
      </c>
      <c r="AF36" s="148">
        <f>ROUND(CAPEX!$D36*'Base Física'!AI$22,2)</f>
        <v>5617.29</v>
      </c>
      <c r="AG36" s="148">
        <f>ROUND(CAPEX!$D36*'Base Física'!AJ$22,2)</f>
        <v>5338.17</v>
      </c>
      <c r="AH36" s="148">
        <f>ROUND(CAPEX!$D36*'Base Física'!AK$22,2)</f>
        <v>5093.9399999999996</v>
      </c>
      <c r="AI36" s="148">
        <f>ROUND(CAPEX!$D36*'Base Física'!AL$22,2)</f>
        <v>4849.71</v>
      </c>
      <c r="AJ36" s="148">
        <f>ROUND(CAPEX!$D36*'Base Física'!AM$22,2)</f>
        <v>4710.1499999999996</v>
      </c>
      <c r="AK36" s="148">
        <f>ROUND(CAPEX!$D36*'Base Física'!AN$22,2)</f>
        <v>-4640.37</v>
      </c>
      <c r="AL36" s="149">
        <f t="shared" si="77"/>
        <v>365298.3</v>
      </c>
      <c r="AM36" s="71"/>
    </row>
    <row r="37" spans="1:40" x14ac:dyDescent="0.3">
      <c r="A37" s="69"/>
      <c r="B37" s="115" t="s">
        <v>73</v>
      </c>
      <c r="C37" s="148">
        <f>ROUND(CAPEX!$D37*'Base Física'!F$22,2)</f>
        <v>87964.24</v>
      </c>
      <c r="D37" s="148">
        <f>ROUND(CAPEX!$D37*'Base Física'!G$22,2)</f>
        <v>84990.36</v>
      </c>
      <c r="E37" s="148">
        <f>ROUND(CAPEX!$D37*'Base Física'!H$22,2)</f>
        <v>82173</v>
      </c>
      <c r="F37" s="148">
        <f>ROUND(CAPEX!$D37*'Base Física'!I$22,2)</f>
        <v>79199.12</v>
      </c>
      <c r="G37" s="148">
        <f>ROUND(CAPEX!$D37*'Base Física'!J$22,2)</f>
        <v>76381.759999999995</v>
      </c>
      <c r="H37" s="148">
        <f>ROUND(CAPEX!$D37*'Base Física'!K$22,2)</f>
        <v>73564.399999999994</v>
      </c>
      <c r="I37" s="148">
        <f>ROUND(CAPEX!$D37*'Base Física'!L$22,2)</f>
        <v>70903.56</v>
      </c>
      <c r="J37" s="148">
        <f>ROUND(CAPEX!$D37*'Base Física'!M$22,2)</f>
        <v>68086.2</v>
      </c>
      <c r="K37" s="148">
        <f>ROUND(CAPEX!$D37*'Base Física'!N$22,2)</f>
        <v>65425.36</v>
      </c>
      <c r="L37" s="148">
        <f>ROUND(CAPEX!$D37*'Base Física'!O$22,2)</f>
        <v>62921.04</v>
      </c>
      <c r="M37" s="148">
        <f>ROUND(CAPEX!$D37*'Base Física'!P$22,2)</f>
        <v>60416.72</v>
      </c>
      <c r="N37" s="148">
        <f>ROUND(CAPEX!$D37*'Base Física'!Q$22,2)</f>
        <v>57912.4</v>
      </c>
      <c r="O37" s="148">
        <f>ROUND(CAPEX!$D37*'Base Física'!R$22,2)</f>
        <v>55564.6</v>
      </c>
      <c r="P37" s="148">
        <f>ROUND(CAPEX!$D37*'Base Física'!S$22,2)</f>
        <v>53216.800000000003</v>
      </c>
      <c r="Q37" s="148">
        <f>ROUND(CAPEX!$D37*'Base Física'!T$22,2)</f>
        <v>51025.52</v>
      </c>
      <c r="R37" s="148">
        <f>ROUND(CAPEX!$D37*'Base Física'!U$22,2)</f>
        <v>48834.239999999998</v>
      </c>
      <c r="S37" s="148">
        <f>ROUND(CAPEX!$D37*'Base Física'!V$22,2)</f>
        <v>46642.96</v>
      </c>
      <c r="T37" s="148">
        <f>ROUND(CAPEX!$D37*'Base Física'!W$22,2)</f>
        <v>44608.2</v>
      </c>
      <c r="U37" s="148">
        <f>ROUND(CAPEX!$D37*'Base Física'!X$22,2)</f>
        <v>42573.440000000002</v>
      </c>
      <c r="V37" s="148">
        <f>ROUND(CAPEX!$D37*'Base Física'!Y$22,2)</f>
        <v>40695.199999999997</v>
      </c>
      <c r="W37" s="148">
        <f>ROUND(CAPEX!$D37*'Base Física'!Z$22,2)</f>
        <v>38816.959999999999</v>
      </c>
      <c r="X37" s="148">
        <f>ROUND(CAPEX!$D37*'Base Física'!AA$22,2)</f>
        <v>37095.24</v>
      </c>
      <c r="Y37" s="148">
        <f>ROUND(CAPEX!$D37*'Base Física'!AB$22,2)</f>
        <v>35373.519999999997</v>
      </c>
      <c r="Z37" s="148">
        <f>ROUND(CAPEX!$D37*'Base Física'!AC$22,2)</f>
        <v>33808.32</v>
      </c>
      <c r="AA37" s="148">
        <f>ROUND(CAPEX!$D37*'Base Física'!AD$22,2)</f>
        <v>32243.119999999999</v>
      </c>
      <c r="AB37" s="148">
        <f>ROUND(CAPEX!$D37*'Base Física'!AE$22,2)</f>
        <v>30677.919999999998</v>
      </c>
      <c r="AC37" s="148">
        <f>ROUND(CAPEX!$D37*'Base Física'!AF$22,2)</f>
        <v>29269.24</v>
      </c>
      <c r="AD37" s="148">
        <f>ROUND(CAPEX!$D37*'Base Física'!AG$22,2)</f>
        <v>27860.560000000001</v>
      </c>
      <c r="AE37" s="148">
        <f>ROUND(CAPEX!$D37*'Base Física'!AH$22,2)</f>
        <v>26451.88</v>
      </c>
      <c r="AF37" s="148">
        <f>ROUND(CAPEX!$D37*'Base Física'!AI$22,2)</f>
        <v>25199.72</v>
      </c>
      <c r="AG37" s="148">
        <f>ROUND(CAPEX!$D37*'Base Física'!AJ$22,2)</f>
        <v>23947.56</v>
      </c>
      <c r="AH37" s="148">
        <f>ROUND(CAPEX!$D37*'Base Física'!AK$22,2)</f>
        <v>22851.919999999998</v>
      </c>
      <c r="AI37" s="148">
        <f>ROUND(CAPEX!$D37*'Base Física'!AL$22,2)</f>
        <v>21756.28</v>
      </c>
      <c r="AJ37" s="148">
        <f>ROUND(CAPEX!$D37*'Base Física'!AM$22,2)</f>
        <v>21130.2</v>
      </c>
      <c r="AK37" s="148">
        <f>ROUND(CAPEX!$D37*'Base Física'!AN$22,2)</f>
        <v>-20817.16</v>
      </c>
      <c r="AL37" s="149">
        <f t="shared" si="77"/>
        <v>1638764.4</v>
      </c>
      <c r="AM37" s="71"/>
    </row>
    <row r="38" spans="1:40" x14ac:dyDescent="0.3">
      <c r="A38" s="69"/>
      <c r="B38" s="116" t="s">
        <v>91</v>
      </c>
      <c r="C38" s="459">
        <f>SUM(C32:C37)</f>
        <v>2718259.1200000006</v>
      </c>
      <c r="D38" s="459">
        <f t="shared" ref="D38:AK38" si="79">SUM(D32:D37)</f>
        <v>2626360.6800000002</v>
      </c>
      <c r="E38" s="459">
        <f t="shared" si="79"/>
        <v>2539299</v>
      </c>
      <c r="F38" s="459">
        <f t="shared" si="79"/>
        <v>2447400.56</v>
      </c>
      <c r="G38" s="459">
        <f t="shared" si="79"/>
        <v>2360338.8799999994</v>
      </c>
      <c r="H38" s="459">
        <f t="shared" si="79"/>
        <v>2273277.1999999993</v>
      </c>
      <c r="I38" s="459">
        <f t="shared" si="79"/>
        <v>2191052.2800000003</v>
      </c>
      <c r="J38" s="459">
        <f t="shared" si="79"/>
        <v>2103990.5999999996</v>
      </c>
      <c r="K38" s="459">
        <f t="shared" si="79"/>
        <v>2021765.6800000002</v>
      </c>
      <c r="L38" s="459">
        <f t="shared" si="79"/>
        <v>1944377.52</v>
      </c>
      <c r="M38" s="459">
        <f t="shared" si="79"/>
        <v>1866989.36</v>
      </c>
      <c r="N38" s="459">
        <f t="shared" si="79"/>
        <v>1789601.2000000002</v>
      </c>
      <c r="O38" s="459">
        <f t="shared" si="79"/>
        <v>1717049.7999999998</v>
      </c>
      <c r="P38" s="459">
        <f t="shared" si="79"/>
        <v>1644498.4000000004</v>
      </c>
      <c r="Q38" s="459">
        <f t="shared" si="79"/>
        <v>1576783.7599999998</v>
      </c>
      <c r="R38" s="459">
        <f t="shared" si="79"/>
        <v>1509069.1199999996</v>
      </c>
      <c r="S38" s="459">
        <f t="shared" si="79"/>
        <v>1441354.48</v>
      </c>
      <c r="T38" s="459">
        <f t="shared" si="79"/>
        <v>1378476.5999999996</v>
      </c>
      <c r="U38" s="459">
        <f t="shared" si="79"/>
        <v>1315598.72</v>
      </c>
      <c r="V38" s="459">
        <f t="shared" si="79"/>
        <v>1257557.5999999996</v>
      </c>
      <c r="W38" s="459">
        <f t="shared" si="79"/>
        <v>1199516.48</v>
      </c>
      <c r="X38" s="459">
        <f t="shared" si="79"/>
        <v>1146312.1199999999</v>
      </c>
      <c r="Y38" s="459">
        <f t="shared" si="79"/>
        <v>1093107.7599999998</v>
      </c>
      <c r="Z38" s="459">
        <f t="shared" si="79"/>
        <v>1044740.1599999999</v>
      </c>
      <c r="AA38" s="459">
        <f t="shared" si="79"/>
        <v>996372.55999999982</v>
      </c>
      <c r="AB38" s="459">
        <f t="shared" si="79"/>
        <v>948004.96</v>
      </c>
      <c r="AC38" s="459">
        <f t="shared" si="79"/>
        <v>904474.12000000011</v>
      </c>
      <c r="AD38" s="459">
        <f t="shared" si="79"/>
        <v>860943.28000000026</v>
      </c>
      <c r="AE38" s="459">
        <f t="shared" si="79"/>
        <v>817412.44000000018</v>
      </c>
      <c r="AF38" s="459">
        <f t="shared" si="79"/>
        <v>778718.36</v>
      </c>
      <c r="AG38" s="459">
        <f t="shared" si="79"/>
        <v>740024.28000000014</v>
      </c>
      <c r="AH38" s="459">
        <f t="shared" si="79"/>
        <v>706166.96</v>
      </c>
      <c r="AI38" s="459">
        <f t="shared" si="79"/>
        <v>672309.64</v>
      </c>
      <c r="AJ38" s="459">
        <f t="shared" si="79"/>
        <v>652962.60000000009</v>
      </c>
      <c r="AK38" s="459">
        <f t="shared" si="79"/>
        <v>-643289.07999999996</v>
      </c>
      <c r="AL38" s="151">
        <f>SUM(C38:AK38)</f>
        <v>50640877.199999996</v>
      </c>
      <c r="AM38" s="71"/>
    </row>
    <row r="39" spans="1:40" ht="15" thickBot="1" x14ac:dyDescent="0.35">
      <c r="A39" s="69"/>
      <c r="B39" s="472" t="s">
        <v>5</v>
      </c>
      <c r="C39" s="473">
        <f>C31+C38</f>
        <v>5505672.3399999999</v>
      </c>
      <c r="D39" s="473">
        <f t="shared" ref="D39:AK39" si="80">D31+D38</f>
        <v>5319537.51</v>
      </c>
      <c r="E39" s="473">
        <f t="shared" si="80"/>
        <v>5143199.25</v>
      </c>
      <c r="F39" s="473">
        <f t="shared" si="80"/>
        <v>4957064.42</v>
      </c>
      <c r="G39" s="473">
        <f t="shared" si="80"/>
        <v>4780726.16</v>
      </c>
      <c r="H39" s="473">
        <f t="shared" si="80"/>
        <v>4604387.8999999985</v>
      </c>
      <c r="I39" s="473">
        <f t="shared" si="80"/>
        <v>4437846.2100000009</v>
      </c>
      <c r="J39" s="473">
        <f t="shared" si="80"/>
        <v>4261507.9499999993</v>
      </c>
      <c r="K39" s="473">
        <f t="shared" si="80"/>
        <v>4094966.26</v>
      </c>
      <c r="L39" s="473">
        <f t="shared" si="80"/>
        <v>3938221.1399999997</v>
      </c>
      <c r="M39" s="473">
        <f t="shared" si="80"/>
        <v>3781476.0199999996</v>
      </c>
      <c r="N39" s="473">
        <f t="shared" si="80"/>
        <v>3624730.9000000004</v>
      </c>
      <c r="O39" s="473">
        <f t="shared" si="80"/>
        <v>3477782.3499999996</v>
      </c>
      <c r="P39" s="473">
        <f t="shared" si="80"/>
        <v>3330833.8000000007</v>
      </c>
      <c r="Q39" s="473">
        <f t="shared" si="80"/>
        <v>3193681.8199999994</v>
      </c>
      <c r="R39" s="473">
        <f t="shared" si="80"/>
        <v>3056529.8399999994</v>
      </c>
      <c r="S39" s="473">
        <f t="shared" si="80"/>
        <v>2919377.86</v>
      </c>
      <c r="T39" s="473">
        <f t="shared" si="80"/>
        <v>2792022.4499999993</v>
      </c>
      <c r="U39" s="473">
        <f t="shared" si="80"/>
        <v>2664667.04</v>
      </c>
      <c r="V39" s="473">
        <f t="shared" si="80"/>
        <v>2547108.1999999993</v>
      </c>
      <c r="W39" s="473">
        <f t="shared" si="80"/>
        <v>2429549.36</v>
      </c>
      <c r="X39" s="473">
        <f t="shared" si="80"/>
        <v>2321787.09</v>
      </c>
      <c r="Y39" s="473">
        <f t="shared" si="80"/>
        <v>2214024.8199999994</v>
      </c>
      <c r="Z39" s="473">
        <f t="shared" si="80"/>
        <v>2116059.12</v>
      </c>
      <c r="AA39" s="473">
        <f t="shared" si="80"/>
        <v>2018093.4199999997</v>
      </c>
      <c r="AB39" s="473">
        <f t="shared" si="80"/>
        <v>1920127.7200000002</v>
      </c>
      <c r="AC39" s="473">
        <f t="shared" si="80"/>
        <v>1831958.5900000003</v>
      </c>
      <c r="AD39" s="473">
        <f t="shared" si="80"/>
        <v>1743789.4600000002</v>
      </c>
      <c r="AE39" s="473">
        <f t="shared" si="80"/>
        <v>1655620.3300000003</v>
      </c>
      <c r="AF39" s="473">
        <f t="shared" si="80"/>
        <v>1577247.77</v>
      </c>
      <c r="AG39" s="473">
        <f t="shared" si="80"/>
        <v>1498875.21</v>
      </c>
      <c r="AH39" s="473">
        <f t="shared" si="80"/>
        <v>1430299.2200000002</v>
      </c>
      <c r="AI39" s="473">
        <f t="shared" si="80"/>
        <v>1361723.23</v>
      </c>
      <c r="AJ39" s="473">
        <f t="shared" si="80"/>
        <v>1322536.9500000002</v>
      </c>
      <c r="AK39" s="473">
        <f t="shared" si="80"/>
        <v>-1302943.81</v>
      </c>
      <c r="AL39" s="474">
        <f t="shared" ref="AL39" si="81">AL31+AL38</f>
        <v>102570087.90000001</v>
      </c>
      <c r="AM39" s="71"/>
    </row>
    <row r="40" spans="1:40" ht="15.6" thickTop="1" thickBot="1" x14ac:dyDescent="0.35">
      <c r="B40" s="119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0"/>
      <c r="AE40" s="120"/>
      <c r="AF40" s="120"/>
      <c r="AG40" s="120"/>
      <c r="AH40" s="120"/>
      <c r="AI40" s="120"/>
      <c r="AJ40" s="120"/>
      <c r="AK40" s="120"/>
      <c r="AL40" s="120"/>
    </row>
    <row r="41" spans="1:40" ht="15" thickTop="1" x14ac:dyDescent="0.3">
      <c r="B41" s="1089" t="s">
        <v>655</v>
      </c>
      <c r="C41" s="475">
        <f>C22</f>
        <v>1</v>
      </c>
      <c r="D41" s="475">
        <f t="shared" ref="D41:AK41" si="82">D22</f>
        <v>2</v>
      </c>
      <c r="E41" s="475">
        <f t="shared" si="82"/>
        <v>3</v>
      </c>
      <c r="F41" s="475">
        <f t="shared" si="82"/>
        <v>4</v>
      </c>
      <c r="G41" s="475">
        <f t="shared" si="82"/>
        <v>5</v>
      </c>
      <c r="H41" s="475">
        <f t="shared" si="82"/>
        <v>6</v>
      </c>
      <c r="I41" s="475">
        <f t="shared" si="82"/>
        <v>7</v>
      </c>
      <c r="J41" s="475">
        <f t="shared" si="82"/>
        <v>8</v>
      </c>
      <c r="K41" s="475">
        <f t="shared" si="82"/>
        <v>9</v>
      </c>
      <c r="L41" s="475">
        <f t="shared" si="82"/>
        <v>10</v>
      </c>
      <c r="M41" s="475">
        <f t="shared" si="82"/>
        <v>11</v>
      </c>
      <c r="N41" s="475">
        <f t="shared" si="82"/>
        <v>12</v>
      </c>
      <c r="O41" s="475">
        <f t="shared" si="82"/>
        <v>13</v>
      </c>
      <c r="P41" s="475">
        <f t="shared" si="82"/>
        <v>14</v>
      </c>
      <c r="Q41" s="475">
        <f t="shared" si="82"/>
        <v>15</v>
      </c>
      <c r="R41" s="475">
        <f t="shared" si="82"/>
        <v>16</v>
      </c>
      <c r="S41" s="475">
        <f t="shared" si="82"/>
        <v>17</v>
      </c>
      <c r="T41" s="475">
        <f t="shared" si="82"/>
        <v>18</v>
      </c>
      <c r="U41" s="475">
        <f t="shared" si="82"/>
        <v>19</v>
      </c>
      <c r="V41" s="475">
        <f t="shared" si="82"/>
        <v>20</v>
      </c>
      <c r="W41" s="475">
        <f t="shared" si="82"/>
        <v>21</v>
      </c>
      <c r="X41" s="475">
        <f t="shared" si="82"/>
        <v>22</v>
      </c>
      <c r="Y41" s="475">
        <f t="shared" si="82"/>
        <v>23</v>
      </c>
      <c r="Z41" s="475">
        <f t="shared" si="82"/>
        <v>24</v>
      </c>
      <c r="AA41" s="475">
        <f t="shared" si="82"/>
        <v>25</v>
      </c>
      <c r="AB41" s="475">
        <f t="shared" si="82"/>
        <v>26</v>
      </c>
      <c r="AC41" s="475">
        <f t="shared" si="82"/>
        <v>27</v>
      </c>
      <c r="AD41" s="475">
        <f t="shared" si="82"/>
        <v>28</v>
      </c>
      <c r="AE41" s="475">
        <f t="shared" si="82"/>
        <v>29</v>
      </c>
      <c r="AF41" s="475">
        <f t="shared" si="82"/>
        <v>30</v>
      </c>
      <c r="AG41" s="475">
        <f t="shared" si="82"/>
        <v>31</v>
      </c>
      <c r="AH41" s="475">
        <f t="shared" si="82"/>
        <v>32</v>
      </c>
      <c r="AI41" s="475">
        <f t="shared" si="82"/>
        <v>33</v>
      </c>
      <c r="AJ41" s="475">
        <f t="shared" si="82"/>
        <v>34</v>
      </c>
      <c r="AK41" s="475">
        <f t="shared" si="82"/>
        <v>35</v>
      </c>
      <c r="AL41" s="1091" t="s">
        <v>23</v>
      </c>
    </row>
    <row r="42" spans="1:40" x14ac:dyDescent="0.3">
      <c r="B42" s="1090"/>
      <c r="C42" s="559">
        <f>C4</f>
        <v>2027</v>
      </c>
      <c r="D42" s="559">
        <f t="shared" ref="D42:AK42" si="83">D4</f>
        <v>2028</v>
      </c>
      <c r="E42" s="559">
        <f t="shared" si="83"/>
        <v>2029</v>
      </c>
      <c r="F42" s="559">
        <f t="shared" si="83"/>
        <v>2030</v>
      </c>
      <c r="G42" s="559">
        <f t="shared" si="83"/>
        <v>2031</v>
      </c>
      <c r="H42" s="559">
        <f t="shared" si="83"/>
        <v>2032</v>
      </c>
      <c r="I42" s="559">
        <f t="shared" si="83"/>
        <v>2033</v>
      </c>
      <c r="J42" s="559">
        <f t="shared" si="83"/>
        <v>2034</v>
      </c>
      <c r="K42" s="559">
        <f t="shared" si="83"/>
        <v>2035</v>
      </c>
      <c r="L42" s="559">
        <f t="shared" si="83"/>
        <v>2036</v>
      </c>
      <c r="M42" s="559">
        <f t="shared" si="83"/>
        <v>2037</v>
      </c>
      <c r="N42" s="559">
        <f t="shared" si="83"/>
        <v>2038</v>
      </c>
      <c r="O42" s="559">
        <f t="shared" si="83"/>
        <v>2039</v>
      </c>
      <c r="P42" s="559">
        <f t="shared" si="83"/>
        <v>2040</v>
      </c>
      <c r="Q42" s="559">
        <f t="shared" si="83"/>
        <v>2041</v>
      </c>
      <c r="R42" s="559">
        <f t="shared" si="83"/>
        <v>2042</v>
      </c>
      <c r="S42" s="559">
        <f t="shared" si="83"/>
        <v>2043</v>
      </c>
      <c r="T42" s="559">
        <f t="shared" si="83"/>
        <v>2044</v>
      </c>
      <c r="U42" s="559">
        <f t="shared" si="83"/>
        <v>2045</v>
      </c>
      <c r="V42" s="559">
        <f t="shared" si="83"/>
        <v>2046</v>
      </c>
      <c r="W42" s="559">
        <f t="shared" si="83"/>
        <v>2047</v>
      </c>
      <c r="X42" s="559">
        <f t="shared" si="83"/>
        <v>2048</v>
      </c>
      <c r="Y42" s="559">
        <f t="shared" si="83"/>
        <v>2049</v>
      </c>
      <c r="Z42" s="559">
        <f t="shared" si="83"/>
        <v>2050</v>
      </c>
      <c r="AA42" s="559">
        <f t="shared" si="83"/>
        <v>2051</v>
      </c>
      <c r="AB42" s="559">
        <f t="shared" si="83"/>
        <v>2052</v>
      </c>
      <c r="AC42" s="559">
        <f t="shared" si="83"/>
        <v>2053</v>
      </c>
      <c r="AD42" s="559">
        <f t="shared" si="83"/>
        <v>2054</v>
      </c>
      <c r="AE42" s="559">
        <f t="shared" si="83"/>
        <v>2055</v>
      </c>
      <c r="AF42" s="559">
        <f t="shared" si="83"/>
        <v>2056</v>
      </c>
      <c r="AG42" s="559">
        <f t="shared" si="83"/>
        <v>2057</v>
      </c>
      <c r="AH42" s="559">
        <f t="shared" si="83"/>
        <v>2058</v>
      </c>
      <c r="AI42" s="559">
        <f t="shared" si="83"/>
        <v>2059</v>
      </c>
      <c r="AJ42" s="559">
        <f t="shared" si="83"/>
        <v>2060</v>
      </c>
      <c r="AK42" s="559">
        <f t="shared" si="83"/>
        <v>2061</v>
      </c>
      <c r="AL42" s="1092"/>
    </row>
    <row r="43" spans="1:40" x14ac:dyDescent="0.3">
      <c r="B43" s="121" t="s">
        <v>6</v>
      </c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118"/>
    </row>
    <row r="44" spans="1:40" x14ac:dyDescent="0.3">
      <c r="B44" s="114" t="s">
        <v>3</v>
      </c>
      <c r="C44" s="148">
        <f>C12+C31</f>
        <v>2787413.2199999997</v>
      </c>
      <c r="D44" s="148">
        <f t="shared" ref="D44:AK44" si="84">D12+D31</f>
        <v>8692409.1699999999</v>
      </c>
      <c r="E44" s="148">
        <f t="shared" si="84"/>
        <v>3817518.2700000005</v>
      </c>
      <c r="F44" s="148">
        <f t="shared" si="84"/>
        <v>2509663.86</v>
      </c>
      <c r="G44" s="148">
        <f t="shared" si="84"/>
        <v>2420387.2800000003</v>
      </c>
      <c r="H44" s="148">
        <f t="shared" si="84"/>
        <v>2331110.6999999997</v>
      </c>
      <c r="I44" s="148">
        <f t="shared" si="84"/>
        <v>2246793.9300000006</v>
      </c>
      <c r="J44" s="148">
        <f t="shared" si="84"/>
        <v>2157517.3499999996</v>
      </c>
      <c r="K44" s="148">
        <f t="shared" si="84"/>
        <v>2077504.19</v>
      </c>
      <c r="L44" s="148">
        <f t="shared" si="84"/>
        <v>1993843.6199999999</v>
      </c>
      <c r="M44" s="148">
        <f t="shared" si="84"/>
        <v>1914486.6599999997</v>
      </c>
      <c r="N44" s="148">
        <f t="shared" si="84"/>
        <v>1835129.7000000002</v>
      </c>
      <c r="O44" s="148">
        <f t="shared" si="84"/>
        <v>1760732.5499999998</v>
      </c>
      <c r="P44" s="148">
        <f t="shared" si="84"/>
        <v>1686335.4000000001</v>
      </c>
      <c r="Q44" s="148">
        <f t="shared" si="84"/>
        <v>1616898.0599999998</v>
      </c>
      <c r="R44" s="148">
        <f t="shared" si="84"/>
        <v>1547460.7199999997</v>
      </c>
      <c r="S44" s="148">
        <f t="shared" si="84"/>
        <v>1478023.38</v>
      </c>
      <c r="T44" s="148">
        <f t="shared" si="84"/>
        <v>1413545.8499999999</v>
      </c>
      <c r="U44" s="148">
        <f t="shared" si="84"/>
        <v>1353371.93</v>
      </c>
      <c r="V44" s="148">
        <f t="shared" si="84"/>
        <v>1289550.5999999999</v>
      </c>
      <c r="W44" s="148">
        <f t="shared" si="84"/>
        <v>1230032.8799999999</v>
      </c>
      <c r="X44" s="148">
        <f t="shared" si="84"/>
        <v>1175474.9699999997</v>
      </c>
      <c r="Y44" s="148">
        <f t="shared" si="84"/>
        <v>1125220.67</v>
      </c>
      <c r="Z44" s="148">
        <f t="shared" si="84"/>
        <v>1071318.96</v>
      </c>
      <c r="AA44" s="148">
        <f t="shared" si="84"/>
        <v>1021720.8599999999</v>
      </c>
      <c r="AB44" s="148">
        <f t="shared" si="84"/>
        <v>972122.76000000013</v>
      </c>
      <c r="AC44" s="148">
        <f t="shared" si="84"/>
        <v>927484.47000000009</v>
      </c>
      <c r="AD44" s="148">
        <f t="shared" si="84"/>
        <v>882846.17999999993</v>
      </c>
      <c r="AE44" s="148">
        <f t="shared" si="84"/>
        <v>838207.89000000013</v>
      </c>
      <c r="AF44" s="148">
        <f t="shared" si="84"/>
        <v>798529.40999999992</v>
      </c>
      <c r="AG44" s="148">
        <f t="shared" si="84"/>
        <v>763154.53999999992</v>
      </c>
      <c r="AH44" s="148">
        <f t="shared" si="84"/>
        <v>724132.26000000013</v>
      </c>
      <c r="AI44" s="148">
        <f t="shared" si="84"/>
        <v>689413.59000000008</v>
      </c>
      <c r="AJ44" s="148">
        <f t="shared" si="84"/>
        <v>669574.35000000009</v>
      </c>
      <c r="AK44" s="148">
        <f t="shared" si="84"/>
        <v>-659654.7300000001</v>
      </c>
      <c r="AL44" s="149">
        <f>+SUM(C44:AK44)</f>
        <v>59159275.500000007</v>
      </c>
      <c r="AM44" s="71"/>
      <c r="AN44" s="71"/>
    </row>
    <row r="45" spans="1:40" x14ac:dyDescent="0.3">
      <c r="B45" s="114" t="s">
        <v>4</v>
      </c>
      <c r="C45" s="148">
        <f>C19+C38</f>
        <v>2718259.1200000006</v>
      </c>
      <c r="D45" s="148">
        <f t="shared" ref="D45:AK45" si="85">D19+D38</f>
        <v>40033627.079999998</v>
      </c>
      <c r="E45" s="148">
        <f t="shared" si="85"/>
        <v>40907022.24000001</v>
      </c>
      <c r="F45" s="148">
        <f t="shared" si="85"/>
        <v>41733455.339999996</v>
      </c>
      <c r="G45" s="148">
        <f t="shared" si="85"/>
        <v>42514174.839999996</v>
      </c>
      <c r="H45" s="148">
        <f t="shared" si="85"/>
        <v>12223273.059999997</v>
      </c>
      <c r="I45" s="148">
        <f t="shared" si="85"/>
        <v>12339037.050000001</v>
      </c>
      <c r="J45" s="148">
        <f t="shared" si="85"/>
        <v>6135381.8099999987</v>
      </c>
      <c r="K45" s="148">
        <f t="shared" si="85"/>
        <v>6128982.4299999997</v>
      </c>
      <c r="L45" s="148">
        <f t="shared" si="85"/>
        <v>6123207.2800000003</v>
      </c>
      <c r="M45" s="148">
        <f t="shared" si="85"/>
        <v>6117432.1300000008</v>
      </c>
      <c r="N45" s="148">
        <f t="shared" si="85"/>
        <v>6103231.919999999</v>
      </c>
      <c r="O45" s="148">
        <f t="shared" si="85"/>
        <v>1717049.7999999998</v>
      </c>
      <c r="P45" s="148">
        <f t="shared" si="85"/>
        <v>1644498.4000000004</v>
      </c>
      <c r="Q45" s="148">
        <f t="shared" si="85"/>
        <v>1576783.7599999998</v>
      </c>
      <c r="R45" s="148">
        <f t="shared" si="85"/>
        <v>1509069.1199999996</v>
      </c>
      <c r="S45" s="148">
        <f t="shared" si="85"/>
        <v>1441354.48</v>
      </c>
      <c r="T45" s="148">
        <f t="shared" si="85"/>
        <v>1378476.5999999996</v>
      </c>
      <c r="U45" s="148">
        <f t="shared" si="85"/>
        <v>1319811.25</v>
      </c>
      <c r="V45" s="148">
        <f t="shared" si="85"/>
        <v>1257557.5999999996</v>
      </c>
      <c r="W45" s="148">
        <f t="shared" si="85"/>
        <v>1199516.48</v>
      </c>
      <c r="X45" s="148">
        <f t="shared" si="85"/>
        <v>1146312.1199999999</v>
      </c>
      <c r="Y45" s="148">
        <f t="shared" si="85"/>
        <v>1097320.2899999998</v>
      </c>
      <c r="Z45" s="148">
        <f t="shared" si="85"/>
        <v>1044740.1599999999</v>
      </c>
      <c r="AA45" s="148">
        <f t="shared" si="85"/>
        <v>996372.55999999982</v>
      </c>
      <c r="AB45" s="148">
        <f t="shared" si="85"/>
        <v>948004.96</v>
      </c>
      <c r="AC45" s="148">
        <f t="shared" si="85"/>
        <v>904474.12000000011</v>
      </c>
      <c r="AD45" s="148">
        <f t="shared" si="85"/>
        <v>860943.28000000026</v>
      </c>
      <c r="AE45" s="148">
        <f t="shared" si="85"/>
        <v>817412.44000000018</v>
      </c>
      <c r="AF45" s="148">
        <f t="shared" si="85"/>
        <v>778718.36</v>
      </c>
      <c r="AG45" s="148">
        <f t="shared" si="85"/>
        <v>744236.81000000017</v>
      </c>
      <c r="AH45" s="148">
        <f t="shared" si="85"/>
        <v>706166.96</v>
      </c>
      <c r="AI45" s="148">
        <f t="shared" si="85"/>
        <v>672309.64</v>
      </c>
      <c r="AJ45" s="148">
        <f t="shared" si="85"/>
        <v>652962.60000000009</v>
      </c>
      <c r="AK45" s="148">
        <f t="shared" si="85"/>
        <v>-643289.07999999996</v>
      </c>
      <c r="AL45" s="149">
        <f t="shared" ref="AL45:AL46" si="86">+SUM(C45:AK45)</f>
        <v>246847887.00999999</v>
      </c>
      <c r="AM45" s="71"/>
      <c r="AN45" s="71"/>
    </row>
    <row r="46" spans="1:40" ht="15" thickBot="1" x14ac:dyDescent="0.35">
      <c r="B46" s="476" t="s">
        <v>5</v>
      </c>
      <c r="C46" s="477">
        <f>C44+C45</f>
        <v>5505672.3399999999</v>
      </c>
      <c r="D46" s="477">
        <f t="shared" ref="D46:AK46" si="87">D44+D45</f>
        <v>48726036.25</v>
      </c>
      <c r="E46" s="477">
        <f t="shared" si="87"/>
        <v>44724540.510000013</v>
      </c>
      <c r="F46" s="477">
        <f t="shared" si="87"/>
        <v>44243119.199999996</v>
      </c>
      <c r="G46" s="477">
        <f t="shared" si="87"/>
        <v>44934562.119999997</v>
      </c>
      <c r="H46" s="477">
        <f t="shared" si="87"/>
        <v>14554383.759999996</v>
      </c>
      <c r="I46" s="477">
        <f t="shared" si="87"/>
        <v>14585830.98</v>
      </c>
      <c r="J46" s="477">
        <f t="shared" si="87"/>
        <v>8292899.1599999983</v>
      </c>
      <c r="K46" s="477">
        <f t="shared" si="87"/>
        <v>8206486.6199999992</v>
      </c>
      <c r="L46" s="477">
        <f t="shared" si="87"/>
        <v>8117050.9000000004</v>
      </c>
      <c r="M46" s="477">
        <f t="shared" si="87"/>
        <v>8031918.790000001</v>
      </c>
      <c r="N46" s="477">
        <f t="shared" si="87"/>
        <v>7938361.6199999992</v>
      </c>
      <c r="O46" s="477">
        <f t="shared" si="87"/>
        <v>3477782.3499999996</v>
      </c>
      <c r="P46" s="477">
        <f t="shared" si="87"/>
        <v>3330833.8000000007</v>
      </c>
      <c r="Q46" s="477">
        <f t="shared" si="87"/>
        <v>3193681.8199999994</v>
      </c>
      <c r="R46" s="477">
        <f t="shared" si="87"/>
        <v>3056529.8399999994</v>
      </c>
      <c r="S46" s="477">
        <f t="shared" si="87"/>
        <v>2919377.86</v>
      </c>
      <c r="T46" s="477">
        <f t="shared" si="87"/>
        <v>2792022.4499999993</v>
      </c>
      <c r="U46" s="477">
        <f t="shared" si="87"/>
        <v>2673183.1799999997</v>
      </c>
      <c r="V46" s="477">
        <f t="shared" si="87"/>
        <v>2547108.1999999993</v>
      </c>
      <c r="W46" s="477">
        <f t="shared" si="87"/>
        <v>2429549.36</v>
      </c>
      <c r="X46" s="477">
        <f t="shared" si="87"/>
        <v>2321787.09</v>
      </c>
      <c r="Y46" s="477">
        <f t="shared" si="87"/>
        <v>2222540.96</v>
      </c>
      <c r="Z46" s="477">
        <f t="shared" si="87"/>
        <v>2116059.12</v>
      </c>
      <c r="AA46" s="477">
        <f t="shared" si="87"/>
        <v>2018093.4199999997</v>
      </c>
      <c r="AB46" s="477">
        <f t="shared" si="87"/>
        <v>1920127.7200000002</v>
      </c>
      <c r="AC46" s="477">
        <f t="shared" si="87"/>
        <v>1831958.5900000003</v>
      </c>
      <c r="AD46" s="477">
        <f t="shared" si="87"/>
        <v>1743789.4600000002</v>
      </c>
      <c r="AE46" s="477">
        <f t="shared" si="87"/>
        <v>1655620.3300000003</v>
      </c>
      <c r="AF46" s="477">
        <f t="shared" si="87"/>
        <v>1577247.77</v>
      </c>
      <c r="AG46" s="477">
        <f t="shared" si="87"/>
        <v>1507391.35</v>
      </c>
      <c r="AH46" s="477">
        <f t="shared" si="87"/>
        <v>1430299.2200000002</v>
      </c>
      <c r="AI46" s="477">
        <f t="shared" si="87"/>
        <v>1361723.23</v>
      </c>
      <c r="AJ46" s="477">
        <f t="shared" si="87"/>
        <v>1322536.9500000002</v>
      </c>
      <c r="AK46" s="477">
        <f t="shared" si="87"/>
        <v>-1302943.81</v>
      </c>
      <c r="AL46" s="478">
        <f t="shared" si="86"/>
        <v>306007162.50999999</v>
      </c>
      <c r="AM46" s="71"/>
      <c r="AN46" s="71"/>
    </row>
    <row r="47" spans="1:40" ht="15" thickTop="1" x14ac:dyDescent="0.3"/>
    <row r="48" spans="1:40" x14ac:dyDescent="0.3">
      <c r="B48" s="128" t="s">
        <v>665</v>
      </c>
      <c r="C48" s="128" t="s">
        <v>5</v>
      </c>
      <c r="D48" s="128" t="s">
        <v>3</v>
      </c>
      <c r="E48" s="128" t="s">
        <v>4</v>
      </c>
    </row>
    <row r="49" spans="2:12" x14ac:dyDescent="0.3">
      <c r="B49" s="4" t="s">
        <v>656</v>
      </c>
      <c r="C49" s="101">
        <f>SUM(C46:F46)</f>
        <v>143199368.30000001</v>
      </c>
      <c r="D49" s="101">
        <f>SUM(C44:F44)</f>
        <v>17807004.52</v>
      </c>
      <c r="E49" s="101">
        <f>SUM(C45:F45)</f>
        <v>125392363.78</v>
      </c>
    </row>
    <row r="50" spans="2:12" x14ac:dyDescent="0.3">
      <c r="B50" s="4" t="s">
        <v>657</v>
      </c>
      <c r="C50" s="101">
        <f>SUM(G46:J46)</f>
        <v>82367676.019999996</v>
      </c>
      <c r="D50" s="101">
        <f>SUM(G44:J44)</f>
        <v>9155809.2600000016</v>
      </c>
      <c r="E50" s="101">
        <f>SUM(G45:J45)</f>
        <v>73211866.75999999</v>
      </c>
    </row>
    <row r="51" spans="2:12" x14ac:dyDescent="0.3">
      <c r="B51" s="4" t="s">
        <v>658</v>
      </c>
      <c r="C51" s="101">
        <f>SUM(K46:N46)</f>
        <v>32293817.93</v>
      </c>
      <c r="D51" s="101">
        <f>SUM(K44:N44)</f>
        <v>7820964.169999999</v>
      </c>
      <c r="E51" s="101">
        <f>SUM(K45:N45)</f>
        <v>24472853.760000002</v>
      </c>
    </row>
    <row r="52" spans="2:12" x14ac:dyDescent="0.3">
      <c r="B52" s="4" t="s">
        <v>659</v>
      </c>
      <c r="C52" s="101">
        <f>SUM(O46:R46)</f>
        <v>13058827.809999999</v>
      </c>
      <c r="D52" s="101">
        <f>SUM(O44:R44)</f>
        <v>6611426.7299999995</v>
      </c>
      <c r="E52" s="101">
        <f>SUM(O45:R45)</f>
        <v>6447401.0800000001</v>
      </c>
    </row>
    <row r="53" spans="2:12" x14ac:dyDescent="0.3">
      <c r="B53" s="4" t="s">
        <v>660</v>
      </c>
      <c r="C53" s="101">
        <f>SUM(S46:V46)</f>
        <v>10931691.689999998</v>
      </c>
      <c r="D53" s="101">
        <f>SUM(S44:V44)</f>
        <v>5534491.7599999988</v>
      </c>
      <c r="E53" s="101">
        <f>SUM(S45:V45)</f>
        <v>5397199.9299999997</v>
      </c>
    </row>
    <row r="54" spans="2:12" x14ac:dyDescent="0.3">
      <c r="B54" s="4" t="s">
        <v>661</v>
      </c>
      <c r="C54" s="101">
        <f>SUM(W46:Z46)</f>
        <v>9089936.5299999993</v>
      </c>
      <c r="D54" s="101">
        <f>SUM(W44:Z44)</f>
        <v>4602047.4799999995</v>
      </c>
      <c r="E54" s="101">
        <f>SUM(W45:Z45)</f>
        <v>4487889.05</v>
      </c>
    </row>
    <row r="55" spans="2:12" x14ac:dyDescent="0.3">
      <c r="B55" s="4" t="s">
        <v>662</v>
      </c>
      <c r="C55" s="101">
        <f>SUM(AA46:AD46)</f>
        <v>7513969.1900000004</v>
      </c>
      <c r="D55" s="101">
        <f>SUM(AA44:AD44)</f>
        <v>3804174.2700000005</v>
      </c>
      <c r="E55" s="101">
        <f>SUM(AA45:AD45)</f>
        <v>3709794.92</v>
      </c>
    </row>
    <row r="56" spans="2:12" x14ac:dyDescent="0.3">
      <c r="B56" s="4" t="s">
        <v>663</v>
      </c>
      <c r="C56" s="101">
        <f>SUM(AE46:AH46)</f>
        <v>6170558.6700000018</v>
      </c>
      <c r="D56" s="101">
        <f>SUM(AE44:AH44)</f>
        <v>3124024.1</v>
      </c>
      <c r="E56" s="101">
        <f>SUM(AE45:AH45)</f>
        <v>3046534.5700000003</v>
      </c>
    </row>
    <row r="57" spans="2:12" x14ac:dyDescent="0.3">
      <c r="B57" s="4" t="s">
        <v>664</v>
      </c>
      <c r="C57" s="101">
        <f>SUM(AI46:AK46)</f>
        <v>1381316.37</v>
      </c>
      <c r="D57" s="101">
        <f>SUM(AI44:AK44)</f>
        <v>699333.21000000008</v>
      </c>
      <c r="E57" s="101">
        <f>SUM(AI46:AK46)</f>
        <v>1381316.37</v>
      </c>
    </row>
    <row r="58" spans="2:12" x14ac:dyDescent="0.3">
      <c r="B58" s="4" t="s">
        <v>5</v>
      </c>
      <c r="C58" s="101">
        <f>SUM(C49:C57)</f>
        <v>306007162.50999999</v>
      </c>
      <c r="D58" s="101">
        <f t="shared" ref="D58" si="88">SUM(D49:D57)</f>
        <v>59159275.5</v>
      </c>
      <c r="E58" s="101">
        <f>SUM(E49:E57)</f>
        <v>247547220.22</v>
      </c>
    </row>
    <row r="59" spans="2:12" x14ac:dyDescent="0.3">
      <c r="B59" s="4"/>
      <c r="C59" s="101">
        <f>AL46</f>
        <v>306007162.50999999</v>
      </c>
      <c r="D59" s="101">
        <f>AL44</f>
        <v>59159275.500000007</v>
      </c>
      <c r="E59" s="101">
        <f>AL45</f>
        <v>246847887.00999999</v>
      </c>
    </row>
    <row r="60" spans="2:12" x14ac:dyDescent="0.3">
      <c r="C60" s="71"/>
    </row>
    <row r="62" spans="2:12" x14ac:dyDescent="0.3">
      <c r="B62" s="573" t="str">
        <f>B3</f>
        <v xml:space="preserve">1. INVESTIMENTOS EM DEMANDA REPRIMIDA </v>
      </c>
      <c r="C62" s="711" t="s">
        <v>868</v>
      </c>
      <c r="D62" s="712" t="s">
        <v>869</v>
      </c>
      <c r="E62" s="712" t="s">
        <v>870</v>
      </c>
      <c r="F62" s="712" t="s">
        <v>871</v>
      </c>
      <c r="G62" s="712" t="s">
        <v>872</v>
      </c>
      <c r="H62" s="712" t="s">
        <v>873</v>
      </c>
      <c r="I62" s="712" t="s">
        <v>874</v>
      </c>
      <c r="J62" s="712" t="s">
        <v>875</v>
      </c>
      <c r="K62" s="712" t="s">
        <v>876</v>
      </c>
      <c r="L62" s="713" t="str">
        <f>AL3</f>
        <v>ACUMULADO</v>
      </c>
    </row>
    <row r="63" spans="2:12" x14ac:dyDescent="0.3">
      <c r="B63" s="573"/>
      <c r="C63" s="714" t="s">
        <v>1016</v>
      </c>
      <c r="D63" s="715" t="s">
        <v>1017</v>
      </c>
      <c r="E63" s="715" t="s">
        <v>1018</v>
      </c>
      <c r="F63" s="715" t="s">
        <v>1019</v>
      </c>
      <c r="G63" s="715" t="s">
        <v>1020</v>
      </c>
      <c r="H63" s="715" t="s">
        <v>1021</v>
      </c>
      <c r="I63" s="715" t="s">
        <v>1022</v>
      </c>
      <c r="J63" s="715" t="s">
        <v>1023</v>
      </c>
      <c r="K63" s="715" t="s">
        <v>1024</v>
      </c>
      <c r="L63" s="716" t="s">
        <v>1025</v>
      </c>
    </row>
    <row r="64" spans="2:12" x14ac:dyDescent="0.3">
      <c r="B64" s="4" t="str">
        <f t="shared" ref="B64:B79" si="89">B5</f>
        <v>Água - Captação e tratamento</v>
      </c>
      <c r="C64" s="101">
        <f t="shared" ref="C64:C79" si="90">SUM(C5:F5)</f>
        <v>2515039.12</v>
      </c>
      <c r="D64" s="101">
        <f t="shared" ref="D64:D79" si="91">SUM(G5:J5)</f>
        <v>0</v>
      </c>
      <c r="E64" s="101">
        <f t="shared" ref="E64:E79" si="92">SUM(K5:N5)</f>
        <v>1500.62</v>
      </c>
      <c r="F64" s="101">
        <f t="shared" ref="F64:F79" si="93">SUM(O5:R5)</f>
        <v>0</v>
      </c>
      <c r="G64" s="101">
        <f t="shared" ref="G64:G79" si="94">SUM(S5:V5)</f>
        <v>1500.62</v>
      </c>
      <c r="H64" s="101">
        <f t="shared" ref="H64:H79" si="95">SUM(W5:Z5)</f>
        <v>1500.62</v>
      </c>
      <c r="I64" s="101">
        <f t="shared" ref="I64:I79" si="96">SUM(AA5:AD5)</f>
        <v>0</v>
      </c>
      <c r="J64" s="101">
        <f t="shared" ref="J64:J79" si="97">SUM(AE5:AH5)</f>
        <v>1500.62</v>
      </c>
      <c r="K64" s="101">
        <f t="shared" ref="K64:K79" si="98">SUM(AI5:AK5)</f>
        <v>0</v>
      </c>
      <c r="L64" s="101">
        <f>AL5</f>
        <v>2521047.3000000007</v>
      </c>
    </row>
    <row r="65" spans="2:12" x14ac:dyDescent="0.3">
      <c r="B65" s="4" t="str">
        <f t="shared" si="89"/>
        <v>Água - Distribuição</v>
      </c>
      <c r="C65" s="101">
        <f t="shared" si="90"/>
        <v>2242839.96</v>
      </c>
      <c r="D65" s="101">
        <f t="shared" si="91"/>
        <v>0</v>
      </c>
      <c r="E65" s="101">
        <f t="shared" si="92"/>
        <v>1338.21</v>
      </c>
      <c r="F65" s="101">
        <f t="shared" si="93"/>
        <v>0</v>
      </c>
      <c r="G65" s="101">
        <f t="shared" si="94"/>
        <v>1338.21</v>
      </c>
      <c r="H65" s="101">
        <f t="shared" si="95"/>
        <v>1338.21</v>
      </c>
      <c r="I65" s="101">
        <f t="shared" si="96"/>
        <v>0</v>
      </c>
      <c r="J65" s="101">
        <f t="shared" si="97"/>
        <v>1338.21</v>
      </c>
      <c r="K65" s="101">
        <f t="shared" si="98"/>
        <v>0</v>
      </c>
      <c r="L65" s="101">
        <f t="shared" ref="L65:L79" si="99">AL6</f>
        <v>2248191.46</v>
      </c>
    </row>
    <row r="66" spans="2:12" x14ac:dyDescent="0.3">
      <c r="B66" s="4" t="str">
        <f t="shared" si="89"/>
        <v>Água - Reservação</v>
      </c>
      <c r="C66" s="101">
        <f t="shared" si="90"/>
        <v>1056617.44</v>
      </c>
      <c r="D66" s="101">
        <f t="shared" si="91"/>
        <v>0</v>
      </c>
      <c r="E66" s="101">
        <f t="shared" si="92"/>
        <v>630.44000000000005</v>
      </c>
      <c r="F66" s="101">
        <f t="shared" si="93"/>
        <v>0</v>
      </c>
      <c r="G66" s="101">
        <f t="shared" si="94"/>
        <v>630.44000000000005</v>
      </c>
      <c r="H66" s="101">
        <f t="shared" si="95"/>
        <v>630.44000000000005</v>
      </c>
      <c r="I66" s="101">
        <f t="shared" si="96"/>
        <v>0</v>
      </c>
      <c r="J66" s="101">
        <f t="shared" si="97"/>
        <v>630.44000000000005</v>
      </c>
      <c r="K66" s="101">
        <f t="shared" si="98"/>
        <v>0</v>
      </c>
      <c r="L66" s="101">
        <f t="shared" si="99"/>
        <v>1059139.5799999996</v>
      </c>
    </row>
    <row r="67" spans="2:12" x14ac:dyDescent="0.3">
      <c r="B67" s="4" t="str">
        <f t="shared" si="89"/>
        <v>Água  - Ligaçãos Predial</v>
      </c>
      <c r="C67" s="101">
        <f t="shared" si="90"/>
        <v>966984.96</v>
      </c>
      <c r="D67" s="101">
        <f t="shared" si="91"/>
        <v>0</v>
      </c>
      <c r="E67" s="101">
        <f t="shared" si="92"/>
        <v>576.96</v>
      </c>
      <c r="F67" s="101">
        <f t="shared" si="93"/>
        <v>0</v>
      </c>
      <c r="G67" s="101">
        <f t="shared" si="94"/>
        <v>576.96</v>
      </c>
      <c r="H67" s="101">
        <f t="shared" si="95"/>
        <v>576.96</v>
      </c>
      <c r="I67" s="101">
        <f t="shared" si="96"/>
        <v>0</v>
      </c>
      <c r="J67" s="101">
        <f t="shared" si="97"/>
        <v>576.96</v>
      </c>
      <c r="K67" s="101">
        <f t="shared" si="98"/>
        <v>0</v>
      </c>
      <c r="L67" s="101">
        <f t="shared" si="99"/>
        <v>969291.72999999986</v>
      </c>
    </row>
    <row r="68" spans="2:12" x14ac:dyDescent="0.3">
      <c r="B68" s="4" t="str">
        <f t="shared" si="89"/>
        <v>Água - Projeto</v>
      </c>
      <c r="C68" s="101">
        <f t="shared" si="90"/>
        <v>123269.79999999999</v>
      </c>
      <c r="D68" s="101">
        <f t="shared" si="91"/>
        <v>0</v>
      </c>
      <c r="E68" s="101">
        <f t="shared" si="92"/>
        <v>73.55</v>
      </c>
      <c r="F68" s="101">
        <f t="shared" si="93"/>
        <v>0</v>
      </c>
      <c r="G68" s="101">
        <f t="shared" si="94"/>
        <v>73.55</v>
      </c>
      <c r="H68" s="101">
        <f t="shared" si="95"/>
        <v>73.55</v>
      </c>
      <c r="I68" s="101">
        <f t="shared" si="96"/>
        <v>0</v>
      </c>
      <c r="J68" s="101">
        <f t="shared" si="97"/>
        <v>73.55</v>
      </c>
      <c r="K68" s="101">
        <f t="shared" si="98"/>
        <v>0</v>
      </c>
      <c r="L68" s="101">
        <f t="shared" si="99"/>
        <v>123564.42</v>
      </c>
    </row>
    <row r="69" spans="2:12" x14ac:dyDescent="0.3">
      <c r="B69" s="4" t="str">
        <f t="shared" si="89"/>
        <v>Água - Consultoria e licenciamento ambiental</v>
      </c>
      <c r="C69" s="101">
        <f t="shared" si="90"/>
        <v>123269.79999999999</v>
      </c>
      <c r="D69" s="101">
        <f t="shared" si="91"/>
        <v>0</v>
      </c>
      <c r="E69" s="101">
        <f t="shared" si="92"/>
        <v>73.55</v>
      </c>
      <c r="F69" s="101">
        <f t="shared" si="93"/>
        <v>0</v>
      </c>
      <c r="G69" s="101">
        <f t="shared" si="94"/>
        <v>73.55</v>
      </c>
      <c r="H69" s="101">
        <f t="shared" si="95"/>
        <v>73.55</v>
      </c>
      <c r="I69" s="101">
        <f t="shared" si="96"/>
        <v>0</v>
      </c>
      <c r="J69" s="101">
        <f t="shared" si="97"/>
        <v>73.55</v>
      </c>
      <c r="K69" s="101">
        <f t="shared" si="98"/>
        <v>0</v>
      </c>
      <c r="L69" s="101">
        <f t="shared" si="99"/>
        <v>123564.42</v>
      </c>
    </row>
    <row r="70" spans="2:12" x14ac:dyDescent="0.3">
      <c r="B70" s="4" t="str">
        <f t="shared" si="89"/>
        <v>Água  - Gerenciamento de obra</v>
      </c>
      <c r="C70" s="101">
        <f t="shared" si="90"/>
        <v>184829.28</v>
      </c>
      <c r="D70" s="101">
        <f t="shared" si="91"/>
        <v>0</v>
      </c>
      <c r="E70" s="101">
        <f t="shared" si="92"/>
        <v>110.28</v>
      </c>
      <c r="F70" s="101">
        <f t="shared" si="93"/>
        <v>0</v>
      </c>
      <c r="G70" s="101">
        <f t="shared" si="94"/>
        <v>110.28</v>
      </c>
      <c r="H70" s="101">
        <f t="shared" si="95"/>
        <v>110.28</v>
      </c>
      <c r="I70" s="101">
        <f t="shared" si="96"/>
        <v>0</v>
      </c>
      <c r="J70" s="101">
        <f t="shared" si="97"/>
        <v>110.28</v>
      </c>
      <c r="K70" s="101">
        <f t="shared" si="98"/>
        <v>0</v>
      </c>
      <c r="L70" s="101">
        <f t="shared" si="99"/>
        <v>185271.67999999999</v>
      </c>
    </row>
    <row r="71" spans="2:12" s="46" customFormat="1" x14ac:dyDescent="0.3">
      <c r="B71" s="96" t="str">
        <f t="shared" si="89"/>
        <v>Total Água</v>
      </c>
      <c r="C71" s="508">
        <f t="shared" si="90"/>
        <v>7212850.3600000013</v>
      </c>
      <c r="D71" s="508">
        <f t="shared" si="91"/>
        <v>0</v>
      </c>
      <c r="E71" s="508">
        <f t="shared" si="92"/>
        <v>4303.6099999999997</v>
      </c>
      <c r="F71" s="508">
        <f t="shared" si="93"/>
        <v>0</v>
      </c>
      <c r="G71" s="508">
        <f t="shared" si="94"/>
        <v>4303.6099999999997</v>
      </c>
      <c r="H71" s="508">
        <f t="shared" si="95"/>
        <v>4303.6099999999997</v>
      </c>
      <c r="I71" s="508">
        <f t="shared" si="96"/>
        <v>0</v>
      </c>
      <c r="J71" s="508">
        <f t="shared" si="97"/>
        <v>4303.6099999999997</v>
      </c>
      <c r="K71" s="508">
        <f t="shared" si="98"/>
        <v>0</v>
      </c>
      <c r="L71" s="508">
        <f t="shared" si="99"/>
        <v>7230070.6000000024</v>
      </c>
    </row>
    <row r="72" spans="2:12" x14ac:dyDescent="0.3">
      <c r="B72" s="4" t="str">
        <f t="shared" si="89"/>
        <v>Esgoto - Coleta e afastamento</v>
      </c>
      <c r="C72" s="101">
        <f t="shared" si="90"/>
        <v>61663813.260000005</v>
      </c>
      <c r="D72" s="101">
        <f t="shared" si="91"/>
        <v>34450823.399999999</v>
      </c>
      <c r="E72" s="101">
        <f t="shared" si="92"/>
        <v>9030360</v>
      </c>
      <c r="F72" s="101">
        <f t="shared" si="93"/>
        <v>0</v>
      </c>
      <c r="G72" s="101">
        <f t="shared" si="94"/>
        <v>2257.59</v>
      </c>
      <c r="H72" s="101">
        <f t="shared" si="95"/>
        <v>2257.59</v>
      </c>
      <c r="I72" s="101">
        <f t="shared" si="96"/>
        <v>0</v>
      </c>
      <c r="J72" s="101">
        <f t="shared" si="97"/>
        <v>2257.59</v>
      </c>
      <c r="K72" s="101">
        <f t="shared" si="98"/>
        <v>0</v>
      </c>
      <c r="L72" s="101">
        <f t="shared" si="99"/>
        <v>105151680.84</v>
      </c>
    </row>
    <row r="73" spans="2:12" x14ac:dyDescent="0.3">
      <c r="B73" s="4" t="str">
        <f t="shared" si="89"/>
        <v>Esgoto – Tratamento e disposição final</v>
      </c>
      <c r="C73" s="101">
        <f t="shared" si="90"/>
        <v>37191288.68</v>
      </c>
      <c r="D73" s="101">
        <f t="shared" si="91"/>
        <v>20778321.199999999</v>
      </c>
      <c r="E73" s="101">
        <f t="shared" si="92"/>
        <v>5446480</v>
      </c>
      <c r="F73" s="101">
        <f t="shared" si="93"/>
        <v>0</v>
      </c>
      <c r="G73" s="101">
        <f t="shared" si="94"/>
        <v>1361.62</v>
      </c>
      <c r="H73" s="101">
        <f t="shared" si="95"/>
        <v>1361.62</v>
      </c>
      <c r="I73" s="101">
        <f t="shared" si="96"/>
        <v>0</v>
      </c>
      <c r="J73" s="101">
        <f t="shared" si="97"/>
        <v>1361.62</v>
      </c>
      <c r="K73" s="101">
        <f t="shared" si="98"/>
        <v>0</v>
      </c>
      <c r="L73" s="101">
        <f t="shared" si="99"/>
        <v>63420098.639999986</v>
      </c>
    </row>
    <row r="74" spans="2:12" x14ac:dyDescent="0.3">
      <c r="B74" s="4" t="str">
        <f t="shared" si="89"/>
        <v>Esgoto  - Ligaçãos Predial</v>
      </c>
      <c r="C74" s="101">
        <f t="shared" si="90"/>
        <v>13860216.16</v>
      </c>
      <c r="D74" s="101">
        <f t="shared" si="91"/>
        <v>7743534.4000000004</v>
      </c>
      <c r="E74" s="101">
        <f t="shared" si="92"/>
        <v>2029760</v>
      </c>
      <c r="F74" s="101">
        <f t="shared" si="93"/>
        <v>0</v>
      </c>
      <c r="G74" s="101">
        <f t="shared" si="94"/>
        <v>507.44</v>
      </c>
      <c r="H74" s="101">
        <f t="shared" si="95"/>
        <v>507.44</v>
      </c>
      <c r="I74" s="101">
        <f t="shared" si="96"/>
        <v>0</v>
      </c>
      <c r="J74" s="101">
        <f t="shared" si="97"/>
        <v>507.44</v>
      </c>
      <c r="K74" s="101">
        <f t="shared" si="98"/>
        <v>0</v>
      </c>
      <c r="L74" s="101">
        <f t="shared" si="99"/>
        <v>23635224.370000005</v>
      </c>
    </row>
    <row r="75" spans="2:12" x14ac:dyDescent="0.3">
      <c r="B75" s="4" t="str">
        <f t="shared" si="89"/>
        <v>Esgoto - Projeto</v>
      </c>
      <c r="C75" s="101">
        <f t="shared" si="90"/>
        <v>853016.22</v>
      </c>
      <c r="D75" s="101">
        <f t="shared" si="91"/>
        <v>476569.8</v>
      </c>
      <c r="E75" s="101">
        <f t="shared" si="92"/>
        <v>124920.00000000001</v>
      </c>
      <c r="F75" s="101">
        <f t="shared" si="93"/>
        <v>0</v>
      </c>
      <c r="G75" s="101">
        <f t="shared" si="94"/>
        <v>31.23</v>
      </c>
      <c r="H75" s="101">
        <f t="shared" si="95"/>
        <v>31.23</v>
      </c>
      <c r="I75" s="101">
        <f t="shared" si="96"/>
        <v>0</v>
      </c>
      <c r="J75" s="101">
        <f t="shared" si="97"/>
        <v>31.23</v>
      </c>
      <c r="K75" s="101">
        <f t="shared" si="98"/>
        <v>0</v>
      </c>
      <c r="L75" s="101">
        <f t="shared" si="99"/>
        <v>1454505.5500000003</v>
      </c>
    </row>
    <row r="76" spans="2:12" x14ac:dyDescent="0.3">
      <c r="B76" s="4" t="str">
        <f t="shared" si="89"/>
        <v>Esgoto - Consultoria e licenciamento ambiental</v>
      </c>
      <c r="C76" s="101">
        <f t="shared" si="90"/>
        <v>853016.22</v>
      </c>
      <c r="D76" s="101">
        <f t="shared" si="91"/>
        <v>476569.8</v>
      </c>
      <c r="E76" s="101">
        <f t="shared" si="92"/>
        <v>124920.00000000001</v>
      </c>
      <c r="F76" s="101">
        <f t="shared" si="93"/>
        <v>0</v>
      </c>
      <c r="G76" s="101">
        <f t="shared" si="94"/>
        <v>31.23</v>
      </c>
      <c r="H76" s="101">
        <f t="shared" si="95"/>
        <v>31.23</v>
      </c>
      <c r="I76" s="101">
        <f t="shared" si="96"/>
        <v>0</v>
      </c>
      <c r="J76" s="101">
        <f t="shared" si="97"/>
        <v>31.23</v>
      </c>
      <c r="K76" s="101">
        <f t="shared" si="98"/>
        <v>0</v>
      </c>
      <c r="L76" s="101">
        <f t="shared" si="99"/>
        <v>1454505.5500000003</v>
      </c>
    </row>
    <row r="77" spans="2:12" x14ac:dyDescent="0.3">
      <c r="B77" s="4" t="str">
        <f t="shared" si="89"/>
        <v>Esgoto  - Gerenciamento de obra</v>
      </c>
      <c r="C77" s="101">
        <f t="shared" si="90"/>
        <v>639693.88</v>
      </c>
      <c r="D77" s="101">
        <f t="shared" si="91"/>
        <v>357389.2</v>
      </c>
      <c r="E77" s="101">
        <f t="shared" si="92"/>
        <v>93680</v>
      </c>
      <c r="F77" s="101">
        <f t="shared" si="93"/>
        <v>0</v>
      </c>
      <c r="G77" s="101">
        <f t="shared" si="94"/>
        <v>23.42</v>
      </c>
      <c r="H77" s="101">
        <f t="shared" si="95"/>
        <v>23.42</v>
      </c>
      <c r="I77" s="101">
        <f t="shared" si="96"/>
        <v>0</v>
      </c>
      <c r="J77" s="101">
        <f t="shared" si="97"/>
        <v>23.42</v>
      </c>
      <c r="K77" s="101">
        <f t="shared" si="98"/>
        <v>0</v>
      </c>
      <c r="L77" s="101">
        <f t="shared" si="99"/>
        <v>1091005.18</v>
      </c>
    </row>
    <row r="78" spans="2:12" s="46" customFormat="1" x14ac:dyDescent="0.3">
      <c r="B78" s="96" t="str">
        <f t="shared" si="89"/>
        <v>Total Esgoto</v>
      </c>
      <c r="C78" s="508">
        <f t="shared" si="90"/>
        <v>115061044.42000002</v>
      </c>
      <c r="D78" s="508">
        <f t="shared" si="91"/>
        <v>64283207.799999997</v>
      </c>
      <c r="E78" s="508">
        <f t="shared" si="92"/>
        <v>16850120</v>
      </c>
      <c r="F78" s="508">
        <f t="shared" si="93"/>
        <v>0</v>
      </c>
      <c r="G78" s="508">
        <f t="shared" si="94"/>
        <v>4212.5299999999988</v>
      </c>
      <c r="H78" s="508">
        <f t="shared" si="95"/>
        <v>4212.5299999999988</v>
      </c>
      <c r="I78" s="508">
        <f t="shared" si="96"/>
        <v>0</v>
      </c>
      <c r="J78" s="508">
        <f t="shared" si="97"/>
        <v>4212.5299999999988</v>
      </c>
      <c r="K78" s="508">
        <f t="shared" si="98"/>
        <v>0</v>
      </c>
      <c r="L78" s="508">
        <f t="shared" si="99"/>
        <v>196207020.13</v>
      </c>
    </row>
    <row r="79" spans="2:12" s="46" customFormat="1" x14ac:dyDescent="0.3">
      <c r="B79" s="96" t="str">
        <f t="shared" si="89"/>
        <v>Total Água + Esgoto</v>
      </c>
      <c r="C79" s="508">
        <f t="shared" si="90"/>
        <v>122273894.78</v>
      </c>
      <c r="D79" s="508">
        <f t="shared" si="91"/>
        <v>64283207.799999997</v>
      </c>
      <c r="E79" s="508">
        <f t="shared" si="92"/>
        <v>16854423.609999999</v>
      </c>
      <c r="F79" s="508">
        <f t="shared" si="93"/>
        <v>0</v>
      </c>
      <c r="G79" s="508">
        <f t="shared" si="94"/>
        <v>8516.14</v>
      </c>
      <c r="H79" s="508">
        <f t="shared" si="95"/>
        <v>8516.14</v>
      </c>
      <c r="I79" s="508">
        <f t="shared" si="96"/>
        <v>0</v>
      </c>
      <c r="J79" s="508">
        <f t="shared" si="97"/>
        <v>8516.14</v>
      </c>
      <c r="K79" s="508">
        <f t="shared" si="98"/>
        <v>0</v>
      </c>
      <c r="L79" s="508">
        <f t="shared" si="99"/>
        <v>203437090.72999999</v>
      </c>
    </row>
    <row r="80" spans="2:12" x14ac:dyDescent="0.3">
      <c r="B80" s="4"/>
      <c r="C80" s="101"/>
      <c r="D80" s="101"/>
      <c r="E80" s="101"/>
      <c r="F80" s="101"/>
      <c r="G80" s="101"/>
      <c r="H80" s="101"/>
      <c r="I80" s="101"/>
      <c r="J80" s="101"/>
      <c r="K80" s="101"/>
      <c r="L80" s="101"/>
    </row>
    <row r="81" spans="2:12" x14ac:dyDescent="0.3">
      <c r="B81" s="573" t="str">
        <f>B22</f>
        <v>2. INVESTIMENTOS EM FUNÇÃO DO CRESCIMENTO VEGETATIVO</v>
      </c>
      <c r="C81" s="711" t="s">
        <v>868</v>
      </c>
      <c r="D81" s="712" t="s">
        <v>869</v>
      </c>
      <c r="E81" s="712" t="s">
        <v>870</v>
      </c>
      <c r="F81" s="712" t="s">
        <v>871</v>
      </c>
      <c r="G81" s="712" t="s">
        <v>872</v>
      </c>
      <c r="H81" s="712" t="s">
        <v>873</v>
      </c>
      <c r="I81" s="712" t="s">
        <v>874</v>
      </c>
      <c r="J81" s="712" t="s">
        <v>875</v>
      </c>
      <c r="K81" s="712" t="s">
        <v>876</v>
      </c>
      <c r="L81" s="713" t="s">
        <v>877</v>
      </c>
    </row>
    <row r="82" spans="2:12" x14ac:dyDescent="0.3">
      <c r="B82" s="573"/>
      <c r="C82" s="714" t="str">
        <f>C63</f>
        <v>2027 - 2030</v>
      </c>
      <c r="D82" s="715" t="str">
        <f t="shared" ref="D82:L82" si="100">D63</f>
        <v>2031-2033</v>
      </c>
      <c r="E82" s="715" t="str">
        <f t="shared" si="100"/>
        <v>2035-2038</v>
      </c>
      <c r="F82" s="715" t="str">
        <f t="shared" si="100"/>
        <v>2039- 2042</v>
      </c>
      <c r="G82" s="715" t="str">
        <f t="shared" si="100"/>
        <v>20433 - 2046</v>
      </c>
      <c r="H82" s="715" t="str">
        <f t="shared" si="100"/>
        <v>2047 - 2050</v>
      </c>
      <c r="I82" s="715" t="str">
        <f t="shared" si="100"/>
        <v>2051 - 2054</v>
      </c>
      <c r="J82" s="715" t="str">
        <f t="shared" si="100"/>
        <v>2055 - 2058</v>
      </c>
      <c r="K82" s="715" t="str">
        <f t="shared" si="100"/>
        <v>2059 - 2061</v>
      </c>
      <c r="L82" s="716" t="str">
        <f t="shared" si="100"/>
        <v>2027 - 2061</v>
      </c>
    </row>
    <row r="83" spans="2:12" x14ac:dyDescent="0.3">
      <c r="B83" s="4" t="str">
        <f t="shared" ref="B83:B98" si="101">B24</f>
        <v>Água - Captação e tratamento</v>
      </c>
      <c r="C83" s="101">
        <f t="shared" ref="C83:C98" si="102">SUM(C24:F24)</f>
        <v>3716533.2</v>
      </c>
      <c r="D83" s="101">
        <f t="shared" ref="D83:D98" si="103">SUM(G24:J24)</f>
        <v>3211947.7</v>
      </c>
      <c r="E83" s="101">
        <f t="shared" ref="E83:E98" si="104">SUM(K24:N24)</f>
        <v>2742161.2</v>
      </c>
      <c r="F83" s="101">
        <f t="shared" ref="F83:F98" si="105">SUM(O24:R24)</f>
        <v>2319353.35</v>
      </c>
      <c r="G83" s="101">
        <f t="shared" ref="G83:G98" si="106">SUM(S24:V24)</f>
        <v>1940044.25</v>
      </c>
      <c r="H83" s="101">
        <f t="shared" ref="H83:H98" si="107">SUM(W24:Z24)</f>
        <v>1612933.65</v>
      </c>
      <c r="I83" s="101">
        <f t="shared" ref="I83:I98" si="108">SUM(AA24:AD24)</f>
        <v>1334541.6499999999</v>
      </c>
      <c r="J83" s="101">
        <f t="shared" ref="J83:J98" si="109">SUM(AE24:AH24)</f>
        <v>1094428.55</v>
      </c>
      <c r="K83" s="101">
        <f t="shared" ref="K83:K98" si="110">SUM(AI24:AK24)</f>
        <v>245332.94999999998</v>
      </c>
      <c r="L83" s="101">
        <f t="shared" ref="L83:L98" si="111">AL24</f>
        <v>18217276.499999996</v>
      </c>
    </row>
    <row r="84" spans="2:12" x14ac:dyDescent="0.3">
      <c r="B84" s="4" t="str">
        <f t="shared" si="101"/>
        <v>Água - Distribuição</v>
      </c>
      <c r="C84" s="101">
        <f t="shared" si="102"/>
        <v>3283523.28</v>
      </c>
      <c r="D84" s="101">
        <f t="shared" si="103"/>
        <v>2837726.58</v>
      </c>
      <c r="E84" s="101">
        <f t="shared" si="104"/>
        <v>2422674.48</v>
      </c>
      <c r="F84" s="101">
        <f t="shared" si="105"/>
        <v>2049127.59</v>
      </c>
      <c r="G84" s="101">
        <f t="shared" si="106"/>
        <v>1714011.45</v>
      </c>
      <c r="H84" s="101">
        <f t="shared" si="107"/>
        <v>1425012.21</v>
      </c>
      <c r="I84" s="101">
        <f t="shared" si="108"/>
        <v>1179055.4099999999</v>
      </c>
      <c r="J84" s="101">
        <f t="shared" si="109"/>
        <v>966917.67</v>
      </c>
      <c r="K84" s="101">
        <f t="shared" si="110"/>
        <v>216749.43000000002</v>
      </c>
      <c r="L84" s="101">
        <f t="shared" si="111"/>
        <v>16094798.099999998</v>
      </c>
    </row>
    <row r="85" spans="2:12" x14ac:dyDescent="0.3">
      <c r="B85" s="4" t="str">
        <f t="shared" si="101"/>
        <v>Água -  Reservação</v>
      </c>
      <c r="C85" s="101">
        <f t="shared" si="102"/>
        <v>1546891.2</v>
      </c>
      <c r="D85" s="101">
        <f t="shared" si="103"/>
        <v>1336873.2</v>
      </c>
      <c r="E85" s="101">
        <f t="shared" si="104"/>
        <v>1141339.2</v>
      </c>
      <c r="F85" s="101">
        <f t="shared" si="105"/>
        <v>965358.6</v>
      </c>
      <c r="G85" s="101">
        <f t="shared" si="106"/>
        <v>807483</v>
      </c>
      <c r="H85" s="101">
        <f t="shared" si="107"/>
        <v>671333.4</v>
      </c>
      <c r="I85" s="101">
        <f t="shared" si="108"/>
        <v>555461.4</v>
      </c>
      <c r="J85" s="101">
        <f t="shared" si="109"/>
        <v>455521.8</v>
      </c>
      <c r="K85" s="101">
        <f t="shared" si="110"/>
        <v>102112.19999999998</v>
      </c>
      <c r="L85" s="101">
        <f t="shared" si="111"/>
        <v>7582374.0000000009</v>
      </c>
    </row>
    <row r="86" spans="2:12" x14ac:dyDescent="0.3">
      <c r="B86" s="4" t="str">
        <f t="shared" si="101"/>
        <v>Água  - Ligaçãos Predial</v>
      </c>
      <c r="C86" s="101">
        <f t="shared" si="102"/>
        <v>1415676.7200000002</v>
      </c>
      <c r="D86" s="101">
        <f t="shared" si="103"/>
        <v>1223473.42</v>
      </c>
      <c r="E86" s="101">
        <f t="shared" si="104"/>
        <v>1044525.5199999999</v>
      </c>
      <c r="F86" s="101">
        <f t="shared" si="105"/>
        <v>883472.41</v>
      </c>
      <c r="G86" s="101">
        <f t="shared" si="106"/>
        <v>738988.55</v>
      </c>
      <c r="H86" s="101">
        <f t="shared" si="107"/>
        <v>614387.79</v>
      </c>
      <c r="I86" s="101">
        <f t="shared" si="108"/>
        <v>508344.58999999997</v>
      </c>
      <c r="J86" s="101">
        <f t="shared" si="109"/>
        <v>416882.33</v>
      </c>
      <c r="K86" s="101">
        <f t="shared" si="110"/>
        <v>93450.569999999978</v>
      </c>
      <c r="L86" s="101">
        <f t="shared" si="111"/>
        <v>6939201.9000000004</v>
      </c>
    </row>
    <row r="87" spans="2:12" x14ac:dyDescent="0.3">
      <c r="B87" s="4" t="str">
        <f t="shared" si="101"/>
        <v>Água - Projeto</v>
      </c>
      <c r="C87" s="101">
        <f t="shared" si="102"/>
        <v>180470.64</v>
      </c>
      <c r="D87" s="101">
        <f t="shared" si="103"/>
        <v>155968.54</v>
      </c>
      <c r="E87" s="101">
        <f t="shared" si="104"/>
        <v>133156.24</v>
      </c>
      <c r="F87" s="101">
        <f t="shared" si="105"/>
        <v>112625.17000000001</v>
      </c>
      <c r="G87" s="101">
        <f t="shared" si="106"/>
        <v>94206.35</v>
      </c>
      <c r="H87" s="101">
        <f t="shared" si="107"/>
        <v>78322.23</v>
      </c>
      <c r="I87" s="101">
        <f t="shared" si="108"/>
        <v>64803.829999999994</v>
      </c>
      <c r="J87" s="101">
        <f t="shared" si="109"/>
        <v>53144.21</v>
      </c>
      <c r="K87" s="101">
        <f t="shared" si="110"/>
        <v>11913.090000000002</v>
      </c>
      <c r="L87" s="101">
        <f t="shared" si="111"/>
        <v>884610.30000000016</v>
      </c>
    </row>
    <row r="88" spans="2:12" x14ac:dyDescent="0.3">
      <c r="B88" s="4" t="str">
        <f t="shared" si="101"/>
        <v>Água - Consultoria e licenciamento ambiental</v>
      </c>
      <c r="C88" s="101">
        <f t="shared" si="102"/>
        <v>180470.64</v>
      </c>
      <c r="D88" s="101">
        <f t="shared" si="103"/>
        <v>155968.54</v>
      </c>
      <c r="E88" s="101">
        <f t="shared" si="104"/>
        <v>133156.24</v>
      </c>
      <c r="F88" s="101">
        <f t="shared" si="105"/>
        <v>112625.17000000001</v>
      </c>
      <c r="G88" s="101">
        <f t="shared" si="106"/>
        <v>94206.35</v>
      </c>
      <c r="H88" s="101">
        <f t="shared" si="107"/>
        <v>78322.23</v>
      </c>
      <c r="I88" s="101">
        <f t="shared" si="108"/>
        <v>64803.829999999994</v>
      </c>
      <c r="J88" s="101">
        <f t="shared" si="109"/>
        <v>53144.21</v>
      </c>
      <c r="K88" s="101">
        <f t="shared" si="110"/>
        <v>11913.090000000002</v>
      </c>
      <c r="L88" s="101">
        <f t="shared" si="111"/>
        <v>884610.30000000016</v>
      </c>
    </row>
    <row r="89" spans="2:12" x14ac:dyDescent="0.3">
      <c r="B89" s="4" t="str">
        <f t="shared" si="101"/>
        <v>Água  - Gerenciamento de obra</v>
      </c>
      <c r="C89" s="101">
        <f t="shared" si="102"/>
        <v>270588.48000000004</v>
      </c>
      <c r="D89" s="101">
        <f t="shared" si="103"/>
        <v>233851.28000000003</v>
      </c>
      <c r="E89" s="101">
        <f t="shared" si="104"/>
        <v>199647.68000000002</v>
      </c>
      <c r="F89" s="101">
        <f t="shared" si="105"/>
        <v>168864.44</v>
      </c>
      <c r="G89" s="101">
        <f t="shared" si="106"/>
        <v>141248.20000000001</v>
      </c>
      <c r="H89" s="101">
        <f t="shared" si="107"/>
        <v>117432.36000000002</v>
      </c>
      <c r="I89" s="101">
        <f t="shared" si="108"/>
        <v>97163.56</v>
      </c>
      <c r="J89" s="101">
        <f t="shared" si="109"/>
        <v>79681.72</v>
      </c>
      <c r="K89" s="101">
        <f t="shared" si="110"/>
        <v>17861.88</v>
      </c>
      <c r="L89" s="101">
        <f t="shared" si="111"/>
        <v>1326339.6000000001</v>
      </c>
    </row>
    <row r="90" spans="2:12" s="46" customFormat="1" x14ac:dyDescent="0.3">
      <c r="B90" s="96" t="str">
        <f t="shared" si="101"/>
        <v>Total Água</v>
      </c>
      <c r="C90" s="508">
        <f t="shared" si="102"/>
        <v>10594154.159999998</v>
      </c>
      <c r="D90" s="508">
        <f t="shared" si="103"/>
        <v>9155809.2600000016</v>
      </c>
      <c r="E90" s="508">
        <f t="shared" si="104"/>
        <v>7816660.5599999996</v>
      </c>
      <c r="F90" s="508">
        <f t="shared" si="105"/>
        <v>6611426.7299999995</v>
      </c>
      <c r="G90" s="508">
        <f t="shared" si="106"/>
        <v>5530188.1499999985</v>
      </c>
      <c r="H90" s="508">
        <f t="shared" si="107"/>
        <v>4597743.8699999992</v>
      </c>
      <c r="I90" s="508">
        <f t="shared" si="108"/>
        <v>3804174.2700000005</v>
      </c>
      <c r="J90" s="508">
        <f t="shared" si="109"/>
        <v>3119720.49</v>
      </c>
      <c r="K90" s="508">
        <f t="shared" si="110"/>
        <v>699333.21000000008</v>
      </c>
      <c r="L90" s="508">
        <f t="shared" si="111"/>
        <v>51929210.700000003</v>
      </c>
    </row>
    <row r="91" spans="2:12" x14ac:dyDescent="0.3">
      <c r="B91" s="4" t="str">
        <f t="shared" si="101"/>
        <v>Esgoto - Coleta e afastamento</v>
      </c>
      <c r="C91" s="101">
        <f t="shared" si="102"/>
        <v>5387568.7200000007</v>
      </c>
      <c r="D91" s="101">
        <f t="shared" si="103"/>
        <v>4656110.42</v>
      </c>
      <c r="E91" s="101">
        <f t="shared" si="104"/>
        <v>3975097.52</v>
      </c>
      <c r="F91" s="101">
        <f t="shared" si="105"/>
        <v>3362185.91</v>
      </c>
      <c r="G91" s="101">
        <f t="shared" si="106"/>
        <v>2812331.05</v>
      </c>
      <c r="H91" s="101">
        <f t="shared" si="107"/>
        <v>2338144.29</v>
      </c>
      <c r="I91" s="101">
        <f t="shared" si="108"/>
        <v>1934581.09</v>
      </c>
      <c r="J91" s="101">
        <f t="shared" si="109"/>
        <v>1586507.8299999998</v>
      </c>
      <c r="K91" s="101">
        <f t="shared" si="110"/>
        <v>355640.07</v>
      </c>
      <c r="L91" s="101">
        <f t="shared" si="111"/>
        <v>26408166.899999999</v>
      </c>
    </row>
    <row r="92" spans="2:12" x14ac:dyDescent="0.3">
      <c r="B92" s="4" t="str">
        <f t="shared" si="101"/>
        <v>Esgoto – Tratam. e disposição final</v>
      </c>
      <c r="C92" s="101">
        <f t="shared" si="102"/>
        <v>3249411.36</v>
      </c>
      <c r="D92" s="101">
        <f t="shared" si="103"/>
        <v>2808245.9600000004</v>
      </c>
      <c r="E92" s="101">
        <f t="shared" si="104"/>
        <v>2397505.7599999998</v>
      </c>
      <c r="F92" s="101">
        <f t="shared" si="105"/>
        <v>2027839.58</v>
      </c>
      <c r="G92" s="101">
        <f t="shared" si="106"/>
        <v>1696204.9</v>
      </c>
      <c r="H92" s="101">
        <f t="shared" si="107"/>
        <v>1410208.0199999998</v>
      </c>
      <c r="I92" s="101">
        <f t="shared" si="108"/>
        <v>1166806.42</v>
      </c>
      <c r="J92" s="101">
        <f t="shared" si="109"/>
        <v>956872.53999999992</v>
      </c>
      <c r="K92" s="101">
        <f t="shared" si="110"/>
        <v>214497.66</v>
      </c>
      <c r="L92" s="101">
        <f t="shared" si="111"/>
        <v>15927592.199999999</v>
      </c>
    </row>
    <row r="93" spans="2:12" x14ac:dyDescent="0.3">
      <c r="B93" s="4" t="str">
        <f t="shared" si="101"/>
        <v>Esgoto  - Ligaçãos Predial</v>
      </c>
      <c r="C93" s="101">
        <f t="shared" si="102"/>
        <v>1210962.48</v>
      </c>
      <c r="D93" s="101">
        <f t="shared" si="103"/>
        <v>1046552.78</v>
      </c>
      <c r="E93" s="101">
        <f t="shared" si="104"/>
        <v>893481.67999999993</v>
      </c>
      <c r="F93" s="101">
        <f t="shared" si="105"/>
        <v>755717.69000000006</v>
      </c>
      <c r="G93" s="101">
        <f t="shared" si="106"/>
        <v>632126.94999999995</v>
      </c>
      <c r="H93" s="101">
        <f t="shared" si="107"/>
        <v>525544.1100000001</v>
      </c>
      <c r="I93" s="101">
        <f t="shared" si="108"/>
        <v>434835.31</v>
      </c>
      <c r="J93" s="101">
        <f t="shared" si="109"/>
        <v>356598.97</v>
      </c>
      <c r="K93" s="101">
        <f t="shared" si="110"/>
        <v>79937.13</v>
      </c>
      <c r="L93" s="101">
        <f t="shared" si="111"/>
        <v>5935757.0999999996</v>
      </c>
    </row>
    <row r="94" spans="2:12" x14ac:dyDescent="0.3">
      <c r="B94" s="4" t="str">
        <f t="shared" si="101"/>
        <v>Esgoto - Projeto</v>
      </c>
      <c r="C94" s="101">
        <f t="shared" si="102"/>
        <v>74525.039999999994</v>
      </c>
      <c r="D94" s="101">
        <f t="shared" si="103"/>
        <v>64406.939999999995</v>
      </c>
      <c r="E94" s="101">
        <f t="shared" si="104"/>
        <v>54986.64</v>
      </c>
      <c r="F94" s="101">
        <f t="shared" si="105"/>
        <v>46508.37</v>
      </c>
      <c r="G94" s="101">
        <f t="shared" si="106"/>
        <v>38902.35</v>
      </c>
      <c r="H94" s="101">
        <f t="shared" si="107"/>
        <v>32343.03</v>
      </c>
      <c r="I94" s="101">
        <f t="shared" si="108"/>
        <v>26760.629999999997</v>
      </c>
      <c r="J94" s="101">
        <f t="shared" si="109"/>
        <v>21945.81</v>
      </c>
      <c r="K94" s="101">
        <f t="shared" si="110"/>
        <v>4919.4900000000007</v>
      </c>
      <c r="L94" s="101">
        <f t="shared" si="111"/>
        <v>365298.3</v>
      </c>
    </row>
    <row r="95" spans="2:12" x14ac:dyDescent="0.3">
      <c r="B95" s="4" t="str">
        <f t="shared" si="101"/>
        <v>Esgoto - Consultoria e licenciamento ambiental</v>
      </c>
      <c r="C95" s="101">
        <f t="shared" si="102"/>
        <v>74525.039999999994</v>
      </c>
      <c r="D95" s="101">
        <f t="shared" si="103"/>
        <v>64406.939999999995</v>
      </c>
      <c r="E95" s="101">
        <f t="shared" si="104"/>
        <v>54986.64</v>
      </c>
      <c r="F95" s="101">
        <f t="shared" si="105"/>
        <v>46508.37</v>
      </c>
      <c r="G95" s="101">
        <f t="shared" si="106"/>
        <v>38902.35</v>
      </c>
      <c r="H95" s="101">
        <f t="shared" si="107"/>
        <v>32343.03</v>
      </c>
      <c r="I95" s="101">
        <f t="shared" si="108"/>
        <v>26760.629999999997</v>
      </c>
      <c r="J95" s="101">
        <f t="shared" si="109"/>
        <v>21945.81</v>
      </c>
      <c r="K95" s="101">
        <f t="shared" si="110"/>
        <v>4919.4900000000007</v>
      </c>
      <c r="L95" s="101">
        <f t="shared" si="111"/>
        <v>365298.3</v>
      </c>
    </row>
    <row r="96" spans="2:12" x14ac:dyDescent="0.3">
      <c r="B96" s="4" t="str">
        <f t="shared" si="101"/>
        <v>Esgoto  - Gerenciamento de obra</v>
      </c>
      <c r="C96" s="101">
        <f t="shared" si="102"/>
        <v>334326.71999999997</v>
      </c>
      <c r="D96" s="101">
        <f t="shared" si="103"/>
        <v>288935.92</v>
      </c>
      <c r="E96" s="101">
        <f t="shared" si="104"/>
        <v>246675.52</v>
      </c>
      <c r="F96" s="101">
        <f t="shared" si="105"/>
        <v>208641.15999999997</v>
      </c>
      <c r="G96" s="101">
        <f t="shared" si="106"/>
        <v>174519.8</v>
      </c>
      <c r="H96" s="101">
        <f t="shared" si="107"/>
        <v>145094.04</v>
      </c>
      <c r="I96" s="101">
        <f t="shared" si="108"/>
        <v>120050.84</v>
      </c>
      <c r="J96" s="101">
        <f t="shared" si="109"/>
        <v>98451.08</v>
      </c>
      <c r="K96" s="101">
        <f t="shared" si="110"/>
        <v>22069.319999999996</v>
      </c>
      <c r="L96" s="101">
        <f t="shared" si="111"/>
        <v>1638764.4</v>
      </c>
    </row>
    <row r="97" spans="2:12" s="46" customFormat="1" x14ac:dyDescent="0.3">
      <c r="B97" s="96" t="str">
        <f t="shared" si="101"/>
        <v>Total Esgoto</v>
      </c>
      <c r="C97" s="508">
        <f t="shared" si="102"/>
        <v>10331319.360000001</v>
      </c>
      <c r="D97" s="508">
        <f t="shared" si="103"/>
        <v>8928658.9599999972</v>
      </c>
      <c r="E97" s="508">
        <f t="shared" si="104"/>
        <v>7622733.7600000007</v>
      </c>
      <c r="F97" s="508">
        <f t="shared" si="105"/>
        <v>6447401.0800000001</v>
      </c>
      <c r="G97" s="508">
        <f t="shared" si="106"/>
        <v>5392987.3999999994</v>
      </c>
      <c r="H97" s="508">
        <f t="shared" si="107"/>
        <v>4483676.5199999996</v>
      </c>
      <c r="I97" s="508">
        <f t="shared" si="108"/>
        <v>3709794.92</v>
      </c>
      <c r="J97" s="508">
        <f t="shared" si="109"/>
        <v>3042322.0400000005</v>
      </c>
      <c r="K97" s="508">
        <f t="shared" si="110"/>
        <v>681983.16000000027</v>
      </c>
      <c r="L97" s="508">
        <f t="shared" si="111"/>
        <v>50640877.199999996</v>
      </c>
    </row>
    <row r="98" spans="2:12" s="46" customFormat="1" x14ac:dyDescent="0.3">
      <c r="B98" s="96" t="str">
        <f t="shared" si="101"/>
        <v>Total</v>
      </c>
      <c r="C98" s="508">
        <f t="shared" si="102"/>
        <v>20925473.52</v>
      </c>
      <c r="D98" s="508">
        <f t="shared" si="103"/>
        <v>18084468.219999999</v>
      </c>
      <c r="E98" s="508">
        <f t="shared" si="104"/>
        <v>15439394.319999998</v>
      </c>
      <c r="F98" s="508">
        <f t="shared" si="105"/>
        <v>13058827.809999999</v>
      </c>
      <c r="G98" s="508">
        <f t="shared" si="106"/>
        <v>10923175.549999997</v>
      </c>
      <c r="H98" s="508">
        <f t="shared" si="107"/>
        <v>9081420.3899999987</v>
      </c>
      <c r="I98" s="508">
        <f t="shared" si="108"/>
        <v>7513969.1900000004</v>
      </c>
      <c r="J98" s="508">
        <f t="shared" si="109"/>
        <v>6162042.5300000012</v>
      </c>
      <c r="K98" s="508">
        <f t="shared" si="110"/>
        <v>1381316.37</v>
      </c>
      <c r="L98" s="508">
        <f t="shared" si="111"/>
        <v>102570087.90000001</v>
      </c>
    </row>
    <row r="99" spans="2:12" x14ac:dyDescent="0.3">
      <c r="B99" s="4"/>
      <c r="C99" s="101"/>
      <c r="D99" s="101"/>
      <c r="E99" s="101"/>
      <c r="F99" s="101"/>
      <c r="G99" s="101"/>
      <c r="H99" s="101"/>
      <c r="I99" s="101"/>
      <c r="J99" s="101"/>
      <c r="K99" s="101"/>
      <c r="L99" s="101"/>
    </row>
  </sheetData>
  <mergeCells count="4">
    <mergeCell ref="AL3:AL4"/>
    <mergeCell ref="AL22:AL23"/>
    <mergeCell ref="B41:B42"/>
    <mergeCell ref="AL41:AL42"/>
  </mergeCells>
  <phoneticPr fontId="2" type="noConversion"/>
  <pageMargins left="0.511811024" right="0.511811024" top="0.78740157499999996" bottom="0.78740157499999996" header="0.31496062000000002" footer="0.31496062000000002"/>
  <pageSetup paperSize="8" scale="16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S167"/>
  <sheetViews>
    <sheetView showGridLines="0" zoomScale="90" zoomScaleNormal="90" workbookViewId="0">
      <pane xSplit="3" ySplit="1" topLeftCell="P8" activePane="bottomRight" state="frozen"/>
      <selection pane="topRight" activeCell="C1" sqref="C1"/>
      <selection pane="bottomLeft" activeCell="A2" sqref="A2"/>
      <selection pane="bottomRight" activeCell="V28" sqref="V28"/>
    </sheetView>
  </sheetViews>
  <sheetFormatPr defaultColWidth="16.33203125" defaultRowHeight="12" x14ac:dyDescent="0.25"/>
  <cols>
    <col min="1" max="1" width="21" style="18" bestFit="1" customWidth="1"/>
    <col min="2" max="2" width="30.33203125" style="18" customWidth="1"/>
    <col min="3" max="3" width="23.88671875" style="18" customWidth="1"/>
    <col min="4" max="5" width="16.5546875" style="18" bestFit="1" customWidth="1"/>
    <col min="6" max="8" width="17.5546875" style="18" bestFit="1" customWidth="1"/>
    <col min="9" max="10" width="16.44140625" style="18" bestFit="1" customWidth="1"/>
    <col min="11" max="14" width="15.6640625" style="18" bestFit="1" customWidth="1"/>
    <col min="15" max="15" width="15.5546875" style="18" bestFit="1" customWidth="1"/>
    <col min="16" max="16" width="17.44140625" style="18" customWidth="1"/>
    <col min="17" max="17" width="16.88671875" style="18" bestFit="1" customWidth="1"/>
    <col min="18" max="19" width="15.5546875" style="18" bestFit="1" customWidth="1"/>
    <col min="20" max="25" width="15.44140625" style="18" bestFit="1" customWidth="1"/>
    <col min="26" max="33" width="14.88671875" style="18" bestFit="1" customWidth="1"/>
    <col min="34" max="35" width="15.88671875" style="18" bestFit="1" customWidth="1"/>
    <col min="36" max="16384" width="16.33203125" style="18"/>
  </cols>
  <sheetData>
    <row r="1" spans="1:41" ht="15" thickBot="1" x14ac:dyDescent="0.35">
      <c r="A1" s="318" t="s">
        <v>522</v>
      </c>
      <c r="B1" s="56"/>
      <c r="C1" s="56"/>
      <c r="D1" s="64">
        <f>Cronograma!C3</f>
        <v>1</v>
      </c>
      <c r="E1" s="64">
        <f>Cronograma!D3</f>
        <v>2</v>
      </c>
      <c r="F1" s="64">
        <f>Cronograma!E3</f>
        <v>3</v>
      </c>
      <c r="G1" s="64">
        <f>Cronograma!F3</f>
        <v>4</v>
      </c>
      <c r="H1" s="64">
        <f>Cronograma!G3</f>
        <v>5</v>
      </c>
      <c r="I1" s="64">
        <f>Cronograma!H3</f>
        <v>6</v>
      </c>
      <c r="J1" s="64">
        <f>Cronograma!I3</f>
        <v>7</v>
      </c>
      <c r="K1" s="64">
        <f>Cronograma!J3</f>
        <v>8</v>
      </c>
      <c r="L1" s="64">
        <f>Cronograma!K3</f>
        <v>9</v>
      </c>
      <c r="M1" s="64">
        <f>Cronograma!L3</f>
        <v>10</v>
      </c>
      <c r="N1" s="64">
        <f>Cronograma!M3</f>
        <v>11</v>
      </c>
      <c r="O1" s="64">
        <f>Cronograma!N3</f>
        <v>12</v>
      </c>
      <c r="P1" s="64">
        <f>Cronograma!O3</f>
        <v>13</v>
      </c>
      <c r="Q1" s="64">
        <f>Cronograma!P3</f>
        <v>14</v>
      </c>
      <c r="R1" s="64">
        <f>Cronograma!Q3</f>
        <v>15</v>
      </c>
      <c r="S1" s="64">
        <f>Cronograma!R3</f>
        <v>16</v>
      </c>
      <c r="T1" s="64">
        <f>Cronograma!S3</f>
        <v>17</v>
      </c>
      <c r="U1" s="64">
        <f>Cronograma!T3</f>
        <v>18</v>
      </c>
      <c r="V1" s="64">
        <f>Cronograma!U3</f>
        <v>19</v>
      </c>
      <c r="W1" s="64">
        <f>Cronograma!V3</f>
        <v>20</v>
      </c>
      <c r="X1" s="64">
        <f>Cronograma!W3</f>
        <v>21</v>
      </c>
      <c r="Y1" s="64">
        <f>Cronograma!X3</f>
        <v>22</v>
      </c>
      <c r="Z1" s="64">
        <f>Cronograma!Y3</f>
        <v>23</v>
      </c>
      <c r="AA1" s="64">
        <f>Cronograma!Z3</f>
        <v>24</v>
      </c>
      <c r="AB1" s="64">
        <f>Cronograma!AA3</f>
        <v>25</v>
      </c>
      <c r="AC1" s="64">
        <f>Cronograma!AB3</f>
        <v>26</v>
      </c>
      <c r="AD1" s="64">
        <f>Cronograma!AC3</f>
        <v>27</v>
      </c>
      <c r="AE1" s="64">
        <f>Cronograma!AD3</f>
        <v>28</v>
      </c>
      <c r="AF1" s="64">
        <f>Cronograma!AE3</f>
        <v>29</v>
      </c>
      <c r="AG1" s="64">
        <f>Cronograma!AF3</f>
        <v>30</v>
      </c>
      <c r="AH1" s="64">
        <f>Cronograma!AG3</f>
        <v>31</v>
      </c>
      <c r="AI1" s="64">
        <f>Cronograma!AH3</f>
        <v>32</v>
      </c>
      <c r="AJ1" s="64">
        <f>Cronograma!AI3</f>
        <v>33</v>
      </c>
      <c r="AK1" s="64">
        <f>Cronograma!AJ3</f>
        <v>34</v>
      </c>
      <c r="AL1" s="64">
        <f>Cronograma!AK3</f>
        <v>35</v>
      </c>
    </row>
    <row r="2" spans="1:41" ht="14.4" x14ac:dyDescent="0.3">
      <c r="A2" s="147" t="s">
        <v>528</v>
      </c>
      <c r="B2" s="56"/>
      <c r="C2" s="64" t="s">
        <v>210</v>
      </c>
      <c r="D2" s="63">
        <f>'FCD PROJETO'!F24</f>
        <v>2027</v>
      </c>
      <c r="E2" s="63">
        <f>'FCD PROJETO'!G24</f>
        <v>2028</v>
      </c>
      <c r="F2" s="63">
        <f>'FCD PROJETO'!H24</f>
        <v>2029</v>
      </c>
      <c r="G2" s="63">
        <f>'FCD PROJETO'!I24</f>
        <v>2030</v>
      </c>
      <c r="H2" s="63">
        <f>'FCD PROJETO'!J24</f>
        <v>2031</v>
      </c>
      <c r="I2" s="63">
        <f>'FCD PROJETO'!K24</f>
        <v>2032</v>
      </c>
      <c r="J2" s="63">
        <f>'FCD PROJETO'!L24</f>
        <v>2033</v>
      </c>
      <c r="K2" s="63">
        <f>'FCD PROJETO'!M24</f>
        <v>2034</v>
      </c>
      <c r="L2" s="63">
        <f>'FCD PROJETO'!N24</f>
        <v>2035</v>
      </c>
      <c r="M2" s="63">
        <f>'FCD PROJETO'!O24</f>
        <v>2036</v>
      </c>
      <c r="N2" s="63">
        <f>'FCD PROJETO'!P24</f>
        <v>2037</v>
      </c>
      <c r="O2" s="63">
        <f>'FCD PROJETO'!Q24</f>
        <v>2038</v>
      </c>
      <c r="P2" s="63">
        <f>'FCD PROJETO'!R24</f>
        <v>2039</v>
      </c>
      <c r="Q2" s="63">
        <f>'FCD PROJETO'!S24</f>
        <v>2040</v>
      </c>
      <c r="R2" s="63">
        <f>'FCD PROJETO'!T24</f>
        <v>2041</v>
      </c>
      <c r="S2" s="63">
        <f>'FCD PROJETO'!U24</f>
        <v>2042</v>
      </c>
      <c r="T2" s="63">
        <f>'FCD PROJETO'!V24</f>
        <v>2043</v>
      </c>
      <c r="U2" s="63">
        <f>'FCD PROJETO'!W24</f>
        <v>2044</v>
      </c>
      <c r="V2" s="63">
        <f>'FCD PROJETO'!X24</f>
        <v>2045</v>
      </c>
      <c r="W2" s="63">
        <f>'FCD PROJETO'!Y24</f>
        <v>2046</v>
      </c>
      <c r="X2" s="63">
        <f>'FCD PROJETO'!Z24</f>
        <v>2047</v>
      </c>
      <c r="Y2" s="63">
        <f>'FCD PROJETO'!AA24</f>
        <v>2048</v>
      </c>
      <c r="Z2" s="63">
        <f>'FCD PROJETO'!AB24</f>
        <v>2049</v>
      </c>
      <c r="AA2" s="63">
        <f>'FCD PROJETO'!AC24</f>
        <v>2050</v>
      </c>
      <c r="AB2" s="63">
        <f>'FCD PROJETO'!AD24</f>
        <v>2051</v>
      </c>
      <c r="AC2" s="63">
        <f>'FCD PROJETO'!AE24</f>
        <v>2052</v>
      </c>
      <c r="AD2" s="63">
        <f>'FCD PROJETO'!AF24</f>
        <v>2053</v>
      </c>
      <c r="AE2" s="63">
        <f>'FCD PROJETO'!AG24</f>
        <v>2054</v>
      </c>
      <c r="AF2" s="63">
        <f>'FCD PROJETO'!AH24</f>
        <v>2055</v>
      </c>
      <c r="AG2" s="63">
        <f>'FCD PROJETO'!AI24</f>
        <v>2056</v>
      </c>
      <c r="AH2" s="63">
        <f>'FCD PROJETO'!AJ24</f>
        <v>2057</v>
      </c>
      <c r="AI2" s="63">
        <f>'FCD PROJETO'!AK24</f>
        <v>2058</v>
      </c>
      <c r="AJ2" s="63">
        <f>'FCD PROJETO'!AL24</f>
        <v>2059</v>
      </c>
      <c r="AK2" s="63">
        <f>'FCD PROJETO'!AM24</f>
        <v>2060</v>
      </c>
      <c r="AL2" s="63">
        <f>'FCD PROJETO'!AN24</f>
        <v>2061</v>
      </c>
    </row>
    <row r="3" spans="1:41" ht="36" customHeight="1" x14ac:dyDescent="0.3">
      <c r="A3" s="222" t="s">
        <v>524</v>
      </c>
      <c r="B3" s="217" t="s">
        <v>2</v>
      </c>
      <c r="C3" s="338" t="s">
        <v>211</v>
      </c>
      <c r="D3" s="218">
        <f>Cronograma!C20</f>
        <v>0</v>
      </c>
      <c r="E3" s="218">
        <f>Cronograma!D20</f>
        <v>43406498.740000002</v>
      </c>
      <c r="F3" s="218">
        <f>Cronograma!E20</f>
        <v>39581341.260000013</v>
      </c>
      <c r="G3" s="218">
        <f>Cronograma!F20</f>
        <v>39286054.779999994</v>
      </c>
      <c r="H3" s="218">
        <f>Cronograma!G20</f>
        <v>40153835.959999993</v>
      </c>
      <c r="I3" s="218">
        <f>Cronograma!H20</f>
        <v>9949995.8599999975</v>
      </c>
      <c r="J3" s="218">
        <f>Cronograma!I20</f>
        <v>10147984.770000001</v>
      </c>
      <c r="K3" s="218">
        <f>Cronograma!J20</f>
        <v>4031391.2099999995</v>
      </c>
      <c r="L3" s="218">
        <f>Cronograma!K20</f>
        <v>4111520.36</v>
      </c>
      <c r="M3" s="218">
        <f>Cronograma!L20</f>
        <v>4178829.7600000002</v>
      </c>
      <c r="N3" s="218">
        <f>Cronograma!M20</f>
        <v>4250442.7700000005</v>
      </c>
      <c r="O3" s="218">
        <f>Cronograma!N20</f>
        <v>4313630.7199999988</v>
      </c>
      <c r="P3" s="218">
        <f>Cronograma!O20</f>
        <v>0</v>
      </c>
      <c r="Q3" s="218">
        <f>Cronograma!P20</f>
        <v>0</v>
      </c>
      <c r="R3" s="218">
        <f>Cronograma!Q20</f>
        <v>0</v>
      </c>
      <c r="S3" s="218">
        <f>Cronograma!R20</f>
        <v>0</v>
      </c>
      <c r="T3" s="218">
        <f>Cronograma!S20</f>
        <v>0</v>
      </c>
      <c r="U3" s="218">
        <f>Cronograma!T20</f>
        <v>0</v>
      </c>
      <c r="V3" s="218">
        <f>Cronograma!U20</f>
        <v>8516.14</v>
      </c>
      <c r="W3" s="218">
        <f>Cronograma!V20</f>
        <v>0</v>
      </c>
      <c r="X3" s="218">
        <f>Cronograma!W20</f>
        <v>0</v>
      </c>
      <c r="Y3" s="218">
        <f>Cronograma!X20</f>
        <v>0</v>
      </c>
      <c r="Z3" s="218">
        <f>Cronograma!Y20</f>
        <v>8516.14</v>
      </c>
      <c r="AA3" s="218">
        <f>Cronograma!Z20</f>
        <v>0</v>
      </c>
      <c r="AB3" s="218">
        <f>Cronograma!AA20</f>
        <v>0</v>
      </c>
      <c r="AC3" s="218">
        <f>Cronograma!AB20</f>
        <v>0</v>
      </c>
      <c r="AD3" s="218">
        <f>Cronograma!AC20</f>
        <v>0</v>
      </c>
      <c r="AE3" s="218">
        <f>Cronograma!AD20</f>
        <v>0</v>
      </c>
      <c r="AF3" s="218">
        <f>Cronograma!AE20</f>
        <v>0</v>
      </c>
      <c r="AG3" s="218">
        <f>Cronograma!AF20</f>
        <v>0</v>
      </c>
      <c r="AH3" s="218">
        <f>Cronograma!AG20</f>
        <v>8516.14</v>
      </c>
      <c r="AI3" s="218">
        <f>Cronograma!AH20</f>
        <v>0</v>
      </c>
      <c r="AJ3" s="218">
        <f>Cronograma!AI20</f>
        <v>0</v>
      </c>
      <c r="AK3" s="218">
        <f>Cronograma!AJ20</f>
        <v>0</v>
      </c>
      <c r="AL3" s="218">
        <f>Cronograma!AK20</f>
        <v>0</v>
      </c>
      <c r="AM3" s="23">
        <f>SUM(D3:AL3)</f>
        <v>203437074.60999998</v>
      </c>
    </row>
    <row r="4" spans="1:41" ht="39.75" customHeight="1" x14ac:dyDescent="0.25">
      <c r="B4" s="217" t="s">
        <v>83</v>
      </c>
      <c r="C4" s="338" t="s">
        <v>211</v>
      </c>
      <c r="D4" s="218">
        <f>Cronograma!C39</f>
        <v>5505672.3399999999</v>
      </c>
      <c r="E4" s="218">
        <f>Cronograma!D39</f>
        <v>5319537.51</v>
      </c>
      <c r="F4" s="218">
        <f>Cronograma!E39</f>
        <v>5143199.25</v>
      </c>
      <c r="G4" s="218">
        <f>Cronograma!F39</f>
        <v>4957064.42</v>
      </c>
      <c r="H4" s="218">
        <f>Cronograma!G39</f>
        <v>4780726.16</v>
      </c>
      <c r="I4" s="218">
        <f>Cronograma!H39</f>
        <v>4604387.8999999985</v>
      </c>
      <c r="J4" s="218">
        <f>Cronograma!I39</f>
        <v>4437846.2100000009</v>
      </c>
      <c r="K4" s="218">
        <f>Cronograma!J39</f>
        <v>4261507.9499999993</v>
      </c>
      <c r="L4" s="218">
        <f>Cronograma!K39</f>
        <v>4094966.26</v>
      </c>
      <c r="M4" s="218">
        <f>Cronograma!L39</f>
        <v>3938221.1399999997</v>
      </c>
      <c r="N4" s="218">
        <f>Cronograma!M39</f>
        <v>3781476.0199999996</v>
      </c>
      <c r="O4" s="218">
        <f>Cronograma!N39</f>
        <v>3624730.9000000004</v>
      </c>
      <c r="P4" s="218">
        <f>Cronograma!O39</f>
        <v>3477782.3499999996</v>
      </c>
      <c r="Q4" s="218">
        <f>Cronograma!P39</f>
        <v>3330833.8000000007</v>
      </c>
      <c r="R4" s="218">
        <f>Cronograma!Q39</f>
        <v>3193681.8199999994</v>
      </c>
      <c r="S4" s="218">
        <f>Cronograma!R39</f>
        <v>3056529.8399999994</v>
      </c>
      <c r="T4" s="218">
        <f>Cronograma!S39</f>
        <v>2919377.86</v>
      </c>
      <c r="U4" s="218">
        <f>Cronograma!T39</f>
        <v>2792022.4499999993</v>
      </c>
      <c r="V4" s="218">
        <f>Cronograma!U39</f>
        <v>2664667.04</v>
      </c>
      <c r="W4" s="218">
        <f>Cronograma!V39</f>
        <v>2547108.1999999993</v>
      </c>
      <c r="X4" s="218">
        <f>Cronograma!W39</f>
        <v>2429549.36</v>
      </c>
      <c r="Y4" s="218">
        <f>Cronograma!X39</f>
        <v>2321787.09</v>
      </c>
      <c r="Z4" s="218">
        <f>Cronograma!Y39</f>
        <v>2214024.8199999994</v>
      </c>
      <c r="AA4" s="218">
        <f>Cronograma!Z39</f>
        <v>2116059.12</v>
      </c>
      <c r="AB4" s="218">
        <f>Cronograma!AA39</f>
        <v>2018093.4199999997</v>
      </c>
      <c r="AC4" s="218">
        <f>Cronograma!AB39</f>
        <v>1920127.7200000002</v>
      </c>
      <c r="AD4" s="218">
        <f>Cronograma!AC39</f>
        <v>1831958.5900000003</v>
      </c>
      <c r="AE4" s="218">
        <f>Cronograma!AD39</f>
        <v>1743789.4600000002</v>
      </c>
      <c r="AF4" s="218">
        <f>Cronograma!AE39</f>
        <v>1655620.3300000003</v>
      </c>
      <c r="AG4" s="218">
        <f>Cronograma!AF39</f>
        <v>1577247.77</v>
      </c>
      <c r="AH4" s="218">
        <f>Cronograma!AG39</f>
        <v>1498875.21</v>
      </c>
      <c r="AI4" s="218">
        <f>Cronograma!AH39</f>
        <v>1430299.2200000002</v>
      </c>
      <c r="AJ4" s="218">
        <f>Cronograma!AI39</f>
        <v>1361723.23</v>
      </c>
      <c r="AK4" s="218">
        <f>Cronograma!AJ39</f>
        <v>1322536.9500000002</v>
      </c>
      <c r="AL4" s="218">
        <f>Cronograma!AK39</f>
        <v>-1302943.81</v>
      </c>
      <c r="AM4" s="23">
        <f>SUM(D4:AL4)</f>
        <v>102570087.89999999</v>
      </c>
      <c r="AN4" s="23">
        <f>CAPEX!F38</f>
        <v>50640805.71428749</v>
      </c>
      <c r="AO4" s="23"/>
    </row>
    <row r="5" spans="1:41" x14ac:dyDescent="0.25">
      <c r="B5" s="1099" t="s">
        <v>292</v>
      </c>
      <c r="C5" s="1099"/>
      <c r="D5" s="218">
        <f ca="1">SUMIF($C$3:D4,"SIM",D3:D4)</f>
        <v>5505672.3399999999</v>
      </c>
      <c r="E5" s="218">
        <f ca="1">SUMIF($C$3:E4,"SIM",E3:E4)</f>
        <v>48726036.25</v>
      </c>
      <c r="F5" s="218">
        <f ca="1">SUMIF($C$3:F4,"SIM",F3:F4)</f>
        <v>44724540.510000013</v>
      </c>
      <c r="G5" s="218">
        <f ca="1">SUMIF($C$3:G4,"SIM",G3:G4)</f>
        <v>44243119.199999996</v>
      </c>
      <c r="H5" s="218">
        <f ca="1">SUMIF($C$3:H4,"SIM",H3:H4)</f>
        <v>44934562.11999999</v>
      </c>
      <c r="I5" s="218">
        <f ca="1">SUMIF($C$3:I4,"SIM",I3:I4)</f>
        <v>14554383.759999996</v>
      </c>
      <c r="J5" s="218">
        <f ca="1">SUMIF($C$3:J4,"SIM",J3:J4)</f>
        <v>14585830.980000002</v>
      </c>
      <c r="K5" s="218">
        <f ca="1">SUMIF($C$3:K4,"SIM",K3:K4)</f>
        <v>8292899.1599999983</v>
      </c>
      <c r="L5" s="218">
        <f ca="1">SUMIF($C$3:L4,"SIM",L3:L4)</f>
        <v>8206486.6199999992</v>
      </c>
      <c r="M5" s="218">
        <f ca="1">SUMIF($C$3:M4,"SIM",M3:M4)</f>
        <v>8117050.9000000004</v>
      </c>
      <c r="N5" s="218">
        <f ca="1">SUMIF($C$3:N4,"SIM",N3:N4)</f>
        <v>8031918.79</v>
      </c>
      <c r="O5" s="218">
        <f ca="1">SUMIF($C$3:O4,"SIM",O3:O4)</f>
        <v>7938361.6199999992</v>
      </c>
      <c r="P5" s="218">
        <f ca="1">SUMIF($C$3:P4,"SIM",P3:P4)</f>
        <v>3477782.3499999996</v>
      </c>
      <c r="Q5" s="218">
        <f ca="1">SUMIF($C$3:Q4,"SIM",Q3:Q4)</f>
        <v>3330833.8000000007</v>
      </c>
      <c r="R5" s="218">
        <f ca="1">SUMIF($C$3:R4,"SIM",R3:R4)</f>
        <v>3193681.8199999994</v>
      </c>
      <c r="S5" s="218">
        <f ca="1">SUMIF($C$3:S4,"SIM",S3:S4)</f>
        <v>3056529.8399999994</v>
      </c>
      <c r="T5" s="218">
        <f ca="1">SUMIF($C$3:T4,"SIM",T3:T4)</f>
        <v>2919377.86</v>
      </c>
      <c r="U5" s="218">
        <f ca="1">SUMIF($C$3:U4,"SIM",U3:U4)</f>
        <v>2792022.4499999993</v>
      </c>
      <c r="V5" s="218">
        <f ca="1">SUMIF($C$3:V4,"SIM",V3:V4)</f>
        <v>2673183.1800000002</v>
      </c>
      <c r="W5" s="218">
        <f ca="1">SUMIF($C$3:W4,"SIM",W3:W4)</f>
        <v>2547108.1999999993</v>
      </c>
      <c r="X5" s="218">
        <f ca="1">SUMIF($C$3:X4,"SIM",X3:X4)</f>
        <v>2429549.36</v>
      </c>
      <c r="Y5" s="218">
        <f ca="1">SUMIF($C$3:Y4,"SIM",Y3:Y4)</f>
        <v>2321787.09</v>
      </c>
      <c r="Z5" s="218">
        <f ca="1">SUMIF($C$3:Z4,"SIM",Z3:Z4)</f>
        <v>2222540.9599999995</v>
      </c>
      <c r="AA5" s="218">
        <f ca="1">SUMIF($C$3:AA4,"SIM",AA3:AA4)</f>
        <v>2116059.12</v>
      </c>
      <c r="AB5" s="218">
        <f ca="1">SUMIF($C$3:AB4,"SIM",AB3:AB4)</f>
        <v>2018093.4199999997</v>
      </c>
      <c r="AC5" s="218">
        <f ca="1">SUMIF($C$3:AC4,"SIM",AC3:AC4)</f>
        <v>1920127.7200000002</v>
      </c>
      <c r="AD5" s="218">
        <f ca="1">SUMIF($C$3:AD4,"SIM",AD3:AD4)</f>
        <v>1831958.5900000003</v>
      </c>
      <c r="AE5" s="218">
        <f ca="1">SUMIF($C$3:AE4,"SIM",AE3:AE4)</f>
        <v>1743789.4600000002</v>
      </c>
      <c r="AF5" s="218">
        <f ca="1">SUMIF($C$3:AF4,"SIM",AF3:AF4)</f>
        <v>1655620.3300000003</v>
      </c>
      <c r="AG5" s="218">
        <f ca="1">SUMIF($C$3:AG4,"SIM",AG3:AG4)</f>
        <v>1577247.77</v>
      </c>
      <c r="AH5" s="218">
        <f ca="1">SUMIF($C$3:AH4,"SIM",AH3:AH4)</f>
        <v>1507391.3499999999</v>
      </c>
      <c r="AI5" s="218">
        <f ca="1">SUMIF($C$3:AI4,"SIM",AI3:AI4)</f>
        <v>1430299.2200000002</v>
      </c>
      <c r="AJ5" s="218">
        <f ca="1">SUMIF($C$3:AJ4,"SIM",AJ3:AJ4)</f>
        <v>1361723.23</v>
      </c>
      <c r="AK5" s="218">
        <f ca="1">SUMIF($C$3:AK4,"SIM",AK3:AK4)</f>
        <v>1322536.9500000002</v>
      </c>
      <c r="AL5" s="218">
        <f ca="1">SUMIF($C$3:AL4,"SIM",AL3:AL4)</f>
        <v>-1302943.81</v>
      </c>
    </row>
    <row r="6" spans="1:41" ht="14.4" x14ac:dyDescent="0.3">
      <c r="B6" s="56"/>
      <c r="C6" s="56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/>
      <c r="AK6"/>
      <c r="AL6"/>
    </row>
    <row r="7" spans="1:41" ht="14.4" x14ac:dyDescent="0.3">
      <c r="B7" s="56"/>
      <c r="C7" s="56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/>
      <c r="AK7"/>
      <c r="AL7"/>
    </row>
    <row r="8" spans="1:41" ht="14.4" x14ac:dyDescent="0.3">
      <c r="B8" s="56"/>
      <c r="C8" s="56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/>
      <c r="AK8"/>
      <c r="AL8"/>
    </row>
    <row r="9" spans="1:41" x14ac:dyDescent="0.25">
      <c r="B9" s="19" t="s">
        <v>209</v>
      </c>
      <c r="C9" s="165">
        <f ca="1">SUM(D9:AL9)</f>
        <v>306007162.50999999</v>
      </c>
      <c r="D9" s="219">
        <f ca="1">D5</f>
        <v>5505672.3399999999</v>
      </c>
      <c r="E9" s="219">
        <f t="shared" ref="E9:AI9" ca="1" si="0">E5</f>
        <v>48726036.25</v>
      </c>
      <c r="F9" s="219">
        <f t="shared" ca="1" si="0"/>
        <v>44724540.510000013</v>
      </c>
      <c r="G9" s="219">
        <f t="shared" ca="1" si="0"/>
        <v>44243119.199999996</v>
      </c>
      <c r="H9" s="219">
        <f t="shared" ca="1" si="0"/>
        <v>44934562.11999999</v>
      </c>
      <c r="I9" s="219">
        <f t="shared" ca="1" si="0"/>
        <v>14554383.759999996</v>
      </c>
      <c r="J9" s="219">
        <f t="shared" ca="1" si="0"/>
        <v>14585830.980000002</v>
      </c>
      <c r="K9" s="219">
        <f t="shared" ca="1" si="0"/>
        <v>8292899.1599999983</v>
      </c>
      <c r="L9" s="219">
        <f t="shared" ca="1" si="0"/>
        <v>8206486.6199999992</v>
      </c>
      <c r="M9" s="219">
        <f t="shared" ca="1" si="0"/>
        <v>8117050.9000000004</v>
      </c>
      <c r="N9" s="219">
        <f t="shared" ca="1" si="0"/>
        <v>8031918.79</v>
      </c>
      <c r="O9" s="219">
        <f t="shared" ca="1" si="0"/>
        <v>7938361.6199999992</v>
      </c>
      <c r="P9" s="219">
        <f t="shared" ca="1" si="0"/>
        <v>3477782.3499999996</v>
      </c>
      <c r="Q9" s="219">
        <f t="shared" ca="1" si="0"/>
        <v>3330833.8000000007</v>
      </c>
      <c r="R9" s="219">
        <f t="shared" ca="1" si="0"/>
        <v>3193681.8199999994</v>
      </c>
      <c r="S9" s="219">
        <f t="shared" ca="1" si="0"/>
        <v>3056529.8399999994</v>
      </c>
      <c r="T9" s="219">
        <f t="shared" ca="1" si="0"/>
        <v>2919377.86</v>
      </c>
      <c r="U9" s="219">
        <f t="shared" ca="1" si="0"/>
        <v>2792022.4499999993</v>
      </c>
      <c r="V9" s="219">
        <f t="shared" ca="1" si="0"/>
        <v>2673183.1800000002</v>
      </c>
      <c r="W9" s="219">
        <f t="shared" ca="1" si="0"/>
        <v>2547108.1999999993</v>
      </c>
      <c r="X9" s="219">
        <f t="shared" ca="1" si="0"/>
        <v>2429549.36</v>
      </c>
      <c r="Y9" s="219">
        <f t="shared" ca="1" si="0"/>
        <v>2321787.09</v>
      </c>
      <c r="Z9" s="219">
        <f t="shared" ca="1" si="0"/>
        <v>2222540.9599999995</v>
      </c>
      <c r="AA9" s="219">
        <f t="shared" ca="1" si="0"/>
        <v>2116059.12</v>
      </c>
      <c r="AB9" s="219">
        <f t="shared" ca="1" si="0"/>
        <v>2018093.4199999997</v>
      </c>
      <c r="AC9" s="219">
        <f t="shared" ca="1" si="0"/>
        <v>1920127.7200000002</v>
      </c>
      <c r="AD9" s="219">
        <f t="shared" ca="1" si="0"/>
        <v>1831958.5900000003</v>
      </c>
      <c r="AE9" s="219">
        <f t="shared" ca="1" si="0"/>
        <v>1743789.4600000002</v>
      </c>
      <c r="AF9" s="219">
        <f t="shared" ca="1" si="0"/>
        <v>1655620.3300000003</v>
      </c>
      <c r="AG9" s="219">
        <f t="shared" ca="1" si="0"/>
        <v>1577247.77</v>
      </c>
      <c r="AH9" s="219">
        <f t="shared" ca="1" si="0"/>
        <v>1507391.3499999999</v>
      </c>
      <c r="AI9" s="219">
        <f t="shared" ca="1" si="0"/>
        <v>1430299.2200000002</v>
      </c>
      <c r="AJ9" s="219">
        <f t="shared" ref="AJ9:AL9" ca="1" si="1">AJ5</f>
        <v>1361723.23</v>
      </c>
      <c r="AK9" s="219">
        <f t="shared" ca="1" si="1"/>
        <v>1322536.9500000002</v>
      </c>
      <c r="AL9" s="219">
        <f t="shared" ca="1" si="1"/>
        <v>-1302943.81</v>
      </c>
    </row>
    <row r="10" spans="1:41" x14ac:dyDescent="0.25">
      <c r="B10" s="19" t="s">
        <v>208</v>
      </c>
      <c r="C10" s="220">
        <f ca="1">SUM(D10:AL10)</f>
        <v>0.99999999999999989</v>
      </c>
      <c r="D10" s="221">
        <f t="shared" ref="D10:AG10" ca="1" si="2">IF($C$9=0,0,D9/$C$9)</f>
        <v>1.7991972131763682E-2</v>
      </c>
      <c r="E10" s="221">
        <f t="shared" ca="1" si="2"/>
        <v>0.15923168546228941</v>
      </c>
      <c r="F10" s="221">
        <f t="shared" ca="1" si="2"/>
        <v>0.14615520807797583</v>
      </c>
      <c r="G10" s="221">
        <f t="shared" ca="1" si="2"/>
        <v>0.14458197264763101</v>
      </c>
      <c r="H10" s="221">
        <f t="shared" ca="1" si="2"/>
        <v>0.14684153714386203</v>
      </c>
      <c r="I10" s="221">
        <f t="shared" ca="1" si="2"/>
        <v>4.7562232336716546E-2</v>
      </c>
      <c r="J10" s="221">
        <f t="shared" ca="1" si="2"/>
        <v>4.7664998624087282E-2</v>
      </c>
      <c r="K10" s="221">
        <f t="shared" ca="1" si="2"/>
        <v>2.7100343312156935E-2</v>
      </c>
      <c r="L10" s="221">
        <f t="shared" ca="1" si="2"/>
        <v>2.6817956000398584E-2</v>
      </c>
      <c r="M10" s="221">
        <f t="shared" ca="1" si="2"/>
        <v>2.6525689246684688E-2</v>
      </c>
      <c r="N10" s="221">
        <f t="shared" ca="1" si="2"/>
        <v>2.6247486248749244E-2</v>
      </c>
      <c r="O10" s="221">
        <f t="shared" ca="1" si="2"/>
        <v>2.5941751019440868E-2</v>
      </c>
      <c r="P10" s="221">
        <f t="shared" ca="1" si="2"/>
        <v>1.1365035777181684E-2</v>
      </c>
      <c r="Q10" s="221">
        <f t="shared" ca="1" si="2"/>
        <v>1.0884822997864151E-2</v>
      </c>
      <c r="R10" s="221">
        <f t="shared" ca="1" si="2"/>
        <v>1.0436624403834447E-2</v>
      </c>
      <c r="S10" s="221">
        <f t="shared" ca="1" si="2"/>
        <v>9.9884258098047463E-3</v>
      </c>
      <c r="T10" s="221">
        <f t="shared" ca="1" si="2"/>
        <v>9.5402272157750472E-3</v>
      </c>
      <c r="U10" s="221">
        <f t="shared" ca="1" si="2"/>
        <v>9.1240428070331822E-3</v>
      </c>
      <c r="V10" s="221">
        <f t="shared" ca="1" si="2"/>
        <v>8.7356882697562453E-3</v>
      </c>
      <c r="W10" s="221">
        <f t="shared" ca="1" si="2"/>
        <v>8.323688174837288E-3</v>
      </c>
      <c r="X10" s="221">
        <f t="shared" ca="1" si="2"/>
        <v>7.9395179513832622E-3</v>
      </c>
      <c r="Y10" s="221">
        <f t="shared" ca="1" si="2"/>
        <v>7.5873619132170679E-3</v>
      </c>
      <c r="Z10" s="221">
        <f t="shared" ca="1" si="2"/>
        <v>7.2630357465157998E-3</v>
      </c>
      <c r="AA10" s="221">
        <f t="shared" ca="1" si="2"/>
        <v>6.9150640221725184E-3</v>
      </c>
      <c r="AB10" s="221">
        <f t="shared" ca="1" si="2"/>
        <v>6.5949221692941599E-3</v>
      </c>
      <c r="AC10" s="221">
        <f t="shared" ca="1" si="2"/>
        <v>6.2747803164158048E-3</v>
      </c>
      <c r="AD10" s="221">
        <f t="shared" ca="1" si="2"/>
        <v>5.9866526488252829E-3</v>
      </c>
      <c r="AE10" s="221">
        <f t="shared" ca="1" si="2"/>
        <v>5.6985249812347609E-3</v>
      </c>
      <c r="AF10" s="221">
        <f t="shared" ca="1" si="2"/>
        <v>5.4103973136442399E-3</v>
      </c>
      <c r="AG10" s="221">
        <f t="shared" ca="1" si="2"/>
        <v>5.1542838313415528E-3</v>
      </c>
      <c r="AH10" s="221">
        <f ca="1">IF($C$9=0,0,AH9/$C$9)</f>
        <v>4.926000220503793E-3</v>
      </c>
      <c r="AI10" s="221">
        <f ca="1">IF($C$9=0,0,AI9/$C$9)</f>
        <v>4.674071052024018E-3</v>
      </c>
      <c r="AJ10" s="221">
        <f t="shared" ref="AJ10" ca="1" si="3">IF($C$9=0,0,AJ9/$C$9)</f>
        <v>4.4499717550091668E-3</v>
      </c>
      <c r="AK10" s="221">
        <f ca="1">IF($C$9=0,0,AK9/$C$9)</f>
        <v>4.3219150138578246E-3</v>
      </c>
      <c r="AL10" s="221">
        <f ca="1">IF($C$9=0,0,AL9/$C$9)</f>
        <v>-4.257886643282153E-3</v>
      </c>
    </row>
    <row r="11" spans="1:41" ht="14.4" x14ac:dyDescent="0.3">
      <c r="B11" s="56"/>
      <c r="C11" s="56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J11"/>
      <c r="AK11"/>
      <c r="AL11"/>
    </row>
    <row r="12" spans="1:41" ht="12.6" thickBot="1" x14ac:dyDescent="0.3"/>
    <row r="13" spans="1:41" ht="15.75" customHeight="1" thickBot="1" x14ac:dyDescent="0.3">
      <c r="C13" s="19" t="s">
        <v>207</v>
      </c>
      <c r="D13" s="1103" t="s">
        <v>506</v>
      </c>
      <c r="E13" s="1104"/>
      <c r="F13" s="1104"/>
      <c r="G13" s="1104"/>
      <c r="H13" s="1103" t="s">
        <v>507</v>
      </c>
      <c r="I13" s="1104"/>
      <c r="J13" s="1104"/>
      <c r="K13" s="1105"/>
      <c r="L13" s="1103" t="s">
        <v>508</v>
      </c>
      <c r="M13" s="1104"/>
      <c r="N13" s="1104"/>
      <c r="O13" s="1105"/>
      <c r="P13" s="1103" t="s">
        <v>509</v>
      </c>
      <c r="Q13" s="1104"/>
      <c r="R13" s="1104"/>
      <c r="S13" s="1105"/>
      <c r="T13" s="1103" t="s">
        <v>510</v>
      </c>
      <c r="U13" s="1104"/>
      <c r="V13" s="1104"/>
      <c r="W13" s="1105"/>
      <c r="X13" s="1103" t="s">
        <v>511</v>
      </c>
      <c r="Y13" s="1104"/>
      <c r="Z13" s="1104"/>
      <c r="AA13" s="1105"/>
      <c r="AB13" s="1103" t="s">
        <v>512</v>
      </c>
      <c r="AC13" s="1104"/>
      <c r="AD13" s="1104"/>
      <c r="AE13" s="1105"/>
      <c r="AF13" s="1103" t="s">
        <v>513</v>
      </c>
      <c r="AG13" s="1104"/>
      <c r="AH13" s="1104"/>
      <c r="AI13" s="1105"/>
      <c r="AJ13" s="1103" t="s">
        <v>514</v>
      </c>
      <c r="AK13" s="1104"/>
      <c r="AL13" s="1105"/>
    </row>
    <row r="14" spans="1:41" ht="15.75" customHeight="1" thickBot="1" x14ac:dyDescent="0.3">
      <c r="C14" s="20" t="s">
        <v>206</v>
      </c>
      <c r="D14" s="1096">
        <f ca="1">SUM(D9:G9)</f>
        <v>143199368.30000001</v>
      </c>
      <c r="E14" s="1097"/>
      <c r="F14" s="1097"/>
      <c r="G14" s="1097"/>
      <c r="H14" s="1096">
        <f ca="1">SUM(H9:K9)</f>
        <v>82367676.019999981</v>
      </c>
      <c r="I14" s="1097"/>
      <c r="J14" s="1097"/>
      <c r="K14" s="1097"/>
      <c r="L14" s="1096">
        <f ca="1">SUM(L9:O9)</f>
        <v>32293817.93</v>
      </c>
      <c r="M14" s="1097"/>
      <c r="N14" s="1097"/>
      <c r="O14" s="1097"/>
      <c r="P14" s="1096">
        <f ca="1">SUM(P9:S9)</f>
        <v>13058827.809999999</v>
      </c>
      <c r="Q14" s="1097"/>
      <c r="R14" s="1097"/>
      <c r="S14" s="1097"/>
      <c r="T14" s="1096">
        <f ca="1">SUM(T9:W9)</f>
        <v>10931691.689999998</v>
      </c>
      <c r="U14" s="1097"/>
      <c r="V14" s="1097"/>
      <c r="W14" s="1097"/>
      <c r="X14" s="1096">
        <f ca="1">SUM(X9:AA9)</f>
        <v>9089936.5299999975</v>
      </c>
      <c r="Y14" s="1097"/>
      <c r="Z14" s="1097"/>
      <c r="AA14" s="1097"/>
      <c r="AB14" s="1096">
        <f ca="1">SUM(AB9:AE9)</f>
        <v>7513969.1900000004</v>
      </c>
      <c r="AC14" s="1097"/>
      <c r="AD14" s="1097"/>
      <c r="AE14" s="1097"/>
      <c r="AF14" s="1096">
        <f ca="1">SUM(AF9:AI9)</f>
        <v>6170558.6699999999</v>
      </c>
      <c r="AG14" s="1097"/>
      <c r="AH14" s="1097"/>
      <c r="AI14" s="1097"/>
      <c r="AJ14" s="1096">
        <f ca="1">SUM(AJ9:AM9)</f>
        <v>1381316.37</v>
      </c>
      <c r="AK14" s="1097"/>
      <c r="AL14" s="1098"/>
      <c r="AM14" s="23">
        <f>SUM(AM3:AM13)</f>
        <v>306007162.50999999</v>
      </c>
    </row>
    <row r="15" spans="1:41" ht="15.75" customHeight="1" thickBot="1" x14ac:dyDescent="0.3">
      <c r="C15" s="20" t="s">
        <v>205</v>
      </c>
      <c r="D15" s="1100">
        <f>(1-'FCD PROJETO'!J18)</f>
        <v>9.8765775312969928E-2</v>
      </c>
      <c r="E15" s="1101"/>
      <c r="F15" s="1101"/>
      <c r="G15" s="1101"/>
      <c r="H15" s="1100">
        <f>D15</f>
        <v>9.8765775312969928E-2</v>
      </c>
      <c r="I15" s="1101"/>
      <c r="J15" s="1101"/>
      <c r="K15" s="1102"/>
      <c r="L15" s="1100">
        <f>H15</f>
        <v>9.8765775312969928E-2</v>
      </c>
      <c r="M15" s="1101"/>
      <c r="N15" s="1101"/>
      <c r="O15" s="1102"/>
      <c r="P15" s="1100">
        <f>L15</f>
        <v>9.8765775312969928E-2</v>
      </c>
      <c r="Q15" s="1101"/>
      <c r="R15" s="1101"/>
      <c r="S15" s="1102"/>
      <c r="T15" s="1100">
        <f>P15</f>
        <v>9.8765775312969928E-2</v>
      </c>
      <c r="U15" s="1101"/>
      <c r="V15" s="1101"/>
      <c r="W15" s="1102"/>
      <c r="X15" s="1100">
        <f>T15</f>
        <v>9.8765775312969928E-2</v>
      </c>
      <c r="Y15" s="1101"/>
      <c r="Z15" s="1101"/>
      <c r="AA15" s="1102"/>
      <c r="AB15" s="1100">
        <f>X15</f>
        <v>9.8765775312969928E-2</v>
      </c>
      <c r="AC15" s="1101"/>
      <c r="AD15" s="1101"/>
      <c r="AE15" s="1102"/>
      <c r="AF15" s="1100">
        <f>AB15</f>
        <v>9.8765775312969928E-2</v>
      </c>
      <c r="AG15" s="1101"/>
      <c r="AH15" s="1101"/>
      <c r="AI15" s="1102"/>
      <c r="AJ15" s="1100">
        <f>AF15</f>
        <v>9.8765775312969928E-2</v>
      </c>
      <c r="AK15" s="1112"/>
      <c r="AL15" s="1113"/>
    </row>
    <row r="16" spans="1:41" ht="15.75" customHeight="1" thickBot="1" x14ac:dyDescent="0.3">
      <c r="C16" s="20" t="s">
        <v>204</v>
      </c>
      <c r="D16" s="1096">
        <f ca="1">D14*$D$15</f>
        <v>14143196.63447703</v>
      </c>
      <c r="E16" s="1097"/>
      <c r="F16" s="1097"/>
      <c r="G16" s="1097"/>
      <c r="H16" s="1096">
        <f ca="1">H14*$D$15</f>
        <v>8135107.3828428192</v>
      </c>
      <c r="I16" s="1097"/>
      <c r="J16" s="1097"/>
      <c r="K16" s="1097"/>
      <c r="L16" s="1096">
        <f ca="1">L14*$D$15</f>
        <v>3189523.9656723398</v>
      </c>
      <c r="M16" s="1097"/>
      <c r="N16" s="1097"/>
      <c r="O16" s="1097"/>
      <c r="P16" s="1096">
        <f ca="1">P14*$D$15</f>
        <v>1289765.2533332231</v>
      </c>
      <c r="Q16" s="1097"/>
      <c r="R16" s="1097"/>
      <c r="S16" s="1097"/>
      <c r="T16" s="1096">
        <f ca="1">T14*$D$15</f>
        <v>1079677.0052452004</v>
      </c>
      <c r="U16" s="1097"/>
      <c r="V16" s="1097"/>
      <c r="W16" s="1097"/>
      <c r="X16" s="1096">
        <f ca="1">X14*$D$15</f>
        <v>897774.62893113727</v>
      </c>
      <c r="Y16" s="1097"/>
      <c r="Z16" s="1097"/>
      <c r="AA16" s="1097"/>
      <c r="AB16" s="1096">
        <f ca="1">AB14*$D$15</f>
        <v>742122.99272811867</v>
      </c>
      <c r="AC16" s="1097"/>
      <c r="AD16" s="1097"/>
      <c r="AE16" s="1097"/>
      <c r="AF16" s="1096">
        <f ca="1">AF14*$D$15</f>
        <v>609440.0111567186</v>
      </c>
      <c r="AG16" s="1097"/>
      <c r="AH16" s="1097"/>
      <c r="AI16" s="1097"/>
      <c r="AJ16" s="1096">
        <f ca="1">AJ14*$D$15</f>
        <v>136426.78223554726</v>
      </c>
      <c r="AK16" s="1097"/>
      <c r="AL16" s="1098"/>
    </row>
    <row r="17" spans="2:38" ht="15.75" customHeight="1" thickBot="1" x14ac:dyDescent="0.3">
      <c r="C17" s="20" t="s">
        <v>203</v>
      </c>
      <c r="D17" s="1096">
        <f ca="1">D14-D16</f>
        <v>129056171.66552298</v>
      </c>
      <c r="E17" s="1097"/>
      <c r="F17" s="1097"/>
      <c r="G17" s="1097"/>
      <c r="H17" s="1096">
        <f ca="1">H14-H16</f>
        <v>74232568.637157157</v>
      </c>
      <c r="I17" s="1097"/>
      <c r="J17" s="1097"/>
      <c r="K17" s="1098"/>
      <c r="L17" s="1096">
        <f ca="1">L14-L16</f>
        <v>29104293.964327659</v>
      </c>
      <c r="M17" s="1097"/>
      <c r="N17" s="1097"/>
      <c r="O17" s="1098"/>
      <c r="P17" s="1096">
        <f ca="1">P14-P16</f>
        <v>11769062.556666777</v>
      </c>
      <c r="Q17" s="1097"/>
      <c r="R17" s="1097"/>
      <c r="S17" s="1098"/>
      <c r="T17" s="1096">
        <f ca="1">T14-T16</f>
        <v>9852014.6847547963</v>
      </c>
      <c r="U17" s="1097"/>
      <c r="V17" s="1097"/>
      <c r="W17" s="1098"/>
      <c r="X17" s="1096">
        <f ca="1">X14-X16</f>
        <v>8192161.9010688607</v>
      </c>
      <c r="Y17" s="1097"/>
      <c r="Z17" s="1097"/>
      <c r="AA17" s="1098"/>
      <c r="AB17" s="1096">
        <f ca="1">AB14-AB16</f>
        <v>6771846.1972718816</v>
      </c>
      <c r="AC17" s="1097"/>
      <c r="AD17" s="1097"/>
      <c r="AE17" s="1098"/>
      <c r="AF17" s="1096">
        <f ca="1">AF14-AF16</f>
        <v>5561118.6588432817</v>
      </c>
      <c r="AG17" s="1097"/>
      <c r="AH17" s="1097"/>
      <c r="AI17" s="1098"/>
      <c r="AJ17" s="1096">
        <f ca="1">AJ14-AJ16</f>
        <v>1244889.5877644529</v>
      </c>
      <c r="AK17" s="1097"/>
      <c r="AL17" s="1098"/>
    </row>
    <row r="18" spans="2:38" ht="14.4" x14ac:dyDescent="0.3">
      <c r="C18"/>
    </row>
    <row r="19" spans="2:38" ht="14.4" x14ac:dyDescent="0.3">
      <c r="C19"/>
    </row>
    <row r="20" spans="2:38" ht="14.4" x14ac:dyDescent="0.3">
      <c r="C20"/>
      <c r="D20" s="51"/>
      <c r="E20" s="785" t="s">
        <v>202</v>
      </c>
      <c r="F20" s="785"/>
      <c r="G20" s="786"/>
      <c r="H20" s="51"/>
      <c r="I20" s="785" t="str">
        <f>E20</f>
        <v>Número de Prestações Mensais</v>
      </c>
      <c r="J20" s="785"/>
      <c r="K20" s="786"/>
      <c r="L20" s="51"/>
      <c r="M20" s="785" t="str">
        <f>I20</f>
        <v>Número de Prestações Mensais</v>
      </c>
      <c r="N20" s="785"/>
      <c r="O20" s="786"/>
      <c r="P20" s="51"/>
      <c r="Q20" s="785" t="str">
        <f>M20</f>
        <v>Número de Prestações Mensais</v>
      </c>
      <c r="R20" s="785"/>
      <c r="S20" s="786"/>
      <c r="T20" s="51"/>
      <c r="U20" s="785" t="str">
        <f>Q20</f>
        <v>Número de Prestações Mensais</v>
      </c>
      <c r="V20" s="785"/>
      <c r="W20" s="786"/>
      <c r="X20" s="51"/>
      <c r="Y20" s="785" t="str">
        <f>U20</f>
        <v>Número de Prestações Mensais</v>
      </c>
      <c r="Z20" s="785"/>
      <c r="AA20" s="786"/>
      <c r="AB20" s="51"/>
      <c r="AC20" s="785" t="str">
        <f>Y20</f>
        <v>Número de Prestações Mensais</v>
      </c>
      <c r="AD20" s="785"/>
      <c r="AE20" s="786"/>
      <c r="AF20" s="51"/>
      <c r="AG20" s="785" t="str">
        <f>AC20</f>
        <v>Número de Prestações Mensais</v>
      </c>
      <c r="AH20" s="785"/>
      <c r="AI20" s="786"/>
      <c r="AJ20" s="51"/>
      <c r="AK20" s="785" t="str">
        <f>AG20</f>
        <v>Número de Prestações Mensais</v>
      </c>
      <c r="AL20" s="785"/>
    </row>
    <row r="21" spans="2:38" x14ac:dyDescent="0.25">
      <c r="D21" s="1093">
        <f>IF(COUNT(H1:$AL$1)*12&gt;240,240,COUNT(H1:$AL$1)*12)</f>
        <v>240</v>
      </c>
      <c r="E21" s="1094"/>
      <c r="F21" s="1094"/>
      <c r="G21" s="1095"/>
      <c r="H21" s="1093">
        <f>IF(COUNT(L1:$AL$1)*12&gt;240,240,COUNT(L1:$AL$1)*12)</f>
        <v>240</v>
      </c>
      <c r="I21" s="1094"/>
      <c r="J21" s="1094"/>
      <c r="K21" s="1095"/>
      <c r="L21" s="1093">
        <f>IF(COUNT(P1:$AL$1)*12&gt;240,240,COUNT(P1:$AL$1)*12)</f>
        <v>240</v>
      </c>
      <c r="M21" s="1094"/>
      <c r="N21" s="1094"/>
      <c r="O21" s="1095"/>
      <c r="P21" s="1093">
        <f>IF(COUNT(T1:$AL$1)*12&gt;240,240,COUNT(T1:$AL$1)*12)</f>
        <v>228</v>
      </c>
      <c r="Q21" s="1094"/>
      <c r="R21" s="1094"/>
      <c r="S21" s="1095"/>
      <c r="T21" s="1093">
        <f>IF(COUNT(X1:$AL$1)*12&gt;240,240,COUNT(X1:$AL$1)*12)</f>
        <v>180</v>
      </c>
      <c r="U21" s="1094"/>
      <c r="V21" s="1094"/>
      <c r="W21" s="1095"/>
      <c r="X21" s="1093">
        <f>IF(COUNT(AB1:$AL$1)*12&gt;240,240,COUNT(AB1:$AL$1)*12)</f>
        <v>132</v>
      </c>
      <c r="Y21" s="1094"/>
      <c r="Z21" s="1094"/>
      <c r="AA21" s="1095"/>
      <c r="AB21" s="1093">
        <f>IF(COUNT(AF1:$AL$1)*12&gt;240,240,COUNT(AF1:$AL$1)*12)</f>
        <v>84</v>
      </c>
      <c r="AC21" s="1094"/>
      <c r="AD21" s="1094"/>
      <c r="AE21" s="1095"/>
      <c r="AF21" s="1093">
        <f>IF(COUNT(AJ1:$AL$1)*12&gt;240,240,COUNT(AJ1:$AL$1)*12)</f>
        <v>36</v>
      </c>
      <c r="AG21" s="1094"/>
      <c r="AH21" s="1094"/>
      <c r="AI21" s="1095"/>
      <c r="AJ21" s="1114">
        <f>IF(COUNT($AL1:AN$1)*12&gt;240,240,COUNT($AL1:AN$1)*12)</f>
        <v>12</v>
      </c>
      <c r="AK21" s="1115"/>
      <c r="AL21" s="1116"/>
    </row>
    <row r="22" spans="2:38" x14ac:dyDescent="0.25">
      <c r="D22" s="1106" t="s">
        <v>201</v>
      </c>
      <c r="E22" s="1106"/>
      <c r="F22" s="1106"/>
      <c r="G22" s="1106"/>
      <c r="H22" s="1106" t="s">
        <v>200</v>
      </c>
      <c r="I22" s="1106"/>
      <c r="J22" s="1106"/>
      <c r="K22" s="1106"/>
      <c r="L22" s="1106" t="s">
        <v>199</v>
      </c>
      <c r="M22" s="1106"/>
      <c r="N22" s="1106"/>
      <c r="O22" s="1106"/>
      <c r="P22" s="1106" t="s">
        <v>198</v>
      </c>
      <c r="Q22" s="1106"/>
      <c r="R22" s="1106"/>
      <c r="S22" s="1106"/>
      <c r="T22" s="1106" t="s">
        <v>197</v>
      </c>
      <c r="U22" s="1106"/>
      <c r="V22" s="1106"/>
      <c r="W22" s="1106"/>
      <c r="X22" s="1106" t="s">
        <v>196</v>
      </c>
      <c r="Y22" s="1106"/>
      <c r="Z22" s="1106"/>
      <c r="AA22" s="1106"/>
      <c r="AB22" s="1106" t="s">
        <v>195</v>
      </c>
      <c r="AC22" s="1106"/>
      <c r="AD22" s="1106"/>
      <c r="AE22" s="1106"/>
      <c r="AF22" s="1106" t="s">
        <v>194</v>
      </c>
      <c r="AG22" s="1106"/>
      <c r="AH22" s="1106"/>
      <c r="AI22" s="1106"/>
      <c r="AJ22" s="1117" t="s">
        <v>487</v>
      </c>
      <c r="AK22" s="1118"/>
      <c r="AL22" s="1119"/>
    </row>
    <row r="23" spans="2:38" x14ac:dyDescent="0.25">
      <c r="D23" s="62" t="s">
        <v>193</v>
      </c>
      <c r="E23" s="62" t="s">
        <v>192</v>
      </c>
      <c r="F23" s="62" t="s">
        <v>191</v>
      </c>
      <c r="G23" s="62" t="s">
        <v>190</v>
      </c>
      <c r="H23" s="62" t="s">
        <v>193</v>
      </c>
      <c r="I23" s="62" t="s">
        <v>192</v>
      </c>
      <c r="J23" s="62" t="s">
        <v>191</v>
      </c>
      <c r="K23" s="62" t="s">
        <v>190</v>
      </c>
      <c r="L23" s="62" t="s">
        <v>193</v>
      </c>
      <c r="M23" s="62" t="s">
        <v>192</v>
      </c>
      <c r="N23" s="62" t="s">
        <v>191</v>
      </c>
      <c r="O23" s="62" t="s">
        <v>190</v>
      </c>
      <c r="P23" s="62" t="s">
        <v>193</v>
      </c>
      <c r="Q23" s="62" t="s">
        <v>192</v>
      </c>
      <c r="R23" s="62" t="s">
        <v>191</v>
      </c>
      <c r="S23" s="62" t="s">
        <v>190</v>
      </c>
      <c r="T23" s="62" t="s">
        <v>193</v>
      </c>
      <c r="U23" s="62" t="s">
        <v>192</v>
      </c>
      <c r="V23" s="62" t="s">
        <v>191</v>
      </c>
      <c r="W23" s="62" t="s">
        <v>190</v>
      </c>
      <c r="X23" s="62" t="s">
        <v>193</v>
      </c>
      <c r="Y23" s="62" t="s">
        <v>192</v>
      </c>
      <c r="Z23" s="62" t="s">
        <v>191</v>
      </c>
      <c r="AA23" s="62" t="s">
        <v>190</v>
      </c>
      <c r="AB23" s="62" t="s">
        <v>193</v>
      </c>
      <c r="AC23" s="62" t="s">
        <v>192</v>
      </c>
      <c r="AD23" s="62" t="s">
        <v>191</v>
      </c>
      <c r="AE23" s="62" t="s">
        <v>190</v>
      </c>
      <c r="AF23" s="62" t="s">
        <v>193</v>
      </c>
      <c r="AG23" s="62" t="s">
        <v>192</v>
      </c>
      <c r="AH23" s="62" t="s">
        <v>191</v>
      </c>
      <c r="AI23" s="62" t="s">
        <v>190</v>
      </c>
      <c r="AJ23" s="62" t="s">
        <v>193</v>
      </c>
      <c r="AK23" s="62" t="s">
        <v>192</v>
      </c>
      <c r="AL23" s="62" t="s">
        <v>191</v>
      </c>
    </row>
    <row r="24" spans="2:38" ht="14.4" x14ac:dyDescent="0.3">
      <c r="B24"/>
      <c r="C24"/>
      <c r="D24" s="339">
        <f ca="1">IF(D25="ok",IF(D14=0,0,D9/D14),0)</f>
        <v>3.8447602146300802E-2</v>
      </c>
      <c r="E24" s="339">
        <f ca="1">IF(E25="ok",IF(D14=0,0,E9/D14),0)</f>
        <v>0.34026711729565634</v>
      </c>
      <c r="F24" s="339">
        <f ca="1">IF(F25="ok",IF(D14=0,0,F9/D14),0)</f>
        <v>0.31232358802242011</v>
      </c>
      <c r="G24" s="339">
        <f ca="1">IF(G25="ok",IF(D14=0,0,G9/D14),0)</f>
        <v>0.30896169253562267</v>
      </c>
      <c r="H24" s="339">
        <f ca="1">IF(H25="ok",IF(H14=0,0,H9/H14),0)</f>
        <v>0.54553635954338775</v>
      </c>
      <c r="I24" s="339">
        <f ca="1">IF(I25="ok",IF(H14=0,0,I9/H14),0)</f>
        <v>0.17670018705476156</v>
      </c>
      <c r="J24" s="339">
        <f ca="1">IF(J25="ok",IF(H14=0,0,J9/H14),0)</f>
        <v>0.17708197784357016</v>
      </c>
      <c r="K24" s="339">
        <f ca="1">IF(K25="ok",IF(H14=0,0,K9/H14),0)</f>
        <v>0.10068147555828054</v>
      </c>
      <c r="L24" s="339">
        <f ca="1">IF(L25="ok",IF(L14=0,0,L9/L14),0)</f>
        <v>0.25411943046772478</v>
      </c>
      <c r="M24" s="339">
        <f ca="1">IF(M25="ok",IF(L14=0,0,M9/L14),0)</f>
        <v>0.25134999267025349</v>
      </c>
      <c r="N24" s="339">
        <f ca="1">IF(N25="ok",IF(L14=0,0,N9/L14),0)</f>
        <v>0.24871381907862264</v>
      </c>
      <c r="O24" s="339">
        <f ca="1">IF(O25="ok",IF(L14=0,0,O9/L14),0)</f>
        <v>0.24581675778339904</v>
      </c>
      <c r="P24" s="339">
        <f ca="1">IF(P25="ok",IF(P14=0,0,P9/P14),0)</f>
        <v>0.26631657914478618</v>
      </c>
      <c r="Q24" s="339">
        <f ca="1">IF(Q25="ok",IF(P14=0,0,Q9/P14),0)</f>
        <v>0.25506376594148544</v>
      </c>
      <c r="R24" s="339">
        <f ca="1">IF(R25="ok",IF(P14=0,0,R9/P14),0)</f>
        <v>0.24456114028507125</v>
      </c>
      <c r="S24" s="339">
        <f ca="1">IF(S25="ok",IF(P14=0,0,S9/P14),0)</f>
        <v>0.23405851462865715</v>
      </c>
      <c r="T24" s="339">
        <f>IF(T25="ok",IF(T14=0,0,T9/T14),0)</f>
        <v>0</v>
      </c>
      <c r="U24" s="339">
        <f>IF(U25="ok",IF(T14=0,0,U9/T14),0)</f>
        <v>0</v>
      </c>
      <c r="V24" s="339">
        <f>IF(V25="ok",IF(T14=0,0,V9/T14),0)</f>
        <v>0</v>
      </c>
      <c r="W24" s="339">
        <f>IF(W25="ok",IF(T14=0,0,W9/T14),0)</f>
        <v>0</v>
      </c>
      <c r="X24" s="339">
        <f>IF(X25="ok",IF(X14=0,0,X9/X14),0)</f>
        <v>0</v>
      </c>
      <c r="Y24" s="339">
        <f>IF(Y25="ok",IF(X14=0,0,Y9/X14),0)</f>
        <v>0</v>
      </c>
      <c r="Z24" s="339">
        <f>IF(Z25="ok",IF(X14=0,0,Z9/X14),0)</f>
        <v>0</v>
      </c>
      <c r="AA24" s="339">
        <f>IF(AA25="ok",IF(X14=0,0,AA9/X14),0)</f>
        <v>0</v>
      </c>
      <c r="AB24" s="339">
        <f>IF(AB25="ok",IF(AB14=0,0,AB9/AB14),0)</f>
        <v>0</v>
      </c>
      <c r="AC24" s="339">
        <f>IF(AC25="ok",IF(AB14=0,0,AC9/AB14),0)</f>
        <v>0</v>
      </c>
      <c r="AD24" s="339">
        <f>IF(AD25="ok",IF(AB14=0,0,AD9/AB14),0)</f>
        <v>0</v>
      </c>
      <c r="AE24" s="339">
        <f>IF(AE25="ok",IF(AB14=0,0,AE9/AB14),0)</f>
        <v>0</v>
      </c>
      <c r="AF24" s="339">
        <f>IF(AF25="ok",IF(AF14=0,0,AF9/AF14),0)</f>
        <v>0</v>
      </c>
      <c r="AG24" s="339">
        <f>IF(AG25="ok",IF(AF14=0,0,AG9/AF14),0)</f>
        <v>0</v>
      </c>
      <c r="AH24" s="339">
        <f>IF(AH25="ok",IF(AF14=0,0,AH9/AF14),0)</f>
        <v>0</v>
      </c>
      <c r="AI24" s="339">
        <f>IF(AI25="ok",IF(AF14=0,0,AI9/AF14),0)</f>
        <v>0</v>
      </c>
      <c r="AJ24" s="339">
        <f>IF(AJ25="ok",IF(AJ14=0,0,AJ9/AJ14),0)</f>
        <v>0</v>
      </c>
      <c r="AK24" s="339">
        <f>IF(AK25="ok",IF(AJ14=0,0,AK9/AJ14),0)</f>
        <v>0</v>
      </c>
      <c r="AL24" s="339">
        <f>IF(AL25="ok",IF(AJ14=0,0,AL9/AJ14),0)</f>
        <v>0</v>
      </c>
    </row>
    <row r="25" spans="2:38" ht="14.4" x14ac:dyDescent="0.3">
      <c r="B25"/>
      <c r="C25"/>
      <c r="D25" s="340" t="s">
        <v>189</v>
      </c>
      <c r="E25" s="340" t="s">
        <v>189</v>
      </c>
      <c r="F25" s="340" t="s">
        <v>189</v>
      </c>
      <c r="G25" s="340" t="s">
        <v>189</v>
      </c>
      <c r="H25" s="340" t="s">
        <v>189</v>
      </c>
      <c r="I25" s="340" t="s">
        <v>189</v>
      </c>
      <c r="J25" s="340" t="s">
        <v>189</v>
      </c>
      <c r="K25" s="340" t="s">
        <v>189</v>
      </c>
      <c r="L25" s="340" t="s">
        <v>189</v>
      </c>
      <c r="M25" s="340" t="s">
        <v>189</v>
      </c>
      <c r="N25" s="340" t="s">
        <v>189</v>
      </c>
      <c r="O25" s="340" t="s">
        <v>189</v>
      </c>
      <c r="P25" s="340" t="s">
        <v>189</v>
      </c>
      <c r="Q25" s="340" t="s">
        <v>189</v>
      </c>
      <c r="R25" s="340" t="s">
        <v>189</v>
      </c>
      <c r="S25" s="340" t="s">
        <v>189</v>
      </c>
      <c r="T25" s="340" t="s">
        <v>188</v>
      </c>
      <c r="U25" s="340" t="s">
        <v>188</v>
      </c>
      <c r="V25" s="340" t="s">
        <v>188</v>
      </c>
      <c r="W25" s="340" t="s">
        <v>188</v>
      </c>
      <c r="X25" s="340" t="s">
        <v>188</v>
      </c>
      <c r="Y25" s="340" t="s">
        <v>188</v>
      </c>
      <c r="Z25" s="340" t="s">
        <v>188</v>
      </c>
      <c r="AA25" s="340" t="s">
        <v>188</v>
      </c>
      <c r="AB25" s="340" t="s">
        <v>188</v>
      </c>
      <c r="AC25" s="340" t="s">
        <v>188</v>
      </c>
      <c r="AD25" s="340" t="s">
        <v>188</v>
      </c>
      <c r="AE25" s="340" t="s">
        <v>188</v>
      </c>
      <c r="AF25" s="340" t="s">
        <v>188</v>
      </c>
      <c r="AG25" s="340" t="s">
        <v>188</v>
      </c>
      <c r="AH25" s="340" t="s">
        <v>188</v>
      </c>
      <c r="AI25" s="340" t="s">
        <v>188</v>
      </c>
      <c r="AJ25" s="340" t="s">
        <v>188</v>
      </c>
      <c r="AK25" s="340" t="s">
        <v>188</v>
      </c>
      <c r="AL25" s="340" t="s">
        <v>188</v>
      </c>
    </row>
    <row r="26" spans="2:38" ht="14.4" x14ac:dyDescent="0.3">
      <c r="B26"/>
      <c r="C26"/>
    </row>
    <row r="28" spans="2:38" x14ac:dyDescent="0.25">
      <c r="B28" s="20" t="s">
        <v>897</v>
      </c>
      <c r="C28" s="62" t="s">
        <v>896</v>
      </c>
      <c r="D28" s="53"/>
    </row>
    <row r="29" spans="2:38" x14ac:dyDescent="0.25">
      <c r="B29" s="20" t="s">
        <v>525</v>
      </c>
      <c r="C29" s="341">
        <v>1.06E-2</v>
      </c>
      <c r="D29" s="60"/>
      <c r="E29" s="59"/>
    </row>
    <row r="30" spans="2:38" x14ac:dyDescent="0.25">
      <c r="B30" s="20" t="s">
        <v>526</v>
      </c>
      <c r="C30" s="341">
        <v>1.4999999999999999E-2</v>
      </c>
      <c r="D30" s="60"/>
      <c r="E30" s="61"/>
    </row>
    <row r="31" spans="2:38" x14ac:dyDescent="0.25">
      <c r="B31" s="20" t="s">
        <v>527</v>
      </c>
      <c r="C31" s="341">
        <v>5.2299999999999999E-2</v>
      </c>
      <c r="D31" s="60"/>
      <c r="E31" s="59"/>
      <c r="Y31" s="58"/>
      <c r="Z31" s="57"/>
    </row>
    <row r="32" spans="2:38" x14ac:dyDescent="0.25">
      <c r="B32" s="19" t="s">
        <v>5</v>
      </c>
      <c r="C32" s="804">
        <f>SUM(C29:C31)</f>
        <v>7.7899999999999997E-2</v>
      </c>
    </row>
    <row r="33" spans="2:39" ht="12.6" thickBot="1" x14ac:dyDescent="0.3"/>
    <row r="34" spans="2:39" s="53" customFormat="1" ht="12.6" thickBot="1" x14ac:dyDescent="0.3">
      <c r="B34" s="55"/>
      <c r="C34" s="54"/>
      <c r="D34" s="64">
        <f t="shared" ref="D34:AI34" si="4">D1</f>
        <v>1</v>
      </c>
      <c r="E34" s="64">
        <f t="shared" si="4"/>
        <v>2</v>
      </c>
      <c r="F34" s="64">
        <f t="shared" si="4"/>
        <v>3</v>
      </c>
      <c r="G34" s="64">
        <f t="shared" si="4"/>
        <v>4</v>
      </c>
      <c r="H34" s="64">
        <f t="shared" si="4"/>
        <v>5</v>
      </c>
      <c r="I34" s="64">
        <f t="shared" si="4"/>
        <v>6</v>
      </c>
      <c r="J34" s="64">
        <f t="shared" si="4"/>
        <v>7</v>
      </c>
      <c r="K34" s="64">
        <f t="shared" si="4"/>
        <v>8</v>
      </c>
      <c r="L34" s="64">
        <f t="shared" si="4"/>
        <v>9</v>
      </c>
      <c r="M34" s="64">
        <f t="shared" si="4"/>
        <v>10</v>
      </c>
      <c r="N34" s="64">
        <f t="shared" si="4"/>
        <v>11</v>
      </c>
      <c r="O34" s="64">
        <f t="shared" si="4"/>
        <v>12</v>
      </c>
      <c r="P34" s="64">
        <f t="shared" si="4"/>
        <v>13</v>
      </c>
      <c r="Q34" s="64">
        <f t="shared" si="4"/>
        <v>14</v>
      </c>
      <c r="R34" s="64">
        <f t="shared" si="4"/>
        <v>15</v>
      </c>
      <c r="S34" s="64">
        <f t="shared" si="4"/>
        <v>16</v>
      </c>
      <c r="T34" s="64">
        <f t="shared" si="4"/>
        <v>17</v>
      </c>
      <c r="U34" s="64">
        <f t="shared" si="4"/>
        <v>18</v>
      </c>
      <c r="V34" s="64">
        <f t="shared" si="4"/>
        <v>19</v>
      </c>
      <c r="W34" s="64">
        <f t="shared" si="4"/>
        <v>20</v>
      </c>
      <c r="X34" s="64">
        <f t="shared" si="4"/>
        <v>21</v>
      </c>
      <c r="Y34" s="64">
        <f t="shared" si="4"/>
        <v>22</v>
      </c>
      <c r="Z34" s="64">
        <f t="shared" si="4"/>
        <v>23</v>
      </c>
      <c r="AA34" s="64">
        <f t="shared" si="4"/>
        <v>24</v>
      </c>
      <c r="AB34" s="64">
        <f t="shared" si="4"/>
        <v>25</v>
      </c>
      <c r="AC34" s="64">
        <f t="shared" si="4"/>
        <v>26</v>
      </c>
      <c r="AD34" s="64">
        <f t="shared" si="4"/>
        <v>27</v>
      </c>
      <c r="AE34" s="64">
        <f t="shared" si="4"/>
        <v>28</v>
      </c>
      <c r="AF34" s="64">
        <f t="shared" si="4"/>
        <v>29</v>
      </c>
      <c r="AG34" s="64">
        <f t="shared" si="4"/>
        <v>30</v>
      </c>
      <c r="AH34" s="64">
        <f t="shared" si="4"/>
        <v>31</v>
      </c>
      <c r="AI34" s="65">
        <f t="shared" si="4"/>
        <v>32</v>
      </c>
      <c r="AJ34" s="64">
        <f t="shared" ref="AJ34:AL34" si="5">AJ1</f>
        <v>33</v>
      </c>
      <c r="AK34" s="64">
        <f t="shared" si="5"/>
        <v>34</v>
      </c>
      <c r="AL34" s="64">
        <f t="shared" si="5"/>
        <v>35</v>
      </c>
      <c r="AM34" s="65" t="s">
        <v>428</v>
      </c>
    </row>
    <row r="35" spans="2:39" x14ac:dyDescent="0.25">
      <c r="B35" s="1107" t="str">
        <f>D13</f>
        <v>Financiamento 1º Tranche</v>
      </c>
      <c r="C35" s="52" t="s">
        <v>187</v>
      </c>
      <c r="D35" s="225">
        <f ca="1">IF($D$21=0,0,$D$14*(1-$D$15)*D24)</f>
        <v>4961900.3427207256</v>
      </c>
      <c r="E35" s="226">
        <f ca="1">IF($D$21=0,0,$D$14*(1-$D$15)*E24)</f>
        <v>43913571.501840867</v>
      </c>
      <c r="F35" s="226">
        <f ca="1">IF($D$21=0,0,$D$14*(1-$D$15)*F24)</f>
        <v>40307286.591013528</v>
      </c>
      <c r="G35" s="227">
        <f ca="1">IF($D$21=0,0,$D$14*(1-$D$15)*G24)</f>
        <v>39873413.22994785</v>
      </c>
      <c r="H35" s="236"/>
      <c r="I35" s="237"/>
      <c r="J35" s="237"/>
      <c r="K35" s="238"/>
      <c r="L35" s="236"/>
      <c r="M35" s="237"/>
      <c r="N35" s="237"/>
      <c r="O35" s="238"/>
      <c r="P35" s="236"/>
      <c r="Q35" s="237"/>
      <c r="R35" s="237"/>
      <c r="S35" s="238"/>
      <c r="T35" s="236"/>
      <c r="U35" s="237"/>
      <c r="V35" s="237"/>
      <c r="W35" s="238"/>
      <c r="X35" s="236"/>
      <c r="Y35" s="237"/>
      <c r="Z35" s="237"/>
      <c r="AA35" s="238"/>
      <c r="AB35" s="236"/>
      <c r="AC35" s="237"/>
      <c r="AD35" s="237"/>
      <c r="AE35" s="238"/>
      <c r="AF35" s="236"/>
      <c r="AG35" s="237"/>
      <c r="AH35" s="237"/>
      <c r="AI35" s="238"/>
      <c r="AJ35" s="236"/>
      <c r="AK35" s="237"/>
      <c r="AL35" s="237"/>
      <c r="AM35" s="227">
        <f ca="1">SUM(D35:AL35)</f>
        <v>129056171.66552298</v>
      </c>
    </row>
    <row r="36" spans="2:39" x14ac:dyDescent="0.25">
      <c r="B36" s="1107"/>
      <c r="C36" s="52" t="s">
        <v>186</v>
      </c>
      <c r="D36" s="228">
        <f ca="1">IF($D$21=0,0,$D$14*($D$15)*D24)</f>
        <v>543771.99727927335</v>
      </c>
      <c r="E36" s="155">
        <f ca="1">IF($D$21=0,0,$D$14*($D$15)*E24)</f>
        <v>4812464.7481591273</v>
      </c>
      <c r="F36" s="155">
        <f ca="1">IF($D$21=0,0,$D$14*($D$15)*F24)</f>
        <v>4417253.9189864825</v>
      </c>
      <c r="G36" s="156">
        <f ca="1">IF($D$21=0,0,$D$14*($D$15)*G24)</f>
        <v>4369705.9700521454</v>
      </c>
      <c r="H36" s="239"/>
      <c r="I36" s="24"/>
      <c r="J36" s="24"/>
      <c r="K36" s="32"/>
      <c r="L36" s="239"/>
      <c r="M36" s="24"/>
      <c r="N36" s="24"/>
      <c r="O36" s="32"/>
      <c r="P36" s="239"/>
      <c r="Q36" s="24"/>
      <c r="R36" s="24"/>
      <c r="S36" s="32"/>
      <c r="T36" s="239"/>
      <c r="U36" s="24"/>
      <c r="V36" s="24"/>
      <c r="W36" s="32"/>
      <c r="X36" s="239"/>
      <c r="Y36" s="24"/>
      <c r="Z36" s="24"/>
      <c r="AA36" s="32"/>
      <c r="AB36" s="239"/>
      <c r="AC36" s="24"/>
      <c r="AD36" s="24"/>
      <c r="AE36" s="32"/>
      <c r="AF36" s="239"/>
      <c r="AG36" s="24"/>
      <c r="AH36" s="24"/>
      <c r="AI36" s="32"/>
      <c r="AJ36" s="239"/>
      <c r="AK36" s="24"/>
      <c r="AL36" s="24"/>
      <c r="AM36" s="156">
        <f t="shared" ref="AM36:AM90" ca="1" si="6">SUM(D36:AL36)</f>
        <v>14143196.634477029</v>
      </c>
    </row>
    <row r="37" spans="2:39" x14ac:dyDescent="0.25">
      <c r="B37" s="1107"/>
      <c r="C37" s="52" t="s">
        <v>185</v>
      </c>
      <c r="D37" s="228">
        <f ca="1">ROUND(D35,2)</f>
        <v>4961900.34</v>
      </c>
      <c r="E37" s="155">
        <f ca="1">ROUND(D37+E35,2)</f>
        <v>48875471.840000004</v>
      </c>
      <c r="F37" s="155">
        <f ca="1">ROUND(E37+F35,2)</f>
        <v>89182758.430000007</v>
      </c>
      <c r="G37" s="156">
        <f ca="1">ROUND(F37+G35,2)</f>
        <v>129056171.66</v>
      </c>
      <c r="H37" s="228">
        <f t="shared" ref="H37:AI37" ca="1" si="7">G37-H41</f>
        <v>126169736.13689725</v>
      </c>
      <c r="I37" s="155">
        <f t="shared" ca="1" si="7"/>
        <v>123058447.2865448</v>
      </c>
      <c r="J37" s="155">
        <f t="shared" ca="1" si="7"/>
        <v>119704789.0347499</v>
      </c>
      <c r="K37" s="156">
        <f t="shared" ca="1" si="7"/>
        <v>116089880.80514017</v>
      </c>
      <c r="L37" s="228">
        <f t="shared" ca="1" si="7"/>
        <v>112193371.22444384</v>
      </c>
      <c r="M37" s="155">
        <f t="shared" ca="1" si="7"/>
        <v>107993323.54741126</v>
      </c>
      <c r="N37" s="155">
        <f t="shared" ca="1" si="7"/>
        <v>103466092.15633786</v>
      </c>
      <c r="O37" s="156">
        <f t="shared" ca="1" si="7"/>
        <v>98586189.439899832</v>
      </c>
      <c r="P37" s="228">
        <f t="shared" ca="1" si="7"/>
        <v>93326142.301851273</v>
      </c>
      <c r="Q37" s="155">
        <f t="shared" ca="1" si="7"/>
        <v>87656337.491748735</v>
      </c>
      <c r="R37" s="155">
        <f t="shared" ca="1" si="7"/>
        <v>81544854.886939213</v>
      </c>
      <c r="S37" s="156">
        <f t="shared" ca="1" si="7"/>
        <v>74957287.787215024</v>
      </c>
      <c r="T37" s="228">
        <f t="shared" ca="1" si="7"/>
        <v>67856549.210422322</v>
      </c>
      <c r="U37" s="155">
        <f t="shared" ca="1" si="7"/>
        <v>60202663.098497473</v>
      </c>
      <c r="V37" s="155">
        <f t="shared" ca="1" si="7"/>
        <v>51952539.258453675</v>
      </c>
      <c r="W37" s="156">
        <f t="shared" ca="1" si="7"/>
        <v>43059730.771270469</v>
      </c>
      <c r="X37" s="228">
        <f t="shared" ca="1" si="7"/>
        <v>33474172.502935689</v>
      </c>
      <c r="Y37" s="155">
        <f t="shared" ca="1" si="7"/>
        <v>23141899.245497629</v>
      </c>
      <c r="Z37" s="155">
        <f t="shared" ca="1" si="7"/>
        <v>12004741.901305145</v>
      </c>
      <c r="AA37" s="156">
        <f t="shared" ca="1" si="7"/>
        <v>6.5192580223083496E-8</v>
      </c>
      <c r="AB37" s="228">
        <f t="shared" ca="1" si="7"/>
        <v>7.0271082222461703E-8</v>
      </c>
      <c r="AC37" s="155">
        <f t="shared" ca="1" si="7"/>
        <v>7.5745199527591466E-8</v>
      </c>
      <c r="AD37" s="155">
        <f t="shared" ca="1" si="7"/>
        <v>8.1645750570790842E-8</v>
      </c>
      <c r="AE37" s="156">
        <f t="shared" ca="1" si="7"/>
        <v>8.8005954540255447E-8</v>
      </c>
      <c r="AF37" s="228">
        <f t="shared" ca="1" si="7"/>
        <v>9.4861618398941345E-8</v>
      </c>
      <c r="AG37" s="155">
        <f t="shared" ca="1" si="7"/>
        <v>1.0225133847221887E-7</v>
      </c>
      <c r="AH37" s="155">
        <f t="shared" ca="1" si="7"/>
        <v>1.1021671773920472E-7</v>
      </c>
      <c r="AI37" s="156">
        <f t="shared" ca="1" si="7"/>
        <v>1.1880260005108877E-7</v>
      </c>
      <c r="AJ37" s="228">
        <f t="shared" ref="AJ37" ca="1" si="8">AI37-AJ41</f>
        <v>1.2805732259506857E-7</v>
      </c>
      <c r="AK37" s="155">
        <f t="shared" ref="AK37" ca="1" si="9">AJ37-AK41</f>
        <v>1.3803298802522441E-7</v>
      </c>
      <c r="AL37" s="155">
        <f t="shared" ref="AL37" ca="1" si="10">AK37-AL41</f>
        <v>1.4878575779238941E-7</v>
      </c>
      <c r="AM37" s="156">
        <f t="shared" ca="1" si="6"/>
        <v>1808515050.3575623</v>
      </c>
    </row>
    <row r="38" spans="2:39" x14ac:dyDescent="0.25">
      <c r="B38" s="1107"/>
      <c r="C38" s="51" t="s">
        <v>184</v>
      </c>
      <c r="D38" s="228">
        <f ca="1">D37*$C$29</f>
        <v>52596.143603999997</v>
      </c>
      <c r="E38" s="155">
        <f ca="1">E37*$C$29</f>
        <v>518080.00150400004</v>
      </c>
      <c r="F38" s="155">
        <f ca="1">F37*$C$29</f>
        <v>945337.23935800011</v>
      </c>
      <c r="G38" s="156">
        <f ca="1">G37*$C$29</f>
        <v>1367995.4195959999</v>
      </c>
      <c r="H38" s="228">
        <f t="shared" ref="H38:AI38" ca="1" si="11">G37*$C$29</f>
        <v>1367995.4195959999</v>
      </c>
      <c r="I38" s="155">
        <f t="shared" ca="1" si="11"/>
        <v>1337399.203051111</v>
      </c>
      <c r="J38" s="155">
        <f t="shared" ca="1" si="11"/>
        <v>1304419.5412373748</v>
      </c>
      <c r="K38" s="156">
        <f t="shared" ca="1" si="11"/>
        <v>1268870.7637683488</v>
      </c>
      <c r="L38" s="228">
        <f t="shared" ca="1" si="11"/>
        <v>1230552.7365344858</v>
      </c>
      <c r="M38" s="155">
        <f t="shared" ca="1" si="11"/>
        <v>1189249.7349791047</v>
      </c>
      <c r="N38" s="155">
        <f t="shared" ca="1" si="11"/>
        <v>1144729.2296025595</v>
      </c>
      <c r="O38" s="156">
        <f t="shared" ca="1" si="11"/>
        <v>1096740.5768571813</v>
      </c>
      <c r="P38" s="228">
        <f t="shared" ca="1" si="11"/>
        <v>1045013.6080629382</v>
      </c>
      <c r="Q38" s="155">
        <f t="shared" ca="1" si="11"/>
        <v>989257.10839962354</v>
      </c>
      <c r="R38" s="155">
        <f t="shared" ca="1" si="11"/>
        <v>929157.17741253658</v>
      </c>
      <c r="S38" s="156">
        <f t="shared" ca="1" si="11"/>
        <v>864375.46180155571</v>
      </c>
      <c r="T38" s="228">
        <f t="shared" ca="1" si="11"/>
        <v>794547.25054447923</v>
      </c>
      <c r="U38" s="155">
        <f t="shared" ca="1" si="11"/>
        <v>719279.4216304766</v>
      </c>
      <c r="V38" s="155">
        <f t="shared" ca="1" si="11"/>
        <v>638148.22884407325</v>
      </c>
      <c r="W38" s="156">
        <f t="shared" ca="1" si="11"/>
        <v>550696.91613960895</v>
      </c>
      <c r="X38" s="228">
        <f t="shared" ca="1" si="11"/>
        <v>456433.14617546694</v>
      </c>
      <c r="Y38" s="155">
        <f t="shared" ca="1" si="11"/>
        <v>354826.22853111831</v>
      </c>
      <c r="Z38" s="155">
        <f t="shared" ca="1" si="11"/>
        <v>245304.13200227486</v>
      </c>
      <c r="AA38" s="156">
        <f t="shared" ca="1" si="11"/>
        <v>127250.26415383453</v>
      </c>
      <c r="AB38" s="228">
        <f t="shared" ca="1" si="11"/>
        <v>6.9104135036468505E-10</v>
      </c>
      <c r="AC38" s="155">
        <f t="shared" ca="1" si="11"/>
        <v>7.4487347155809403E-10</v>
      </c>
      <c r="AD38" s="155">
        <f t="shared" ca="1" si="11"/>
        <v>8.0289911499246953E-10</v>
      </c>
      <c r="AE38" s="156">
        <f t="shared" ca="1" si="11"/>
        <v>8.654449560503829E-10</v>
      </c>
      <c r="AF38" s="228">
        <f t="shared" ca="1" si="11"/>
        <v>9.3286311812670771E-10</v>
      </c>
      <c r="AG38" s="155">
        <f t="shared" ca="1" si="11"/>
        <v>1.0055331550287783E-9</v>
      </c>
      <c r="AH38" s="155">
        <f t="shared" ca="1" si="11"/>
        <v>1.0838641878055201E-9</v>
      </c>
      <c r="AI38" s="156">
        <f t="shared" ca="1" si="11"/>
        <v>1.1682972080355701E-9</v>
      </c>
      <c r="AJ38" s="228">
        <f t="shared" ref="AJ38" ca="1" si="12">AI37*$C$29</f>
        <v>1.2593075605415408E-9</v>
      </c>
      <c r="AK38" s="155">
        <f t="shared" ref="AK38" ca="1" si="13">AJ37*$C$29</f>
        <v>1.3574076195077267E-9</v>
      </c>
      <c r="AL38" s="155">
        <f t="shared" ref="AL38" ca="1" si="14">AK37*$C$29</f>
        <v>1.4631496730673789E-9</v>
      </c>
      <c r="AM38" s="156">
        <f t="shared" ca="1" si="6"/>
        <v>20538254.953386154</v>
      </c>
    </row>
    <row r="39" spans="2:39" x14ac:dyDescent="0.25">
      <c r="B39" s="1107"/>
      <c r="C39" s="51" t="s">
        <v>183</v>
      </c>
      <c r="D39" s="228">
        <f ca="1">D37*$C$30</f>
        <v>74428.505099999995</v>
      </c>
      <c r="E39" s="155">
        <f ca="1">E37*$C$30</f>
        <v>733132.07760000008</v>
      </c>
      <c r="F39" s="155">
        <f ca="1">F37*$C$30</f>
        <v>1337741.3764500001</v>
      </c>
      <c r="G39" s="156">
        <f ca="1">G37*$C$30</f>
        <v>1935842.5748999999</v>
      </c>
      <c r="H39" s="228">
        <f t="shared" ref="H39:AI39" ca="1" si="15">G37*$C$30</f>
        <v>1935842.5748999999</v>
      </c>
      <c r="I39" s="155">
        <f t="shared" ca="1" si="15"/>
        <v>1892546.0420534587</v>
      </c>
      <c r="J39" s="155">
        <f t="shared" ca="1" si="15"/>
        <v>1845876.709298172</v>
      </c>
      <c r="K39" s="156">
        <f t="shared" ca="1" si="15"/>
        <v>1795571.8355212484</v>
      </c>
      <c r="L39" s="228">
        <f t="shared" ca="1" si="15"/>
        <v>1741348.2120771024</v>
      </c>
      <c r="M39" s="155">
        <f t="shared" ca="1" si="15"/>
        <v>1682900.5683666575</v>
      </c>
      <c r="N39" s="155">
        <f t="shared" ca="1" si="15"/>
        <v>1619899.8532111689</v>
      </c>
      <c r="O39" s="156">
        <f t="shared" ca="1" si="15"/>
        <v>1551991.3823450678</v>
      </c>
      <c r="P39" s="228">
        <f t="shared" ca="1" si="15"/>
        <v>1478792.8415984975</v>
      </c>
      <c r="Q39" s="155">
        <f t="shared" ca="1" si="15"/>
        <v>1399892.1345277689</v>
      </c>
      <c r="R39" s="155">
        <f t="shared" ca="1" si="15"/>
        <v>1314845.062376231</v>
      </c>
      <c r="S39" s="156">
        <f t="shared" ca="1" si="15"/>
        <v>1223172.8233040881</v>
      </c>
      <c r="T39" s="228">
        <f t="shared" ca="1" si="15"/>
        <v>1124359.3168082254</v>
      </c>
      <c r="U39" s="155">
        <f t="shared" ca="1" si="15"/>
        <v>1017848.2381563348</v>
      </c>
      <c r="V39" s="155">
        <f t="shared" ca="1" si="15"/>
        <v>903039.94647746207</v>
      </c>
      <c r="W39" s="156">
        <f t="shared" ca="1" si="15"/>
        <v>779288.08887680504</v>
      </c>
      <c r="X39" s="228">
        <f t="shared" ca="1" si="15"/>
        <v>645895.96156905696</v>
      </c>
      <c r="Y39" s="155">
        <f t="shared" ca="1" si="15"/>
        <v>502112.58754403534</v>
      </c>
      <c r="Z39" s="155">
        <f t="shared" ca="1" si="15"/>
        <v>347128.48868246441</v>
      </c>
      <c r="AA39" s="156">
        <f t="shared" ca="1" si="15"/>
        <v>180071.12851957715</v>
      </c>
      <c r="AB39" s="228">
        <f t="shared" ca="1" si="15"/>
        <v>9.7788870334625248E-10</v>
      </c>
      <c r="AC39" s="155">
        <f t="shared" ca="1" si="15"/>
        <v>1.0540662333369256E-9</v>
      </c>
      <c r="AD39" s="155">
        <f t="shared" ca="1" si="15"/>
        <v>1.136177992913872E-9</v>
      </c>
      <c r="AE39" s="156">
        <f t="shared" ca="1" si="15"/>
        <v>1.2246862585618627E-9</v>
      </c>
      <c r="AF39" s="228">
        <f t="shared" ca="1" si="15"/>
        <v>1.3200893181038316E-9</v>
      </c>
      <c r="AG39" s="155">
        <f t="shared" ca="1" si="15"/>
        <v>1.4229242759841201E-9</v>
      </c>
      <c r="AH39" s="155">
        <f t="shared" ca="1" si="15"/>
        <v>1.5337700770832831E-9</v>
      </c>
      <c r="AI39" s="156">
        <f t="shared" ca="1" si="15"/>
        <v>1.6532507660880707E-9</v>
      </c>
      <c r="AJ39" s="228">
        <f t="shared" ref="AJ39" ca="1" si="16">AI37*$C$30</f>
        <v>1.7820390007663314E-9</v>
      </c>
      <c r="AK39" s="155">
        <f t="shared" ref="AK39" ca="1" si="17">AJ37*$C$30</f>
        <v>1.9208598389260284E-9</v>
      </c>
      <c r="AL39" s="155">
        <f t="shared" ref="AL39" ca="1" si="18">AK37*$C$30</f>
        <v>2.070494820378366E-9</v>
      </c>
      <c r="AM39" s="156">
        <f t="shared" ca="1" si="6"/>
        <v>29063568.330263425</v>
      </c>
    </row>
    <row r="40" spans="2:39" x14ac:dyDescent="0.25">
      <c r="B40" s="1107"/>
      <c r="C40" s="51" t="s">
        <v>182</v>
      </c>
      <c r="D40" s="228">
        <f ca="1">D37*$C$31</f>
        <v>259507.38778199998</v>
      </c>
      <c r="E40" s="155">
        <f ca="1">E37*$C$31</f>
        <v>2556187.177232</v>
      </c>
      <c r="F40" s="155">
        <f ca="1">F37*$C$31</f>
        <v>4664258.2658890001</v>
      </c>
      <c r="G40" s="156">
        <f ca="1">G37*$C$31</f>
        <v>6749637.7778179999</v>
      </c>
      <c r="H40" s="228">
        <f t="shared" ref="H40:AI40" ca="1" si="19">G37*$C$31</f>
        <v>6749637.7778179999</v>
      </c>
      <c r="I40" s="155">
        <f t="shared" ca="1" si="19"/>
        <v>6598677.1999597261</v>
      </c>
      <c r="J40" s="155">
        <f t="shared" ca="1" si="19"/>
        <v>6435956.7930862932</v>
      </c>
      <c r="K40" s="156">
        <f t="shared" ca="1" si="19"/>
        <v>6260560.4665174196</v>
      </c>
      <c r="L40" s="228">
        <f t="shared" ca="1" si="19"/>
        <v>6071500.7661088305</v>
      </c>
      <c r="M40" s="155">
        <f t="shared" ca="1" si="19"/>
        <v>5867713.3150384128</v>
      </c>
      <c r="N40" s="155">
        <f t="shared" ca="1" si="19"/>
        <v>5648050.8215296092</v>
      </c>
      <c r="O40" s="156">
        <f t="shared" ca="1" si="19"/>
        <v>5411276.6197764697</v>
      </c>
      <c r="P40" s="228">
        <f t="shared" ca="1" si="19"/>
        <v>5156057.7077067615</v>
      </c>
      <c r="Q40" s="155">
        <f t="shared" ca="1" si="19"/>
        <v>4880957.2423868217</v>
      </c>
      <c r="R40" s="155">
        <f t="shared" ca="1" si="19"/>
        <v>4584426.4508184586</v>
      </c>
      <c r="S40" s="156">
        <f t="shared" ca="1" si="19"/>
        <v>4264795.9105869206</v>
      </c>
      <c r="T40" s="228">
        <f t="shared" ca="1" si="19"/>
        <v>3920266.1512713456</v>
      </c>
      <c r="U40" s="155">
        <f t="shared" ca="1" si="19"/>
        <v>3548897.5237050876</v>
      </c>
      <c r="V40" s="155">
        <f t="shared" ca="1" si="19"/>
        <v>3148599.2800514176</v>
      </c>
      <c r="W40" s="156">
        <f t="shared" ca="1" si="19"/>
        <v>2717117.803217127</v>
      </c>
      <c r="X40" s="228">
        <f t="shared" ca="1" si="19"/>
        <v>2252023.9193374454</v>
      </c>
      <c r="Y40" s="155">
        <f t="shared" ca="1" si="19"/>
        <v>1750699.2219035365</v>
      </c>
      <c r="Z40" s="155">
        <f t="shared" ca="1" si="19"/>
        <v>1210321.330539526</v>
      </c>
      <c r="AA40" s="156">
        <f t="shared" ca="1" si="19"/>
        <v>627848.00143825903</v>
      </c>
      <c r="AB40" s="228">
        <f t="shared" ca="1" si="19"/>
        <v>3.4095719456672669E-9</v>
      </c>
      <c r="AC40" s="155">
        <f t="shared" ca="1" si="19"/>
        <v>3.675177600234747E-9</v>
      </c>
      <c r="AD40" s="155">
        <f t="shared" ca="1" si="19"/>
        <v>3.9614739352930335E-9</v>
      </c>
      <c r="AE40" s="156">
        <f t="shared" ca="1" si="19"/>
        <v>4.270072754852361E-9</v>
      </c>
      <c r="AF40" s="228">
        <f t="shared" ca="1" si="19"/>
        <v>4.6027114224553602E-9</v>
      </c>
      <c r="AG40" s="155">
        <f t="shared" ca="1" si="19"/>
        <v>4.961262642264632E-9</v>
      </c>
      <c r="AH40" s="155">
        <f t="shared" ca="1" si="19"/>
        <v>5.3477450020970467E-9</v>
      </c>
      <c r="AI40" s="156">
        <f t="shared" ca="1" si="19"/>
        <v>5.7643343377604064E-9</v>
      </c>
      <c r="AJ40" s="228">
        <f t="shared" ref="AJ40" ca="1" si="20">AI37*$C$31</f>
        <v>6.2133759826719425E-9</v>
      </c>
      <c r="AK40" s="155">
        <f t="shared" ref="AK40" ca="1" si="21">AJ37*$C$31</f>
        <v>6.6973979717220861E-9</v>
      </c>
      <c r="AL40" s="155">
        <f t="shared" ref="AL40" ca="1" si="22">AK37*$C$31</f>
        <v>7.2191252737192372E-9</v>
      </c>
      <c r="AM40" s="156">
        <f t="shared" ca="1" si="6"/>
        <v>101334974.91151847</v>
      </c>
    </row>
    <row r="41" spans="2:39" ht="12.6" thickBot="1" x14ac:dyDescent="0.3">
      <c r="B41" s="1107"/>
      <c r="C41" s="51" t="s">
        <v>181</v>
      </c>
      <c r="D41" s="239"/>
      <c r="E41" s="24"/>
      <c r="F41" s="24"/>
      <c r="G41" s="32"/>
      <c r="H41" s="228">
        <f t="shared" ref="H41:AI41" ca="1" si="23">H42-H38-H39-H40</f>
        <v>2886435.523102751</v>
      </c>
      <c r="I41" s="155">
        <f t="shared" ca="1" si="23"/>
        <v>3111288.850352454</v>
      </c>
      <c r="J41" s="155">
        <f t="shared" ca="1" si="23"/>
        <v>3353658.2517949091</v>
      </c>
      <c r="K41" s="156">
        <f t="shared" ca="1" si="23"/>
        <v>3614908.2296097325</v>
      </c>
      <c r="L41" s="228">
        <f t="shared" ca="1" si="23"/>
        <v>3896509.5806963323</v>
      </c>
      <c r="M41" s="155">
        <f t="shared" ca="1" si="23"/>
        <v>4200047.677032575</v>
      </c>
      <c r="N41" s="155">
        <f t="shared" ca="1" si="23"/>
        <v>4527231.3910734123</v>
      </c>
      <c r="O41" s="156">
        <f t="shared" ca="1" si="23"/>
        <v>4879902.7164380318</v>
      </c>
      <c r="P41" s="228">
        <f t="shared" ca="1" si="23"/>
        <v>5260047.1380485529</v>
      </c>
      <c r="Q41" s="155">
        <f t="shared" ca="1" si="23"/>
        <v>5669804.8101025354</v>
      </c>
      <c r="R41" s="155">
        <f t="shared" ca="1" si="23"/>
        <v>6111482.6048095245</v>
      </c>
      <c r="S41" s="156">
        <f t="shared" ca="1" si="23"/>
        <v>6587567.0997241857</v>
      </c>
      <c r="T41" s="228">
        <f t="shared" ca="1" si="23"/>
        <v>7100738.5767927002</v>
      </c>
      <c r="U41" s="155">
        <f t="shared" ca="1" si="23"/>
        <v>7653886.1119248513</v>
      </c>
      <c r="V41" s="155">
        <f t="shared" ca="1" si="23"/>
        <v>8250123.8400437981</v>
      </c>
      <c r="W41" s="156">
        <f t="shared" ca="1" si="23"/>
        <v>8892808.4871832095</v>
      </c>
      <c r="X41" s="228">
        <f t="shared" ca="1" si="23"/>
        <v>9585558.2683347799</v>
      </c>
      <c r="Y41" s="155">
        <f t="shared" ca="1" si="23"/>
        <v>10332273.25743806</v>
      </c>
      <c r="Z41" s="155">
        <f t="shared" ca="1" si="23"/>
        <v>11137157.344192484</v>
      </c>
      <c r="AA41" s="156">
        <f t="shared" ca="1" si="23"/>
        <v>12004741.901305079</v>
      </c>
      <c r="AB41" s="228">
        <f t="shared" ca="1" si="23"/>
        <v>-5.0785019993782046E-9</v>
      </c>
      <c r="AC41" s="155">
        <f t="shared" ca="1" si="23"/>
        <v>-5.4741173051297664E-9</v>
      </c>
      <c r="AD41" s="155">
        <f t="shared" ca="1" si="23"/>
        <v>-5.9005510431993753E-9</v>
      </c>
      <c r="AE41" s="156">
        <f t="shared" ca="1" si="23"/>
        <v>-6.3602039694646071E-9</v>
      </c>
      <c r="AF41" s="228">
        <f t="shared" ca="1" si="23"/>
        <v>-6.8556638586858992E-9</v>
      </c>
      <c r="AG41" s="155">
        <f t="shared" ca="1" si="23"/>
        <v>-7.3897200732775304E-9</v>
      </c>
      <c r="AH41" s="155">
        <f t="shared" ca="1" si="23"/>
        <v>-7.9653792669858509E-9</v>
      </c>
      <c r="AI41" s="156">
        <f t="shared" ca="1" si="23"/>
        <v>-8.5858823118840464E-9</v>
      </c>
      <c r="AJ41" s="228">
        <f t="shared" ref="AJ41:AL41" ca="1" si="24">AJ42-AJ38-AJ39-AJ40</f>
        <v>-9.2547225439798151E-9</v>
      </c>
      <c r="AK41" s="155">
        <f t="shared" ca="1" si="24"/>
        <v>-9.9756654301558407E-9</v>
      </c>
      <c r="AL41" s="155">
        <f t="shared" ca="1" si="24"/>
        <v>-1.0752769767164983E-8</v>
      </c>
      <c r="AM41" s="156">
        <f t="shared" ca="1" si="6"/>
        <v>129056171.65999991</v>
      </c>
    </row>
    <row r="42" spans="2:39" ht="12.6" thickBot="1" x14ac:dyDescent="0.3">
      <c r="B42" s="1108"/>
      <c r="C42" s="50" t="s">
        <v>172</v>
      </c>
      <c r="D42" s="240"/>
      <c r="E42" s="241"/>
      <c r="F42" s="241"/>
      <c r="G42" s="242"/>
      <c r="H42" s="232">
        <f ca="1">IF(D21=0,0,PMT($C$29+$C$30+$C$31,D$21/12,-G37))</f>
        <v>12939911.29541675</v>
      </c>
      <c r="I42" s="230">
        <f t="shared" ref="I42:AI42" ca="1" si="25">IF(ROUND(H37,2)=0,0,H42)</f>
        <v>12939911.29541675</v>
      </c>
      <c r="J42" s="230">
        <f t="shared" ca="1" si="25"/>
        <v>12939911.29541675</v>
      </c>
      <c r="K42" s="231">
        <f t="shared" ca="1" si="25"/>
        <v>12939911.29541675</v>
      </c>
      <c r="L42" s="229">
        <f t="shared" ca="1" si="25"/>
        <v>12939911.29541675</v>
      </c>
      <c r="M42" s="230">
        <f t="shared" ca="1" si="25"/>
        <v>12939911.29541675</v>
      </c>
      <c r="N42" s="230">
        <f t="shared" ca="1" si="25"/>
        <v>12939911.29541675</v>
      </c>
      <c r="O42" s="231">
        <f t="shared" ca="1" si="25"/>
        <v>12939911.29541675</v>
      </c>
      <c r="P42" s="229">
        <f t="shared" ca="1" si="25"/>
        <v>12939911.29541675</v>
      </c>
      <c r="Q42" s="230">
        <f t="shared" ca="1" si="25"/>
        <v>12939911.29541675</v>
      </c>
      <c r="R42" s="230">
        <f t="shared" ca="1" si="25"/>
        <v>12939911.29541675</v>
      </c>
      <c r="S42" s="231">
        <f t="shared" ca="1" si="25"/>
        <v>12939911.29541675</v>
      </c>
      <c r="T42" s="229">
        <f t="shared" ca="1" si="25"/>
        <v>12939911.29541675</v>
      </c>
      <c r="U42" s="230">
        <f t="shared" ca="1" si="25"/>
        <v>12939911.29541675</v>
      </c>
      <c r="V42" s="230">
        <f t="shared" ca="1" si="25"/>
        <v>12939911.29541675</v>
      </c>
      <c r="W42" s="231">
        <f t="shared" ca="1" si="25"/>
        <v>12939911.29541675</v>
      </c>
      <c r="X42" s="229">
        <f t="shared" ca="1" si="25"/>
        <v>12939911.29541675</v>
      </c>
      <c r="Y42" s="230">
        <f t="shared" ca="1" si="25"/>
        <v>12939911.29541675</v>
      </c>
      <c r="Z42" s="230">
        <f t="shared" ca="1" si="25"/>
        <v>12939911.29541675</v>
      </c>
      <c r="AA42" s="231">
        <f t="shared" ca="1" si="25"/>
        <v>12939911.29541675</v>
      </c>
      <c r="AB42" s="229">
        <f t="shared" ca="1" si="25"/>
        <v>0</v>
      </c>
      <c r="AC42" s="230">
        <f t="shared" ca="1" si="25"/>
        <v>0</v>
      </c>
      <c r="AD42" s="230">
        <f t="shared" ca="1" si="25"/>
        <v>0</v>
      </c>
      <c r="AE42" s="231">
        <f t="shared" ca="1" si="25"/>
        <v>0</v>
      </c>
      <c r="AF42" s="229">
        <f t="shared" ca="1" si="25"/>
        <v>0</v>
      </c>
      <c r="AG42" s="230">
        <f t="shared" ca="1" si="25"/>
        <v>0</v>
      </c>
      <c r="AH42" s="230">
        <f t="shared" ca="1" si="25"/>
        <v>0</v>
      </c>
      <c r="AI42" s="231">
        <f t="shared" ca="1" si="25"/>
        <v>0</v>
      </c>
      <c r="AJ42" s="229">
        <f t="shared" ref="AJ42" ca="1" si="26">IF(ROUND(AI37,2)=0,0,AI42)</f>
        <v>0</v>
      </c>
      <c r="AK42" s="230">
        <f t="shared" ref="AK42" ca="1" si="27">IF(ROUND(AJ37,2)=0,0,AJ42)</f>
        <v>0</v>
      </c>
      <c r="AL42" s="230">
        <f t="shared" ref="AL42" ca="1" si="28">IF(ROUND(AK37,2)=0,0,AK42)</f>
        <v>0</v>
      </c>
      <c r="AM42" s="231">
        <f t="shared" ca="1" si="6"/>
        <v>258798225.90833491</v>
      </c>
    </row>
    <row r="43" spans="2:39" x14ac:dyDescent="0.25">
      <c r="B43" s="1107" t="str">
        <f>H13</f>
        <v>Financiamento 2º Tranche</v>
      </c>
      <c r="C43" s="52" t="s">
        <v>187</v>
      </c>
      <c r="D43" s="236"/>
      <c r="E43" s="237"/>
      <c r="F43" s="237"/>
      <c r="G43" s="238"/>
      <c r="H43" s="225">
        <f ca="1">IF($H$21=0,0,$H$14*(1-$H$15)*H24)</f>
        <v>40496565.253869377</v>
      </c>
      <c r="I43" s="226">
        <f ca="1">IF($H$21=0,0,$H$14*(1-$H$15)*I24)</f>
        <v>13116908.763741096</v>
      </c>
      <c r="J43" s="226">
        <f ca="1">IF($H$21=0,0,$H$14*(1-$H$15)*J24)</f>
        <v>13145250.074676365</v>
      </c>
      <c r="K43" s="227">
        <f ca="1">IF($H$21=0,0,$H$14*(1-$H$15)*K24)</f>
        <v>7473844.5448703207</v>
      </c>
      <c r="L43" s="236"/>
      <c r="M43" s="237"/>
      <c r="N43" s="237"/>
      <c r="O43" s="238"/>
      <c r="P43" s="236"/>
      <c r="Q43" s="237"/>
      <c r="R43" s="237"/>
      <c r="S43" s="238"/>
      <c r="T43" s="236"/>
      <c r="U43" s="237"/>
      <c r="V43" s="237"/>
      <c r="W43" s="238"/>
      <c r="X43" s="236"/>
      <c r="Y43" s="237"/>
      <c r="Z43" s="237"/>
      <c r="AA43" s="238"/>
      <c r="AB43" s="236"/>
      <c r="AC43" s="237"/>
      <c r="AD43" s="237"/>
      <c r="AE43" s="238"/>
      <c r="AF43" s="236"/>
      <c r="AG43" s="237"/>
      <c r="AH43" s="237"/>
      <c r="AI43" s="238"/>
      <c r="AJ43" s="236"/>
      <c r="AK43" s="237"/>
      <c r="AL43" s="237"/>
      <c r="AM43" s="227">
        <f t="shared" ca="1" si="6"/>
        <v>74232568.637157157</v>
      </c>
    </row>
    <row r="44" spans="2:39" x14ac:dyDescent="0.25">
      <c r="B44" s="1107"/>
      <c r="C44" s="52" t="s">
        <v>186</v>
      </c>
      <c r="D44" s="239"/>
      <c r="E44" s="24"/>
      <c r="F44" s="24"/>
      <c r="G44" s="32"/>
      <c r="H44" s="228">
        <f ca="1">IF($H$21=0,0,$H$14*($H$15)*H24)</f>
        <v>4437996.8661306081</v>
      </c>
      <c r="I44" s="155">
        <f ca="1">IF($H$21=0,0,$H$14*($H$15)*I24)</f>
        <v>1437474.9962588979</v>
      </c>
      <c r="J44" s="155">
        <f ca="1">IF($H$21=0,0,$H$14*($H$15)*J24)</f>
        <v>1440580.9053236363</v>
      </c>
      <c r="K44" s="156">
        <f ca="1">IF($H$21=0,0,$H$14*($H$15)*K24)</f>
        <v>819054.61512967688</v>
      </c>
      <c r="L44" s="239"/>
      <c r="M44" s="24"/>
      <c r="N44" s="24"/>
      <c r="O44" s="32"/>
      <c r="P44" s="239"/>
      <c r="Q44" s="24"/>
      <c r="R44" s="24"/>
      <c r="S44" s="32"/>
      <c r="T44" s="239"/>
      <c r="U44" s="24"/>
      <c r="V44" s="24"/>
      <c r="W44" s="32"/>
      <c r="X44" s="239"/>
      <c r="Y44" s="24"/>
      <c r="Z44" s="24"/>
      <c r="AA44" s="32"/>
      <c r="AB44" s="239"/>
      <c r="AC44" s="24"/>
      <c r="AD44" s="24"/>
      <c r="AE44" s="32"/>
      <c r="AF44" s="239"/>
      <c r="AG44" s="24"/>
      <c r="AH44" s="24"/>
      <c r="AI44" s="32"/>
      <c r="AJ44" s="239"/>
      <c r="AK44" s="24"/>
      <c r="AL44" s="24"/>
      <c r="AM44" s="156">
        <f t="shared" ca="1" si="6"/>
        <v>8135107.3828428192</v>
      </c>
    </row>
    <row r="45" spans="2:39" x14ac:dyDescent="0.25">
      <c r="B45" s="1107"/>
      <c r="C45" s="52" t="s">
        <v>185</v>
      </c>
      <c r="D45" s="239"/>
      <c r="E45" s="24"/>
      <c r="F45" s="24"/>
      <c r="G45" s="32"/>
      <c r="H45" s="228">
        <f ca="1">H43</f>
        <v>40496565.253869377</v>
      </c>
      <c r="I45" s="155">
        <f ca="1">H45+I43</f>
        <v>53613474.017610475</v>
      </c>
      <c r="J45" s="155">
        <f ca="1">I45+J43</f>
        <v>66758724.09228684</v>
      </c>
      <c r="K45" s="156">
        <f ca="1">J45+K43</f>
        <v>74232568.637157157</v>
      </c>
      <c r="L45" s="228">
        <f t="shared" ref="L45:AI45" ca="1" si="29">K45-L49</f>
        <v>72572303.030875698</v>
      </c>
      <c r="M45" s="155">
        <f t="shared" ca="1" si="29"/>
        <v>70782702.733864918</v>
      </c>
      <c r="N45" s="155">
        <f t="shared" ca="1" si="29"/>
        <v>68853692.573716998</v>
      </c>
      <c r="O45" s="156">
        <f t="shared" ca="1" si="29"/>
        <v>66774412.522093557</v>
      </c>
      <c r="P45" s="228">
        <f t="shared" ca="1" si="29"/>
        <v>64533156.554448649</v>
      </c>
      <c r="Q45" s="155">
        <f t="shared" ca="1" si="29"/>
        <v>62117306.746924199</v>
      </c>
      <c r="R45" s="155">
        <f t="shared" ca="1" si="29"/>
        <v>59513262.239393599</v>
      </c>
      <c r="S45" s="156">
        <f t="shared" ca="1" si="29"/>
        <v>56706362.664726362</v>
      </c>
      <c r="T45" s="228">
        <f t="shared" ca="1" si="29"/>
        <v>53680805.613192551</v>
      </c>
      <c r="U45" s="155">
        <f t="shared" ca="1" si="29"/>
        <v>50419557.66734425</v>
      </c>
      <c r="V45" s="155">
        <f t="shared" ca="1" si="29"/>
        <v>46904258.50651437</v>
      </c>
      <c r="W45" s="156">
        <f t="shared" ca="1" si="29"/>
        <v>43115117.541055843</v>
      </c>
      <c r="X45" s="228">
        <f t="shared" ca="1" si="29"/>
        <v>39030802.494388096</v>
      </c>
      <c r="Y45" s="155">
        <f t="shared" ca="1" si="29"/>
        <v>34628319.30558493</v>
      </c>
      <c r="Z45" s="155">
        <f t="shared" ca="1" si="29"/>
        <v>29882882.676374</v>
      </c>
      <c r="AA45" s="156">
        <f t="shared" ca="1" si="29"/>
        <v>24767776.533747535</v>
      </c>
      <c r="AB45" s="228">
        <f t="shared" ca="1" si="29"/>
        <v>19254203.622610472</v>
      </c>
      <c r="AC45" s="155">
        <f t="shared" ca="1" si="29"/>
        <v>13311123.381695829</v>
      </c>
      <c r="AD45" s="155">
        <f t="shared" ca="1" si="29"/>
        <v>6905077.1900139367</v>
      </c>
      <c r="AE45" s="156">
        <f t="shared" ca="1" si="29"/>
        <v>2.4214386940002441E-8</v>
      </c>
      <c r="AF45" s="228">
        <f t="shared" ca="1" si="29"/>
        <v>2.6100687682628633E-8</v>
      </c>
      <c r="AG45" s="155">
        <f t="shared" ca="1" si="29"/>
        <v>2.8133931253105403E-8</v>
      </c>
      <c r="AH45" s="155">
        <f t="shared" ca="1" si="29"/>
        <v>3.0325564497722313E-8</v>
      </c>
      <c r="AI45" s="156">
        <f t="shared" ca="1" si="29"/>
        <v>3.2687925972094881E-8</v>
      </c>
      <c r="AJ45" s="228">
        <f t="shared" ref="AJ45" ca="1" si="30">AI45-AJ49</f>
        <v>3.5234315405321069E-8</v>
      </c>
      <c r="AK45" s="155">
        <f t="shared" ref="AK45" ca="1" si="31">AJ45-AK49</f>
        <v>3.7979068575395576E-8</v>
      </c>
      <c r="AL45" s="155">
        <f t="shared" ref="AL45" ca="1" si="32">AK45-AL49</f>
        <v>4.0937638017418891E-8</v>
      </c>
      <c r="AM45" s="156">
        <f t="shared" ca="1" si="6"/>
        <v>1118854455.5994895</v>
      </c>
    </row>
    <row r="46" spans="2:39" x14ac:dyDescent="0.25">
      <c r="B46" s="1107"/>
      <c r="C46" s="51" t="s">
        <v>184</v>
      </c>
      <c r="D46" s="239"/>
      <c r="E46" s="24"/>
      <c r="F46" s="24"/>
      <c r="G46" s="32"/>
      <c r="H46" s="228">
        <f ca="1">H45*$C$29</f>
        <v>429263.5916910154</v>
      </c>
      <c r="I46" s="155">
        <f ca="1">I45*$C$29</f>
        <v>568302.82458667108</v>
      </c>
      <c r="J46" s="155">
        <f ca="1">J45*$C$29</f>
        <v>707642.47537824046</v>
      </c>
      <c r="K46" s="156">
        <f ca="1">K45*$C$29</f>
        <v>786865.22755386587</v>
      </c>
      <c r="L46" s="228">
        <f t="shared" ref="L46:AI46" ca="1" si="33">K45*$C$29</f>
        <v>786865.22755386587</v>
      </c>
      <c r="M46" s="155">
        <f t="shared" ca="1" si="33"/>
        <v>769266.41212728235</v>
      </c>
      <c r="N46" s="155">
        <f t="shared" ca="1" si="33"/>
        <v>750296.64897896815</v>
      </c>
      <c r="O46" s="156">
        <f t="shared" ca="1" si="33"/>
        <v>729849.14128140023</v>
      </c>
      <c r="P46" s="228">
        <f t="shared" ca="1" si="33"/>
        <v>707808.77273419173</v>
      </c>
      <c r="Q46" s="155">
        <f t="shared" ca="1" si="33"/>
        <v>684051.4594771557</v>
      </c>
      <c r="R46" s="155">
        <f t="shared" ca="1" si="33"/>
        <v>658443.45151739649</v>
      </c>
      <c r="S46" s="156">
        <f t="shared" ca="1" si="33"/>
        <v>630840.57973757212</v>
      </c>
      <c r="T46" s="228">
        <f t="shared" ca="1" si="33"/>
        <v>601087.44424609945</v>
      </c>
      <c r="U46" s="155">
        <f t="shared" ca="1" si="33"/>
        <v>569016.53949984105</v>
      </c>
      <c r="V46" s="155">
        <f t="shared" ca="1" si="33"/>
        <v>534447.3112738491</v>
      </c>
      <c r="W46" s="156">
        <f t="shared" ca="1" si="33"/>
        <v>497185.14016905235</v>
      </c>
      <c r="X46" s="228">
        <f t="shared" ca="1" si="33"/>
        <v>457020.24593519192</v>
      </c>
      <c r="Y46" s="155">
        <f t="shared" ca="1" si="33"/>
        <v>413726.50644051383</v>
      </c>
      <c r="Z46" s="155">
        <f t="shared" ca="1" si="33"/>
        <v>367060.18463920028</v>
      </c>
      <c r="AA46" s="156">
        <f t="shared" ca="1" si="33"/>
        <v>316758.55636956438</v>
      </c>
      <c r="AB46" s="228">
        <f t="shared" ca="1" si="33"/>
        <v>262538.43125772389</v>
      </c>
      <c r="AC46" s="155">
        <f t="shared" ca="1" si="33"/>
        <v>204094.55839967102</v>
      </c>
      <c r="AD46" s="155">
        <f t="shared" ca="1" si="33"/>
        <v>141097.9078459758</v>
      </c>
      <c r="AE46" s="156">
        <f t="shared" ca="1" si="33"/>
        <v>73193.81821414773</v>
      </c>
      <c r="AF46" s="228">
        <f t="shared" ca="1" si="33"/>
        <v>2.5667250156402589E-10</v>
      </c>
      <c r="AG46" s="155">
        <f t="shared" ca="1" si="33"/>
        <v>2.7666728943586351E-10</v>
      </c>
      <c r="AH46" s="155">
        <f t="shared" ca="1" si="33"/>
        <v>2.9821967128291728E-10</v>
      </c>
      <c r="AI46" s="156">
        <f t="shared" ca="1" si="33"/>
        <v>3.2145098367585652E-10</v>
      </c>
      <c r="AJ46" s="228">
        <f t="shared" ref="AJ46" ca="1" si="34">AI45*$C$29</f>
        <v>3.4649201530420574E-10</v>
      </c>
      <c r="AK46" s="155">
        <f t="shared" ref="AK46" ca="1" si="35">AJ45*$C$29</f>
        <v>3.7348374329640335E-10</v>
      </c>
      <c r="AL46" s="155">
        <f t="shared" ref="AL46" ca="1" si="36">AK45*$C$29</f>
        <v>4.0257812689919313E-10</v>
      </c>
      <c r="AM46" s="156">
        <f t="shared" ca="1" si="6"/>
        <v>12646722.456908459</v>
      </c>
    </row>
    <row r="47" spans="2:39" x14ac:dyDescent="0.25">
      <c r="B47" s="1107"/>
      <c r="C47" s="51" t="s">
        <v>183</v>
      </c>
      <c r="D47" s="239"/>
      <c r="E47" s="24"/>
      <c r="F47" s="24"/>
      <c r="G47" s="32"/>
      <c r="H47" s="228">
        <f ca="1">H45*$C$30</f>
        <v>607448.47880804061</v>
      </c>
      <c r="I47" s="155">
        <f ca="1">I45*$C$30</f>
        <v>804202.11026415706</v>
      </c>
      <c r="J47" s="155">
        <f ca="1">J45*$C$30</f>
        <v>1001380.8613843026</v>
      </c>
      <c r="K47" s="156">
        <f ca="1">K45*$C$30</f>
        <v>1113488.5295573573</v>
      </c>
      <c r="L47" s="228">
        <f t="shared" ref="L47:AI47" ca="1" si="37">K45*$C$30</f>
        <v>1113488.5295573573</v>
      </c>
      <c r="M47" s="155">
        <f t="shared" ca="1" si="37"/>
        <v>1088584.5454631355</v>
      </c>
      <c r="N47" s="155">
        <f t="shared" ca="1" si="37"/>
        <v>1061740.5410079737</v>
      </c>
      <c r="O47" s="156">
        <f t="shared" ca="1" si="37"/>
        <v>1032805.3886057549</v>
      </c>
      <c r="P47" s="228">
        <f t="shared" ca="1" si="37"/>
        <v>1001616.1878314033</v>
      </c>
      <c r="Q47" s="155">
        <f t="shared" ca="1" si="37"/>
        <v>967997.34831672965</v>
      </c>
      <c r="R47" s="155">
        <f t="shared" ca="1" si="37"/>
        <v>931759.60120386293</v>
      </c>
      <c r="S47" s="156">
        <f t="shared" ca="1" si="37"/>
        <v>892698.93359090399</v>
      </c>
      <c r="T47" s="228">
        <f t="shared" ca="1" si="37"/>
        <v>850595.43997089542</v>
      </c>
      <c r="U47" s="155">
        <f t="shared" ca="1" si="37"/>
        <v>805212.08419788827</v>
      </c>
      <c r="V47" s="155">
        <f t="shared" ca="1" si="37"/>
        <v>756293.36501016375</v>
      </c>
      <c r="W47" s="156">
        <f t="shared" ca="1" si="37"/>
        <v>703563.87759771547</v>
      </c>
      <c r="X47" s="228">
        <f t="shared" ca="1" si="37"/>
        <v>646726.76311583759</v>
      </c>
      <c r="Y47" s="155">
        <f t="shared" ca="1" si="37"/>
        <v>585462.03741582145</v>
      </c>
      <c r="Z47" s="155">
        <f t="shared" ca="1" si="37"/>
        <v>519424.78958377393</v>
      </c>
      <c r="AA47" s="156">
        <f t="shared" ca="1" si="37"/>
        <v>448243.24014561001</v>
      </c>
      <c r="AB47" s="228">
        <f t="shared" ca="1" si="37"/>
        <v>371516.64800621301</v>
      </c>
      <c r="AC47" s="155">
        <f t="shared" ca="1" si="37"/>
        <v>288813.05433915707</v>
      </c>
      <c r="AD47" s="155">
        <f t="shared" ca="1" si="37"/>
        <v>199666.85072543743</v>
      </c>
      <c r="AE47" s="156">
        <f t="shared" ca="1" si="37"/>
        <v>103576.15785020904</v>
      </c>
      <c r="AF47" s="228">
        <f t="shared" ca="1" si="37"/>
        <v>3.6321580410003663E-10</v>
      </c>
      <c r="AG47" s="155">
        <f t="shared" ca="1" si="37"/>
        <v>3.9151031523942948E-10</v>
      </c>
      <c r="AH47" s="155">
        <f t="shared" ca="1" si="37"/>
        <v>4.2200896879658103E-10</v>
      </c>
      <c r="AI47" s="156">
        <f t="shared" ca="1" si="37"/>
        <v>4.5488346746583467E-10</v>
      </c>
      <c r="AJ47" s="228">
        <f t="shared" ref="AJ47" ca="1" si="38">AI45*$C$30</f>
        <v>4.9031888958142318E-10</v>
      </c>
      <c r="AK47" s="155">
        <f t="shared" ref="AK47" ca="1" si="39">AJ45*$C$30</f>
        <v>5.2851473107981599E-10</v>
      </c>
      <c r="AL47" s="155">
        <f t="shared" ref="AL47" ca="1" si="40">AK45*$C$30</f>
        <v>5.696860286309336E-10</v>
      </c>
      <c r="AM47" s="156">
        <f t="shared" ca="1" si="6"/>
        <v>17896305.363549702</v>
      </c>
    </row>
    <row r="48" spans="2:39" x14ac:dyDescent="0.25">
      <c r="B48" s="1107"/>
      <c r="C48" s="51" t="s">
        <v>182</v>
      </c>
      <c r="D48" s="239"/>
      <c r="E48" s="24"/>
      <c r="F48" s="24"/>
      <c r="G48" s="32"/>
      <c r="H48" s="228">
        <f ca="1">H45*$C$31</f>
        <v>2117970.3627773682</v>
      </c>
      <c r="I48" s="155">
        <f ca="1">I45*$C$31</f>
        <v>2803984.6911210278</v>
      </c>
      <c r="J48" s="155">
        <f ca="1">J45*$C$31</f>
        <v>3491481.2700266019</v>
      </c>
      <c r="K48" s="156">
        <f ca="1">K45*$C$31</f>
        <v>3882363.3397233193</v>
      </c>
      <c r="L48" s="228">
        <f t="shared" ref="L48:AI48" ca="1" si="41">K45*$C$31</f>
        <v>3882363.3397233193</v>
      </c>
      <c r="M48" s="155">
        <f t="shared" ca="1" si="41"/>
        <v>3795531.4485147991</v>
      </c>
      <c r="N48" s="155">
        <f t="shared" ca="1" si="41"/>
        <v>3701935.3529811352</v>
      </c>
      <c r="O48" s="156">
        <f t="shared" ca="1" si="41"/>
        <v>3601048.1216053991</v>
      </c>
      <c r="P48" s="228">
        <f t="shared" ca="1" si="41"/>
        <v>3492301.774905493</v>
      </c>
      <c r="Q48" s="155">
        <f t="shared" ca="1" si="41"/>
        <v>3375084.0877976641</v>
      </c>
      <c r="R48" s="155">
        <f t="shared" ca="1" si="41"/>
        <v>3248735.1428641356</v>
      </c>
      <c r="S48" s="156">
        <f t="shared" ca="1" si="41"/>
        <v>3112543.6151202852</v>
      </c>
      <c r="T48" s="228">
        <f t="shared" ca="1" si="41"/>
        <v>2965742.7673651888</v>
      </c>
      <c r="U48" s="155">
        <f t="shared" ca="1" si="41"/>
        <v>2807506.1335699703</v>
      </c>
      <c r="V48" s="155">
        <f t="shared" ca="1" si="41"/>
        <v>2636942.8660021042</v>
      </c>
      <c r="W48" s="156">
        <f t="shared" ca="1" si="41"/>
        <v>2453092.7198907016</v>
      </c>
      <c r="X48" s="228">
        <f t="shared" ca="1" si="41"/>
        <v>2254920.6473972206</v>
      </c>
      <c r="Y48" s="155">
        <f t="shared" ca="1" si="41"/>
        <v>2041310.9704564973</v>
      </c>
      <c r="Z48" s="155">
        <f t="shared" ca="1" si="41"/>
        <v>1811061.0996820917</v>
      </c>
      <c r="AA48" s="156">
        <f t="shared" ca="1" si="41"/>
        <v>1562874.7639743602</v>
      </c>
      <c r="AB48" s="228">
        <f t="shared" ca="1" si="41"/>
        <v>1295354.7127149962</v>
      </c>
      <c r="AC48" s="155">
        <f t="shared" ca="1" si="41"/>
        <v>1006994.8494625277</v>
      </c>
      <c r="AD48" s="155">
        <f t="shared" ca="1" si="41"/>
        <v>696171.75286269188</v>
      </c>
      <c r="AE48" s="156">
        <f t="shared" ca="1" si="41"/>
        <v>361135.53703772888</v>
      </c>
      <c r="AF48" s="228">
        <f t="shared" ca="1" si="41"/>
        <v>1.2664124369621276E-9</v>
      </c>
      <c r="AG48" s="155">
        <f t="shared" ca="1" si="41"/>
        <v>1.3650659658014775E-9</v>
      </c>
      <c r="AH48" s="155">
        <f t="shared" ca="1" si="41"/>
        <v>1.4714046045374125E-9</v>
      </c>
      <c r="AI48" s="156">
        <f t="shared" ca="1" si="41"/>
        <v>1.586027023230877E-9</v>
      </c>
      <c r="AJ48" s="228">
        <f t="shared" ref="AJ48" ca="1" si="42">AI45*$C$31</f>
        <v>1.7095785283405622E-9</v>
      </c>
      <c r="AK48" s="155">
        <f t="shared" ref="AK48" ca="1" si="43">AJ45*$C$31</f>
        <v>1.8427546956982918E-9</v>
      </c>
      <c r="AL48" s="155">
        <f t="shared" ref="AL48" ca="1" si="44">AK45*$C$31</f>
        <v>1.9863052864931887E-9</v>
      </c>
      <c r="AM48" s="156">
        <f t="shared" ca="1" si="6"/>
        <v>62398451.367576614</v>
      </c>
    </row>
    <row r="49" spans="2:39" ht="12.6" thickBot="1" x14ac:dyDescent="0.3">
      <c r="B49" s="1107"/>
      <c r="C49" s="51" t="s">
        <v>181</v>
      </c>
      <c r="D49" s="239"/>
      <c r="E49" s="24"/>
      <c r="F49" s="24"/>
      <c r="G49" s="32"/>
      <c r="H49" s="239"/>
      <c r="I49" s="24"/>
      <c r="J49" s="24"/>
      <c r="K49" s="32"/>
      <c r="L49" s="233">
        <f t="shared" ref="L49:AI49" ca="1" si="45">L50-L46-L47-L48</f>
        <v>1660265.6062814551</v>
      </c>
      <c r="M49" s="155">
        <f t="shared" ca="1" si="45"/>
        <v>1789600.2970107808</v>
      </c>
      <c r="N49" s="155">
        <f t="shared" ca="1" si="45"/>
        <v>1929010.1601479203</v>
      </c>
      <c r="O49" s="156">
        <f t="shared" ca="1" si="45"/>
        <v>2079280.0516234441</v>
      </c>
      <c r="P49" s="228">
        <f t="shared" ca="1" si="45"/>
        <v>2241255.9676449099</v>
      </c>
      <c r="Q49" s="155">
        <f t="shared" ca="1" si="45"/>
        <v>2415849.8075244483</v>
      </c>
      <c r="R49" s="155">
        <f t="shared" ca="1" si="45"/>
        <v>2604044.5075306031</v>
      </c>
      <c r="S49" s="156">
        <f t="shared" ca="1" si="45"/>
        <v>2806899.5746672368</v>
      </c>
      <c r="T49" s="228">
        <f t="shared" ca="1" si="45"/>
        <v>3025557.0515338141</v>
      </c>
      <c r="U49" s="155">
        <f t="shared" ca="1" si="45"/>
        <v>3261247.9458482987</v>
      </c>
      <c r="V49" s="155">
        <f t="shared" ca="1" si="45"/>
        <v>3515299.1608298812</v>
      </c>
      <c r="W49" s="156">
        <f t="shared" ca="1" si="45"/>
        <v>3789140.9654585281</v>
      </c>
      <c r="X49" s="228">
        <f t="shared" ca="1" si="45"/>
        <v>4084315.0466677477</v>
      </c>
      <c r="Y49" s="155">
        <f t="shared" ca="1" si="45"/>
        <v>4402483.1888031662</v>
      </c>
      <c r="Z49" s="155">
        <f t="shared" ca="1" si="45"/>
        <v>4745436.6292109312</v>
      </c>
      <c r="AA49" s="156">
        <f t="shared" ca="1" si="45"/>
        <v>5115106.1426264634</v>
      </c>
      <c r="AB49" s="228">
        <f t="shared" ca="1" si="45"/>
        <v>5513572.9111370649</v>
      </c>
      <c r="AC49" s="155">
        <f t="shared" ca="1" si="45"/>
        <v>5943080.2409146419</v>
      </c>
      <c r="AD49" s="155">
        <f t="shared" ca="1" si="45"/>
        <v>6406046.1916818926</v>
      </c>
      <c r="AE49" s="156">
        <f t="shared" ca="1" si="45"/>
        <v>6905077.1900139125</v>
      </c>
      <c r="AF49" s="228">
        <f t="shared" ca="1" si="45"/>
        <v>-1.8863007426261901E-9</v>
      </c>
      <c r="AG49" s="155">
        <f t="shared" ca="1" si="45"/>
        <v>-2.0332435704767707E-9</v>
      </c>
      <c r="AH49" s="155">
        <f t="shared" ca="1" si="45"/>
        <v>-2.1916332446169108E-9</v>
      </c>
      <c r="AI49" s="156">
        <f t="shared" ca="1" si="45"/>
        <v>-2.3623614743725684E-9</v>
      </c>
      <c r="AJ49" s="228">
        <f t="shared" ref="AJ49:AL49" ca="1" si="46">AJ50-AJ46-AJ47-AJ48</f>
        <v>-2.546389433226191E-9</v>
      </c>
      <c r="AK49" s="155">
        <f t="shared" ca="1" si="46"/>
        <v>-2.7447531700745111E-9</v>
      </c>
      <c r="AL49" s="155">
        <f t="shared" ca="1" si="46"/>
        <v>-2.9585694420233157E-9</v>
      </c>
      <c r="AM49" s="156">
        <f t="shared" ca="1" si="6"/>
        <v>74232568.637157157</v>
      </c>
    </row>
    <row r="50" spans="2:39" ht="12.6" thickBot="1" x14ac:dyDescent="0.3">
      <c r="B50" s="1108"/>
      <c r="C50" s="50" t="s">
        <v>172</v>
      </c>
      <c r="D50" s="240"/>
      <c r="E50" s="241"/>
      <c r="F50" s="241"/>
      <c r="G50" s="242"/>
      <c r="H50" s="240"/>
      <c r="I50" s="241"/>
      <c r="J50" s="241"/>
      <c r="K50" s="242"/>
      <c r="L50" s="232">
        <f ca="1">IF(H21=0,0,PMT($C$29+$C$30+$C$31,H$21/12,-K45))</f>
        <v>7442982.7031159978</v>
      </c>
      <c r="M50" s="234">
        <f t="shared" ref="M50:AI50" ca="1" si="47">IF(ROUND(L45,2)=0,0,L50)</f>
        <v>7442982.7031159978</v>
      </c>
      <c r="N50" s="230">
        <f t="shared" ca="1" si="47"/>
        <v>7442982.7031159978</v>
      </c>
      <c r="O50" s="231">
        <f t="shared" ca="1" si="47"/>
        <v>7442982.7031159978</v>
      </c>
      <c r="P50" s="229">
        <f t="shared" ca="1" si="47"/>
        <v>7442982.7031159978</v>
      </c>
      <c r="Q50" s="230">
        <f t="shared" ca="1" si="47"/>
        <v>7442982.7031159978</v>
      </c>
      <c r="R50" s="230">
        <f t="shared" ca="1" si="47"/>
        <v>7442982.7031159978</v>
      </c>
      <c r="S50" s="231">
        <f t="shared" ca="1" si="47"/>
        <v>7442982.7031159978</v>
      </c>
      <c r="T50" s="229">
        <f t="shared" ca="1" si="47"/>
        <v>7442982.7031159978</v>
      </c>
      <c r="U50" s="230">
        <f t="shared" ca="1" si="47"/>
        <v>7442982.7031159978</v>
      </c>
      <c r="V50" s="230">
        <f t="shared" ca="1" si="47"/>
        <v>7442982.7031159978</v>
      </c>
      <c r="W50" s="231">
        <f t="shared" ca="1" si="47"/>
        <v>7442982.7031159978</v>
      </c>
      <c r="X50" s="229">
        <f t="shared" ca="1" si="47"/>
        <v>7442982.7031159978</v>
      </c>
      <c r="Y50" s="230">
        <f t="shared" ca="1" si="47"/>
        <v>7442982.7031159978</v>
      </c>
      <c r="Z50" s="230">
        <f t="shared" ca="1" si="47"/>
        <v>7442982.7031159978</v>
      </c>
      <c r="AA50" s="231">
        <f t="shared" ca="1" si="47"/>
        <v>7442982.7031159978</v>
      </c>
      <c r="AB50" s="229">
        <f t="shared" ca="1" si="47"/>
        <v>7442982.7031159978</v>
      </c>
      <c r="AC50" s="230">
        <f t="shared" ca="1" si="47"/>
        <v>7442982.7031159978</v>
      </c>
      <c r="AD50" s="230">
        <f t="shared" ca="1" si="47"/>
        <v>7442982.7031159978</v>
      </c>
      <c r="AE50" s="231">
        <f t="shared" ca="1" si="47"/>
        <v>7442982.7031159978</v>
      </c>
      <c r="AF50" s="229">
        <f t="shared" ca="1" si="47"/>
        <v>0</v>
      </c>
      <c r="AG50" s="230">
        <f t="shared" ca="1" si="47"/>
        <v>0</v>
      </c>
      <c r="AH50" s="230">
        <f t="shared" ca="1" si="47"/>
        <v>0</v>
      </c>
      <c r="AI50" s="231">
        <f t="shared" ca="1" si="47"/>
        <v>0</v>
      </c>
      <c r="AJ50" s="229">
        <f t="shared" ref="AJ50" ca="1" si="48">IF(ROUND(AI45,2)=0,0,AI50)</f>
        <v>0</v>
      </c>
      <c r="AK50" s="230">
        <f t="shared" ref="AK50" ca="1" si="49">IF(ROUND(AJ45,2)=0,0,AJ50)</f>
        <v>0</v>
      </c>
      <c r="AL50" s="230">
        <f t="shared" ref="AL50" ca="1" si="50">IF(ROUND(AK45,2)=0,0,AK50)</f>
        <v>0</v>
      </c>
      <c r="AM50" s="231">
        <f t="shared" ca="1" si="6"/>
        <v>148859654.06231996</v>
      </c>
    </row>
    <row r="51" spans="2:39" x14ac:dyDescent="0.25">
      <c r="B51" s="1107" t="str">
        <f>L13</f>
        <v>Financiamento 3º Tranche</v>
      </c>
      <c r="C51" s="52" t="s">
        <v>187</v>
      </c>
      <c r="D51" s="236"/>
      <c r="E51" s="237"/>
      <c r="F51" s="237"/>
      <c r="G51" s="238"/>
      <c r="H51" s="236"/>
      <c r="I51" s="237"/>
      <c r="J51" s="237"/>
      <c r="K51" s="238"/>
      <c r="L51" s="225">
        <f ca="1">IF($L$21=0,0,$L$14*(1-$L$15)*L24)</f>
        <v>7395966.6063801851</v>
      </c>
      <c r="M51" s="226">
        <f ca="1">IF($L$21=0,0,$L$14*(1-$L$15)*M24)</f>
        <v>7315364.0746066598</v>
      </c>
      <c r="N51" s="226">
        <f ca="1">IF($L$21=0,0,$L$14*(1-$L$15)*N24)</f>
        <v>7238640.1034548385</v>
      </c>
      <c r="O51" s="227">
        <f ca="1">IF($L$21=0,0,$L$14*(1-$L$15)*O24)</f>
        <v>7154323.1798859751</v>
      </c>
      <c r="P51" s="236"/>
      <c r="Q51" s="237"/>
      <c r="R51" s="237"/>
      <c r="S51" s="238"/>
      <c r="T51" s="236"/>
      <c r="U51" s="237"/>
      <c r="V51" s="237"/>
      <c r="W51" s="238"/>
      <c r="X51" s="236"/>
      <c r="Y51" s="237"/>
      <c r="Z51" s="237"/>
      <c r="AA51" s="238"/>
      <c r="AB51" s="236"/>
      <c r="AC51" s="237"/>
      <c r="AD51" s="237"/>
      <c r="AE51" s="238"/>
      <c r="AF51" s="236"/>
      <c r="AG51" s="237"/>
      <c r="AH51" s="237"/>
      <c r="AI51" s="238"/>
      <c r="AJ51" s="236"/>
      <c r="AK51" s="237"/>
      <c r="AL51" s="237"/>
      <c r="AM51" s="227">
        <f t="shared" ca="1" si="6"/>
        <v>29104293.964327659</v>
      </c>
    </row>
    <row r="52" spans="2:39" x14ac:dyDescent="0.25">
      <c r="B52" s="1107"/>
      <c r="C52" s="52" t="s">
        <v>186</v>
      </c>
      <c r="D52" s="239"/>
      <c r="E52" s="24"/>
      <c r="F52" s="24"/>
      <c r="G52" s="32"/>
      <c r="H52" s="239"/>
      <c r="I52" s="24"/>
      <c r="J52" s="24"/>
      <c r="K52" s="32"/>
      <c r="L52" s="228">
        <f ca="1">IF($L$21=0,0,$L$14*($L$15)*L24)</f>
        <v>810520.01361981395</v>
      </c>
      <c r="M52" s="155">
        <f ca="1">IF($L$21=0,0,$L$14*($L$15)*M24)</f>
        <v>801686.82539334043</v>
      </c>
      <c r="N52" s="155">
        <f ca="1">IF($L$21=0,0,$L$14*($L$15)*N24)</f>
        <v>793278.6865451613</v>
      </c>
      <c r="O52" s="156">
        <f ca="1">IF($L$21=0,0,$L$14*($L$15)*O24)</f>
        <v>784038.44011402386</v>
      </c>
      <c r="P52" s="239"/>
      <c r="Q52" s="24"/>
      <c r="R52" s="24"/>
      <c r="S52" s="32"/>
      <c r="T52" s="239"/>
      <c r="U52" s="24"/>
      <c r="V52" s="24"/>
      <c r="W52" s="32"/>
      <c r="X52" s="239"/>
      <c r="Y52" s="24"/>
      <c r="Z52" s="24"/>
      <c r="AA52" s="32"/>
      <c r="AB52" s="239"/>
      <c r="AC52" s="24"/>
      <c r="AD52" s="24"/>
      <c r="AE52" s="32"/>
      <c r="AF52" s="239"/>
      <c r="AG52" s="24"/>
      <c r="AH52" s="24"/>
      <c r="AI52" s="32"/>
      <c r="AJ52" s="239"/>
      <c r="AK52" s="24"/>
      <c r="AL52" s="24"/>
      <c r="AM52" s="156">
        <f t="shared" ca="1" si="6"/>
        <v>3189523.9656723393</v>
      </c>
    </row>
    <row r="53" spans="2:39" x14ac:dyDescent="0.25">
      <c r="B53" s="1107"/>
      <c r="C53" s="52" t="s">
        <v>185</v>
      </c>
      <c r="D53" s="239"/>
      <c r="E53" s="24"/>
      <c r="F53" s="24"/>
      <c r="G53" s="32"/>
      <c r="H53" s="239"/>
      <c r="I53" s="24"/>
      <c r="J53" s="24"/>
      <c r="K53" s="32"/>
      <c r="L53" s="228">
        <f ca="1">L51</f>
        <v>7395966.6063801851</v>
      </c>
      <c r="M53" s="155">
        <f ca="1">L53+M51</f>
        <v>14711330.680986844</v>
      </c>
      <c r="N53" s="155">
        <f ca="1">M53+N51</f>
        <v>21949970.784441683</v>
      </c>
      <c r="O53" s="156">
        <f ca="1">N53+O51</f>
        <v>29104293.964327659</v>
      </c>
      <c r="P53" s="228">
        <f t="shared" ref="P53:AI53" ca="1" si="51">O53-P57</f>
        <v>28453355.176256526</v>
      </c>
      <c r="Q53" s="155">
        <f t="shared" ca="1" si="51"/>
        <v>27751708.256594654</v>
      </c>
      <c r="R53" s="155">
        <f t="shared" ca="1" si="51"/>
        <v>26995403.04189112</v>
      </c>
      <c r="S53" s="156">
        <f t="shared" ca="1" si="51"/>
        <v>26180181.650962181</v>
      </c>
      <c r="T53" s="228">
        <f t="shared" ca="1" si="51"/>
        <v>25301454.513679881</v>
      </c>
      <c r="U53" s="155">
        <f t="shared" ca="1" si="51"/>
        <v>24354274.532403287</v>
      </c>
      <c r="V53" s="155">
        <f t="shared" ca="1" si="51"/>
        <v>23333309.230585247</v>
      </c>
      <c r="W53" s="156">
        <f t="shared" ca="1" si="51"/>
        <v>22232810.731755581</v>
      </c>
      <c r="X53" s="228">
        <f t="shared" ca="1" si="51"/>
        <v>21046583.399867084</v>
      </c>
      <c r="Y53" s="155">
        <f t="shared" ca="1" si="51"/>
        <v>19767948.958824474</v>
      </c>
      <c r="Z53" s="155">
        <f t="shared" ca="1" si="51"/>
        <v>18389708.894824646</v>
      </c>
      <c r="AA53" s="156">
        <f t="shared" ca="1" si="51"/>
        <v>16904103.929839231</v>
      </c>
      <c r="AB53" s="228">
        <f t="shared" ca="1" si="51"/>
        <v>15302770.338081451</v>
      </c>
      <c r="AC53" s="155">
        <f t="shared" ca="1" si="51"/>
        <v>13576692.85952574</v>
      </c>
      <c r="AD53" s="155">
        <f t="shared" ca="1" si="51"/>
        <v>11716153.945390539</v>
      </c>
      <c r="AE53" s="156">
        <f t="shared" ca="1" si="51"/>
        <v>9710679.0498442054</v>
      </c>
      <c r="AF53" s="228">
        <f t="shared" ca="1" si="51"/>
        <v>7548977.6599348132</v>
      </c>
      <c r="AG53" s="155">
        <f t="shared" ca="1" si="51"/>
        <v>5218879.7317514792</v>
      </c>
      <c r="AH53" s="155">
        <f t="shared" ca="1" si="51"/>
        <v>2707267.1749626631</v>
      </c>
      <c r="AI53" s="156">
        <f t="shared" ca="1" si="51"/>
        <v>0</v>
      </c>
      <c r="AJ53" s="228">
        <f t="shared" ref="AJ53" ca="1" si="52">AI53-AJ57</f>
        <v>0</v>
      </c>
      <c r="AK53" s="155">
        <f t="shared" ref="AK53" ca="1" si="53">AJ53-AK57</f>
        <v>0</v>
      </c>
      <c r="AL53" s="155">
        <f t="shared" ref="AL53" ca="1" si="54">AK53-AL57</f>
        <v>0</v>
      </c>
      <c r="AM53" s="156">
        <f t="shared" ca="1" si="6"/>
        <v>419653825.11311114</v>
      </c>
    </row>
    <row r="54" spans="2:39" x14ac:dyDescent="0.25">
      <c r="B54" s="1107"/>
      <c r="C54" s="51" t="s">
        <v>184</v>
      </c>
      <c r="D54" s="239"/>
      <c r="E54" s="24"/>
      <c r="F54" s="24"/>
      <c r="G54" s="32"/>
      <c r="H54" s="239"/>
      <c r="I54" s="24"/>
      <c r="J54" s="24"/>
      <c r="K54" s="32"/>
      <c r="L54" s="228">
        <f ca="1">L53*$C$29</f>
        <v>78397.246027629968</v>
      </c>
      <c r="M54" s="155">
        <f ca="1">M53*$C$29</f>
        <v>155940.10521846055</v>
      </c>
      <c r="N54" s="155">
        <f ca="1">N53*$C$29</f>
        <v>232669.69031508185</v>
      </c>
      <c r="O54" s="156">
        <f ca="1">O53*$C$29</f>
        <v>308505.51602187322</v>
      </c>
      <c r="P54" s="228">
        <f t="shared" ref="P54:AI54" ca="1" si="55">O53*$C$29</f>
        <v>308505.51602187322</v>
      </c>
      <c r="Q54" s="155">
        <f t="shared" ca="1" si="55"/>
        <v>301605.5648683192</v>
      </c>
      <c r="R54" s="155">
        <f t="shared" ca="1" si="55"/>
        <v>294168.10751990334</v>
      </c>
      <c r="S54" s="156">
        <f t="shared" ca="1" si="55"/>
        <v>286151.27224404586</v>
      </c>
      <c r="T54" s="228">
        <f t="shared" ca="1" si="55"/>
        <v>277509.92550019914</v>
      </c>
      <c r="U54" s="155">
        <f t="shared" ca="1" si="55"/>
        <v>268195.41784500674</v>
      </c>
      <c r="V54" s="155">
        <f t="shared" ca="1" si="55"/>
        <v>258155.31004347483</v>
      </c>
      <c r="W54" s="156">
        <f t="shared" ca="1" si="55"/>
        <v>247333.07784420362</v>
      </c>
      <c r="X54" s="228">
        <f t="shared" ca="1" si="55"/>
        <v>235667.79375660917</v>
      </c>
      <c r="Y54" s="155">
        <f t="shared" ca="1" si="55"/>
        <v>223093.78403859108</v>
      </c>
      <c r="Z54" s="155">
        <f t="shared" ca="1" si="55"/>
        <v>209540.25896353944</v>
      </c>
      <c r="AA54" s="156">
        <f t="shared" ca="1" si="55"/>
        <v>194930.91428514125</v>
      </c>
      <c r="AB54" s="228">
        <f t="shared" ca="1" si="55"/>
        <v>179183.50165629585</v>
      </c>
      <c r="AC54" s="155">
        <f t="shared" ca="1" si="55"/>
        <v>162209.36558366337</v>
      </c>
      <c r="AD54" s="155">
        <f t="shared" ca="1" si="55"/>
        <v>143912.94431097285</v>
      </c>
      <c r="AE54" s="156">
        <f t="shared" ca="1" si="55"/>
        <v>124191.23182113972</v>
      </c>
      <c r="AF54" s="228">
        <f t="shared" ca="1" si="55"/>
        <v>102933.19792834857</v>
      </c>
      <c r="AG54" s="155">
        <f t="shared" ca="1" si="55"/>
        <v>80019.163195309025</v>
      </c>
      <c r="AH54" s="155">
        <f t="shared" ca="1" si="55"/>
        <v>55320.125156565678</v>
      </c>
      <c r="AI54" s="156">
        <f t="shared" ca="1" si="55"/>
        <v>28697.032054604228</v>
      </c>
      <c r="AJ54" s="228">
        <f t="shared" ref="AJ54" ca="1" si="56">AI53*$C$29</f>
        <v>0</v>
      </c>
      <c r="AK54" s="155">
        <f t="shared" ref="AK54" ca="1" si="57">AJ53*$C$29</f>
        <v>0</v>
      </c>
      <c r="AL54" s="155">
        <f t="shared" ref="AL54" ca="1" si="58">AK53*$C$29</f>
        <v>0</v>
      </c>
      <c r="AM54" s="156">
        <f t="shared" ca="1" si="6"/>
        <v>4756836.06222085</v>
      </c>
    </row>
    <row r="55" spans="2:39" x14ac:dyDescent="0.25">
      <c r="B55" s="1107"/>
      <c r="C55" s="51" t="s">
        <v>183</v>
      </c>
      <c r="D55" s="239"/>
      <c r="E55" s="24"/>
      <c r="F55" s="24"/>
      <c r="G55" s="32"/>
      <c r="H55" s="239"/>
      <c r="I55" s="24"/>
      <c r="J55" s="24"/>
      <c r="K55" s="32"/>
      <c r="L55" s="228">
        <f ca="1">L53*$C$30</f>
        <v>110939.49909570278</v>
      </c>
      <c r="M55" s="155">
        <f ca="1">M53*$C$30</f>
        <v>220669.96021480265</v>
      </c>
      <c r="N55" s="155">
        <f ca="1">N53*$C$30</f>
        <v>329249.56176662527</v>
      </c>
      <c r="O55" s="156">
        <f ca="1">O53*$C$30</f>
        <v>436564.40946491488</v>
      </c>
      <c r="P55" s="228">
        <f t="shared" ref="P55:AI55" ca="1" si="59">O53*$C$30</f>
        <v>436564.40946491488</v>
      </c>
      <c r="Q55" s="155">
        <f t="shared" ca="1" si="59"/>
        <v>426800.32764384785</v>
      </c>
      <c r="R55" s="155">
        <f t="shared" ca="1" si="59"/>
        <v>416275.62384891981</v>
      </c>
      <c r="S55" s="156">
        <f t="shared" ca="1" si="59"/>
        <v>404931.04562836682</v>
      </c>
      <c r="T55" s="228">
        <f t="shared" ca="1" si="59"/>
        <v>392702.7247644327</v>
      </c>
      <c r="U55" s="155">
        <f t="shared" ca="1" si="59"/>
        <v>379521.81770519819</v>
      </c>
      <c r="V55" s="155">
        <f t="shared" ca="1" si="59"/>
        <v>365314.11798604927</v>
      </c>
      <c r="W55" s="156">
        <f t="shared" ca="1" si="59"/>
        <v>349999.63845877867</v>
      </c>
      <c r="X55" s="228">
        <f t="shared" ca="1" si="59"/>
        <v>333492.16097633372</v>
      </c>
      <c r="Y55" s="155">
        <f t="shared" ca="1" si="59"/>
        <v>315698.75099800626</v>
      </c>
      <c r="Z55" s="155">
        <f t="shared" ca="1" si="59"/>
        <v>296519.23438236711</v>
      </c>
      <c r="AA55" s="156">
        <f t="shared" ca="1" si="59"/>
        <v>275845.63342236966</v>
      </c>
      <c r="AB55" s="228">
        <f t="shared" ca="1" si="59"/>
        <v>253561.55894758846</v>
      </c>
      <c r="AC55" s="155">
        <f t="shared" ca="1" si="59"/>
        <v>229541.55507122175</v>
      </c>
      <c r="AD55" s="155">
        <f t="shared" ca="1" si="59"/>
        <v>203650.3928928861</v>
      </c>
      <c r="AE55" s="156">
        <f t="shared" ca="1" si="59"/>
        <v>175742.30918085808</v>
      </c>
      <c r="AF55" s="228">
        <f t="shared" ca="1" si="59"/>
        <v>145660.18574766308</v>
      </c>
      <c r="AG55" s="155">
        <f t="shared" ca="1" si="59"/>
        <v>113234.66489902219</v>
      </c>
      <c r="AH55" s="155">
        <f t="shared" ca="1" si="59"/>
        <v>78283.195976272182</v>
      </c>
      <c r="AI55" s="156">
        <f t="shared" ca="1" si="59"/>
        <v>40609.007624439946</v>
      </c>
      <c r="AJ55" s="228">
        <f t="shared" ref="AJ55" ca="1" si="60">AI53*$C$30</f>
        <v>0</v>
      </c>
      <c r="AK55" s="155">
        <f t="shared" ref="AK55" ca="1" si="61">AJ53*$C$30</f>
        <v>0</v>
      </c>
      <c r="AL55" s="155">
        <f t="shared" ref="AL55" ca="1" si="62">AK53*$C$30</f>
        <v>0</v>
      </c>
      <c r="AM55" s="156">
        <f t="shared" ca="1" si="6"/>
        <v>6731371.7861615829</v>
      </c>
    </row>
    <row r="56" spans="2:39" x14ac:dyDescent="0.25">
      <c r="B56" s="1107"/>
      <c r="C56" s="51" t="s">
        <v>182</v>
      </c>
      <c r="D56" s="239"/>
      <c r="E56" s="24"/>
      <c r="F56" s="24"/>
      <c r="G56" s="32"/>
      <c r="H56" s="239"/>
      <c r="I56" s="24"/>
      <c r="J56" s="24"/>
      <c r="K56" s="32"/>
      <c r="L56" s="228">
        <f ca="1">L53*$C$31</f>
        <v>386809.05351368367</v>
      </c>
      <c r="M56" s="155">
        <f ca="1">M53*$C$31</f>
        <v>769402.59461561195</v>
      </c>
      <c r="N56" s="155">
        <f ca="1">N53*$C$31</f>
        <v>1147983.4720262999</v>
      </c>
      <c r="O56" s="156">
        <f ca="1">O53*$C$31</f>
        <v>1522154.5743343367</v>
      </c>
      <c r="P56" s="228">
        <f t="shared" ref="P56:AI56" ca="1" si="63">O53*$C$31</f>
        <v>1522154.5743343367</v>
      </c>
      <c r="Q56" s="155">
        <f t="shared" ca="1" si="63"/>
        <v>1488110.4757182163</v>
      </c>
      <c r="R56" s="155">
        <f t="shared" ca="1" si="63"/>
        <v>1451414.3418199003</v>
      </c>
      <c r="S56" s="156">
        <f t="shared" ca="1" si="63"/>
        <v>1411859.5790909056</v>
      </c>
      <c r="T56" s="228">
        <f t="shared" ca="1" si="63"/>
        <v>1369223.5003453221</v>
      </c>
      <c r="U56" s="155">
        <f t="shared" ca="1" si="63"/>
        <v>1323266.0710654578</v>
      </c>
      <c r="V56" s="155">
        <f t="shared" ca="1" si="63"/>
        <v>1273728.5580446918</v>
      </c>
      <c r="W56" s="156">
        <f t="shared" ca="1" si="63"/>
        <v>1220332.0727596085</v>
      </c>
      <c r="X56" s="228">
        <f t="shared" ca="1" si="63"/>
        <v>1162776.0012708169</v>
      </c>
      <c r="Y56" s="155">
        <f t="shared" ca="1" si="63"/>
        <v>1100736.3118130486</v>
      </c>
      <c r="Z56" s="155">
        <f t="shared" ca="1" si="63"/>
        <v>1033863.73054652</v>
      </c>
      <c r="AA56" s="156">
        <f t="shared" ca="1" si="63"/>
        <v>961781.77519932901</v>
      </c>
      <c r="AB56" s="228">
        <f t="shared" ca="1" si="63"/>
        <v>884084.63553059183</v>
      </c>
      <c r="AC56" s="155">
        <f t="shared" ca="1" si="63"/>
        <v>800334.88868165994</v>
      </c>
      <c r="AD56" s="155">
        <f t="shared" ca="1" si="63"/>
        <v>710061.03655319614</v>
      </c>
      <c r="AE56" s="156">
        <f t="shared" ca="1" si="63"/>
        <v>612754.85134392523</v>
      </c>
      <c r="AF56" s="228">
        <f t="shared" ca="1" si="63"/>
        <v>507868.51430685195</v>
      </c>
      <c r="AG56" s="155">
        <f t="shared" ca="1" si="63"/>
        <v>394811.53161459073</v>
      </c>
      <c r="AH56" s="155">
        <f t="shared" ca="1" si="63"/>
        <v>272947.40997060237</v>
      </c>
      <c r="AI56" s="156">
        <f t="shared" ca="1" si="63"/>
        <v>141590.07325054728</v>
      </c>
      <c r="AJ56" s="228">
        <f t="shared" ref="AJ56" ca="1" si="64">AI53*$C$31</f>
        <v>0</v>
      </c>
      <c r="AK56" s="155">
        <f t="shared" ref="AK56" ca="1" si="65">AJ53*$C$31</f>
        <v>0</v>
      </c>
      <c r="AL56" s="155">
        <f t="shared" ref="AL56" ca="1" si="66">AK53*$C$31</f>
        <v>0</v>
      </c>
      <c r="AM56" s="156">
        <f t="shared" ca="1" si="6"/>
        <v>23470049.62775005</v>
      </c>
    </row>
    <row r="57" spans="2:39" ht="12.6" thickBot="1" x14ac:dyDescent="0.3">
      <c r="B57" s="1107"/>
      <c r="C57" s="51" t="s">
        <v>181</v>
      </c>
      <c r="D57" s="239"/>
      <c r="E57" s="24"/>
      <c r="F57" s="24"/>
      <c r="G57" s="32"/>
      <c r="H57" s="239"/>
      <c r="I57" s="24"/>
      <c r="J57" s="24"/>
      <c r="K57" s="32"/>
      <c r="L57" s="239"/>
      <c r="M57" s="24"/>
      <c r="N57" s="24"/>
      <c r="O57" s="32"/>
      <c r="P57" s="228">
        <f t="shared" ref="P57:AI57" ca="1" si="67">P58-P54-P55-P56</f>
        <v>650938.78807113157</v>
      </c>
      <c r="Q57" s="155">
        <f t="shared" ca="1" si="67"/>
        <v>701646.91966187279</v>
      </c>
      <c r="R57" s="155">
        <f t="shared" ca="1" si="67"/>
        <v>756305.2147035331</v>
      </c>
      <c r="S57" s="156">
        <f t="shared" ca="1" si="67"/>
        <v>815221.39092893782</v>
      </c>
      <c r="T57" s="228">
        <f t="shared" ca="1" si="67"/>
        <v>878727.13728230237</v>
      </c>
      <c r="U57" s="155">
        <f t="shared" ca="1" si="67"/>
        <v>947179.98127659387</v>
      </c>
      <c r="V57" s="155">
        <f t="shared" ca="1" si="67"/>
        <v>1020965.3018180409</v>
      </c>
      <c r="W57" s="156">
        <f t="shared" ca="1" si="67"/>
        <v>1100498.4988296658</v>
      </c>
      <c r="X57" s="228">
        <f t="shared" ca="1" si="67"/>
        <v>1186227.3318884966</v>
      </c>
      <c r="Y57" s="155">
        <f t="shared" ca="1" si="67"/>
        <v>1278634.4410426104</v>
      </c>
      <c r="Z57" s="155">
        <f t="shared" ca="1" si="67"/>
        <v>1378240.0639998298</v>
      </c>
      <c r="AA57" s="156">
        <f t="shared" ca="1" si="67"/>
        <v>1485604.9649854167</v>
      </c>
      <c r="AB57" s="228">
        <f t="shared" ca="1" si="67"/>
        <v>1601333.5917577804</v>
      </c>
      <c r="AC57" s="155">
        <f t="shared" ca="1" si="67"/>
        <v>1726077.4785557115</v>
      </c>
      <c r="AD57" s="155">
        <f t="shared" ca="1" si="67"/>
        <v>1860538.9141352014</v>
      </c>
      <c r="AE57" s="156">
        <f t="shared" ca="1" si="67"/>
        <v>2005474.8955463334</v>
      </c>
      <c r="AF57" s="228">
        <f t="shared" ca="1" si="67"/>
        <v>2161701.3899093927</v>
      </c>
      <c r="AG57" s="155">
        <f t="shared" ca="1" si="67"/>
        <v>2330097.9281833339</v>
      </c>
      <c r="AH57" s="155">
        <f t="shared" ca="1" si="67"/>
        <v>2511612.5567888161</v>
      </c>
      <c r="AI57" s="156">
        <f t="shared" ca="1" si="67"/>
        <v>2707267.174962665</v>
      </c>
      <c r="AJ57" s="228">
        <f t="shared" ref="AJ57:AL57" ca="1" si="68">AJ58-AJ54-AJ55-AJ56</f>
        <v>0</v>
      </c>
      <c r="AK57" s="155">
        <f t="shared" ca="1" si="68"/>
        <v>0</v>
      </c>
      <c r="AL57" s="155">
        <f t="shared" ca="1" si="68"/>
        <v>0</v>
      </c>
      <c r="AM57" s="156">
        <f t="shared" ca="1" si="6"/>
        <v>29104293.964327667</v>
      </c>
    </row>
    <row r="58" spans="2:39" ht="12.6" thickBot="1" x14ac:dyDescent="0.3">
      <c r="B58" s="1108"/>
      <c r="C58" s="50" t="s">
        <v>172</v>
      </c>
      <c r="D58" s="240"/>
      <c r="E58" s="241"/>
      <c r="F58" s="241"/>
      <c r="G58" s="242"/>
      <c r="H58" s="240"/>
      <c r="I58" s="241"/>
      <c r="J58" s="241"/>
      <c r="K58" s="242"/>
      <c r="L58" s="240"/>
      <c r="M58" s="241"/>
      <c r="N58" s="241"/>
      <c r="O58" s="242"/>
      <c r="P58" s="232">
        <f ca="1">IF(L21=0,0,PMT($C$29+$C$30+$C$31,L$21/12,-O53))</f>
        <v>2918163.2878922564</v>
      </c>
      <c r="Q58" s="234">
        <f t="shared" ref="Q58:AI58" ca="1" si="69">IF(ROUND(P53,2)=0,0,P58)</f>
        <v>2918163.2878922564</v>
      </c>
      <c r="R58" s="230">
        <f t="shared" ca="1" si="69"/>
        <v>2918163.2878922564</v>
      </c>
      <c r="S58" s="231">
        <f t="shared" ca="1" si="69"/>
        <v>2918163.2878922564</v>
      </c>
      <c r="T58" s="229">
        <f t="shared" ca="1" si="69"/>
        <v>2918163.2878922564</v>
      </c>
      <c r="U58" s="230">
        <f t="shared" ca="1" si="69"/>
        <v>2918163.2878922564</v>
      </c>
      <c r="V58" s="230">
        <f t="shared" ca="1" si="69"/>
        <v>2918163.2878922564</v>
      </c>
      <c r="W58" s="231">
        <f t="shared" ca="1" si="69"/>
        <v>2918163.2878922564</v>
      </c>
      <c r="X58" s="229">
        <f t="shared" ca="1" si="69"/>
        <v>2918163.2878922564</v>
      </c>
      <c r="Y58" s="230">
        <f t="shared" ca="1" si="69"/>
        <v>2918163.2878922564</v>
      </c>
      <c r="Z58" s="230">
        <f t="shared" ca="1" si="69"/>
        <v>2918163.2878922564</v>
      </c>
      <c r="AA58" s="231">
        <f t="shared" ca="1" si="69"/>
        <v>2918163.2878922564</v>
      </c>
      <c r="AB58" s="229">
        <f t="shared" ca="1" si="69"/>
        <v>2918163.2878922564</v>
      </c>
      <c r="AC58" s="230">
        <f t="shared" ca="1" si="69"/>
        <v>2918163.2878922564</v>
      </c>
      <c r="AD58" s="230">
        <f t="shared" ca="1" si="69"/>
        <v>2918163.2878922564</v>
      </c>
      <c r="AE58" s="231">
        <f t="shared" ca="1" si="69"/>
        <v>2918163.2878922564</v>
      </c>
      <c r="AF58" s="229">
        <f t="shared" ca="1" si="69"/>
        <v>2918163.2878922564</v>
      </c>
      <c r="AG58" s="230">
        <f t="shared" ca="1" si="69"/>
        <v>2918163.2878922564</v>
      </c>
      <c r="AH58" s="230">
        <f t="shared" ca="1" si="69"/>
        <v>2918163.2878922564</v>
      </c>
      <c r="AI58" s="231">
        <f t="shared" ca="1" si="69"/>
        <v>2918163.2878922564</v>
      </c>
      <c r="AJ58" s="229">
        <f t="shared" ref="AJ58" ca="1" si="70">IF(ROUND(AI53,2)=0,0,AI58)</f>
        <v>0</v>
      </c>
      <c r="AK58" s="230">
        <f t="shared" ref="AK58" ca="1" si="71">IF(ROUND(AJ53,2)=0,0,AJ58)</f>
        <v>0</v>
      </c>
      <c r="AL58" s="230">
        <f t="shared" ref="AL58" ca="1" si="72">IF(ROUND(AK53,2)=0,0,AK58)</f>
        <v>0</v>
      </c>
      <c r="AM58" s="231">
        <f t="shared" ca="1" si="6"/>
        <v>58363265.757845156</v>
      </c>
    </row>
    <row r="59" spans="2:39" x14ac:dyDescent="0.25">
      <c r="B59" s="1107" t="str">
        <f>P13</f>
        <v>Financiamento 4º Tranche</v>
      </c>
      <c r="C59" s="52" t="s">
        <v>187</v>
      </c>
      <c r="D59" s="236"/>
      <c r="E59" s="237"/>
      <c r="F59" s="237"/>
      <c r="G59" s="238"/>
      <c r="H59" s="236"/>
      <c r="I59" s="237"/>
      <c r="J59" s="237"/>
      <c r="K59" s="238"/>
      <c r="L59" s="236"/>
      <c r="M59" s="237"/>
      <c r="N59" s="237"/>
      <c r="O59" s="238"/>
      <c r="P59" s="225">
        <f ca="1">IF($P$21=0,0,$P$14*(1-$P$15)*P$24)</f>
        <v>3134296.4798324872</v>
      </c>
      <c r="Q59" s="226">
        <f ca="1">IF($P$21=0,0,$P$14*(1-$P$15)*Q$24)</f>
        <v>3001861.4173043547</v>
      </c>
      <c r="R59" s="226">
        <f ca="1">IF($P$21=0,0,$P$14*(1-$P$15)*R$24)</f>
        <v>2878255.358944763</v>
      </c>
      <c r="S59" s="227">
        <f ca="1">IF($P$21=0,0,$P$14*(1-$P$15)*S$24)</f>
        <v>2754649.3005851717</v>
      </c>
      <c r="T59" s="236"/>
      <c r="U59" s="237"/>
      <c r="V59" s="237"/>
      <c r="W59" s="238"/>
      <c r="X59" s="236"/>
      <c r="Y59" s="237"/>
      <c r="Z59" s="237"/>
      <c r="AA59" s="238"/>
      <c r="AB59" s="236"/>
      <c r="AC59" s="237"/>
      <c r="AD59" s="237"/>
      <c r="AE59" s="238"/>
      <c r="AF59" s="236"/>
      <c r="AG59" s="237"/>
      <c r="AH59" s="237"/>
      <c r="AI59" s="238"/>
      <c r="AJ59" s="236"/>
      <c r="AK59" s="237"/>
      <c r="AL59" s="237"/>
      <c r="AM59" s="227">
        <f t="shared" ca="1" si="6"/>
        <v>11769062.556666777</v>
      </c>
    </row>
    <row r="60" spans="2:39" x14ac:dyDescent="0.25">
      <c r="B60" s="1107"/>
      <c r="C60" s="52" t="s">
        <v>186</v>
      </c>
      <c r="D60" s="239"/>
      <c r="E60" s="24"/>
      <c r="F60" s="24"/>
      <c r="G60" s="32"/>
      <c r="H60" s="239"/>
      <c r="I60" s="24"/>
      <c r="J60" s="24"/>
      <c r="K60" s="32"/>
      <c r="L60" s="239"/>
      <c r="M60" s="24"/>
      <c r="N60" s="24"/>
      <c r="O60" s="32"/>
      <c r="P60" s="228">
        <f ca="1">IF($P$21=0,0,$P$14*($P$15)*P$24)</f>
        <v>343485.8701675125</v>
      </c>
      <c r="Q60" s="155">
        <f ca="1">IF($P$21=0,0,$P$14*($P$15)*Q$24)</f>
        <v>328972.38269564591</v>
      </c>
      <c r="R60" s="155">
        <f ca="1">IF($P$21=0,0,$P$14*($P$15)*R$24)</f>
        <v>315426.46105523681</v>
      </c>
      <c r="S60" s="156">
        <f ca="1">IF($P$21=0,0,$P$14*($P$15)*S$24)</f>
        <v>301880.53941482789</v>
      </c>
      <c r="T60" s="239"/>
      <c r="U60" s="24"/>
      <c r="V60" s="24"/>
      <c r="W60" s="32"/>
      <c r="X60" s="239"/>
      <c r="Y60" s="24"/>
      <c r="Z60" s="24"/>
      <c r="AA60" s="32"/>
      <c r="AB60" s="239"/>
      <c r="AC60" s="24"/>
      <c r="AD60" s="24"/>
      <c r="AE60" s="32"/>
      <c r="AF60" s="239"/>
      <c r="AG60" s="24"/>
      <c r="AH60" s="24"/>
      <c r="AI60" s="32"/>
      <c r="AJ60" s="239"/>
      <c r="AK60" s="24"/>
      <c r="AL60" s="24"/>
      <c r="AM60" s="156">
        <f t="shared" ca="1" si="6"/>
        <v>1289765.2533332233</v>
      </c>
    </row>
    <row r="61" spans="2:39" x14ac:dyDescent="0.25">
      <c r="B61" s="1107"/>
      <c r="C61" s="52" t="s">
        <v>185</v>
      </c>
      <c r="D61" s="239"/>
      <c r="E61" s="24"/>
      <c r="F61" s="24"/>
      <c r="G61" s="32"/>
      <c r="H61" s="239"/>
      <c r="I61" s="24"/>
      <c r="J61" s="24"/>
      <c r="K61" s="32"/>
      <c r="L61" s="239"/>
      <c r="M61" s="24"/>
      <c r="N61" s="24"/>
      <c r="O61" s="32"/>
      <c r="P61" s="228">
        <f ca="1">P59</f>
        <v>3134296.4798324872</v>
      </c>
      <c r="Q61" s="155">
        <f ca="1">P61+Q59</f>
        <v>6136157.8971368419</v>
      </c>
      <c r="R61" s="155">
        <f ca="1">Q61+R59</f>
        <v>9014413.2560816053</v>
      </c>
      <c r="S61" s="156">
        <f ca="1">R61+S59</f>
        <v>11769062.556666777</v>
      </c>
      <c r="T61" s="228">
        <f t="shared" ref="T61:AI61" ca="1" si="73">S61-T65</f>
        <v>11478842.776291491</v>
      </c>
      <c r="U61" s="155">
        <f t="shared" ca="1" si="73"/>
        <v>11166014.875024972</v>
      </c>
      <c r="V61" s="155">
        <f t="shared" ca="1" si="73"/>
        <v>10828817.680249792</v>
      </c>
      <c r="W61" s="156">
        <f t="shared" ca="1" si="73"/>
        <v>10465352.824001623</v>
      </c>
      <c r="X61" s="228">
        <f t="shared" ca="1" si="73"/>
        <v>10073574.055451723</v>
      </c>
      <c r="Y61" s="155">
        <f t="shared" ca="1" si="73"/>
        <v>9651275.7208317854</v>
      </c>
      <c r="Z61" s="155">
        <f t="shared" ca="1" si="73"/>
        <v>9196080.3459449559</v>
      </c>
      <c r="AA61" s="156">
        <f t="shared" ca="1" si="73"/>
        <v>8705425.251354441</v>
      </c>
      <c r="AB61" s="228">
        <f t="shared" ca="1" si="73"/>
        <v>8176548.1248953259</v>
      </c>
      <c r="AC61" s="155">
        <f t="shared" ca="1" si="73"/>
        <v>7606471.470285045</v>
      </c>
      <c r="AD61" s="155">
        <f t="shared" ca="1" si="73"/>
        <v>6991985.8442806238</v>
      </c>
      <c r="AE61" s="156">
        <f t="shared" ca="1" si="73"/>
        <v>6329631.7880104585</v>
      </c>
      <c r="AF61" s="228">
        <f t="shared" ca="1" si="73"/>
        <v>5615680.3507568464</v>
      </c>
      <c r="AG61" s="155">
        <f t="shared" ca="1" si="73"/>
        <v>4846112.0965411784</v>
      </c>
      <c r="AH61" s="155">
        <f t="shared" ca="1" si="73"/>
        <v>4016594.4753221096</v>
      </c>
      <c r="AI61" s="156">
        <f t="shared" ca="1" si="73"/>
        <v>3122457.4314100756</v>
      </c>
      <c r="AJ61" s="228">
        <f t="shared" ref="AJ61" ca="1" si="74">AI61-AJ65</f>
        <v>2158667.1117772944</v>
      </c>
      <c r="AK61" s="155">
        <f t="shared" ref="AK61" ca="1" si="75">AJ61-AK65</f>
        <v>1119797.5262451195</v>
      </c>
      <c r="AL61" s="155">
        <f t="shared" ref="AL61" ca="1" si="76">AK61-AL65</f>
        <v>-1.1874362826347351E-8</v>
      </c>
      <c r="AM61" s="156">
        <f t="shared" ca="1" si="6"/>
        <v>161603259.93839255</v>
      </c>
    </row>
    <row r="62" spans="2:39" x14ac:dyDescent="0.25">
      <c r="B62" s="1107"/>
      <c r="C62" s="51" t="s">
        <v>184</v>
      </c>
      <c r="D62" s="239"/>
      <c r="E62" s="24"/>
      <c r="F62" s="24"/>
      <c r="G62" s="32"/>
      <c r="H62" s="239"/>
      <c r="I62" s="24"/>
      <c r="J62" s="24"/>
      <c r="K62" s="32"/>
      <c r="L62" s="239"/>
      <c r="M62" s="24"/>
      <c r="N62" s="24"/>
      <c r="O62" s="32"/>
      <c r="P62" s="228">
        <f ca="1">P61*$C$29</f>
        <v>33223.542686224362</v>
      </c>
      <c r="Q62" s="155">
        <f ca="1">Q61*$C$29</f>
        <v>65043.273709650523</v>
      </c>
      <c r="R62" s="155">
        <f ca="1">R61*$C$29</f>
        <v>95552.780514465019</v>
      </c>
      <c r="S62" s="156">
        <f ca="1">S61*$C$29</f>
        <v>124752.06310066783</v>
      </c>
      <c r="T62" s="228">
        <f t="shared" ref="T62:AI62" ca="1" si="77">S61*$C$29</f>
        <v>124752.06310066783</v>
      </c>
      <c r="U62" s="155">
        <f t="shared" ca="1" si="77"/>
        <v>121675.73342868981</v>
      </c>
      <c r="V62" s="155">
        <f t="shared" ca="1" si="77"/>
        <v>118359.75767526471</v>
      </c>
      <c r="W62" s="156">
        <f t="shared" ca="1" si="77"/>
        <v>114785.46741064779</v>
      </c>
      <c r="X62" s="228">
        <f t="shared" ca="1" si="77"/>
        <v>110932.7399344172</v>
      </c>
      <c r="Y62" s="155">
        <f t="shared" ca="1" si="77"/>
        <v>106779.88498778826</v>
      </c>
      <c r="Z62" s="155">
        <f t="shared" ca="1" si="77"/>
        <v>102303.52264081693</v>
      </c>
      <c r="AA62" s="156">
        <f t="shared" ca="1" si="77"/>
        <v>97478.451667016532</v>
      </c>
      <c r="AB62" s="228">
        <f t="shared" ca="1" si="77"/>
        <v>92277.507664357079</v>
      </c>
      <c r="AC62" s="155">
        <f t="shared" ca="1" si="77"/>
        <v>86671.410123890455</v>
      </c>
      <c r="AD62" s="155">
        <f t="shared" ca="1" si="77"/>
        <v>80628.597585021475</v>
      </c>
      <c r="AE62" s="156">
        <f t="shared" ca="1" si="77"/>
        <v>74115.049949374617</v>
      </c>
      <c r="AF62" s="228">
        <f t="shared" ca="1" si="77"/>
        <v>67094.096952910855</v>
      </c>
      <c r="AG62" s="155">
        <f t="shared" ca="1" si="77"/>
        <v>59526.211718022569</v>
      </c>
      <c r="AH62" s="155">
        <f t="shared" ca="1" si="77"/>
        <v>51368.788223336494</v>
      </c>
      <c r="AI62" s="156">
        <f t="shared" ca="1" si="77"/>
        <v>42575.901438414359</v>
      </c>
      <c r="AJ62" s="228">
        <f t="shared" ref="AJ62" ca="1" si="78">AI61*$C$29</f>
        <v>33098.0487729468</v>
      </c>
      <c r="AK62" s="155">
        <f t="shared" ref="AK62" ca="1" si="79">AJ61*$C$29</f>
        <v>22881.87138483932</v>
      </c>
      <c r="AL62" s="155">
        <f t="shared" ref="AL62" ca="1" si="80">AK61*$C$29</f>
        <v>11869.853778198267</v>
      </c>
      <c r="AM62" s="156">
        <f t="shared" ca="1" si="6"/>
        <v>1837746.618447629</v>
      </c>
    </row>
    <row r="63" spans="2:39" x14ac:dyDescent="0.25">
      <c r="B63" s="1107"/>
      <c r="C63" s="51" t="s">
        <v>183</v>
      </c>
      <c r="D63" s="239"/>
      <c r="E63" s="24"/>
      <c r="F63" s="24"/>
      <c r="G63" s="32"/>
      <c r="H63" s="239"/>
      <c r="I63" s="24"/>
      <c r="J63" s="24"/>
      <c r="K63" s="32"/>
      <c r="L63" s="239"/>
      <c r="M63" s="24"/>
      <c r="N63" s="24"/>
      <c r="O63" s="32"/>
      <c r="P63" s="228">
        <f ca="1">P61*$C$30</f>
        <v>47014.447197487309</v>
      </c>
      <c r="Q63" s="155">
        <f ca="1">Q61*$C$30</f>
        <v>92042.368457052624</v>
      </c>
      <c r="R63" s="155">
        <f ca="1">R61*$C$30</f>
        <v>135216.19884122408</v>
      </c>
      <c r="S63" s="156">
        <f ca="1">S61*$C$30</f>
        <v>176535.93835000164</v>
      </c>
      <c r="T63" s="228">
        <f t="shared" ref="T63:AI63" ca="1" si="81">S61*$C$30</f>
        <v>176535.93835000164</v>
      </c>
      <c r="U63" s="155">
        <f t="shared" ca="1" si="81"/>
        <v>172182.64164437237</v>
      </c>
      <c r="V63" s="155">
        <f t="shared" ca="1" si="81"/>
        <v>167490.22312537458</v>
      </c>
      <c r="W63" s="156">
        <f t="shared" ca="1" si="81"/>
        <v>162432.26520374688</v>
      </c>
      <c r="X63" s="228">
        <f t="shared" ca="1" si="81"/>
        <v>156980.29236002435</v>
      </c>
      <c r="Y63" s="155">
        <f t="shared" ca="1" si="81"/>
        <v>151103.61083177585</v>
      </c>
      <c r="Z63" s="155">
        <f t="shared" ca="1" si="81"/>
        <v>144769.13581247677</v>
      </c>
      <c r="AA63" s="156">
        <f t="shared" ca="1" si="81"/>
        <v>137941.20518917433</v>
      </c>
      <c r="AB63" s="228">
        <f t="shared" ca="1" si="81"/>
        <v>130581.37877031662</v>
      </c>
      <c r="AC63" s="155">
        <f t="shared" ca="1" si="81"/>
        <v>122648.22187342988</v>
      </c>
      <c r="AD63" s="155">
        <f t="shared" ca="1" si="81"/>
        <v>114097.07205427568</v>
      </c>
      <c r="AE63" s="156">
        <f t="shared" ca="1" si="81"/>
        <v>104879.78766420935</v>
      </c>
      <c r="AF63" s="228">
        <f t="shared" ca="1" si="81"/>
        <v>94944.47682015688</v>
      </c>
      <c r="AG63" s="155">
        <f t="shared" ca="1" si="81"/>
        <v>84235.20526135269</v>
      </c>
      <c r="AH63" s="155">
        <f t="shared" ca="1" si="81"/>
        <v>72691.68144811767</v>
      </c>
      <c r="AI63" s="156">
        <f t="shared" ca="1" si="81"/>
        <v>60248.917129831643</v>
      </c>
      <c r="AJ63" s="228">
        <f t="shared" ref="AJ63" ca="1" si="82">AI61*$C$30</f>
        <v>46836.861471151133</v>
      </c>
      <c r="AK63" s="155">
        <f t="shared" ref="AK63" ca="1" si="83">AJ61*$C$30</f>
        <v>32380.006676659414</v>
      </c>
      <c r="AL63" s="155">
        <f t="shared" ref="AL63" ca="1" si="84">AK61*$C$30</f>
        <v>16796.962893676791</v>
      </c>
      <c r="AM63" s="156">
        <f t="shared" ca="1" si="6"/>
        <v>2600584.8374258908</v>
      </c>
    </row>
    <row r="64" spans="2:39" x14ac:dyDescent="0.25">
      <c r="B64" s="1107"/>
      <c r="C64" s="51" t="s">
        <v>182</v>
      </c>
      <c r="D64" s="239"/>
      <c r="E64" s="24"/>
      <c r="F64" s="24"/>
      <c r="G64" s="32"/>
      <c r="H64" s="239"/>
      <c r="I64" s="24"/>
      <c r="J64" s="24"/>
      <c r="K64" s="32"/>
      <c r="L64" s="239"/>
      <c r="M64" s="24"/>
      <c r="N64" s="24"/>
      <c r="O64" s="32"/>
      <c r="P64" s="228">
        <f ca="1">P61*$C$31</f>
        <v>163923.70589523908</v>
      </c>
      <c r="Q64" s="155">
        <f ca="1">Q61*$C$31</f>
        <v>320921.05802025681</v>
      </c>
      <c r="R64" s="155">
        <f ca="1">R61*$C$31</f>
        <v>471453.81329306797</v>
      </c>
      <c r="S64" s="156">
        <f ca="1">S61*$C$31</f>
        <v>615521.97171367239</v>
      </c>
      <c r="T64" s="228">
        <f t="shared" ref="T64:AI64" ca="1" si="85">S61*$C$31</f>
        <v>615521.97171367239</v>
      </c>
      <c r="U64" s="155">
        <f t="shared" ca="1" si="85"/>
        <v>600343.47720004502</v>
      </c>
      <c r="V64" s="155">
        <f t="shared" ca="1" si="85"/>
        <v>583982.57796380611</v>
      </c>
      <c r="W64" s="156">
        <f t="shared" ca="1" si="85"/>
        <v>566347.16467706405</v>
      </c>
      <c r="X64" s="228">
        <f t="shared" ca="1" si="85"/>
        <v>547337.95269528485</v>
      </c>
      <c r="Y64" s="155">
        <f t="shared" ca="1" si="85"/>
        <v>526847.92310012504</v>
      </c>
      <c r="Z64" s="155">
        <f t="shared" ca="1" si="85"/>
        <v>504761.72019950236</v>
      </c>
      <c r="AA64" s="156">
        <f t="shared" ca="1" si="85"/>
        <v>480955.00209292118</v>
      </c>
      <c r="AB64" s="228">
        <f t="shared" ca="1" si="85"/>
        <v>455293.74064583727</v>
      </c>
      <c r="AC64" s="155">
        <f t="shared" ca="1" si="85"/>
        <v>427633.46693202556</v>
      </c>
      <c r="AD64" s="155">
        <f t="shared" ca="1" si="85"/>
        <v>397818.45789590786</v>
      </c>
      <c r="AE64" s="156">
        <f t="shared" ca="1" si="85"/>
        <v>365680.85965587664</v>
      </c>
      <c r="AF64" s="228">
        <f t="shared" ca="1" si="85"/>
        <v>331039.74251294695</v>
      </c>
      <c r="AG64" s="155">
        <f t="shared" ca="1" si="85"/>
        <v>293700.08234458306</v>
      </c>
      <c r="AH64" s="155">
        <f t="shared" ca="1" si="85"/>
        <v>253451.66264910361</v>
      </c>
      <c r="AI64" s="156">
        <f t="shared" ca="1" si="85"/>
        <v>210067.89105934632</v>
      </c>
      <c r="AJ64" s="228">
        <f t="shared" ref="AJ64" ca="1" si="86">AI61*$C$31</f>
        <v>163304.52366274694</v>
      </c>
      <c r="AK64" s="155">
        <f t="shared" ref="AK64" ca="1" si="87">AJ61*$C$31</f>
        <v>112898.28994595249</v>
      </c>
      <c r="AL64" s="155">
        <f t="shared" ref="AL64" ca="1" si="88">AK61*$C$31</f>
        <v>58565.410622619747</v>
      </c>
      <c r="AM64" s="156">
        <f t="shared" ca="1" si="6"/>
        <v>9067372.4664916042</v>
      </c>
    </row>
    <row r="65" spans="2:39" ht="12.6" thickBot="1" x14ac:dyDescent="0.3">
      <c r="B65" s="1107"/>
      <c r="C65" s="51" t="s">
        <v>181</v>
      </c>
      <c r="D65" s="239"/>
      <c r="E65" s="24"/>
      <c r="F65" s="24"/>
      <c r="G65" s="32"/>
      <c r="H65" s="239"/>
      <c r="I65" s="24"/>
      <c r="J65" s="24"/>
      <c r="K65" s="32"/>
      <c r="L65" s="239"/>
      <c r="M65" s="24"/>
      <c r="N65" s="24"/>
      <c r="O65" s="32"/>
      <c r="P65" s="239"/>
      <c r="Q65" s="24"/>
      <c r="R65" s="24"/>
      <c r="S65" s="32"/>
      <c r="T65" s="228">
        <f t="shared" ref="T65:AI65" ca="1" si="89">T66-T62-T63-T64</f>
        <v>290219.78037528438</v>
      </c>
      <c r="U65" s="155">
        <f t="shared" ca="1" si="89"/>
        <v>312827.90126651898</v>
      </c>
      <c r="V65" s="155">
        <f t="shared" ca="1" si="89"/>
        <v>337197.19477518077</v>
      </c>
      <c r="W65" s="156">
        <f t="shared" ca="1" si="89"/>
        <v>363464.85624816758</v>
      </c>
      <c r="X65" s="228">
        <f t="shared" ca="1" si="89"/>
        <v>391778.76854989992</v>
      </c>
      <c r="Y65" s="155">
        <f t="shared" ca="1" si="89"/>
        <v>422298.33461993712</v>
      </c>
      <c r="Z65" s="155">
        <f t="shared" ca="1" si="89"/>
        <v>455195.37488683028</v>
      </c>
      <c r="AA65" s="156">
        <f t="shared" ca="1" si="89"/>
        <v>490655.0945905142</v>
      </c>
      <c r="AB65" s="228">
        <f t="shared" ca="1" si="89"/>
        <v>528877.1264591153</v>
      </c>
      <c r="AC65" s="155">
        <f t="shared" ca="1" si="89"/>
        <v>570076.65461028041</v>
      </c>
      <c r="AD65" s="155">
        <f t="shared" ca="1" si="89"/>
        <v>614485.62600442115</v>
      </c>
      <c r="AE65" s="156">
        <f t="shared" ca="1" si="89"/>
        <v>662354.05627016572</v>
      </c>
      <c r="AF65" s="228">
        <f t="shared" ca="1" si="89"/>
        <v>713951.43725361163</v>
      </c>
      <c r="AG65" s="155">
        <f t="shared" ca="1" si="89"/>
        <v>769568.25421566796</v>
      </c>
      <c r="AH65" s="155">
        <f t="shared" ca="1" si="89"/>
        <v>829517.62121906853</v>
      </c>
      <c r="AI65" s="156">
        <f t="shared" ca="1" si="89"/>
        <v>894137.04391203402</v>
      </c>
      <c r="AJ65" s="228">
        <f t="shared" ref="AJ65:AL65" ca="1" si="90">AJ66-AJ62-AJ63-AJ64</f>
        <v>963790.31963278144</v>
      </c>
      <c r="AK65" s="155">
        <f t="shared" ca="1" si="90"/>
        <v>1038869.585532175</v>
      </c>
      <c r="AL65" s="155">
        <f t="shared" ca="1" si="90"/>
        <v>1119797.5262451314</v>
      </c>
      <c r="AM65" s="156">
        <f t="shared" ca="1" si="6"/>
        <v>11769062.556666786</v>
      </c>
    </row>
    <row r="66" spans="2:39" ht="12.6" thickBot="1" x14ac:dyDescent="0.3">
      <c r="B66" s="1108"/>
      <c r="C66" s="50" t="s">
        <v>172</v>
      </c>
      <c r="D66" s="240"/>
      <c r="E66" s="241"/>
      <c r="F66" s="241"/>
      <c r="G66" s="242"/>
      <c r="H66" s="240"/>
      <c r="I66" s="241"/>
      <c r="J66" s="241"/>
      <c r="K66" s="242"/>
      <c r="L66" s="240"/>
      <c r="M66" s="241"/>
      <c r="N66" s="241"/>
      <c r="O66" s="242"/>
      <c r="P66" s="240"/>
      <c r="Q66" s="241"/>
      <c r="R66" s="241"/>
      <c r="S66" s="242"/>
      <c r="T66" s="232">
        <f ca="1">IF(P21=0,0,PMT($C$29+$C$30+$C$31,P$21/12,-S61))</f>
        <v>1207029.7535396263</v>
      </c>
      <c r="U66" s="234">
        <f t="shared" ref="U66:AI66" ca="1" si="91">IF(ROUND(T61,2)=0,0,T66)</f>
        <v>1207029.7535396263</v>
      </c>
      <c r="V66" s="230">
        <f t="shared" ca="1" si="91"/>
        <v>1207029.7535396263</v>
      </c>
      <c r="W66" s="231">
        <f t="shared" ca="1" si="91"/>
        <v>1207029.7535396263</v>
      </c>
      <c r="X66" s="229">
        <f t="shared" ca="1" si="91"/>
        <v>1207029.7535396263</v>
      </c>
      <c r="Y66" s="230">
        <f t="shared" ca="1" si="91"/>
        <v>1207029.7535396263</v>
      </c>
      <c r="Z66" s="230">
        <f t="shared" ca="1" si="91"/>
        <v>1207029.7535396263</v>
      </c>
      <c r="AA66" s="231">
        <f t="shared" ca="1" si="91"/>
        <v>1207029.7535396263</v>
      </c>
      <c r="AB66" s="229">
        <f t="shared" ca="1" si="91"/>
        <v>1207029.7535396263</v>
      </c>
      <c r="AC66" s="230">
        <f t="shared" ca="1" si="91"/>
        <v>1207029.7535396263</v>
      </c>
      <c r="AD66" s="230">
        <f t="shared" ca="1" si="91"/>
        <v>1207029.7535396263</v>
      </c>
      <c r="AE66" s="231">
        <f t="shared" ca="1" si="91"/>
        <v>1207029.7535396263</v>
      </c>
      <c r="AF66" s="229">
        <f t="shared" ca="1" si="91"/>
        <v>1207029.7535396263</v>
      </c>
      <c r="AG66" s="230">
        <f t="shared" ca="1" si="91"/>
        <v>1207029.7535396263</v>
      </c>
      <c r="AH66" s="230">
        <f t="shared" ca="1" si="91"/>
        <v>1207029.7535396263</v>
      </c>
      <c r="AI66" s="231">
        <f t="shared" ca="1" si="91"/>
        <v>1207029.7535396263</v>
      </c>
      <c r="AJ66" s="229">
        <f t="shared" ref="AJ66" ca="1" si="92">IF(ROUND(AI61,2)=0,0,AI66)</f>
        <v>1207029.7535396263</v>
      </c>
      <c r="AK66" s="230">
        <f t="shared" ref="AK66" ca="1" si="93">IF(ROUND(AJ61,2)=0,0,AJ66)</f>
        <v>1207029.7535396263</v>
      </c>
      <c r="AL66" s="230">
        <f t="shared" ref="AL66" ca="1" si="94">IF(ROUND(AK61,2)=0,0,AK66)</f>
        <v>1207029.7535396263</v>
      </c>
      <c r="AM66" s="231">
        <f t="shared" ca="1" si="6"/>
        <v>22933565.317252893</v>
      </c>
    </row>
    <row r="67" spans="2:39" x14ac:dyDescent="0.25">
      <c r="B67" s="1107" t="str">
        <f>T13</f>
        <v>Financiamento 5º Tranche</v>
      </c>
      <c r="C67" s="52" t="s">
        <v>187</v>
      </c>
      <c r="D67" s="236"/>
      <c r="E67" s="237"/>
      <c r="F67" s="237"/>
      <c r="G67" s="238"/>
      <c r="H67" s="236"/>
      <c r="I67" s="237"/>
      <c r="J67" s="237"/>
      <c r="K67" s="238"/>
      <c r="L67" s="236"/>
      <c r="M67" s="237"/>
      <c r="N67" s="237"/>
      <c r="O67" s="238"/>
      <c r="P67" s="236"/>
      <c r="Q67" s="237"/>
      <c r="R67" s="237"/>
      <c r="S67" s="238"/>
      <c r="T67" s="225">
        <f ca="1">IF($T$21=0,0,$T$14*(1-$T$15)*T$24)</f>
        <v>0</v>
      </c>
      <c r="U67" s="226">
        <f ca="1">IF($T$21=0,0,$T$14*(1-$T$15)*U$24)</f>
        <v>0</v>
      </c>
      <c r="V67" s="226">
        <f ca="1">IF($T$21=0,0,$T$14*(1-$T$15)*V$24)</f>
        <v>0</v>
      </c>
      <c r="W67" s="227">
        <f ca="1">IF($T$21=0,0,$T$14*(1-$T$15)*W$24)</f>
        <v>0</v>
      </c>
      <c r="X67" s="236"/>
      <c r="Y67" s="237"/>
      <c r="Z67" s="237"/>
      <c r="AA67" s="238"/>
      <c r="AB67" s="236"/>
      <c r="AC67" s="237"/>
      <c r="AD67" s="237"/>
      <c r="AE67" s="238"/>
      <c r="AF67" s="236"/>
      <c r="AG67" s="237"/>
      <c r="AH67" s="237"/>
      <c r="AI67" s="238"/>
      <c r="AJ67" s="236"/>
      <c r="AK67" s="237"/>
      <c r="AL67" s="237"/>
      <c r="AM67" s="227">
        <f t="shared" ca="1" si="6"/>
        <v>0</v>
      </c>
    </row>
    <row r="68" spans="2:39" x14ac:dyDescent="0.25">
      <c r="B68" s="1107"/>
      <c r="C68" s="52" t="s">
        <v>186</v>
      </c>
      <c r="D68" s="239"/>
      <c r="E68" s="24"/>
      <c r="F68" s="24"/>
      <c r="G68" s="32"/>
      <c r="H68" s="239"/>
      <c r="I68" s="24"/>
      <c r="J68" s="24"/>
      <c r="K68" s="32"/>
      <c r="L68" s="239"/>
      <c r="M68" s="24"/>
      <c r="N68" s="24"/>
      <c r="O68" s="32"/>
      <c r="P68" s="239"/>
      <c r="Q68" s="24"/>
      <c r="R68" s="24"/>
      <c r="S68" s="32"/>
      <c r="T68" s="228">
        <f ca="1">IF($T$21=0,0,$T$14*($T$15)*T$24)</f>
        <v>0</v>
      </c>
      <c r="U68" s="155">
        <f ca="1">IF($T$21=0,0,$T$14*($T$15)*U$24)</f>
        <v>0</v>
      </c>
      <c r="V68" s="155">
        <f ca="1">IF($T$21=0,0,$T$14*($T$15)*V$24)</f>
        <v>0</v>
      </c>
      <c r="W68" s="156">
        <f ca="1">IF($T$21=0,0,$T$14*($T$15)*W$24)</f>
        <v>0</v>
      </c>
      <c r="X68" s="239"/>
      <c r="Y68" s="24"/>
      <c r="Z68" s="24"/>
      <c r="AA68" s="32"/>
      <c r="AB68" s="239"/>
      <c r="AC68" s="24"/>
      <c r="AD68" s="24"/>
      <c r="AE68" s="32"/>
      <c r="AF68" s="239"/>
      <c r="AG68" s="24"/>
      <c r="AH68" s="24"/>
      <c r="AI68" s="32"/>
      <c r="AJ68" s="239"/>
      <c r="AK68" s="24"/>
      <c r="AL68" s="24"/>
      <c r="AM68" s="156">
        <f t="shared" ca="1" si="6"/>
        <v>0</v>
      </c>
    </row>
    <row r="69" spans="2:39" x14ac:dyDescent="0.25">
      <c r="B69" s="1107"/>
      <c r="C69" s="52" t="s">
        <v>185</v>
      </c>
      <c r="D69" s="239"/>
      <c r="E69" s="24"/>
      <c r="F69" s="24"/>
      <c r="G69" s="32"/>
      <c r="H69" s="239"/>
      <c r="I69" s="24"/>
      <c r="J69" s="24"/>
      <c r="K69" s="32"/>
      <c r="L69" s="239"/>
      <c r="M69" s="24"/>
      <c r="N69" s="24"/>
      <c r="O69" s="32"/>
      <c r="P69" s="239"/>
      <c r="Q69" s="24"/>
      <c r="R69" s="24"/>
      <c r="S69" s="32"/>
      <c r="T69" s="228">
        <f ca="1">T67</f>
        <v>0</v>
      </c>
      <c r="U69" s="155">
        <f ca="1">T69+U67</f>
        <v>0</v>
      </c>
      <c r="V69" s="155">
        <f ca="1">U69+V67</f>
        <v>0</v>
      </c>
      <c r="W69" s="156">
        <f ca="1">V69+W67</f>
        <v>0</v>
      </c>
      <c r="X69" s="228">
        <f t="shared" ref="X69:AI69" ca="1" si="95">W69-X73</f>
        <v>0</v>
      </c>
      <c r="Y69" s="155">
        <f t="shared" ca="1" si="95"/>
        <v>0</v>
      </c>
      <c r="Z69" s="155">
        <f t="shared" ca="1" si="95"/>
        <v>0</v>
      </c>
      <c r="AA69" s="156">
        <f t="shared" ca="1" si="95"/>
        <v>0</v>
      </c>
      <c r="AB69" s="228">
        <f t="shared" ca="1" si="95"/>
        <v>0</v>
      </c>
      <c r="AC69" s="155">
        <f t="shared" ca="1" si="95"/>
        <v>0</v>
      </c>
      <c r="AD69" s="155">
        <f t="shared" ca="1" si="95"/>
        <v>0</v>
      </c>
      <c r="AE69" s="156">
        <f t="shared" ca="1" si="95"/>
        <v>0</v>
      </c>
      <c r="AF69" s="228">
        <f t="shared" ca="1" si="95"/>
        <v>0</v>
      </c>
      <c r="AG69" s="155">
        <f t="shared" ca="1" si="95"/>
        <v>0</v>
      </c>
      <c r="AH69" s="155">
        <f t="shared" ca="1" si="95"/>
        <v>0</v>
      </c>
      <c r="AI69" s="156">
        <f t="shared" ca="1" si="95"/>
        <v>0</v>
      </c>
      <c r="AJ69" s="228">
        <f t="shared" ref="AJ69" ca="1" si="96">AI69-AJ73</f>
        <v>0</v>
      </c>
      <c r="AK69" s="155">
        <f t="shared" ref="AK69" ca="1" si="97">AJ69-AK73</f>
        <v>0</v>
      </c>
      <c r="AL69" s="155">
        <f t="shared" ref="AL69" ca="1" si="98">AK69-AL73</f>
        <v>0</v>
      </c>
      <c r="AM69" s="156">
        <f t="shared" ca="1" si="6"/>
        <v>0</v>
      </c>
    </row>
    <row r="70" spans="2:39" x14ac:dyDescent="0.25">
      <c r="B70" s="1107"/>
      <c r="C70" s="51" t="s">
        <v>184</v>
      </c>
      <c r="D70" s="239"/>
      <c r="E70" s="24"/>
      <c r="F70" s="24"/>
      <c r="G70" s="32"/>
      <c r="H70" s="239"/>
      <c r="I70" s="24"/>
      <c r="J70" s="24"/>
      <c r="K70" s="32"/>
      <c r="L70" s="239"/>
      <c r="M70" s="24"/>
      <c r="N70" s="24"/>
      <c r="O70" s="32"/>
      <c r="P70" s="239"/>
      <c r="Q70" s="24"/>
      <c r="R70" s="24"/>
      <c r="S70" s="32"/>
      <c r="T70" s="228">
        <f ca="1">T69*$C$29</f>
        <v>0</v>
      </c>
      <c r="U70" s="155">
        <f ca="1">U69*$C$29</f>
        <v>0</v>
      </c>
      <c r="V70" s="155">
        <f ca="1">V69*$C$29</f>
        <v>0</v>
      </c>
      <c r="W70" s="156">
        <f ca="1">W69*$C$29</f>
        <v>0</v>
      </c>
      <c r="X70" s="228">
        <f t="shared" ref="X70:AI70" ca="1" si="99">W69*$C$29</f>
        <v>0</v>
      </c>
      <c r="Y70" s="155">
        <f t="shared" ca="1" si="99"/>
        <v>0</v>
      </c>
      <c r="Z70" s="155">
        <f t="shared" ca="1" si="99"/>
        <v>0</v>
      </c>
      <c r="AA70" s="156">
        <f t="shared" ca="1" si="99"/>
        <v>0</v>
      </c>
      <c r="AB70" s="228">
        <f t="shared" ca="1" si="99"/>
        <v>0</v>
      </c>
      <c r="AC70" s="155">
        <f t="shared" ca="1" si="99"/>
        <v>0</v>
      </c>
      <c r="AD70" s="155">
        <f t="shared" ca="1" si="99"/>
        <v>0</v>
      </c>
      <c r="AE70" s="156">
        <f t="shared" ca="1" si="99"/>
        <v>0</v>
      </c>
      <c r="AF70" s="228">
        <f t="shared" ca="1" si="99"/>
        <v>0</v>
      </c>
      <c r="AG70" s="155">
        <f t="shared" ca="1" si="99"/>
        <v>0</v>
      </c>
      <c r="AH70" s="155">
        <f t="shared" ca="1" si="99"/>
        <v>0</v>
      </c>
      <c r="AI70" s="156">
        <f t="shared" ca="1" si="99"/>
        <v>0</v>
      </c>
      <c r="AJ70" s="228">
        <f t="shared" ref="AJ70" ca="1" si="100">AI69*$C$29</f>
        <v>0</v>
      </c>
      <c r="AK70" s="155">
        <f t="shared" ref="AK70" ca="1" si="101">AJ69*$C$29</f>
        <v>0</v>
      </c>
      <c r="AL70" s="155">
        <f t="shared" ref="AL70" ca="1" si="102">AK69*$C$29</f>
        <v>0</v>
      </c>
      <c r="AM70" s="156">
        <f t="shared" ca="1" si="6"/>
        <v>0</v>
      </c>
    </row>
    <row r="71" spans="2:39" x14ac:dyDescent="0.25">
      <c r="B71" s="1107"/>
      <c r="C71" s="51" t="s">
        <v>183</v>
      </c>
      <c r="D71" s="239"/>
      <c r="E71" s="24"/>
      <c r="F71" s="24"/>
      <c r="G71" s="32"/>
      <c r="H71" s="239"/>
      <c r="I71" s="24"/>
      <c r="J71" s="24"/>
      <c r="K71" s="32"/>
      <c r="L71" s="239"/>
      <c r="M71" s="24"/>
      <c r="N71" s="24"/>
      <c r="O71" s="32"/>
      <c r="P71" s="239"/>
      <c r="Q71" s="24"/>
      <c r="R71" s="24"/>
      <c r="S71" s="32"/>
      <c r="T71" s="228">
        <f ca="1">T69*$C$30</f>
        <v>0</v>
      </c>
      <c r="U71" s="155">
        <f ca="1">U69*$C$30</f>
        <v>0</v>
      </c>
      <c r="V71" s="155">
        <f ca="1">V69*$C$30</f>
        <v>0</v>
      </c>
      <c r="W71" s="156">
        <f ca="1">W69*$C$30</f>
        <v>0</v>
      </c>
      <c r="X71" s="228">
        <f t="shared" ref="X71:AI71" ca="1" si="103">W69*$C$30</f>
        <v>0</v>
      </c>
      <c r="Y71" s="155">
        <f t="shared" ca="1" si="103"/>
        <v>0</v>
      </c>
      <c r="Z71" s="155">
        <f t="shared" ca="1" si="103"/>
        <v>0</v>
      </c>
      <c r="AA71" s="156">
        <f t="shared" ca="1" si="103"/>
        <v>0</v>
      </c>
      <c r="AB71" s="228">
        <f t="shared" ca="1" si="103"/>
        <v>0</v>
      </c>
      <c r="AC71" s="155">
        <f t="shared" ca="1" si="103"/>
        <v>0</v>
      </c>
      <c r="AD71" s="155">
        <f t="shared" ca="1" si="103"/>
        <v>0</v>
      </c>
      <c r="AE71" s="156">
        <f t="shared" ca="1" si="103"/>
        <v>0</v>
      </c>
      <c r="AF71" s="228">
        <f t="shared" ca="1" si="103"/>
        <v>0</v>
      </c>
      <c r="AG71" s="155">
        <f t="shared" ca="1" si="103"/>
        <v>0</v>
      </c>
      <c r="AH71" s="155">
        <f t="shared" ca="1" si="103"/>
        <v>0</v>
      </c>
      <c r="AI71" s="156">
        <f t="shared" ca="1" si="103"/>
        <v>0</v>
      </c>
      <c r="AJ71" s="228">
        <f t="shared" ref="AJ71" ca="1" si="104">AI69*$C$30</f>
        <v>0</v>
      </c>
      <c r="AK71" s="155">
        <f t="shared" ref="AK71" ca="1" si="105">AJ69*$C$30</f>
        <v>0</v>
      </c>
      <c r="AL71" s="155">
        <f t="shared" ref="AL71" ca="1" si="106">AK69*$C$30</f>
        <v>0</v>
      </c>
      <c r="AM71" s="156">
        <f t="shared" ca="1" si="6"/>
        <v>0</v>
      </c>
    </row>
    <row r="72" spans="2:39" x14ac:dyDescent="0.25">
      <c r="B72" s="1107"/>
      <c r="C72" s="51" t="s">
        <v>182</v>
      </c>
      <c r="D72" s="239"/>
      <c r="E72" s="24"/>
      <c r="F72" s="24"/>
      <c r="G72" s="32"/>
      <c r="H72" s="239"/>
      <c r="I72" s="24"/>
      <c r="J72" s="24"/>
      <c r="K72" s="32"/>
      <c r="L72" s="239"/>
      <c r="M72" s="24"/>
      <c r="N72" s="24"/>
      <c r="O72" s="32"/>
      <c r="P72" s="239"/>
      <c r="Q72" s="24"/>
      <c r="R72" s="24"/>
      <c r="S72" s="32"/>
      <c r="T72" s="228">
        <f ca="1">T69*$C$31</f>
        <v>0</v>
      </c>
      <c r="U72" s="155">
        <f ca="1">U69*$C$31</f>
        <v>0</v>
      </c>
      <c r="V72" s="155">
        <f ca="1">V69*$C$31</f>
        <v>0</v>
      </c>
      <c r="W72" s="156">
        <f ca="1">W69*$C$31</f>
        <v>0</v>
      </c>
      <c r="X72" s="228">
        <f t="shared" ref="X72:AI72" ca="1" si="107">W69*$C$31</f>
        <v>0</v>
      </c>
      <c r="Y72" s="155">
        <f t="shared" ca="1" si="107"/>
        <v>0</v>
      </c>
      <c r="Z72" s="155">
        <f t="shared" ca="1" si="107"/>
        <v>0</v>
      </c>
      <c r="AA72" s="156">
        <f t="shared" ca="1" si="107"/>
        <v>0</v>
      </c>
      <c r="AB72" s="228">
        <f t="shared" ca="1" si="107"/>
        <v>0</v>
      </c>
      <c r="AC72" s="155">
        <f t="shared" ca="1" si="107"/>
        <v>0</v>
      </c>
      <c r="AD72" s="155">
        <f t="shared" ca="1" si="107"/>
        <v>0</v>
      </c>
      <c r="AE72" s="156">
        <f t="shared" ca="1" si="107"/>
        <v>0</v>
      </c>
      <c r="AF72" s="228">
        <f t="shared" ca="1" si="107"/>
        <v>0</v>
      </c>
      <c r="AG72" s="155">
        <f t="shared" ca="1" si="107"/>
        <v>0</v>
      </c>
      <c r="AH72" s="155">
        <f t="shared" ca="1" si="107"/>
        <v>0</v>
      </c>
      <c r="AI72" s="156">
        <f t="shared" ca="1" si="107"/>
        <v>0</v>
      </c>
      <c r="AJ72" s="228">
        <f t="shared" ref="AJ72" ca="1" si="108">AI69*$C$31</f>
        <v>0</v>
      </c>
      <c r="AK72" s="155">
        <f t="shared" ref="AK72" ca="1" si="109">AJ69*$C$31</f>
        <v>0</v>
      </c>
      <c r="AL72" s="155">
        <f t="shared" ref="AL72" ca="1" si="110">AK69*$C$31</f>
        <v>0</v>
      </c>
      <c r="AM72" s="156">
        <f t="shared" ca="1" si="6"/>
        <v>0</v>
      </c>
    </row>
    <row r="73" spans="2:39" ht="12.6" thickBot="1" x14ac:dyDescent="0.3">
      <c r="B73" s="1107"/>
      <c r="C73" s="51" t="s">
        <v>181</v>
      </c>
      <c r="D73" s="239"/>
      <c r="E73" s="24"/>
      <c r="F73" s="24"/>
      <c r="G73" s="32"/>
      <c r="H73" s="239"/>
      <c r="I73" s="24"/>
      <c r="J73" s="24"/>
      <c r="K73" s="32"/>
      <c r="L73" s="239"/>
      <c r="M73" s="24"/>
      <c r="N73" s="24"/>
      <c r="O73" s="32"/>
      <c r="P73" s="239"/>
      <c r="Q73" s="24"/>
      <c r="R73" s="24"/>
      <c r="S73" s="32"/>
      <c r="T73" s="239"/>
      <c r="U73" s="24"/>
      <c r="V73" s="24"/>
      <c r="W73" s="32"/>
      <c r="X73" s="228">
        <f t="shared" ref="X73:AI73" ca="1" si="111">X74-X70-X71-X72</f>
        <v>0</v>
      </c>
      <c r="Y73" s="155">
        <f t="shared" ca="1" si="111"/>
        <v>0</v>
      </c>
      <c r="Z73" s="155">
        <f t="shared" ca="1" si="111"/>
        <v>0</v>
      </c>
      <c r="AA73" s="156">
        <f t="shared" ca="1" si="111"/>
        <v>0</v>
      </c>
      <c r="AB73" s="228">
        <f t="shared" ca="1" si="111"/>
        <v>0</v>
      </c>
      <c r="AC73" s="155">
        <f t="shared" ca="1" si="111"/>
        <v>0</v>
      </c>
      <c r="AD73" s="155">
        <f t="shared" ca="1" si="111"/>
        <v>0</v>
      </c>
      <c r="AE73" s="156">
        <f t="shared" ca="1" si="111"/>
        <v>0</v>
      </c>
      <c r="AF73" s="228">
        <f t="shared" ca="1" si="111"/>
        <v>0</v>
      </c>
      <c r="AG73" s="155">
        <f t="shared" ca="1" si="111"/>
        <v>0</v>
      </c>
      <c r="AH73" s="155">
        <f t="shared" ca="1" si="111"/>
        <v>0</v>
      </c>
      <c r="AI73" s="156">
        <f t="shared" ca="1" si="111"/>
        <v>0</v>
      </c>
      <c r="AJ73" s="228">
        <f t="shared" ref="AJ73:AL73" ca="1" si="112">AJ74-AJ70-AJ71-AJ72</f>
        <v>0</v>
      </c>
      <c r="AK73" s="155">
        <f t="shared" ca="1" si="112"/>
        <v>0</v>
      </c>
      <c r="AL73" s="155">
        <f t="shared" ca="1" si="112"/>
        <v>0</v>
      </c>
      <c r="AM73" s="156">
        <f t="shared" ca="1" si="6"/>
        <v>0</v>
      </c>
    </row>
    <row r="74" spans="2:39" ht="12.6" thickBot="1" x14ac:dyDescent="0.3">
      <c r="B74" s="1108"/>
      <c r="C74" s="50" t="s">
        <v>172</v>
      </c>
      <c r="D74" s="240"/>
      <c r="E74" s="241"/>
      <c r="F74" s="241"/>
      <c r="G74" s="242"/>
      <c r="H74" s="240"/>
      <c r="I74" s="241"/>
      <c r="J74" s="241"/>
      <c r="K74" s="242"/>
      <c r="L74" s="240"/>
      <c r="M74" s="241"/>
      <c r="N74" s="241"/>
      <c r="O74" s="242"/>
      <c r="P74" s="240"/>
      <c r="Q74" s="241"/>
      <c r="R74" s="241"/>
      <c r="S74" s="242"/>
      <c r="T74" s="240"/>
      <c r="U74" s="241"/>
      <c r="V74" s="241"/>
      <c r="W74" s="242"/>
      <c r="X74" s="232">
        <f ca="1">IF($T$21=0,0,PMT($C$29+$C$30+$C$31,T$21/12,-W69))</f>
        <v>0</v>
      </c>
      <c r="Y74" s="234">
        <f t="shared" ref="Y74:AI74" ca="1" si="113">IF(ROUND(X69,2)=0,0,X74)</f>
        <v>0</v>
      </c>
      <c r="Z74" s="230">
        <f t="shared" ca="1" si="113"/>
        <v>0</v>
      </c>
      <c r="AA74" s="231">
        <f t="shared" ca="1" si="113"/>
        <v>0</v>
      </c>
      <c r="AB74" s="229">
        <f t="shared" ca="1" si="113"/>
        <v>0</v>
      </c>
      <c r="AC74" s="230">
        <f t="shared" ca="1" si="113"/>
        <v>0</v>
      </c>
      <c r="AD74" s="230">
        <f t="shared" ca="1" si="113"/>
        <v>0</v>
      </c>
      <c r="AE74" s="231">
        <f t="shared" ca="1" si="113"/>
        <v>0</v>
      </c>
      <c r="AF74" s="229">
        <f t="shared" ca="1" si="113"/>
        <v>0</v>
      </c>
      <c r="AG74" s="230">
        <f t="shared" ca="1" si="113"/>
        <v>0</v>
      </c>
      <c r="AH74" s="230">
        <f t="shared" ca="1" si="113"/>
        <v>0</v>
      </c>
      <c r="AI74" s="231">
        <f t="shared" ca="1" si="113"/>
        <v>0</v>
      </c>
      <c r="AJ74" s="229">
        <f t="shared" ref="AJ74" ca="1" si="114">IF(ROUND(AI69,2)=0,0,AI74)</f>
        <v>0</v>
      </c>
      <c r="AK74" s="230">
        <f t="shared" ref="AK74" ca="1" si="115">IF(ROUND(AJ69,2)=0,0,AJ74)</f>
        <v>0</v>
      </c>
      <c r="AL74" s="230">
        <f t="shared" ref="AL74" ca="1" si="116">IF(ROUND(AK69,2)=0,0,AK74)</f>
        <v>0</v>
      </c>
      <c r="AM74" s="231">
        <f t="shared" ca="1" si="6"/>
        <v>0</v>
      </c>
    </row>
    <row r="75" spans="2:39" x14ac:dyDescent="0.25">
      <c r="B75" s="1107" t="str">
        <f>X13</f>
        <v>Financiamento 6º Tranche</v>
      </c>
      <c r="C75" s="52" t="s">
        <v>187</v>
      </c>
      <c r="D75" s="236"/>
      <c r="E75" s="237"/>
      <c r="F75" s="237"/>
      <c r="G75" s="238"/>
      <c r="H75" s="236"/>
      <c r="I75" s="237"/>
      <c r="J75" s="237"/>
      <c r="K75" s="238"/>
      <c r="L75" s="236"/>
      <c r="M75" s="237"/>
      <c r="N75" s="237"/>
      <c r="O75" s="238"/>
      <c r="P75" s="236"/>
      <c r="Q75" s="237"/>
      <c r="R75" s="237"/>
      <c r="S75" s="238"/>
      <c r="T75" s="236"/>
      <c r="U75" s="237"/>
      <c r="V75" s="237"/>
      <c r="W75" s="238"/>
      <c r="X75" s="225">
        <f ca="1">IF($X$21=0,0,$X$14*(1-$X$15)*X$24)</f>
        <v>0</v>
      </c>
      <c r="Y75" s="226">
        <f ca="1">IF($X$21=0,0,$X$14*(1-$X$15)*Y$24)</f>
        <v>0</v>
      </c>
      <c r="Z75" s="226">
        <f ca="1">IF($X$21=0,0,$X$14*(1-$X$15)*Z$24)</f>
        <v>0</v>
      </c>
      <c r="AA75" s="227">
        <f ca="1">IF($X$21=0,0,$X$14*(1-$X$15)*AA$24)</f>
        <v>0</v>
      </c>
      <c r="AB75" s="236"/>
      <c r="AC75" s="237"/>
      <c r="AD75" s="237"/>
      <c r="AE75" s="238"/>
      <c r="AF75" s="236"/>
      <c r="AG75" s="237"/>
      <c r="AH75" s="237"/>
      <c r="AI75" s="238"/>
      <c r="AJ75" s="236"/>
      <c r="AK75" s="237"/>
      <c r="AL75" s="237"/>
      <c r="AM75" s="227">
        <f t="shared" ca="1" si="6"/>
        <v>0</v>
      </c>
    </row>
    <row r="76" spans="2:39" x14ac:dyDescent="0.25">
      <c r="B76" s="1107"/>
      <c r="C76" s="52" t="s">
        <v>186</v>
      </c>
      <c r="D76" s="239"/>
      <c r="E76" s="24"/>
      <c r="F76" s="24"/>
      <c r="G76" s="32"/>
      <c r="H76" s="239"/>
      <c r="I76" s="24"/>
      <c r="J76" s="24"/>
      <c r="K76" s="32"/>
      <c r="L76" s="239"/>
      <c r="M76" s="24"/>
      <c r="N76" s="24"/>
      <c r="O76" s="32"/>
      <c r="P76" s="239"/>
      <c r="Q76" s="24"/>
      <c r="R76" s="24"/>
      <c r="S76" s="32"/>
      <c r="T76" s="239"/>
      <c r="U76" s="24"/>
      <c r="V76" s="24"/>
      <c r="W76" s="32"/>
      <c r="X76" s="228">
        <f ca="1">IF($X$21=0,0,$X$14*($X$15)*X$24)</f>
        <v>0</v>
      </c>
      <c r="Y76" s="155">
        <f ca="1">IF($X$21=0,0,$X$14*($X$15)*Y$24)</f>
        <v>0</v>
      </c>
      <c r="Z76" s="155">
        <f ca="1">IF($X$21=0,0,$X$14*($X$15)*Z$24)</f>
        <v>0</v>
      </c>
      <c r="AA76" s="156">
        <f ca="1">IF($X$21=0,0,$X$14*($X$15)*AA$24)</f>
        <v>0</v>
      </c>
      <c r="AB76" s="228"/>
      <c r="AC76" s="155"/>
      <c r="AD76" s="155"/>
      <c r="AE76" s="156"/>
      <c r="AF76" s="228"/>
      <c r="AG76" s="155"/>
      <c r="AH76" s="155"/>
      <c r="AI76" s="156"/>
      <c r="AJ76" s="228"/>
      <c r="AK76" s="155"/>
      <c r="AL76" s="155"/>
      <c r="AM76" s="156">
        <f t="shared" ca="1" si="6"/>
        <v>0</v>
      </c>
    </row>
    <row r="77" spans="2:39" x14ac:dyDescent="0.25">
      <c r="B77" s="1107"/>
      <c r="C77" s="52" t="s">
        <v>185</v>
      </c>
      <c r="D77" s="239"/>
      <c r="E77" s="24"/>
      <c r="F77" s="24"/>
      <c r="G77" s="32"/>
      <c r="H77" s="239"/>
      <c r="I77" s="24"/>
      <c r="J77" s="24"/>
      <c r="K77" s="32"/>
      <c r="L77" s="239"/>
      <c r="M77" s="24"/>
      <c r="N77" s="24"/>
      <c r="O77" s="32"/>
      <c r="P77" s="239"/>
      <c r="Q77" s="24"/>
      <c r="R77" s="24"/>
      <c r="S77" s="32"/>
      <c r="T77" s="239"/>
      <c r="U77" s="24"/>
      <c r="V77" s="24"/>
      <c r="W77" s="32"/>
      <c r="X77" s="228">
        <f ca="1">X75</f>
        <v>0</v>
      </c>
      <c r="Y77" s="155">
        <f ca="1">X77+Y75</f>
        <v>0</v>
      </c>
      <c r="Z77" s="155">
        <f ca="1">Y77+Z75</f>
        <v>0</v>
      </c>
      <c r="AA77" s="156">
        <f ca="1">Z77+AA75</f>
        <v>0</v>
      </c>
      <c r="AB77" s="228">
        <f t="shared" ref="AB77:AI77" ca="1" si="117">AA77-AB81</f>
        <v>0</v>
      </c>
      <c r="AC77" s="155">
        <f t="shared" ca="1" si="117"/>
        <v>0</v>
      </c>
      <c r="AD77" s="155">
        <f t="shared" ca="1" si="117"/>
        <v>0</v>
      </c>
      <c r="AE77" s="156">
        <f t="shared" ca="1" si="117"/>
        <v>0</v>
      </c>
      <c r="AF77" s="228">
        <f t="shared" ca="1" si="117"/>
        <v>0</v>
      </c>
      <c r="AG77" s="155">
        <f t="shared" ca="1" si="117"/>
        <v>0</v>
      </c>
      <c r="AH77" s="155">
        <f t="shared" ca="1" si="117"/>
        <v>0</v>
      </c>
      <c r="AI77" s="156">
        <f t="shared" ca="1" si="117"/>
        <v>0</v>
      </c>
      <c r="AJ77" s="228">
        <f t="shared" ref="AJ77" ca="1" si="118">AI77-AJ81</f>
        <v>0</v>
      </c>
      <c r="AK77" s="155">
        <f t="shared" ref="AK77" ca="1" si="119">AJ77-AK81</f>
        <v>0</v>
      </c>
      <c r="AL77" s="155">
        <f t="shared" ref="AL77" ca="1" si="120">AK77-AL81</f>
        <v>0</v>
      </c>
      <c r="AM77" s="156">
        <f t="shared" ca="1" si="6"/>
        <v>0</v>
      </c>
    </row>
    <row r="78" spans="2:39" x14ac:dyDescent="0.25">
      <c r="B78" s="1107"/>
      <c r="C78" s="51" t="s">
        <v>184</v>
      </c>
      <c r="D78" s="239"/>
      <c r="E78" s="24"/>
      <c r="F78" s="24"/>
      <c r="G78" s="32"/>
      <c r="H78" s="239"/>
      <c r="I78" s="24"/>
      <c r="J78" s="24"/>
      <c r="K78" s="32"/>
      <c r="L78" s="239"/>
      <c r="M78" s="24"/>
      <c r="N78" s="24"/>
      <c r="O78" s="32"/>
      <c r="P78" s="239"/>
      <c r="Q78" s="24"/>
      <c r="R78" s="24"/>
      <c r="S78" s="32"/>
      <c r="T78" s="239"/>
      <c r="U78" s="24"/>
      <c r="V78" s="24"/>
      <c r="W78" s="32"/>
      <c r="X78" s="228">
        <f ca="1">X77*$C$29</f>
        <v>0</v>
      </c>
      <c r="Y78" s="155">
        <f ca="1">Y77*$C$29</f>
        <v>0</v>
      </c>
      <c r="Z78" s="155">
        <f ca="1">Z77*$C$29</f>
        <v>0</v>
      </c>
      <c r="AA78" s="156">
        <f ca="1">AA77*$C$29</f>
        <v>0</v>
      </c>
      <c r="AB78" s="228">
        <f t="shared" ref="AB78:AI78" ca="1" si="121">AA77*$C$29</f>
        <v>0</v>
      </c>
      <c r="AC78" s="155">
        <f t="shared" ca="1" si="121"/>
        <v>0</v>
      </c>
      <c r="AD78" s="155">
        <f t="shared" ca="1" si="121"/>
        <v>0</v>
      </c>
      <c r="AE78" s="156">
        <f t="shared" ca="1" si="121"/>
        <v>0</v>
      </c>
      <c r="AF78" s="228">
        <f t="shared" ca="1" si="121"/>
        <v>0</v>
      </c>
      <c r="AG78" s="155">
        <f t="shared" ca="1" si="121"/>
        <v>0</v>
      </c>
      <c r="AH78" s="155">
        <f t="shared" ca="1" si="121"/>
        <v>0</v>
      </c>
      <c r="AI78" s="156">
        <f t="shared" ca="1" si="121"/>
        <v>0</v>
      </c>
      <c r="AJ78" s="228">
        <f t="shared" ref="AJ78" ca="1" si="122">AI77*$C$29</f>
        <v>0</v>
      </c>
      <c r="AK78" s="155">
        <f t="shared" ref="AK78" ca="1" si="123">AJ77*$C$29</f>
        <v>0</v>
      </c>
      <c r="AL78" s="155">
        <f t="shared" ref="AL78" ca="1" si="124">AK77*$C$29</f>
        <v>0</v>
      </c>
      <c r="AM78" s="156">
        <f t="shared" ca="1" si="6"/>
        <v>0</v>
      </c>
    </row>
    <row r="79" spans="2:39" x14ac:dyDescent="0.25">
      <c r="B79" s="1107"/>
      <c r="C79" s="51" t="s">
        <v>183</v>
      </c>
      <c r="D79" s="239"/>
      <c r="E79" s="24"/>
      <c r="F79" s="24"/>
      <c r="G79" s="32"/>
      <c r="H79" s="239"/>
      <c r="I79" s="24"/>
      <c r="J79" s="24"/>
      <c r="K79" s="32"/>
      <c r="L79" s="239"/>
      <c r="M79" s="24"/>
      <c r="N79" s="24"/>
      <c r="O79" s="32"/>
      <c r="P79" s="239"/>
      <c r="Q79" s="24"/>
      <c r="R79" s="24"/>
      <c r="S79" s="32"/>
      <c r="T79" s="239"/>
      <c r="U79" s="24"/>
      <c r="V79" s="24"/>
      <c r="W79" s="32"/>
      <c r="X79" s="228">
        <f ca="1">X77*$C$30</f>
        <v>0</v>
      </c>
      <c r="Y79" s="155">
        <f ca="1">Y77*$C$30</f>
        <v>0</v>
      </c>
      <c r="Z79" s="155">
        <f ca="1">Z77*$C$30</f>
        <v>0</v>
      </c>
      <c r="AA79" s="156">
        <f ca="1">AA77*$C$30</f>
        <v>0</v>
      </c>
      <c r="AB79" s="228">
        <f t="shared" ref="AB79:AI79" ca="1" si="125">AA77*$C$30</f>
        <v>0</v>
      </c>
      <c r="AC79" s="155">
        <f t="shared" ca="1" si="125"/>
        <v>0</v>
      </c>
      <c r="AD79" s="155">
        <f t="shared" ca="1" si="125"/>
        <v>0</v>
      </c>
      <c r="AE79" s="156">
        <f t="shared" ca="1" si="125"/>
        <v>0</v>
      </c>
      <c r="AF79" s="228">
        <f t="shared" ca="1" si="125"/>
        <v>0</v>
      </c>
      <c r="AG79" s="155">
        <f t="shared" ca="1" si="125"/>
        <v>0</v>
      </c>
      <c r="AH79" s="155">
        <f t="shared" ca="1" si="125"/>
        <v>0</v>
      </c>
      <c r="AI79" s="156">
        <f t="shared" ca="1" si="125"/>
        <v>0</v>
      </c>
      <c r="AJ79" s="228">
        <f t="shared" ref="AJ79" ca="1" si="126">AI77*$C$30</f>
        <v>0</v>
      </c>
      <c r="AK79" s="155">
        <f t="shared" ref="AK79" ca="1" si="127">AJ77*$C$30</f>
        <v>0</v>
      </c>
      <c r="AL79" s="155">
        <f t="shared" ref="AL79" ca="1" si="128">AK77*$C$30</f>
        <v>0</v>
      </c>
      <c r="AM79" s="156">
        <f t="shared" ca="1" si="6"/>
        <v>0</v>
      </c>
    </row>
    <row r="80" spans="2:39" x14ac:dyDescent="0.25">
      <c r="B80" s="1107"/>
      <c r="C80" s="51" t="s">
        <v>182</v>
      </c>
      <c r="D80" s="239"/>
      <c r="E80" s="24"/>
      <c r="F80" s="24"/>
      <c r="G80" s="32"/>
      <c r="H80" s="239"/>
      <c r="I80" s="24"/>
      <c r="J80" s="24"/>
      <c r="K80" s="32"/>
      <c r="L80" s="239"/>
      <c r="M80" s="24"/>
      <c r="N80" s="24"/>
      <c r="O80" s="32"/>
      <c r="P80" s="239"/>
      <c r="Q80" s="24"/>
      <c r="R80" s="24"/>
      <c r="S80" s="32"/>
      <c r="T80" s="239"/>
      <c r="U80" s="24"/>
      <c r="V80" s="24"/>
      <c r="W80" s="32"/>
      <c r="X80" s="228">
        <f ca="1">X77*$C$31</f>
        <v>0</v>
      </c>
      <c r="Y80" s="155">
        <f ca="1">Y77*$C$31</f>
        <v>0</v>
      </c>
      <c r="Z80" s="155">
        <f ca="1">Z77*$C$31</f>
        <v>0</v>
      </c>
      <c r="AA80" s="156">
        <f ca="1">AA77*$C$31</f>
        <v>0</v>
      </c>
      <c r="AB80" s="228">
        <f t="shared" ref="AB80:AI80" ca="1" si="129">AA77*$C$31</f>
        <v>0</v>
      </c>
      <c r="AC80" s="155">
        <f t="shared" ca="1" si="129"/>
        <v>0</v>
      </c>
      <c r="AD80" s="155">
        <f t="shared" ca="1" si="129"/>
        <v>0</v>
      </c>
      <c r="AE80" s="156">
        <f t="shared" ca="1" si="129"/>
        <v>0</v>
      </c>
      <c r="AF80" s="228">
        <f t="shared" ca="1" si="129"/>
        <v>0</v>
      </c>
      <c r="AG80" s="155">
        <f t="shared" ca="1" si="129"/>
        <v>0</v>
      </c>
      <c r="AH80" s="155">
        <f t="shared" ca="1" si="129"/>
        <v>0</v>
      </c>
      <c r="AI80" s="156">
        <f t="shared" ca="1" si="129"/>
        <v>0</v>
      </c>
      <c r="AJ80" s="228">
        <f t="shared" ref="AJ80" ca="1" si="130">AI77*$C$31</f>
        <v>0</v>
      </c>
      <c r="AK80" s="155">
        <f t="shared" ref="AK80" ca="1" si="131">AJ77*$C$31</f>
        <v>0</v>
      </c>
      <c r="AL80" s="155">
        <f t="shared" ref="AL80" ca="1" si="132">AK77*$C$31</f>
        <v>0</v>
      </c>
      <c r="AM80" s="156">
        <f t="shared" ca="1" si="6"/>
        <v>0</v>
      </c>
    </row>
    <row r="81" spans="2:39" ht="12.6" thickBot="1" x14ac:dyDescent="0.3">
      <c r="B81" s="1107"/>
      <c r="C81" s="51" t="s">
        <v>181</v>
      </c>
      <c r="D81" s="239"/>
      <c r="E81" s="24"/>
      <c r="F81" s="24"/>
      <c r="G81" s="32"/>
      <c r="H81" s="239"/>
      <c r="I81" s="24"/>
      <c r="J81" s="24"/>
      <c r="K81" s="32"/>
      <c r="L81" s="239"/>
      <c r="M81" s="24"/>
      <c r="N81" s="24"/>
      <c r="O81" s="32"/>
      <c r="P81" s="239"/>
      <c r="Q81" s="24"/>
      <c r="R81" s="24"/>
      <c r="S81" s="32"/>
      <c r="T81" s="239"/>
      <c r="U81" s="24"/>
      <c r="V81" s="24"/>
      <c r="W81" s="32"/>
      <c r="X81" s="239"/>
      <c r="Y81" s="24"/>
      <c r="Z81" s="24"/>
      <c r="AA81" s="32"/>
      <c r="AB81" s="233">
        <f t="shared" ref="AB81:AI81" ca="1" si="133">AB82-AB78-AB79-AB80</f>
        <v>0</v>
      </c>
      <c r="AC81" s="155">
        <f t="shared" ca="1" si="133"/>
        <v>0</v>
      </c>
      <c r="AD81" s="155">
        <f t="shared" ca="1" si="133"/>
        <v>0</v>
      </c>
      <c r="AE81" s="156">
        <f t="shared" ca="1" si="133"/>
        <v>0</v>
      </c>
      <c r="AF81" s="228">
        <f t="shared" ca="1" si="133"/>
        <v>0</v>
      </c>
      <c r="AG81" s="155">
        <f t="shared" ca="1" si="133"/>
        <v>0</v>
      </c>
      <c r="AH81" s="155">
        <f t="shared" ca="1" si="133"/>
        <v>0</v>
      </c>
      <c r="AI81" s="156">
        <f t="shared" ca="1" si="133"/>
        <v>0</v>
      </c>
      <c r="AJ81" s="228">
        <f t="shared" ref="AJ81:AL81" ca="1" si="134">AJ82-AJ78-AJ79-AJ80</f>
        <v>0</v>
      </c>
      <c r="AK81" s="155">
        <f t="shared" ca="1" si="134"/>
        <v>0</v>
      </c>
      <c r="AL81" s="155">
        <f t="shared" ca="1" si="134"/>
        <v>0</v>
      </c>
      <c r="AM81" s="156">
        <f t="shared" ca="1" si="6"/>
        <v>0</v>
      </c>
    </row>
    <row r="82" spans="2:39" ht="12.6" thickBot="1" x14ac:dyDescent="0.3">
      <c r="B82" s="1108"/>
      <c r="C82" s="50" t="s">
        <v>172</v>
      </c>
      <c r="D82" s="240"/>
      <c r="E82" s="241"/>
      <c r="F82" s="241"/>
      <c r="G82" s="242"/>
      <c r="H82" s="240"/>
      <c r="I82" s="241"/>
      <c r="J82" s="241"/>
      <c r="K82" s="242"/>
      <c r="L82" s="240"/>
      <c r="M82" s="241"/>
      <c r="N82" s="241"/>
      <c r="O82" s="242"/>
      <c r="P82" s="240"/>
      <c r="Q82" s="241"/>
      <c r="R82" s="241"/>
      <c r="S82" s="242"/>
      <c r="T82" s="240"/>
      <c r="U82" s="241"/>
      <c r="V82" s="241"/>
      <c r="W82" s="242"/>
      <c r="X82" s="240"/>
      <c r="Y82" s="241"/>
      <c r="Z82" s="241"/>
      <c r="AA82" s="242"/>
      <c r="AB82" s="235">
        <f ca="1">IF(X21=0,0,PMT($C$29+$C$30+$C$31,X$21/12,-AA77))</f>
        <v>0</v>
      </c>
      <c r="AC82" s="234">
        <f t="shared" ref="AC82:AI82" ca="1" si="135">IF(ROUND(AB77,2)=0,0,AB82)</f>
        <v>0</v>
      </c>
      <c r="AD82" s="230">
        <f t="shared" ca="1" si="135"/>
        <v>0</v>
      </c>
      <c r="AE82" s="231">
        <f t="shared" ca="1" si="135"/>
        <v>0</v>
      </c>
      <c r="AF82" s="229">
        <f t="shared" ca="1" si="135"/>
        <v>0</v>
      </c>
      <c r="AG82" s="230">
        <f t="shared" ca="1" si="135"/>
        <v>0</v>
      </c>
      <c r="AH82" s="230">
        <f t="shared" ca="1" si="135"/>
        <v>0</v>
      </c>
      <c r="AI82" s="231">
        <f t="shared" ca="1" si="135"/>
        <v>0</v>
      </c>
      <c r="AJ82" s="229">
        <f t="shared" ref="AJ82" ca="1" si="136">IF(ROUND(AI77,2)=0,0,AI82)</f>
        <v>0</v>
      </c>
      <c r="AK82" s="230">
        <f t="shared" ref="AK82" ca="1" si="137">IF(ROUND(AJ77,2)=0,0,AJ82)</f>
        <v>0</v>
      </c>
      <c r="AL82" s="230">
        <f t="shared" ref="AL82" ca="1" si="138">IF(ROUND(AK77,2)=0,0,AK82)</f>
        <v>0</v>
      </c>
      <c r="AM82" s="231">
        <f t="shared" ca="1" si="6"/>
        <v>0</v>
      </c>
    </row>
    <row r="83" spans="2:39" x14ac:dyDescent="0.25">
      <c r="B83" s="1107" t="str">
        <f>AB13</f>
        <v>Financiamento 7º Tranche</v>
      </c>
      <c r="C83" s="52" t="s">
        <v>187</v>
      </c>
      <c r="D83" s="236"/>
      <c r="E83" s="237"/>
      <c r="F83" s="237"/>
      <c r="G83" s="238"/>
      <c r="H83" s="236"/>
      <c r="I83" s="237"/>
      <c r="J83" s="237"/>
      <c r="K83" s="238"/>
      <c r="L83" s="236"/>
      <c r="M83" s="237"/>
      <c r="N83" s="237"/>
      <c r="O83" s="238"/>
      <c r="P83" s="236"/>
      <c r="Q83" s="237"/>
      <c r="R83" s="237"/>
      <c r="S83" s="238"/>
      <c r="T83" s="236"/>
      <c r="U83" s="237"/>
      <c r="V83" s="237"/>
      <c r="W83" s="238"/>
      <c r="X83" s="236"/>
      <c r="Y83" s="237"/>
      <c r="Z83" s="237"/>
      <c r="AA83" s="238"/>
      <c r="AB83" s="225">
        <f ca="1">IF($AB$21=0,0,$AB$14*(1-$AB$15)*AB$24)</f>
        <v>0</v>
      </c>
      <c r="AC83" s="226">
        <f ca="1">IF($AB$21=0,0,$AB$14*(1-$AB$15)*AC$24)</f>
        <v>0</v>
      </c>
      <c r="AD83" s="226">
        <f ca="1">IF($AB$21=0,0,$AB$14*(1-$AB$15)*AD$24)</f>
        <v>0</v>
      </c>
      <c r="AE83" s="227">
        <f ca="1">IF($AB$21=0,0,$AB$14*(1-$AB$15)*AE$24)</f>
        <v>0</v>
      </c>
      <c r="AF83" s="236"/>
      <c r="AG83" s="237"/>
      <c r="AH83" s="237"/>
      <c r="AI83" s="238"/>
      <c r="AJ83" s="236"/>
      <c r="AK83" s="237"/>
      <c r="AL83" s="237"/>
      <c r="AM83" s="227">
        <f t="shared" ca="1" si="6"/>
        <v>0</v>
      </c>
    </row>
    <row r="84" spans="2:39" x14ac:dyDescent="0.25">
      <c r="B84" s="1107"/>
      <c r="C84" s="52" t="s">
        <v>186</v>
      </c>
      <c r="D84" s="239"/>
      <c r="E84" s="24"/>
      <c r="F84" s="24"/>
      <c r="G84" s="32"/>
      <c r="H84" s="239"/>
      <c r="I84" s="24"/>
      <c r="J84" s="24"/>
      <c r="K84" s="32"/>
      <c r="L84" s="239"/>
      <c r="M84" s="24"/>
      <c r="N84" s="24"/>
      <c r="O84" s="32"/>
      <c r="P84" s="239"/>
      <c r="Q84" s="24"/>
      <c r="R84" s="24"/>
      <c r="S84" s="32"/>
      <c r="T84" s="239"/>
      <c r="U84" s="24"/>
      <c r="V84" s="24"/>
      <c r="W84" s="32"/>
      <c r="X84" s="239"/>
      <c r="Y84" s="24"/>
      <c r="Z84" s="24"/>
      <c r="AA84" s="32"/>
      <c r="AB84" s="228">
        <f ca="1">IF($AB$21=0,0,$AB$14*($AB$15)*AB$24)</f>
        <v>0</v>
      </c>
      <c r="AC84" s="155">
        <f ca="1">IF($AB$21=0,0,$AB$14*($AB$15)*AC$24)</f>
        <v>0</v>
      </c>
      <c r="AD84" s="155">
        <f ca="1">IF($AB$21=0,0,$AB$14*($AB$15)*AD$24)</f>
        <v>0</v>
      </c>
      <c r="AE84" s="156">
        <f ca="1">IF($AB$21=0,0,$AB$14*($AB$15)*AE$24)</f>
        <v>0</v>
      </c>
      <c r="AF84" s="239"/>
      <c r="AG84" s="24"/>
      <c r="AH84" s="24"/>
      <c r="AI84" s="32"/>
      <c r="AJ84" s="239"/>
      <c r="AK84" s="24"/>
      <c r="AL84" s="24"/>
      <c r="AM84" s="156">
        <f t="shared" ca="1" si="6"/>
        <v>0</v>
      </c>
    </row>
    <row r="85" spans="2:39" x14ac:dyDescent="0.25">
      <c r="B85" s="1107"/>
      <c r="C85" s="52" t="s">
        <v>185</v>
      </c>
      <c r="D85" s="239"/>
      <c r="E85" s="24"/>
      <c r="F85" s="24"/>
      <c r="G85" s="32"/>
      <c r="H85" s="239"/>
      <c r="I85" s="24"/>
      <c r="J85" s="24"/>
      <c r="K85" s="32"/>
      <c r="L85" s="239"/>
      <c r="M85" s="24"/>
      <c r="N85" s="24"/>
      <c r="O85" s="32"/>
      <c r="P85" s="239"/>
      <c r="Q85" s="24"/>
      <c r="R85" s="24"/>
      <c r="S85" s="32"/>
      <c r="T85" s="239"/>
      <c r="U85" s="24"/>
      <c r="V85" s="24"/>
      <c r="W85" s="32"/>
      <c r="X85" s="239"/>
      <c r="Y85" s="24"/>
      <c r="Z85" s="24"/>
      <c r="AA85" s="32"/>
      <c r="AB85" s="228">
        <f ca="1">AB83</f>
        <v>0</v>
      </c>
      <c r="AC85" s="155">
        <f ca="1">AB85+AC83</f>
        <v>0</v>
      </c>
      <c r="AD85" s="155">
        <f ca="1">AC85+AD83</f>
        <v>0</v>
      </c>
      <c r="AE85" s="156">
        <f ca="1">AD85+AE83</f>
        <v>0</v>
      </c>
      <c r="AF85" s="228">
        <f ca="1">AE85-AF89</f>
        <v>0</v>
      </c>
      <c r="AG85" s="155">
        <f ca="1">AF85-AG89</f>
        <v>0</v>
      </c>
      <c r="AH85" s="155">
        <f ca="1">AG85-AH89</f>
        <v>0</v>
      </c>
      <c r="AI85" s="156">
        <f ca="1">AH85-AI89</f>
        <v>0</v>
      </c>
      <c r="AJ85" s="228">
        <f t="shared" ref="AJ85:AL85" ca="1" si="139">AI85-AJ89</f>
        <v>0</v>
      </c>
      <c r="AK85" s="155">
        <f t="shared" ca="1" si="139"/>
        <v>0</v>
      </c>
      <c r="AL85" s="155">
        <f t="shared" ca="1" si="139"/>
        <v>0</v>
      </c>
      <c r="AM85" s="156">
        <f t="shared" ca="1" si="6"/>
        <v>0</v>
      </c>
    </row>
    <row r="86" spans="2:39" x14ac:dyDescent="0.25">
      <c r="B86" s="1107"/>
      <c r="C86" s="51" t="s">
        <v>184</v>
      </c>
      <c r="D86" s="239"/>
      <c r="E86" s="24"/>
      <c r="F86" s="24"/>
      <c r="G86" s="32"/>
      <c r="H86" s="239"/>
      <c r="I86" s="24"/>
      <c r="J86" s="24"/>
      <c r="K86" s="32"/>
      <c r="L86" s="239"/>
      <c r="M86" s="24"/>
      <c r="N86" s="24"/>
      <c r="O86" s="32"/>
      <c r="P86" s="239"/>
      <c r="Q86" s="24"/>
      <c r="R86" s="24"/>
      <c r="S86" s="32"/>
      <c r="T86" s="239"/>
      <c r="U86" s="24"/>
      <c r="V86" s="24"/>
      <c r="W86" s="32"/>
      <c r="X86" s="239"/>
      <c r="Y86" s="24"/>
      <c r="Z86" s="24"/>
      <c r="AA86" s="32"/>
      <c r="AB86" s="228">
        <f ca="1">AB85*$C$29</f>
        <v>0</v>
      </c>
      <c r="AC86" s="155">
        <f ca="1">AC85*$C$29</f>
        <v>0</v>
      </c>
      <c r="AD86" s="155">
        <f ca="1">AD85*$C$29</f>
        <v>0</v>
      </c>
      <c r="AE86" s="156">
        <f ca="1">AE85*$C$29</f>
        <v>0</v>
      </c>
      <c r="AF86" s="228">
        <f ca="1">AE85*$C$29</f>
        <v>0</v>
      </c>
      <c r="AG86" s="155">
        <f ca="1">AF85*$C$29</f>
        <v>0</v>
      </c>
      <c r="AH86" s="155">
        <f ca="1">AG85*$C$29</f>
        <v>0</v>
      </c>
      <c r="AI86" s="156">
        <f ca="1">AH85*$C$29</f>
        <v>0</v>
      </c>
      <c r="AJ86" s="228">
        <f t="shared" ref="AJ86:AL86" ca="1" si="140">AI85*$C$29</f>
        <v>0</v>
      </c>
      <c r="AK86" s="155">
        <f t="shared" ca="1" si="140"/>
        <v>0</v>
      </c>
      <c r="AL86" s="155">
        <f t="shared" ca="1" si="140"/>
        <v>0</v>
      </c>
      <c r="AM86" s="156">
        <f t="shared" ca="1" si="6"/>
        <v>0</v>
      </c>
    </row>
    <row r="87" spans="2:39" x14ac:dyDescent="0.25">
      <c r="B87" s="1107"/>
      <c r="C87" s="51" t="s">
        <v>183</v>
      </c>
      <c r="D87" s="239"/>
      <c r="E87" s="24"/>
      <c r="F87" s="24"/>
      <c r="G87" s="32"/>
      <c r="H87" s="239"/>
      <c r="I87" s="24"/>
      <c r="J87" s="24"/>
      <c r="K87" s="32"/>
      <c r="L87" s="239"/>
      <c r="M87" s="24"/>
      <c r="N87" s="24"/>
      <c r="O87" s="32"/>
      <c r="P87" s="239"/>
      <c r="Q87" s="24"/>
      <c r="R87" s="24"/>
      <c r="S87" s="32"/>
      <c r="T87" s="239"/>
      <c r="U87" s="24"/>
      <c r="V87" s="24"/>
      <c r="W87" s="32"/>
      <c r="X87" s="239"/>
      <c r="Y87" s="24"/>
      <c r="Z87" s="24"/>
      <c r="AA87" s="32"/>
      <c r="AB87" s="228">
        <f ca="1">AB85*$C$30</f>
        <v>0</v>
      </c>
      <c r="AC87" s="155">
        <f ca="1">AC85*$C$30</f>
        <v>0</v>
      </c>
      <c r="AD87" s="155">
        <f ca="1">AD85*$C$30</f>
        <v>0</v>
      </c>
      <c r="AE87" s="156">
        <f ca="1">AE85*$C$30</f>
        <v>0</v>
      </c>
      <c r="AF87" s="228">
        <f ca="1">AE85*$C$30</f>
        <v>0</v>
      </c>
      <c r="AG87" s="155">
        <f ca="1">AF85*$C$30</f>
        <v>0</v>
      </c>
      <c r="AH87" s="155">
        <f ca="1">AG85*$C$30</f>
        <v>0</v>
      </c>
      <c r="AI87" s="156">
        <f ca="1">AH85*$C$30</f>
        <v>0</v>
      </c>
      <c r="AJ87" s="228">
        <f t="shared" ref="AJ87:AL87" ca="1" si="141">AI85*$C$30</f>
        <v>0</v>
      </c>
      <c r="AK87" s="155">
        <f t="shared" ca="1" si="141"/>
        <v>0</v>
      </c>
      <c r="AL87" s="155">
        <f t="shared" ca="1" si="141"/>
        <v>0</v>
      </c>
      <c r="AM87" s="156">
        <f t="shared" ca="1" si="6"/>
        <v>0</v>
      </c>
    </row>
    <row r="88" spans="2:39" x14ac:dyDescent="0.25">
      <c r="B88" s="1107"/>
      <c r="C88" s="51" t="s">
        <v>182</v>
      </c>
      <c r="D88" s="239"/>
      <c r="E88" s="24"/>
      <c r="F88" s="24"/>
      <c r="G88" s="32"/>
      <c r="H88" s="239"/>
      <c r="I88" s="24"/>
      <c r="J88" s="24"/>
      <c r="K88" s="32"/>
      <c r="L88" s="239"/>
      <c r="M88" s="24"/>
      <c r="N88" s="24"/>
      <c r="O88" s="32"/>
      <c r="P88" s="239"/>
      <c r="Q88" s="24"/>
      <c r="R88" s="24"/>
      <c r="S88" s="32"/>
      <c r="T88" s="239"/>
      <c r="U88" s="24"/>
      <c r="V88" s="24"/>
      <c r="W88" s="32"/>
      <c r="X88" s="239"/>
      <c r="Y88" s="24"/>
      <c r="Z88" s="24"/>
      <c r="AA88" s="32"/>
      <c r="AB88" s="228">
        <f ca="1">AB85*$C$31</f>
        <v>0</v>
      </c>
      <c r="AC88" s="155">
        <f ca="1">AC85*$C$31</f>
        <v>0</v>
      </c>
      <c r="AD88" s="155">
        <f ca="1">AD85*$C$31</f>
        <v>0</v>
      </c>
      <c r="AE88" s="156">
        <f ca="1">AE85*$C$31</f>
        <v>0</v>
      </c>
      <c r="AF88" s="228">
        <f ca="1">AE85*$C$31</f>
        <v>0</v>
      </c>
      <c r="AG88" s="155">
        <f ca="1">AF85*$C$31</f>
        <v>0</v>
      </c>
      <c r="AH88" s="155">
        <f ca="1">AG85*$C$31</f>
        <v>0</v>
      </c>
      <c r="AI88" s="156">
        <f ca="1">AH85*$C$31</f>
        <v>0</v>
      </c>
      <c r="AJ88" s="228">
        <f t="shared" ref="AJ88:AL88" ca="1" si="142">AI85*$C$31</f>
        <v>0</v>
      </c>
      <c r="AK88" s="155">
        <f t="shared" ca="1" si="142"/>
        <v>0</v>
      </c>
      <c r="AL88" s="155">
        <f t="shared" ca="1" si="142"/>
        <v>0</v>
      </c>
      <c r="AM88" s="156">
        <f t="shared" ca="1" si="6"/>
        <v>0</v>
      </c>
    </row>
    <row r="89" spans="2:39" ht="12.6" thickBot="1" x14ac:dyDescent="0.3">
      <c r="B89" s="1107"/>
      <c r="C89" s="51" t="s">
        <v>181</v>
      </c>
      <c r="D89" s="239"/>
      <c r="E89" s="24"/>
      <c r="F89" s="24"/>
      <c r="G89" s="32"/>
      <c r="H89" s="239"/>
      <c r="I89" s="24"/>
      <c r="J89" s="24"/>
      <c r="K89" s="32"/>
      <c r="L89" s="239"/>
      <c r="M89" s="24"/>
      <c r="N89" s="24"/>
      <c r="O89" s="32"/>
      <c r="P89" s="239"/>
      <c r="Q89" s="24"/>
      <c r="R89" s="24"/>
      <c r="S89" s="32"/>
      <c r="T89" s="239"/>
      <c r="U89" s="24"/>
      <c r="V89" s="24"/>
      <c r="W89" s="32"/>
      <c r="X89" s="239"/>
      <c r="Y89" s="24"/>
      <c r="Z89" s="24"/>
      <c r="AA89" s="32"/>
      <c r="AB89" s="239"/>
      <c r="AC89" s="24"/>
      <c r="AD89" s="24"/>
      <c r="AE89" s="32"/>
      <c r="AF89" s="228">
        <f ca="1">AF90-AF86-AF87-AF88</f>
        <v>0</v>
      </c>
      <c r="AG89" s="155">
        <f ca="1">AG90-AG86-AG87-AG88</f>
        <v>0</v>
      </c>
      <c r="AH89" s="155">
        <f ca="1">AH90-AH86-AH87-AH88</f>
        <v>0</v>
      </c>
      <c r="AI89" s="156">
        <f ca="1">AI90-AI86-AI87-AI88</f>
        <v>0</v>
      </c>
      <c r="AJ89" s="228">
        <f t="shared" ref="AJ89:AL89" ca="1" si="143">AJ90-AJ86-AJ87-AJ88</f>
        <v>0</v>
      </c>
      <c r="AK89" s="155">
        <f t="shared" ca="1" si="143"/>
        <v>0</v>
      </c>
      <c r="AL89" s="155">
        <f t="shared" ca="1" si="143"/>
        <v>0</v>
      </c>
      <c r="AM89" s="156">
        <f t="shared" ca="1" si="6"/>
        <v>0</v>
      </c>
    </row>
    <row r="90" spans="2:39" ht="12.6" thickBot="1" x14ac:dyDescent="0.3">
      <c r="B90" s="1108"/>
      <c r="C90" s="50" t="s">
        <v>172</v>
      </c>
      <c r="D90" s="240"/>
      <c r="E90" s="241"/>
      <c r="F90" s="241"/>
      <c r="G90" s="242"/>
      <c r="H90" s="240"/>
      <c r="I90" s="241"/>
      <c r="J90" s="241"/>
      <c r="K90" s="242"/>
      <c r="L90" s="240"/>
      <c r="M90" s="241"/>
      <c r="N90" s="241"/>
      <c r="O90" s="242"/>
      <c r="P90" s="240"/>
      <c r="Q90" s="241"/>
      <c r="R90" s="241"/>
      <c r="S90" s="242"/>
      <c r="T90" s="240"/>
      <c r="U90" s="241"/>
      <c r="V90" s="241"/>
      <c r="W90" s="242"/>
      <c r="X90" s="240"/>
      <c r="Y90" s="241"/>
      <c r="Z90" s="241"/>
      <c r="AA90" s="242"/>
      <c r="AB90" s="240"/>
      <c r="AC90" s="241"/>
      <c r="AD90" s="241"/>
      <c r="AE90" s="242"/>
      <c r="AF90" s="235">
        <f ca="1">IF($AB$21=0,0,PMT($C$29+$C$30+$C$31,AB$21/12,-AE85))</f>
        <v>0</v>
      </c>
      <c r="AG90" s="234">
        <f ca="1">IF(ROUND(AF85,2)=0,0,AF90)</f>
        <v>0</v>
      </c>
      <c r="AH90" s="230">
        <f ca="1">IF(ROUND(AG85,2)=0,0,AG90)</f>
        <v>0</v>
      </c>
      <c r="AI90" s="231">
        <f ca="1">IF(ROUND(AH85,2)=0,0,AH90)</f>
        <v>0</v>
      </c>
      <c r="AJ90" s="229">
        <f t="shared" ref="AJ90:AL90" ca="1" si="144">IF(ROUND(AI85,2)=0,0,AI90)</f>
        <v>0</v>
      </c>
      <c r="AK90" s="234">
        <f t="shared" ca="1" si="144"/>
        <v>0</v>
      </c>
      <c r="AL90" s="230">
        <f t="shared" ca="1" si="144"/>
        <v>0</v>
      </c>
      <c r="AM90" s="231">
        <f t="shared" ca="1" si="6"/>
        <v>0</v>
      </c>
    </row>
    <row r="94" spans="2:39" ht="12.6" thickBot="1" x14ac:dyDescent="0.3"/>
    <row r="95" spans="2:39" x14ac:dyDescent="0.25">
      <c r="B95" s="1109" t="s">
        <v>180</v>
      </c>
      <c r="C95" s="49" t="s">
        <v>63</v>
      </c>
      <c r="D95" s="64">
        <f t="shared" ref="D95:AI95" si="145">D34</f>
        <v>1</v>
      </c>
      <c r="E95" s="64">
        <f t="shared" si="145"/>
        <v>2</v>
      </c>
      <c r="F95" s="64">
        <f t="shared" si="145"/>
        <v>3</v>
      </c>
      <c r="G95" s="64">
        <f t="shared" si="145"/>
        <v>4</v>
      </c>
      <c r="H95" s="64">
        <f t="shared" si="145"/>
        <v>5</v>
      </c>
      <c r="I95" s="64">
        <f t="shared" si="145"/>
        <v>6</v>
      </c>
      <c r="J95" s="64">
        <f t="shared" si="145"/>
        <v>7</v>
      </c>
      <c r="K95" s="64">
        <f t="shared" si="145"/>
        <v>8</v>
      </c>
      <c r="L95" s="64">
        <f t="shared" si="145"/>
        <v>9</v>
      </c>
      <c r="M95" s="64">
        <f t="shared" si="145"/>
        <v>10</v>
      </c>
      <c r="N95" s="64">
        <f t="shared" si="145"/>
        <v>11</v>
      </c>
      <c r="O95" s="64">
        <f t="shared" si="145"/>
        <v>12</v>
      </c>
      <c r="P95" s="64">
        <f t="shared" si="145"/>
        <v>13</v>
      </c>
      <c r="Q95" s="64">
        <f t="shared" si="145"/>
        <v>14</v>
      </c>
      <c r="R95" s="64">
        <f t="shared" si="145"/>
        <v>15</v>
      </c>
      <c r="S95" s="64">
        <f t="shared" si="145"/>
        <v>16</v>
      </c>
      <c r="T95" s="64">
        <f t="shared" si="145"/>
        <v>17</v>
      </c>
      <c r="U95" s="64">
        <f t="shared" si="145"/>
        <v>18</v>
      </c>
      <c r="V95" s="64">
        <f t="shared" si="145"/>
        <v>19</v>
      </c>
      <c r="W95" s="64">
        <f t="shared" si="145"/>
        <v>20</v>
      </c>
      <c r="X95" s="64">
        <f t="shared" si="145"/>
        <v>21</v>
      </c>
      <c r="Y95" s="64">
        <f t="shared" si="145"/>
        <v>22</v>
      </c>
      <c r="Z95" s="64">
        <f t="shared" si="145"/>
        <v>23</v>
      </c>
      <c r="AA95" s="64">
        <f t="shared" si="145"/>
        <v>24</v>
      </c>
      <c r="AB95" s="64">
        <f t="shared" si="145"/>
        <v>25</v>
      </c>
      <c r="AC95" s="64">
        <f t="shared" si="145"/>
        <v>26</v>
      </c>
      <c r="AD95" s="64">
        <f t="shared" si="145"/>
        <v>27</v>
      </c>
      <c r="AE95" s="64">
        <f t="shared" si="145"/>
        <v>28</v>
      </c>
      <c r="AF95" s="64">
        <f t="shared" si="145"/>
        <v>29</v>
      </c>
      <c r="AG95" s="64">
        <f t="shared" si="145"/>
        <v>30</v>
      </c>
      <c r="AH95" s="64">
        <f t="shared" si="145"/>
        <v>31</v>
      </c>
      <c r="AI95" s="65">
        <f t="shared" si="145"/>
        <v>32</v>
      </c>
      <c r="AJ95" s="65">
        <f t="shared" ref="AJ95:AL95" si="146">AJ34</f>
        <v>33</v>
      </c>
      <c r="AK95" s="65">
        <f t="shared" si="146"/>
        <v>34</v>
      </c>
      <c r="AL95" s="65">
        <f t="shared" si="146"/>
        <v>35</v>
      </c>
    </row>
    <row r="96" spans="2:39" x14ac:dyDescent="0.25">
      <c r="B96" s="1110"/>
      <c r="C96" s="48" t="s">
        <v>179</v>
      </c>
      <c r="D96" s="342">
        <f t="shared" ref="D96:AI96" ca="1" si="147">D35+D43+D51+D59+D67+D75+D83</f>
        <v>4961900.3427207256</v>
      </c>
      <c r="E96" s="342">
        <f t="shared" ca="1" si="147"/>
        <v>43913571.501840867</v>
      </c>
      <c r="F96" s="342">
        <f t="shared" ca="1" si="147"/>
        <v>40307286.591013528</v>
      </c>
      <c r="G96" s="342">
        <f t="shared" ca="1" si="147"/>
        <v>39873413.22994785</v>
      </c>
      <c r="H96" s="342">
        <f t="shared" ca="1" si="147"/>
        <v>40496565.253869377</v>
      </c>
      <c r="I96" s="342">
        <f t="shared" ca="1" si="147"/>
        <v>13116908.763741096</v>
      </c>
      <c r="J96" s="342">
        <f t="shared" ca="1" si="147"/>
        <v>13145250.074676365</v>
      </c>
      <c r="K96" s="342">
        <f t="shared" ca="1" si="147"/>
        <v>7473844.5448703207</v>
      </c>
      <c r="L96" s="342">
        <f t="shared" ca="1" si="147"/>
        <v>7395966.6063801851</v>
      </c>
      <c r="M96" s="342">
        <f t="shared" ca="1" si="147"/>
        <v>7315364.0746066598</v>
      </c>
      <c r="N96" s="342">
        <f t="shared" ca="1" si="147"/>
        <v>7238640.1034548385</v>
      </c>
      <c r="O96" s="342">
        <f t="shared" ca="1" si="147"/>
        <v>7154323.1798859751</v>
      </c>
      <c r="P96" s="342">
        <f t="shared" ca="1" si="147"/>
        <v>3134296.4798324872</v>
      </c>
      <c r="Q96" s="342">
        <f t="shared" ca="1" si="147"/>
        <v>3001861.4173043547</v>
      </c>
      <c r="R96" s="342">
        <f t="shared" ca="1" si="147"/>
        <v>2878255.358944763</v>
      </c>
      <c r="S96" s="342">
        <f t="shared" ca="1" si="147"/>
        <v>2754649.3005851717</v>
      </c>
      <c r="T96" s="342">
        <f t="shared" ca="1" si="147"/>
        <v>0</v>
      </c>
      <c r="U96" s="342">
        <f t="shared" ca="1" si="147"/>
        <v>0</v>
      </c>
      <c r="V96" s="342">
        <f t="shared" ca="1" si="147"/>
        <v>0</v>
      </c>
      <c r="W96" s="342">
        <f t="shared" ca="1" si="147"/>
        <v>0</v>
      </c>
      <c r="X96" s="342">
        <f t="shared" ca="1" si="147"/>
        <v>0</v>
      </c>
      <c r="Y96" s="342">
        <f t="shared" ca="1" si="147"/>
        <v>0</v>
      </c>
      <c r="Z96" s="342">
        <f t="shared" ca="1" si="147"/>
        <v>0</v>
      </c>
      <c r="AA96" s="342">
        <f t="shared" ca="1" si="147"/>
        <v>0</v>
      </c>
      <c r="AB96" s="342">
        <f t="shared" ca="1" si="147"/>
        <v>0</v>
      </c>
      <c r="AC96" s="342">
        <f t="shared" ca="1" si="147"/>
        <v>0</v>
      </c>
      <c r="AD96" s="342">
        <f t="shared" ca="1" si="147"/>
        <v>0</v>
      </c>
      <c r="AE96" s="342">
        <f t="shared" ca="1" si="147"/>
        <v>0</v>
      </c>
      <c r="AF96" s="342">
        <f t="shared" si="147"/>
        <v>0</v>
      </c>
      <c r="AG96" s="342">
        <f t="shared" si="147"/>
        <v>0</v>
      </c>
      <c r="AH96" s="342">
        <f t="shared" si="147"/>
        <v>0</v>
      </c>
      <c r="AI96" s="343">
        <f t="shared" si="147"/>
        <v>0</v>
      </c>
      <c r="AJ96" s="343">
        <f t="shared" ref="AJ96:AL96" si="148">AJ35+AJ43+AJ51+AJ59+AJ67+AJ75+AJ83</f>
        <v>0</v>
      </c>
      <c r="AK96" s="343">
        <f t="shared" si="148"/>
        <v>0</v>
      </c>
      <c r="AL96" s="343">
        <f t="shared" si="148"/>
        <v>0</v>
      </c>
    </row>
    <row r="97" spans="2:45" x14ac:dyDescent="0.25">
      <c r="B97" s="1110"/>
      <c r="C97" s="48" t="s">
        <v>178</v>
      </c>
      <c r="D97" s="342">
        <f t="shared" ref="D97:AI97" ca="1" si="149">D36+D44+D52+D60+D68+D76+D84</f>
        <v>543771.99727927335</v>
      </c>
      <c r="E97" s="342">
        <f t="shared" ca="1" si="149"/>
        <v>4812464.7481591273</v>
      </c>
      <c r="F97" s="342">
        <f t="shared" ca="1" si="149"/>
        <v>4417253.9189864825</v>
      </c>
      <c r="G97" s="342">
        <f t="shared" ca="1" si="149"/>
        <v>4369705.9700521454</v>
      </c>
      <c r="H97" s="342">
        <f t="shared" ca="1" si="149"/>
        <v>4437996.8661306081</v>
      </c>
      <c r="I97" s="342">
        <f t="shared" ca="1" si="149"/>
        <v>1437474.9962588979</v>
      </c>
      <c r="J97" s="342">
        <f t="shared" ca="1" si="149"/>
        <v>1440580.9053236363</v>
      </c>
      <c r="K97" s="342">
        <f t="shared" ca="1" si="149"/>
        <v>819054.61512967688</v>
      </c>
      <c r="L97" s="342">
        <f t="shared" ca="1" si="149"/>
        <v>810520.01361981395</v>
      </c>
      <c r="M97" s="342">
        <f t="shared" ca="1" si="149"/>
        <v>801686.82539334043</v>
      </c>
      <c r="N97" s="342">
        <f t="shared" ca="1" si="149"/>
        <v>793278.6865451613</v>
      </c>
      <c r="O97" s="342">
        <f t="shared" ca="1" si="149"/>
        <v>784038.44011402386</v>
      </c>
      <c r="P97" s="342">
        <f t="shared" ca="1" si="149"/>
        <v>343485.8701675125</v>
      </c>
      <c r="Q97" s="342">
        <f t="shared" ca="1" si="149"/>
        <v>328972.38269564591</v>
      </c>
      <c r="R97" s="342">
        <f t="shared" ca="1" si="149"/>
        <v>315426.46105523681</v>
      </c>
      <c r="S97" s="342">
        <f t="shared" ca="1" si="149"/>
        <v>301880.53941482789</v>
      </c>
      <c r="T97" s="342">
        <f t="shared" ca="1" si="149"/>
        <v>0</v>
      </c>
      <c r="U97" s="342">
        <f t="shared" ca="1" si="149"/>
        <v>0</v>
      </c>
      <c r="V97" s="342">
        <f t="shared" ca="1" si="149"/>
        <v>0</v>
      </c>
      <c r="W97" s="342">
        <f t="shared" ca="1" si="149"/>
        <v>0</v>
      </c>
      <c r="X97" s="342">
        <f t="shared" ca="1" si="149"/>
        <v>0</v>
      </c>
      <c r="Y97" s="342">
        <f t="shared" ca="1" si="149"/>
        <v>0</v>
      </c>
      <c r="Z97" s="342">
        <f t="shared" ca="1" si="149"/>
        <v>0</v>
      </c>
      <c r="AA97" s="342">
        <f t="shared" ca="1" si="149"/>
        <v>0</v>
      </c>
      <c r="AB97" s="342">
        <f t="shared" ca="1" si="149"/>
        <v>0</v>
      </c>
      <c r="AC97" s="342">
        <f t="shared" ca="1" si="149"/>
        <v>0</v>
      </c>
      <c r="AD97" s="342">
        <f t="shared" ca="1" si="149"/>
        <v>0</v>
      </c>
      <c r="AE97" s="342">
        <f t="shared" ca="1" si="149"/>
        <v>0</v>
      </c>
      <c r="AF97" s="342">
        <f t="shared" si="149"/>
        <v>0</v>
      </c>
      <c r="AG97" s="342">
        <f t="shared" si="149"/>
        <v>0</v>
      </c>
      <c r="AH97" s="342">
        <f t="shared" si="149"/>
        <v>0</v>
      </c>
      <c r="AI97" s="343">
        <f t="shared" si="149"/>
        <v>0</v>
      </c>
      <c r="AJ97" s="343">
        <f t="shared" ref="AJ97:AL97" si="150">AJ36+AJ44+AJ52+AJ60+AJ68+AJ76+AJ84</f>
        <v>0</v>
      </c>
      <c r="AK97" s="343">
        <f t="shared" si="150"/>
        <v>0</v>
      </c>
      <c r="AL97" s="343">
        <f t="shared" si="150"/>
        <v>0</v>
      </c>
    </row>
    <row r="98" spans="2:45" x14ac:dyDescent="0.25">
      <c r="B98" s="1110"/>
      <c r="C98" s="48" t="s">
        <v>177</v>
      </c>
      <c r="D98" s="342">
        <f t="shared" ref="D98:AI98" ca="1" si="151">D37+D45+D53+D61+D69+D77+D85</f>
        <v>4961900.34</v>
      </c>
      <c r="E98" s="342">
        <f t="shared" ca="1" si="151"/>
        <v>48875471.840000004</v>
      </c>
      <c r="F98" s="342">
        <f t="shared" ca="1" si="151"/>
        <v>89182758.430000007</v>
      </c>
      <c r="G98" s="342">
        <f t="shared" ca="1" si="151"/>
        <v>129056171.66</v>
      </c>
      <c r="H98" s="342">
        <f t="shared" ca="1" si="151"/>
        <v>166666301.39076662</v>
      </c>
      <c r="I98" s="342">
        <f t="shared" ca="1" si="151"/>
        <v>176671921.30415529</v>
      </c>
      <c r="J98" s="342">
        <f t="shared" ca="1" si="151"/>
        <v>186463513.12703675</v>
      </c>
      <c r="K98" s="342">
        <f t="shared" ca="1" si="151"/>
        <v>190322449.44229734</v>
      </c>
      <c r="L98" s="342">
        <f t="shared" ca="1" si="151"/>
        <v>192161640.86169973</v>
      </c>
      <c r="M98" s="342">
        <f t="shared" ca="1" si="151"/>
        <v>193487356.96226302</v>
      </c>
      <c r="N98" s="342">
        <f t="shared" ca="1" si="151"/>
        <v>194269755.51449654</v>
      </c>
      <c r="O98" s="342">
        <f t="shared" ca="1" si="151"/>
        <v>194464895.92632106</v>
      </c>
      <c r="P98" s="342">
        <f t="shared" ca="1" si="151"/>
        <v>189446950.51238897</v>
      </c>
      <c r="Q98" s="342">
        <f t="shared" ca="1" si="151"/>
        <v>183661510.39240444</v>
      </c>
      <c r="R98" s="342">
        <f t="shared" ca="1" si="151"/>
        <v>177067933.42430556</v>
      </c>
      <c r="S98" s="342">
        <f t="shared" ca="1" si="151"/>
        <v>169612894.65957034</v>
      </c>
      <c r="T98" s="342">
        <f t="shared" ca="1" si="151"/>
        <v>158317652.11358625</v>
      </c>
      <c r="U98" s="342">
        <f t="shared" ca="1" si="151"/>
        <v>146142510.17326999</v>
      </c>
      <c r="V98" s="342">
        <f t="shared" ca="1" si="151"/>
        <v>133018924.67580308</v>
      </c>
      <c r="W98" s="342">
        <f t="shared" ca="1" si="151"/>
        <v>118873011.86808352</v>
      </c>
      <c r="X98" s="342">
        <f t="shared" ca="1" si="151"/>
        <v>103625132.45264259</v>
      </c>
      <c r="Y98" s="342">
        <f t="shared" ca="1" si="151"/>
        <v>87189443.230738819</v>
      </c>
      <c r="Z98" s="342">
        <f t="shared" ca="1" si="151"/>
        <v>69473413.818448752</v>
      </c>
      <c r="AA98" s="342">
        <f t="shared" ca="1" si="151"/>
        <v>50377305.714941271</v>
      </c>
      <c r="AB98" s="342">
        <f t="shared" ca="1" si="151"/>
        <v>42733522.085587323</v>
      </c>
      <c r="AC98" s="342">
        <f t="shared" ca="1" si="151"/>
        <v>34494287.711506687</v>
      </c>
      <c r="AD98" s="342">
        <f t="shared" ca="1" si="151"/>
        <v>25613216.97968518</v>
      </c>
      <c r="AE98" s="342">
        <f t="shared" ca="1" si="151"/>
        <v>16040310.837854777</v>
      </c>
      <c r="AF98" s="342">
        <f t="shared" ca="1" si="151"/>
        <v>13164658.010691781</v>
      </c>
      <c r="AG98" s="342">
        <f t="shared" ca="1" si="151"/>
        <v>10064991.828292787</v>
      </c>
      <c r="AH98" s="342">
        <f t="shared" ca="1" si="151"/>
        <v>6723861.6502849134</v>
      </c>
      <c r="AI98" s="343">
        <f t="shared" ca="1" si="151"/>
        <v>3122457.431410227</v>
      </c>
      <c r="AJ98" s="343">
        <f t="shared" ref="AJ98:AL98" ca="1" si="152">AJ37+AJ45+AJ53+AJ61+AJ69+AJ77+AJ85</f>
        <v>2158667.1117774579</v>
      </c>
      <c r="AK98" s="343">
        <f t="shared" ca="1" si="152"/>
        <v>1119797.5262452955</v>
      </c>
      <c r="AL98" s="343">
        <f t="shared" ca="1" si="152"/>
        <v>1.7784903298346095E-7</v>
      </c>
    </row>
    <row r="99" spans="2:45" x14ac:dyDescent="0.25">
      <c r="B99" s="1110"/>
      <c r="C99" s="20" t="s">
        <v>176</v>
      </c>
      <c r="D99" s="342">
        <f t="shared" ref="D99:AI99" ca="1" si="153">D38+D46+D54+D62+D70+D78+D86</f>
        <v>52596.143603999997</v>
      </c>
      <c r="E99" s="342">
        <f t="shared" ca="1" si="153"/>
        <v>518080.00150400004</v>
      </c>
      <c r="F99" s="342">
        <f t="shared" ca="1" si="153"/>
        <v>945337.23935800011</v>
      </c>
      <c r="G99" s="342">
        <f t="shared" ca="1" si="153"/>
        <v>1367995.4195959999</v>
      </c>
      <c r="H99" s="342">
        <f t="shared" ca="1" si="153"/>
        <v>1797259.0112870154</v>
      </c>
      <c r="I99" s="342">
        <f t="shared" ca="1" si="153"/>
        <v>1905702.027637782</v>
      </c>
      <c r="J99" s="342">
        <f t="shared" ca="1" si="153"/>
        <v>2012062.0166156152</v>
      </c>
      <c r="K99" s="342">
        <f t="shared" ca="1" si="153"/>
        <v>2055735.9913222147</v>
      </c>
      <c r="L99" s="342">
        <f t="shared" ca="1" si="153"/>
        <v>2095815.2101159818</v>
      </c>
      <c r="M99" s="342">
        <f t="shared" ca="1" si="153"/>
        <v>2114456.2523248475</v>
      </c>
      <c r="N99" s="342">
        <f t="shared" ca="1" si="153"/>
        <v>2127695.5688966094</v>
      </c>
      <c r="O99" s="342">
        <f t="shared" ca="1" si="153"/>
        <v>2135095.2341604549</v>
      </c>
      <c r="P99" s="342">
        <f t="shared" ca="1" si="153"/>
        <v>2094551.4395052278</v>
      </c>
      <c r="Q99" s="342">
        <f t="shared" ca="1" si="153"/>
        <v>2039957.4064547489</v>
      </c>
      <c r="R99" s="342">
        <f t="shared" ca="1" si="153"/>
        <v>1977321.5169643012</v>
      </c>
      <c r="S99" s="342">
        <f t="shared" ca="1" si="153"/>
        <v>1906119.3768838418</v>
      </c>
      <c r="T99" s="342">
        <f t="shared" ca="1" si="153"/>
        <v>1797896.6833914458</v>
      </c>
      <c r="U99" s="342">
        <f t="shared" ca="1" si="153"/>
        <v>1678167.1124040144</v>
      </c>
      <c r="V99" s="342">
        <f t="shared" ca="1" si="153"/>
        <v>1549110.6078366619</v>
      </c>
      <c r="W99" s="342">
        <f t="shared" ca="1" si="153"/>
        <v>1410000.6015635128</v>
      </c>
      <c r="X99" s="342">
        <f t="shared" ca="1" si="153"/>
        <v>1260053.9258016851</v>
      </c>
      <c r="Y99" s="342">
        <f t="shared" ca="1" si="153"/>
        <v>1098426.4039980115</v>
      </c>
      <c r="Z99" s="342">
        <f t="shared" ca="1" si="153"/>
        <v>924208.09824583144</v>
      </c>
      <c r="AA99" s="342">
        <f t="shared" ca="1" si="153"/>
        <v>736418.18647555669</v>
      </c>
      <c r="AB99" s="342">
        <f t="shared" ca="1" si="153"/>
        <v>533999.44057837757</v>
      </c>
      <c r="AC99" s="342">
        <f t="shared" ca="1" si="153"/>
        <v>452975.33410722559</v>
      </c>
      <c r="AD99" s="342">
        <f t="shared" ca="1" si="153"/>
        <v>365639.44974197092</v>
      </c>
      <c r="AE99" s="342">
        <f t="shared" ca="1" si="153"/>
        <v>271500.09998466296</v>
      </c>
      <c r="AF99" s="342">
        <f t="shared" ca="1" si="153"/>
        <v>170027.2948812606</v>
      </c>
      <c r="AG99" s="342">
        <f t="shared" ca="1" si="153"/>
        <v>139545.37491333287</v>
      </c>
      <c r="AH99" s="342">
        <f t="shared" ca="1" si="153"/>
        <v>106688.91337990356</v>
      </c>
      <c r="AI99" s="343">
        <f t="shared" ca="1" si="153"/>
        <v>71272.933493020071</v>
      </c>
      <c r="AJ99" s="343">
        <f t="shared" ref="AJ99:AL99" ca="1" si="154">AJ38+AJ46+AJ54+AJ62+AJ70+AJ78+AJ86</f>
        <v>33098.048772948408</v>
      </c>
      <c r="AK99" s="343">
        <f t="shared" ca="1" si="154"/>
        <v>22881.871384841052</v>
      </c>
      <c r="AL99" s="343">
        <f t="shared" ca="1" si="154"/>
        <v>11869.853778200133</v>
      </c>
    </row>
    <row r="100" spans="2:45" x14ac:dyDescent="0.25">
      <c r="B100" s="1110"/>
      <c r="C100" s="20" t="s">
        <v>175</v>
      </c>
      <c r="D100" s="342">
        <f t="shared" ref="D100:AI100" ca="1" si="155">D39+D47+D55+D63+D71+D79+D87</f>
        <v>74428.505099999995</v>
      </c>
      <c r="E100" s="342">
        <f t="shared" ca="1" si="155"/>
        <v>733132.07760000008</v>
      </c>
      <c r="F100" s="342">
        <f t="shared" ca="1" si="155"/>
        <v>1337741.3764500001</v>
      </c>
      <c r="G100" s="342">
        <f t="shared" ca="1" si="155"/>
        <v>1935842.5748999999</v>
      </c>
      <c r="H100" s="342">
        <f t="shared" ca="1" si="155"/>
        <v>2543291.0537080406</v>
      </c>
      <c r="I100" s="342">
        <f t="shared" ca="1" si="155"/>
        <v>2696748.1523176157</v>
      </c>
      <c r="J100" s="342">
        <f t="shared" ca="1" si="155"/>
        <v>2847257.5706824744</v>
      </c>
      <c r="K100" s="342">
        <f t="shared" ca="1" si="155"/>
        <v>2909060.3650786057</v>
      </c>
      <c r="L100" s="342">
        <f t="shared" ca="1" si="155"/>
        <v>2965776.2407301627</v>
      </c>
      <c r="M100" s="342">
        <f t="shared" ca="1" si="155"/>
        <v>2992155.0740445955</v>
      </c>
      <c r="N100" s="342">
        <f t="shared" ca="1" si="155"/>
        <v>3010889.9559857678</v>
      </c>
      <c r="O100" s="342">
        <f t="shared" ca="1" si="155"/>
        <v>3021361.1804157374</v>
      </c>
      <c r="P100" s="342">
        <f t="shared" ca="1" si="155"/>
        <v>2963987.8860923029</v>
      </c>
      <c r="Q100" s="342">
        <f t="shared" ca="1" si="155"/>
        <v>2886732.1789453989</v>
      </c>
      <c r="R100" s="342">
        <f t="shared" ca="1" si="155"/>
        <v>2798096.4862702377</v>
      </c>
      <c r="S100" s="342">
        <f t="shared" ca="1" si="155"/>
        <v>2697338.740873361</v>
      </c>
      <c r="T100" s="342">
        <f t="shared" ca="1" si="155"/>
        <v>2544193.4198935553</v>
      </c>
      <c r="U100" s="342">
        <f t="shared" ca="1" si="155"/>
        <v>2374764.7817037934</v>
      </c>
      <c r="V100" s="342">
        <f t="shared" ca="1" si="155"/>
        <v>2192137.6525990497</v>
      </c>
      <c r="W100" s="342">
        <f t="shared" ca="1" si="155"/>
        <v>1995283.8701370461</v>
      </c>
      <c r="X100" s="342">
        <f t="shared" ca="1" si="155"/>
        <v>1783095.1780212526</v>
      </c>
      <c r="Y100" s="342">
        <f t="shared" ca="1" si="155"/>
        <v>1554376.9867896389</v>
      </c>
      <c r="Z100" s="342">
        <f t="shared" ca="1" si="155"/>
        <v>1307841.648461082</v>
      </c>
      <c r="AA100" s="342">
        <f t="shared" ca="1" si="155"/>
        <v>1042101.207276731</v>
      </c>
      <c r="AB100" s="342">
        <f t="shared" ca="1" si="155"/>
        <v>755659.5857241191</v>
      </c>
      <c r="AC100" s="342">
        <f t="shared" ca="1" si="155"/>
        <v>641002.83128380973</v>
      </c>
      <c r="AD100" s="342">
        <f t="shared" ca="1" si="155"/>
        <v>517414.31567260029</v>
      </c>
      <c r="AE100" s="342">
        <f t="shared" ca="1" si="155"/>
        <v>384198.25469527766</v>
      </c>
      <c r="AF100" s="342">
        <f t="shared" ca="1" si="155"/>
        <v>240604.66256782165</v>
      </c>
      <c r="AG100" s="342">
        <f t="shared" ca="1" si="155"/>
        <v>197469.87016037671</v>
      </c>
      <c r="AH100" s="342">
        <f t="shared" ca="1" si="155"/>
        <v>150974.8774243918</v>
      </c>
      <c r="AI100" s="343">
        <f t="shared" ca="1" si="155"/>
        <v>100857.9247542737</v>
      </c>
      <c r="AJ100" s="343">
        <f t="shared" ref="AJ100:AL100" ca="1" si="156">AJ39+AJ47+AJ55+AJ63+AJ71+AJ79+AJ87</f>
        <v>46836.861471153403</v>
      </c>
      <c r="AK100" s="343">
        <f t="shared" ca="1" si="156"/>
        <v>32380.006676661862</v>
      </c>
      <c r="AL100" s="343">
        <f t="shared" ca="1" si="156"/>
        <v>16796.962893679432</v>
      </c>
    </row>
    <row r="101" spans="2:45" x14ac:dyDescent="0.25">
      <c r="B101" s="1110"/>
      <c r="C101" s="20" t="s">
        <v>174</v>
      </c>
      <c r="D101" s="342">
        <f t="shared" ref="D101:AI101" ca="1" si="157">D40+D48+D56+D64+D72+D80+D88</f>
        <v>259507.38778199998</v>
      </c>
      <c r="E101" s="342">
        <f t="shared" ca="1" si="157"/>
        <v>2556187.177232</v>
      </c>
      <c r="F101" s="342">
        <f t="shared" ca="1" si="157"/>
        <v>4664258.2658890001</v>
      </c>
      <c r="G101" s="342">
        <f t="shared" ca="1" si="157"/>
        <v>6749637.7778179999</v>
      </c>
      <c r="H101" s="342">
        <f t="shared" ca="1" si="157"/>
        <v>8867608.140595369</v>
      </c>
      <c r="I101" s="342">
        <f t="shared" ca="1" si="157"/>
        <v>9402661.8910807539</v>
      </c>
      <c r="J101" s="342">
        <f t="shared" ca="1" si="157"/>
        <v>9927438.0631128959</v>
      </c>
      <c r="K101" s="342">
        <f t="shared" ca="1" si="157"/>
        <v>10142923.806240739</v>
      </c>
      <c r="L101" s="342">
        <f t="shared" ca="1" si="157"/>
        <v>10340673.159345834</v>
      </c>
      <c r="M101" s="342">
        <f t="shared" ca="1" si="157"/>
        <v>10432647.358168824</v>
      </c>
      <c r="N101" s="342">
        <f t="shared" ca="1" si="157"/>
        <v>10497969.646537043</v>
      </c>
      <c r="O101" s="342">
        <f t="shared" ca="1" si="157"/>
        <v>10534479.315716205</v>
      </c>
      <c r="P101" s="342">
        <f t="shared" ca="1" si="157"/>
        <v>10334437.76284183</v>
      </c>
      <c r="Q101" s="342">
        <f t="shared" ca="1" si="157"/>
        <v>10065072.863922959</v>
      </c>
      <c r="R101" s="342">
        <f t="shared" ca="1" si="157"/>
        <v>9756029.7487955634</v>
      </c>
      <c r="S101" s="342">
        <f t="shared" ca="1" si="157"/>
        <v>9404721.0765117854</v>
      </c>
      <c r="T101" s="342">
        <f t="shared" ca="1" si="157"/>
        <v>8870754.3906955291</v>
      </c>
      <c r="U101" s="342">
        <f t="shared" ca="1" si="157"/>
        <v>8280013.2055405611</v>
      </c>
      <c r="V101" s="342">
        <f t="shared" ca="1" si="157"/>
        <v>7643253.2820620192</v>
      </c>
      <c r="W101" s="342">
        <f t="shared" ca="1" si="157"/>
        <v>6956889.7605445012</v>
      </c>
      <c r="X101" s="342">
        <f t="shared" ca="1" si="157"/>
        <v>6217058.5207007676</v>
      </c>
      <c r="Y101" s="342">
        <f t="shared" ca="1" si="157"/>
        <v>5419594.4272732073</v>
      </c>
      <c r="Z101" s="342">
        <f t="shared" ca="1" si="157"/>
        <v>4560007.8809676403</v>
      </c>
      <c r="AA101" s="342">
        <f t="shared" ca="1" si="157"/>
        <v>3633459.5427048695</v>
      </c>
      <c r="AB101" s="342">
        <f t="shared" ca="1" si="157"/>
        <v>2634733.0888914289</v>
      </c>
      <c r="AC101" s="342">
        <f t="shared" ca="1" si="157"/>
        <v>2234963.2050762172</v>
      </c>
      <c r="AD101" s="342">
        <f t="shared" ca="1" si="157"/>
        <v>1804051.2473117998</v>
      </c>
      <c r="AE101" s="342">
        <f t="shared" ca="1" si="157"/>
        <v>1339571.248037535</v>
      </c>
      <c r="AF101" s="342">
        <f t="shared" ca="1" si="157"/>
        <v>838908.25681980478</v>
      </c>
      <c r="AG101" s="342">
        <f t="shared" ca="1" si="157"/>
        <v>688511.61395918019</v>
      </c>
      <c r="AH101" s="342">
        <f t="shared" ca="1" si="157"/>
        <v>526399.0726197128</v>
      </c>
      <c r="AI101" s="343">
        <f t="shared" ca="1" si="157"/>
        <v>351657.964309901</v>
      </c>
      <c r="AJ101" s="343">
        <f t="shared" ref="AJ101:AL101" ca="1" si="158">AJ40+AJ48+AJ56+AJ64+AJ72+AJ80+AJ88</f>
        <v>163304.52366275486</v>
      </c>
      <c r="AK101" s="343">
        <f t="shared" ca="1" si="158"/>
        <v>112898.28994596103</v>
      </c>
      <c r="AL101" s="343">
        <f t="shared" ca="1" si="158"/>
        <v>58565.410622628951</v>
      </c>
    </row>
    <row r="102" spans="2:45" ht="12.6" thickBot="1" x14ac:dyDescent="0.3">
      <c r="B102" s="1110"/>
      <c r="C102" s="47" t="s">
        <v>173</v>
      </c>
      <c r="D102" s="344">
        <f t="shared" ref="D102:AI102" si="159">D41+D49+D57+D65+D73+D81+D89</f>
        <v>0</v>
      </c>
      <c r="E102" s="344">
        <f t="shared" si="159"/>
        <v>0</v>
      </c>
      <c r="F102" s="344">
        <f t="shared" si="159"/>
        <v>0</v>
      </c>
      <c r="G102" s="344">
        <f t="shared" si="159"/>
        <v>0</v>
      </c>
      <c r="H102" s="344">
        <f t="shared" ca="1" si="159"/>
        <v>2886435.523102751</v>
      </c>
      <c r="I102" s="344">
        <f t="shared" ca="1" si="159"/>
        <v>3111288.850352454</v>
      </c>
      <c r="J102" s="344">
        <f t="shared" ca="1" si="159"/>
        <v>3353658.2517949091</v>
      </c>
      <c r="K102" s="344">
        <f t="shared" ca="1" si="159"/>
        <v>3614908.2296097325</v>
      </c>
      <c r="L102" s="344">
        <f t="shared" ca="1" si="159"/>
        <v>5556775.1869777869</v>
      </c>
      <c r="M102" s="344">
        <f t="shared" ca="1" si="159"/>
        <v>5989647.9740433563</v>
      </c>
      <c r="N102" s="344">
        <f t="shared" ca="1" si="159"/>
        <v>6456241.5512213325</v>
      </c>
      <c r="O102" s="344">
        <f t="shared" ca="1" si="159"/>
        <v>6959182.7680614758</v>
      </c>
      <c r="P102" s="344">
        <f t="shared" ca="1" si="159"/>
        <v>8152241.8937645946</v>
      </c>
      <c r="Q102" s="344">
        <f t="shared" ca="1" si="159"/>
        <v>8787301.5372888558</v>
      </c>
      <c r="R102" s="344">
        <f t="shared" ca="1" si="159"/>
        <v>9471832.3270436618</v>
      </c>
      <c r="S102" s="344">
        <f t="shared" ca="1" si="159"/>
        <v>10209688.06532036</v>
      </c>
      <c r="T102" s="344">
        <f t="shared" ca="1" si="159"/>
        <v>11295242.545984102</v>
      </c>
      <c r="U102" s="344">
        <f t="shared" ca="1" si="159"/>
        <v>12175141.940316264</v>
      </c>
      <c r="V102" s="344">
        <f t="shared" ca="1" si="159"/>
        <v>13123585.497466901</v>
      </c>
      <c r="W102" s="344">
        <f t="shared" ca="1" si="159"/>
        <v>14145912.807719572</v>
      </c>
      <c r="X102" s="344">
        <f t="shared" ca="1" si="159"/>
        <v>15247879.415440924</v>
      </c>
      <c r="Y102" s="344">
        <f t="shared" ca="1" si="159"/>
        <v>16435689.221903773</v>
      </c>
      <c r="Z102" s="344">
        <f t="shared" ca="1" si="159"/>
        <v>17716029.412290078</v>
      </c>
      <c r="AA102" s="344">
        <f t="shared" ca="1" si="159"/>
        <v>19096108.103507474</v>
      </c>
      <c r="AB102" s="344">
        <f t="shared" ca="1" si="159"/>
        <v>7643783.6293539563</v>
      </c>
      <c r="AC102" s="344">
        <f t="shared" ca="1" si="159"/>
        <v>8239234.3740806282</v>
      </c>
      <c r="AD102" s="344">
        <f t="shared" ca="1" si="159"/>
        <v>8881070.7318215109</v>
      </c>
      <c r="AE102" s="344">
        <f t="shared" ca="1" si="159"/>
        <v>9572906.1418304052</v>
      </c>
      <c r="AF102" s="345">
        <f t="shared" ca="1" si="159"/>
        <v>2875652.8271629955</v>
      </c>
      <c r="AG102" s="345">
        <f t="shared" ca="1" si="159"/>
        <v>3099666.1823989926</v>
      </c>
      <c r="AH102" s="345">
        <f t="shared" ca="1" si="159"/>
        <v>3341130.1780078746</v>
      </c>
      <c r="AI102" s="346">
        <f t="shared" ca="1" si="159"/>
        <v>3601404.2188746878</v>
      </c>
      <c r="AJ102" s="346">
        <f t="shared" ref="AJ102:AL102" ca="1" si="160">AJ41+AJ49+AJ57+AJ65+AJ73+AJ81+AJ89</f>
        <v>963790.31963276968</v>
      </c>
      <c r="AK102" s="346">
        <f t="shared" ca="1" si="160"/>
        <v>1038869.5855321623</v>
      </c>
      <c r="AL102" s="346">
        <f t="shared" ca="1" si="160"/>
        <v>1119797.5262451177</v>
      </c>
    </row>
    <row r="103" spans="2:45" ht="12.6" thickBot="1" x14ac:dyDescent="0.3">
      <c r="B103" s="1111"/>
      <c r="C103" s="347" t="s">
        <v>172</v>
      </c>
      <c r="D103" s="348">
        <f t="shared" ref="D103:AI103" ca="1" si="161">D99+D100+D101+D102</f>
        <v>386532.03648599994</v>
      </c>
      <c r="E103" s="348">
        <f t="shared" ca="1" si="161"/>
        <v>3807399.2563360003</v>
      </c>
      <c r="F103" s="348">
        <f t="shared" ca="1" si="161"/>
        <v>6947336.8816970009</v>
      </c>
      <c r="G103" s="348">
        <f t="shared" ca="1" si="161"/>
        <v>10053475.772314001</v>
      </c>
      <c r="H103" s="348">
        <f t="shared" ca="1" si="161"/>
        <v>16094593.728693176</v>
      </c>
      <c r="I103" s="348">
        <f t="shared" ca="1" si="161"/>
        <v>17116400.921388607</v>
      </c>
      <c r="J103" s="348">
        <f t="shared" ca="1" si="161"/>
        <v>18140415.902205896</v>
      </c>
      <c r="K103" s="348">
        <f t="shared" ca="1" si="161"/>
        <v>18722628.39225129</v>
      </c>
      <c r="L103" s="348">
        <f t="shared" ca="1" si="161"/>
        <v>20959039.797169767</v>
      </c>
      <c r="M103" s="348">
        <f t="shared" ca="1" si="161"/>
        <v>21528906.658581622</v>
      </c>
      <c r="N103" s="348">
        <f t="shared" ca="1" si="161"/>
        <v>22092796.722640753</v>
      </c>
      <c r="O103" s="348">
        <f t="shared" ca="1" si="161"/>
        <v>22650118.498353876</v>
      </c>
      <c r="P103" s="348">
        <f t="shared" ca="1" si="161"/>
        <v>23545218.982203953</v>
      </c>
      <c r="Q103" s="348">
        <f t="shared" ca="1" si="161"/>
        <v>23779063.986611962</v>
      </c>
      <c r="R103" s="348">
        <f t="shared" ca="1" si="161"/>
        <v>24003280.079073764</v>
      </c>
      <c r="S103" s="348">
        <f t="shared" ca="1" si="161"/>
        <v>24217867.259589348</v>
      </c>
      <c r="T103" s="348">
        <f t="shared" ca="1" si="161"/>
        <v>24508087.039964631</v>
      </c>
      <c r="U103" s="348">
        <f t="shared" ca="1" si="161"/>
        <v>24508087.039964631</v>
      </c>
      <c r="V103" s="348">
        <f t="shared" ca="1" si="161"/>
        <v>24508087.039964631</v>
      </c>
      <c r="W103" s="348">
        <f t="shared" ca="1" si="161"/>
        <v>24508087.039964631</v>
      </c>
      <c r="X103" s="348">
        <f t="shared" ca="1" si="161"/>
        <v>24508087.039964631</v>
      </c>
      <c r="Y103" s="348">
        <f t="shared" ca="1" si="161"/>
        <v>24508087.039964631</v>
      </c>
      <c r="Z103" s="348">
        <f t="shared" ca="1" si="161"/>
        <v>24508087.039964631</v>
      </c>
      <c r="AA103" s="348">
        <f t="shared" ca="1" si="161"/>
        <v>24508087.039964631</v>
      </c>
      <c r="AB103" s="348">
        <f t="shared" ca="1" si="161"/>
        <v>11568175.744547881</v>
      </c>
      <c r="AC103" s="348">
        <f t="shared" ca="1" si="161"/>
        <v>11568175.744547881</v>
      </c>
      <c r="AD103" s="348">
        <f t="shared" ca="1" si="161"/>
        <v>11568175.744547881</v>
      </c>
      <c r="AE103" s="348">
        <f t="shared" ca="1" si="161"/>
        <v>11568175.744547881</v>
      </c>
      <c r="AF103" s="348">
        <f t="shared" ca="1" si="161"/>
        <v>4125193.0414318824</v>
      </c>
      <c r="AG103" s="348">
        <f t="shared" ca="1" si="161"/>
        <v>4125193.0414318824</v>
      </c>
      <c r="AH103" s="348">
        <f t="shared" ca="1" si="161"/>
        <v>4125193.0414318829</v>
      </c>
      <c r="AI103" s="348">
        <f t="shared" ca="1" si="161"/>
        <v>4125193.0414318824</v>
      </c>
      <c r="AJ103" s="348">
        <f t="shared" ref="AJ103:AL103" ca="1" si="162">AJ99+AJ100+AJ101+AJ102</f>
        <v>1207029.7535396263</v>
      </c>
      <c r="AK103" s="348">
        <f t="shared" ca="1" si="162"/>
        <v>1207029.7535396263</v>
      </c>
      <c r="AL103" s="348">
        <f t="shared" ca="1" si="162"/>
        <v>1207029.7535396263</v>
      </c>
    </row>
    <row r="104" spans="2:45" ht="14.4" x14ac:dyDescent="0.3">
      <c r="B104" s="46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</row>
    <row r="105" spans="2:45" ht="14.4" x14ac:dyDescent="0.3"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</row>
    <row r="106" spans="2:45" ht="14.4" x14ac:dyDescent="0.3"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</row>
    <row r="107" spans="2:45" ht="14.4" x14ac:dyDescent="0.3"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</row>
    <row r="108" spans="2:45" ht="14.4" x14ac:dyDescent="0.3"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</row>
    <row r="109" spans="2:45" ht="14.4" x14ac:dyDescent="0.3"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</row>
    <row r="110" spans="2:45" ht="14.4" x14ac:dyDescent="0.3"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</row>
    <row r="111" spans="2:45" ht="14.4" x14ac:dyDescent="0.3"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</row>
    <row r="112" spans="2:45" ht="14.4" x14ac:dyDescent="0.3"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</row>
    <row r="113" spans="3:45" ht="14.4" x14ac:dyDescent="0.3"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</row>
    <row r="114" spans="3:45" ht="14.4" x14ac:dyDescent="0.3"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</row>
    <row r="115" spans="3:45" ht="14.4" x14ac:dyDescent="0.3"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</row>
    <row r="116" spans="3:45" ht="14.4" x14ac:dyDescent="0.3"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</row>
    <row r="117" spans="3:45" ht="14.4" x14ac:dyDescent="0.3"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</row>
    <row r="118" spans="3:45" ht="14.4" x14ac:dyDescent="0.3"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</row>
    <row r="119" spans="3:45" ht="14.4" x14ac:dyDescent="0.3"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</row>
    <row r="120" spans="3:45" ht="14.4" x14ac:dyDescent="0.3"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</row>
    <row r="121" spans="3:45" ht="14.4" x14ac:dyDescent="0.3"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</row>
    <row r="122" spans="3:45" ht="14.4" x14ac:dyDescent="0.3"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</row>
    <row r="123" spans="3:45" ht="14.4" x14ac:dyDescent="0.3"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</row>
    <row r="124" spans="3:45" ht="14.4" x14ac:dyDescent="0.3"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</row>
    <row r="125" spans="3:45" ht="14.4" x14ac:dyDescent="0.3"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</row>
    <row r="126" spans="3:45" ht="14.4" x14ac:dyDescent="0.3"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</row>
    <row r="127" spans="3:45" ht="14.4" x14ac:dyDescent="0.3"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</row>
    <row r="128" spans="3:45" ht="14.4" x14ac:dyDescent="0.3"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</row>
    <row r="129" spans="3:45" ht="14.4" x14ac:dyDescent="0.3"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</row>
    <row r="130" spans="3:45" ht="14.4" x14ac:dyDescent="0.3"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</row>
    <row r="131" spans="3:45" ht="14.4" x14ac:dyDescent="0.3"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</row>
    <row r="132" spans="3:45" ht="14.4" x14ac:dyDescent="0.3"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</row>
    <row r="133" spans="3:45" ht="14.4" x14ac:dyDescent="0.3"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</row>
    <row r="134" spans="3:45" ht="14.4" x14ac:dyDescent="0.3"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</row>
    <row r="135" spans="3:45" ht="14.4" x14ac:dyDescent="0.3"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</row>
    <row r="136" spans="3:45" ht="14.4" x14ac:dyDescent="0.3"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</row>
    <row r="137" spans="3:45" ht="14.4" x14ac:dyDescent="0.3"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</row>
    <row r="138" spans="3:45" ht="14.4" x14ac:dyDescent="0.3"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</row>
    <row r="139" spans="3:45" ht="14.4" x14ac:dyDescent="0.3"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</row>
    <row r="140" spans="3:45" ht="14.4" x14ac:dyDescent="0.3"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</row>
    <row r="141" spans="3:45" ht="14.4" x14ac:dyDescent="0.3"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</row>
    <row r="142" spans="3:45" ht="14.4" x14ac:dyDescent="0.3"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</row>
    <row r="143" spans="3:45" ht="14.4" x14ac:dyDescent="0.3"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</row>
    <row r="144" spans="3:45" ht="14.4" x14ac:dyDescent="0.3"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</row>
    <row r="145" spans="3:45" ht="14.4" x14ac:dyDescent="0.3"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</row>
    <row r="146" spans="3:45" ht="14.4" x14ac:dyDescent="0.3"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</row>
    <row r="147" spans="3:45" ht="14.4" x14ac:dyDescent="0.3"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</row>
    <row r="148" spans="3:45" ht="14.4" x14ac:dyDescent="0.3"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</row>
    <row r="149" spans="3:45" ht="14.4" x14ac:dyDescent="0.3"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</row>
    <row r="150" spans="3:45" ht="14.4" x14ac:dyDescent="0.3"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</row>
    <row r="151" spans="3:45" ht="14.4" x14ac:dyDescent="0.3"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</row>
    <row r="152" spans="3:45" ht="14.4" x14ac:dyDescent="0.3"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</row>
    <row r="153" spans="3:45" ht="14.4" x14ac:dyDescent="0.3"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</row>
    <row r="154" spans="3:45" ht="14.4" x14ac:dyDescent="0.3"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</row>
    <row r="155" spans="3:45" ht="14.4" x14ac:dyDescent="0.3"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</row>
    <row r="156" spans="3:45" ht="14.4" x14ac:dyDescent="0.3"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</row>
    <row r="157" spans="3:45" ht="14.4" x14ac:dyDescent="0.3"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</row>
    <row r="158" spans="3:45" ht="14.4" x14ac:dyDescent="0.3"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</row>
    <row r="159" spans="3:45" ht="14.4" x14ac:dyDescent="0.3"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</row>
    <row r="160" spans="3:45" ht="14.4" x14ac:dyDescent="0.3"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</row>
    <row r="161" spans="3:45" ht="14.4" x14ac:dyDescent="0.3"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</row>
    <row r="162" spans="3:45" ht="14.4" x14ac:dyDescent="0.3"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</row>
    <row r="163" spans="3:45" ht="14.4" x14ac:dyDescent="0.3"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</row>
    <row r="164" spans="3:45" ht="14.4" x14ac:dyDescent="0.3"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</row>
    <row r="165" spans="3:45" ht="14.4" x14ac:dyDescent="0.3"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</row>
    <row r="166" spans="3:45" ht="14.4" x14ac:dyDescent="0.3"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</row>
    <row r="167" spans="3:45" ht="14.4" x14ac:dyDescent="0.3"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</row>
  </sheetData>
  <mergeCells count="72">
    <mergeCell ref="AJ17:AL17"/>
    <mergeCell ref="AJ21:AL21"/>
    <mergeCell ref="AJ22:AL22"/>
    <mergeCell ref="L15:O15"/>
    <mergeCell ref="P15:S15"/>
    <mergeCell ref="X17:AA17"/>
    <mergeCell ref="AB17:AE17"/>
    <mergeCell ref="T16:W16"/>
    <mergeCell ref="X16:AA16"/>
    <mergeCell ref="T17:W17"/>
    <mergeCell ref="AF15:AI15"/>
    <mergeCell ref="AB16:AE16"/>
    <mergeCell ref="AF16:AI16"/>
    <mergeCell ref="AB21:AE21"/>
    <mergeCell ref="X22:AA22"/>
    <mergeCell ref="AB22:AE22"/>
    <mergeCell ref="AJ13:AL13"/>
    <mergeCell ref="AJ14:AL14"/>
    <mergeCell ref="AJ15:AL15"/>
    <mergeCell ref="AJ16:AL16"/>
    <mergeCell ref="L14:O14"/>
    <mergeCell ref="P14:S14"/>
    <mergeCell ref="AF14:AI14"/>
    <mergeCell ref="T13:W13"/>
    <mergeCell ref="X13:AA13"/>
    <mergeCell ref="AB13:AE13"/>
    <mergeCell ref="B95:B103"/>
    <mergeCell ref="P16:S16"/>
    <mergeCell ref="D17:G17"/>
    <mergeCell ref="H17:K17"/>
    <mergeCell ref="L17:O17"/>
    <mergeCell ref="P17:S17"/>
    <mergeCell ref="B83:B90"/>
    <mergeCell ref="D21:G21"/>
    <mergeCell ref="H21:K21"/>
    <mergeCell ref="L21:O21"/>
    <mergeCell ref="B59:B66"/>
    <mergeCell ref="B67:B74"/>
    <mergeCell ref="D16:G16"/>
    <mergeCell ref="H16:K16"/>
    <mergeCell ref="L16:O16"/>
    <mergeCell ref="D13:G13"/>
    <mergeCell ref="H13:K13"/>
    <mergeCell ref="L13:O13"/>
    <mergeCell ref="P13:S13"/>
    <mergeCell ref="B75:B82"/>
    <mergeCell ref="H14:K14"/>
    <mergeCell ref="AF22:AI22"/>
    <mergeCell ref="B35:B42"/>
    <mergeCell ref="B43:B50"/>
    <mergeCell ref="B51:B58"/>
    <mergeCell ref="D22:G22"/>
    <mergeCell ref="H22:K22"/>
    <mergeCell ref="L22:O22"/>
    <mergeCell ref="P22:S22"/>
    <mergeCell ref="T22:W22"/>
    <mergeCell ref="T21:W21"/>
    <mergeCell ref="X21:AA21"/>
    <mergeCell ref="AF21:AI21"/>
    <mergeCell ref="AF17:AI17"/>
    <mergeCell ref="B5:C5"/>
    <mergeCell ref="P21:S21"/>
    <mergeCell ref="D15:G15"/>
    <mergeCell ref="H15:K15"/>
    <mergeCell ref="T14:W14"/>
    <mergeCell ref="X14:AA14"/>
    <mergeCell ref="AB14:AE14"/>
    <mergeCell ref="T15:W15"/>
    <mergeCell ref="X15:AA15"/>
    <mergeCell ref="AB15:AE15"/>
    <mergeCell ref="AF13:AI13"/>
    <mergeCell ref="D14:G14"/>
  </mergeCells>
  <dataValidations count="2">
    <dataValidation type="list" allowBlank="1" showInputMessage="1" showErrorMessage="1" sqref="D25:AL25" xr:uid="{00000000-0002-0000-0A00-000000000000}">
      <formula1>"ok,não"</formula1>
    </dataValidation>
    <dataValidation type="list" allowBlank="1" showInputMessage="1" showErrorMessage="1" sqref="C3:C4" xr:uid="{00000000-0002-0000-0A00-000001000000}">
      <formula1>"SIM,NÃO"</formula1>
    </dataValidation>
  </dataValidations>
  <pageMargins left="0.511811024" right="0.511811024" top="0.78740157499999996" bottom="0.78740157499999996" header="0.31496062000000002" footer="0.31496062000000002"/>
  <pageSetup paperSize="8" scale="34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58B46-4EA0-40FB-A2CD-C0C534FF2B2F}">
  <dimension ref="A1:AL18"/>
  <sheetViews>
    <sheetView showGridLines="0" workbookViewId="0">
      <selection activeCell="H21" sqref="H21"/>
    </sheetView>
  </sheetViews>
  <sheetFormatPr defaultRowHeight="14.4" x14ac:dyDescent="0.3"/>
  <cols>
    <col min="1" max="1" width="14.88671875" bestFit="1" customWidth="1"/>
    <col min="2" max="2" width="53.109375" bestFit="1" customWidth="1"/>
  </cols>
  <sheetData>
    <row r="1" spans="1:38" ht="15" thickBot="1" x14ac:dyDescent="0.35">
      <c r="A1" s="318" t="s">
        <v>522</v>
      </c>
    </row>
    <row r="2" spans="1:38" x14ac:dyDescent="0.3">
      <c r="A2" s="147" t="s">
        <v>528</v>
      </c>
      <c r="B2" s="587" t="s">
        <v>387</v>
      </c>
      <c r="C2" s="588">
        <v>1</v>
      </c>
      <c r="D2" s="588">
        <f t="shared" ref="D2:AK2" si="0">C2+1</f>
        <v>2</v>
      </c>
      <c r="E2" s="588">
        <f t="shared" si="0"/>
        <v>3</v>
      </c>
      <c r="F2" s="588">
        <f t="shared" si="0"/>
        <v>4</v>
      </c>
      <c r="G2" s="588">
        <f t="shared" si="0"/>
        <v>5</v>
      </c>
      <c r="H2" s="588">
        <f t="shared" si="0"/>
        <v>6</v>
      </c>
      <c r="I2" s="588">
        <f t="shared" si="0"/>
        <v>7</v>
      </c>
      <c r="J2" s="588">
        <f t="shared" si="0"/>
        <v>8</v>
      </c>
      <c r="K2" s="588">
        <f t="shared" si="0"/>
        <v>9</v>
      </c>
      <c r="L2" s="588">
        <f t="shared" si="0"/>
        <v>10</v>
      </c>
      <c r="M2" s="588">
        <f t="shared" si="0"/>
        <v>11</v>
      </c>
      <c r="N2" s="588">
        <f t="shared" si="0"/>
        <v>12</v>
      </c>
      <c r="O2" s="588">
        <f t="shared" si="0"/>
        <v>13</v>
      </c>
      <c r="P2" s="588">
        <f t="shared" si="0"/>
        <v>14</v>
      </c>
      <c r="Q2" s="588">
        <f t="shared" si="0"/>
        <v>15</v>
      </c>
      <c r="R2" s="588">
        <f t="shared" si="0"/>
        <v>16</v>
      </c>
      <c r="S2" s="588">
        <f t="shared" si="0"/>
        <v>17</v>
      </c>
      <c r="T2" s="588">
        <f t="shared" si="0"/>
        <v>18</v>
      </c>
      <c r="U2" s="588">
        <f t="shared" si="0"/>
        <v>19</v>
      </c>
      <c r="V2" s="588">
        <f t="shared" si="0"/>
        <v>20</v>
      </c>
      <c r="W2" s="588">
        <f t="shared" si="0"/>
        <v>21</v>
      </c>
      <c r="X2" s="588">
        <f t="shared" si="0"/>
        <v>22</v>
      </c>
      <c r="Y2" s="588">
        <f t="shared" si="0"/>
        <v>23</v>
      </c>
      <c r="Z2" s="588">
        <f t="shared" si="0"/>
        <v>24</v>
      </c>
      <c r="AA2" s="588">
        <f t="shared" si="0"/>
        <v>25</v>
      </c>
      <c r="AB2" s="588">
        <f t="shared" si="0"/>
        <v>26</v>
      </c>
      <c r="AC2" s="588">
        <f t="shared" si="0"/>
        <v>27</v>
      </c>
      <c r="AD2" s="588">
        <f t="shared" si="0"/>
        <v>28</v>
      </c>
      <c r="AE2" s="588">
        <f t="shared" si="0"/>
        <v>29</v>
      </c>
      <c r="AF2" s="588">
        <f t="shared" si="0"/>
        <v>30</v>
      </c>
      <c r="AG2" s="588">
        <f t="shared" si="0"/>
        <v>31</v>
      </c>
      <c r="AH2" s="588">
        <f t="shared" si="0"/>
        <v>32</v>
      </c>
      <c r="AI2" s="588">
        <f t="shared" si="0"/>
        <v>33</v>
      </c>
      <c r="AJ2" s="588">
        <f t="shared" si="0"/>
        <v>34</v>
      </c>
      <c r="AK2" s="588">
        <f t="shared" si="0"/>
        <v>35</v>
      </c>
      <c r="AL2" s="589" t="s">
        <v>316</v>
      </c>
    </row>
    <row r="3" spans="1:38" x14ac:dyDescent="0.3">
      <c r="A3" s="222" t="s">
        <v>524</v>
      </c>
      <c r="B3" s="590" t="str">
        <f>'FCD PROJETO'!B55</f>
        <v>2.2.1  - Custeio de mão de obra e encargos sociais</v>
      </c>
      <c r="C3" s="591">
        <f>('FCD PROJETO'!F55/'FCD PROJETO'!F$53)</f>
        <v>0.29311534967739683</v>
      </c>
      <c r="D3" s="591">
        <f>('FCD PROJETO'!G55/'FCD PROJETO'!G$53)</f>
        <v>0.28617167300549667</v>
      </c>
      <c r="E3" s="591">
        <f>('FCD PROJETO'!H55/'FCD PROJETO'!H$53)</f>
        <v>0.25986240905726005</v>
      </c>
      <c r="F3" s="591">
        <f>('FCD PROJETO'!I55/'FCD PROJETO'!I$53)</f>
        <v>0.2294781165835223</v>
      </c>
      <c r="G3" s="591">
        <f>('FCD PROJETO'!J55/'FCD PROJETO'!J$53)</f>
        <v>0.21561464979284906</v>
      </c>
      <c r="H3" s="591">
        <f>('FCD PROJETO'!K55/'FCD PROJETO'!K$53)</f>
        <v>0.20694360779404114</v>
      </c>
      <c r="I3" s="591">
        <f>('FCD PROJETO'!L55/'FCD PROJETO'!L$53)</f>
        <v>0.19758459036314932</v>
      </c>
      <c r="J3" s="591">
        <f>('FCD PROJETO'!M55/'FCD PROJETO'!M$53)</f>
        <v>0.20176943190229674</v>
      </c>
      <c r="K3" s="591">
        <f>('FCD PROJETO'!N55/'FCD PROJETO'!N$53)</f>
        <v>0.19882718041829042</v>
      </c>
      <c r="L3" s="591">
        <f>('FCD PROJETO'!O55/'FCD PROJETO'!O$53)</f>
        <v>0.18585939251862488</v>
      </c>
      <c r="M3" s="591">
        <f>('FCD PROJETO'!P55/'FCD PROJETO'!P$53)</f>
        <v>0.18771100599389196</v>
      </c>
      <c r="N3" s="591">
        <f>('FCD PROJETO'!Q55/'FCD PROJETO'!Q$53)</f>
        <v>0.18641806853539256</v>
      </c>
      <c r="O3" s="591">
        <f>('FCD PROJETO'!R55/'FCD PROJETO'!R$53)</f>
        <v>0.1900513415419956</v>
      </c>
      <c r="P3" s="591">
        <f>('FCD PROJETO'!S55/'FCD PROJETO'!S$53)</f>
        <v>0.18791684317441568</v>
      </c>
      <c r="Q3" s="591">
        <f>('FCD PROJETO'!T55/'FCD PROJETO'!T$53)</f>
        <v>0.18582813138540921</v>
      </c>
      <c r="R3" s="591">
        <f>('FCD PROJETO'!U55/'FCD PROJETO'!U$53)</f>
        <v>0.18888199873733943</v>
      </c>
      <c r="S3" s="591">
        <f>('FCD PROJETO'!V55/'FCD PROJETO'!V$53)</f>
        <v>0.20924730936022709</v>
      </c>
      <c r="T3" s="591">
        <f>('FCD PROJETO'!W55/'FCD PROJETO'!W$53)</f>
        <v>0.21075418520365422</v>
      </c>
      <c r="U3" s="591">
        <f>('FCD PROJETO'!X55/'FCD PROJETO'!X$53)</f>
        <v>0.2129631821152311</v>
      </c>
      <c r="V3" s="591">
        <f>('FCD PROJETO'!Y55/'FCD PROJETO'!Y$53)</f>
        <v>0.21088837477860067</v>
      </c>
      <c r="W3" s="591">
        <f>('FCD PROJETO'!Z55/'FCD PROJETO'!Z$53)</f>
        <v>0.21144661673108808</v>
      </c>
      <c r="X3" s="591">
        <f>('FCD PROJETO'!AA55/'FCD PROJETO'!AA$53)</f>
        <v>0.20942264593935894</v>
      </c>
      <c r="Y3" s="591">
        <f>('FCD PROJETO'!AB55/'FCD PROJETO'!AB$53)</f>
        <v>0.21248156651930888</v>
      </c>
      <c r="Z3" s="591">
        <f>('FCD PROJETO'!AC55/'FCD PROJETO'!AC$53)</f>
        <v>0.21046677021016091</v>
      </c>
      <c r="AA3" s="591">
        <f>('FCD PROJETO'!AD55/'FCD PROJETO'!AD$53)</f>
        <v>0.20889552841027562</v>
      </c>
      <c r="AB3" s="591">
        <f>('FCD PROJETO'!AE55/'FCD PROJETO'!AE$53)</f>
        <v>0.20840744073536011</v>
      </c>
      <c r="AC3" s="591">
        <f>('FCD PROJETO'!AF55/'FCD PROJETO'!AF$53)</f>
        <v>0.20590883082477768</v>
      </c>
      <c r="AD3" s="591">
        <f>('FCD PROJETO'!AG55/'FCD PROJETO'!AG$53)</f>
        <v>0.20648357725492938</v>
      </c>
      <c r="AE3" s="591">
        <f>('FCD PROJETO'!AH55/'FCD PROJETO'!AH$53)</f>
        <v>0.21168329572310041</v>
      </c>
      <c r="AF3" s="591">
        <f>('FCD PROJETO'!AI55/'FCD PROJETO'!AI$53)</f>
        <v>0.20971111241648763</v>
      </c>
      <c r="AG3" s="591">
        <f>('FCD PROJETO'!AJ55/'FCD PROJETO'!AJ$53)</f>
        <v>0.20775974564744989</v>
      </c>
      <c r="AH3" s="591">
        <f>('FCD PROJETO'!AK55/'FCD PROJETO'!AK$53)</f>
        <v>0.20584479993081856</v>
      </c>
      <c r="AI3" s="591">
        <f>('FCD PROJETO'!AL55/'FCD PROJETO'!AL$53)</f>
        <v>0.20393413279817194</v>
      </c>
      <c r="AJ3" s="591">
        <f>('FCD PROJETO'!AM55/'FCD PROJETO'!AM$53)</f>
        <v>0.20245107116013714</v>
      </c>
      <c r="AK3" s="591">
        <f>('FCD PROJETO'!AN55/'FCD PROJETO'!AN$53)</f>
        <v>0.20101953272052517</v>
      </c>
      <c r="AL3" s="592">
        <f>AVERAGE(C3:AK3)</f>
        <v>0.2103372431131724</v>
      </c>
    </row>
    <row r="4" spans="1:38" x14ac:dyDescent="0.3">
      <c r="B4" s="590" t="str">
        <f>'FCD PROJETO'!B56</f>
        <v>2.2.2   - Custeio de serviços e materiais p/ manut. de redes</v>
      </c>
      <c r="C4" s="591">
        <f>('FCD PROJETO'!F56/'FCD PROJETO'!F$53)</f>
        <v>8.6315231273056792E-2</v>
      </c>
      <c r="D4" s="591">
        <f>('FCD PROJETO'!G56/'FCD PROJETO'!G$53)</f>
        <v>8.6644797105800697E-2</v>
      </c>
      <c r="E4" s="591">
        <f>('FCD PROJETO'!H56/'FCD PROJETO'!H$53)</f>
        <v>0.12930056463646059</v>
      </c>
      <c r="F4" s="591">
        <f>('FCD PROJETO'!I56/'FCD PROJETO'!I$53)</f>
        <v>0.14406141415406518</v>
      </c>
      <c r="G4" s="591">
        <f>('FCD PROJETO'!J56/'FCD PROJETO'!J$53)</f>
        <v>0.16206728546887694</v>
      </c>
      <c r="H4" s="591">
        <f>('FCD PROJETO'!K56/'FCD PROJETO'!K$53)</f>
        <v>0.16167128518731197</v>
      </c>
      <c r="I4" s="591">
        <f>('FCD PROJETO'!L56/'FCD PROJETO'!L$53)</f>
        <v>0.16393743408325609</v>
      </c>
      <c r="J4" s="591">
        <f>('FCD PROJETO'!M56/'FCD PROJETO'!M$53)</f>
        <v>0.16680669635407541</v>
      </c>
      <c r="K4" s="591">
        <f>('FCD PROJETO'!N56/'FCD PROJETO'!N$53)</f>
        <v>0.16849060108844577</v>
      </c>
      <c r="L4" s="591">
        <f>('FCD PROJETO'!O56/'FCD PROJETO'!O$53)</f>
        <v>0.16520703638817355</v>
      </c>
      <c r="M4" s="591">
        <f>('FCD PROJETO'!P56/'FCD PROJETO'!P$53)</f>
        <v>0.17490306123710878</v>
      </c>
      <c r="N4" s="591">
        <f>('FCD PROJETO'!Q56/'FCD PROJETO'!Q$53)</f>
        <v>0.1819835996926176</v>
      </c>
      <c r="O4" s="591">
        <f>('FCD PROJETO'!R56/'FCD PROJETO'!R$53)</f>
        <v>0.18754854503617197</v>
      </c>
      <c r="P4" s="591">
        <f>('FCD PROJETO'!S56/'FCD PROJETO'!S$53)</f>
        <v>0.19153058853052396</v>
      </c>
      <c r="Q4" s="591">
        <f>('FCD PROJETO'!T56/'FCD PROJETO'!T$53)</f>
        <v>0.1955346820552771</v>
      </c>
      <c r="R4" s="591">
        <f>('FCD PROJETO'!U56/'FCD PROJETO'!U$53)</f>
        <v>0.20509618064302312</v>
      </c>
      <c r="S4" s="591">
        <f>('FCD PROJETO'!V56/'FCD PROJETO'!V$53)</f>
        <v>0.20271500921734162</v>
      </c>
      <c r="T4" s="591">
        <f>('FCD PROJETO'!W56/'FCD PROJETO'!W$53)</f>
        <v>0.21051452597689535</v>
      </c>
      <c r="U4" s="591">
        <f>('FCD PROJETO'!X56/'FCD PROJETO'!X$53)</f>
        <v>0.21344652253445021</v>
      </c>
      <c r="V4" s="591">
        <f>('FCD PROJETO'!Y56/'FCD PROJETO'!Y$53)</f>
        <v>0.21776040152535966</v>
      </c>
      <c r="W4" s="591">
        <f>('FCD PROJETO'!Z56/'FCD PROJETO'!Z$53)</f>
        <v>0.22483736946863392</v>
      </c>
      <c r="X4" s="591">
        <f>('FCD PROJETO'!AA56/'FCD PROJETO'!AA$53)</f>
        <v>0.22923258637451863</v>
      </c>
      <c r="Y4" s="591">
        <f>('FCD PROJETO'!AB56/'FCD PROJETO'!AB$53)</f>
        <v>0.23564935183517585</v>
      </c>
      <c r="Z4" s="591">
        <f>('FCD PROJETO'!AC56/'FCD PROJETO'!AC$53)</f>
        <v>0.24010316362453973</v>
      </c>
      <c r="AA4" s="591">
        <f>('FCD PROJETO'!AD56/'FCD PROJETO'!AD$53)</f>
        <v>0.24504700385054945</v>
      </c>
      <c r="AB4" s="591">
        <f>('FCD PROJETO'!AE56/'FCD PROJETO'!AE$53)</f>
        <v>0.25132905836206454</v>
      </c>
      <c r="AC4" s="591">
        <f>('FCD PROJETO'!AF56/'FCD PROJETO'!AF$53)</f>
        <v>0.25516695228056374</v>
      </c>
      <c r="AD4" s="591">
        <f>('FCD PROJETO'!AG56/'FCD PROJETO'!AG$53)</f>
        <v>0.26287323121980655</v>
      </c>
      <c r="AE4" s="591">
        <f>('FCD PROJETO'!AH56/'FCD PROJETO'!AH$53)</f>
        <v>0.26458750363783623</v>
      </c>
      <c r="AF4" s="591">
        <f>('FCD PROJETO'!AI56/'FCD PROJETO'!AI$53)</f>
        <v>0.26912702577525005</v>
      </c>
      <c r="AG4" s="591">
        <f>('FCD PROJETO'!AJ56/'FCD PROJETO'!AJ$53)</f>
        <v>0.27367267584316579</v>
      </c>
      <c r="AH4" s="591">
        <f>('FCD PROJETO'!AK56/'FCD PROJETO'!AK$53)</f>
        <v>0.27823946941330208</v>
      </c>
      <c r="AI4" s="591">
        <f>('FCD PROJETO'!AL56/'FCD PROJETO'!AL$53)</f>
        <v>0.28279461084217072</v>
      </c>
      <c r="AJ4" s="591">
        <f>('FCD PROJETO'!AM56/'FCD PROJETO'!AM$53)</f>
        <v>0.28641100007797571</v>
      </c>
      <c r="AK4" s="591">
        <f>('FCD PROJETO'!AN56/'FCD PROJETO'!AN$53)</f>
        <v>0.29134653450859543</v>
      </c>
      <c r="AL4" s="592">
        <f t="shared" ref="AL4:AL17" si="1">AVERAGE(C4:AK4)</f>
        <v>0.20874151426578405</v>
      </c>
    </row>
    <row r="5" spans="1:38" x14ac:dyDescent="0.3">
      <c r="B5" s="590" t="str">
        <f>'FCD PROJETO'!B57</f>
        <v>2.2.3   - Custeio de serviços e materiais p/ manut. de veículos</v>
      </c>
      <c r="C5" s="591">
        <f>('FCD PROJETO'!F57/'FCD PROJETO'!F$53)</f>
        <v>2.5654425362530604E-2</v>
      </c>
      <c r="D5" s="591">
        <f>('FCD PROJETO'!G57/'FCD PROJETO'!G$53)</f>
        <v>2.2764250285655818E-2</v>
      </c>
      <c r="E5" s="591">
        <f>('FCD PROJETO'!H57/'FCD PROJETO'!H$53)</f>
        <v>2.009722120860093E-2</v>
      </c>
      <c r="F5" s="591">
        <f>('FCD PROJETO'!I57/'FCD PROJETO'!I$53)</f>
        <v>1.7839637773033219E-2</v>
      </c>
      <c r="G5" s="591">
        <f>('FCD PROJETO'!J57/'FCD PROJETO'!J$53)</f>
        <v>1.6816797745551202E-2</v>
      </c>
      <c r="H5" s="591">
        <f>('FCD PROJETO'!K57/'FCD PROJETO'!K$53)</f>
        <v>1.7219246957336842E-2</v>
      </c>
      <c r="I5" s="591">
        <f>('FCD PROJETO'!L57/'FCD PROJETO'!L$53)</f>
        <v>1.6263174652594338E-2</v>
      </c>
      <c r="J5" s="591">
        <f>('FCD PROJETO'!M57/'FCD PROJETO'!M$53)</f>
        <v>1.5757166587774034E-2</v>
      </c>
      <c r="K5" s="591">
        <f>('FCD PROJETO'!N57/'FCD PROJETO'!N$53)</f>
        <v>1.5163217978926153E-2</v>
      </c>
      <c r="L5" s="591">
        <f>('FCD PROJETO'!O57/'FCD PROJETO'!O$53)</f>
        <v>1.5766518009389167E-2</v>
      </c>
      <c r="M5" s="591">
        <f>('FCD PROJETO'!P57/'FCD PROJETO'!P$53)</f>
        <v>1.5923591035447299E-2</v>
      </c>
      <c r="N5" s="591">
        <f>('FCD PROJETO'!Q57/'FCD PROJETO'!Q$53)</f>
        <v>1.5813910693506E-2</v>
      </c>
      <c r="O5" s="591">
        <f>('FCD PROJETO'!R57/'FCD PROJETO'!R$53)</f>
        <v>1.5772564585747349E-2</v>
      </c>
      <c r="P5" s="591">
        <f>('FCD PROJETO'!S57/'FCD PROJETO'!S$53)</f>
        <v>1.5595420277858383E-2</v>
      </c>
      <c r="Q5" s="591">
        <f>('FCD PROJETO'!T57/'FCD PROJETO'!T$53)</f>
        <v>1.5422075847212327E-2</v>
      </c>
      <c r="R5" s="591">
        <f>('FCD PROJETO'!U57/'FCD PROJETO'!U$53)</f>
        <v>1.5675519572754152E-2</v>
      </c>
      <c r="S5" s="591">
        <f>('FCD PROJETO'!V57/'FCD PROJETO'!V$53)</f>
        <v>1.5021001507950455E-2</v>
      </c>
      <c r="T5" s="591">
        <f>('FCD PROJETO'!W57/'FCD PROJETO'!W$53)</f>
        <v>1.7504440942588424E-2</v>
      </c>
      <c r="U5" s="591">
        <f>('FCD PROJETO'!X57/'FCD PROJETO'!X$53)</f>
        <v>1.7222086652255459E-2</v>
      </c>
      <c r="V5" s="591">
        <f>('FCD PROJETO'!Y57/'FCD PROJETO'!Y$53)</f>
        <v>1.7054299378496326E-2</v>
      </c>
      <c r="W5" s="591">
        <f>('FCD PROJETO'!Z57/'FCD PROJETO'!Z$53)</f>
        <v>1.7099443760652769E-2</v>
      </c>
      <c r="X5" s="591">
        <f>('FCD PROJETO'!AA57/'FCD PROJETO'!AA$53)</f>
        <v>1.6935767579584378E-2</v>
      </c>
      <c r="Y5" s="591">
        <f>('FCD PROJETO'!AB57/'FCD PROJETO'!AB$53)</f>
        <v>1.6919150897739071E-2</v>
      </c>
      <c r="Z5" s="591">
        <f>('FCD PROJETO'!AC57/'FCD PROJETO'!AC$53)</f>
        <v>1.6758719838513122E-2</v>
      </c>
      <c r="AA5" s="591">
        <f>('FCD PROJETO'!AD57/'FCD PROJETO'!AD$53)</f>
        <v>1.6633607446202708E-2</v>
      </c>
      <c r="AB5" s="591">
        <f>('FCD PROJETO'!AE57/'FCD PROJETO'!AE$53)</f>
        <v>1.6594742761804442E-2</v>
      </c>
      <c r="AC5" s="591">
        <f>('FCD PROJETO'!AF57/'FCD PROJETO'!AF$53)</f>
        <v>1.6628634565612761E-2</v>
      </c>
      <c r="AD5" s="591">
        <f>('FCD PROJETO'!AG57/'FCD PROJETO'!AG$53)</f>
        <v>1.667504951691233E-2</v>
      </c>
      <c r="AE5" s="591">
        <f>('FCD PROJETO'!AH57/'FCD PROJETO'!AH$53)</f>
        <v>1.634262749915124E-2</v>
      </c>
      <c r="AF5" s="591">
        <f>('FCD PROJETO'!AI57/'FCD PROJETO'!AI$53)</f>
        <v>1.6190368639849573E-2</v>
      </c>
      <c r="AG5" s="591">
        <f>('FCD PROJETO'!AJ57/'FCD PROJETO'!AJ$53)</f>
        <v>1.6039716883830421E-2</v>
      </c>
      <c r="AH5" s="591">
        <f>('FCD PROJETO'!AK57/'FCD PROJETO'!AK$53)</f>
        <v>1.5891876949549837E-2</v>
      </c>
      <c r="AI5" s="591">
        <f>('FCD PROJETO'!AL57/'FCD PROJETO'!AL$53)</f>
        <v>1.5744367335637926E-2</v>
      </c>
      <c r="AJ5" s="591">
        <f>('FCD PROJETO'!AM57/'FCD PROJETO'!AM$53)</f>
        <v>1.5629870233606843E-2</v>
      </c>
      <c r="AK5" s="591">
        <f>('FCD PROJETO'!AN57/'FCD PROJETO'!AN$53)</f>
        <v>1.5519350887291027E-2</v>
      </c>
      <c r="AL5" s="592">
        <f t="shared" si="1"/>
        <v>1.6855710338604196E-2</v>
      </c>
    </row>
    <row r="6" spans="1:38" x14ac:dyDescent="0.3">
      <c r="B6" s="590" t="str">
        <f>'FCD PROJETO'!B58</f>
        <v>2.2.4   - Custeio de serviços e manut. de equipos eletromecânicos</v>
      </c>
      <c r="C6" s="591">
        <f>('FCD PROJETO'!F58/'FCD PROJETO'!F$53)</f>
        <v>3.2280013568494803E-2</v>
      </c>
      <c r="D6" s="591">
        <f>('FCD PROJETO'!G58/'FCD PROJETO'!G$53)</f>
        <v>3.2476754759802391E-2</v>
      </c>
      <c r="E6" s="591">
        <f>('FCD PROJETO'!H58/'FCD PROJETO'!H$53)</f>
        <v>3.232179454416248E-2</v>
      </c>
      <c r="F6" s="591">
        <f>('FCD PROJETO'!I58/'FCD PROJETO'!I$53)</f>
        <v>3.2037174980502688E-2</v>
      </c>
      <c r="G6" s="591">
        <f>('FCD PROJETO'!J58/'FCD PROJETO'!J$53)</f>
        <v>3.3124700258932611E-2</v>
      </c>
      <c r="H6" s="591">
        <f>('FCD PROJETO'!K58/'FCD PROJETO'!K$53)</f>
        <v>3.1786612224526979E-2</v>
      </c>
      <c r="I6" s="591">
        <f>('FCD PROJETO'!L58/'FCD PROJETO'!L$53)</f>
        <v>3.104883262920444E-2</v>
      </c>
      <c r="J6" s="591">
        <f>('FCD PROJETO'!M58/'FCD PROJETO'!M$53)</f>
        <v>3.1117147482078694E-2</v>
      </c>
      <c r="K6" s="591">
        <f>('FCD PROJETO'!N58/'FCD PROJETO'!N$53)</f>
        <v>3.4214474838596486E-2</v>
      </c>
      <c r="L6" s="591">
        <f>('FCD PROJETO'!O58/'FCD PROJETO'!O$53)</f>
        <v>3.6169163742679852E-2</v>
      </c>
      <c r="M6" s="591">
        <f>('FCD PROJETO'!P58/'FCD PROJETO'!P$53)</f>
        <v>3.7474781696297824E-2</v>
      </c>
      <c r="N6" s="591">
        <f>('FCD PROJETO'!Q58/'FCD PROJETO'!Q$53)</f>
        <v>3.8172561180363961E-2</v>
      </c>
      <c r="O6" s="591">
        <f>('FCD PROJETO'!R58/'FCD PROJETO'!R$53)</f>
        <v>3.8577565263852295E-2</v>
      </c>
      <c r="P6" s="591">
        <f>('FCD PROJETO'!S58/'FCD PROJETO'!S$53)</f>
        <v>3.8643977298927802E-2</v>
      </c>
      <c r="Q6" s="591">
        <f>('FCD PROJETO'!T58/'FCD PROJETO'!T$53)</f>
        <v>3.8706419864081083E-2</v>
      </c>
      <c r="R6" s="591">
        <f>('FCD PROJETO'!U58/'FCD PROJETO'!U$53)</f>
        <v>3.953640359997853E-2</v>
      </c>
      <c r="S6" s="591">
        <f>('FCD PROJETO'!V58/'FCD PROJETO'!V$53)</f>
        <v>3.8060891147352727E-2</v>
      </c>
      <c r="T6" s="591">
        <f>('FCD PROJETO'!W58/'FCD PROJETO'!W$53)</f>
        <v>3.8510485053571186E-2</v>
      </c>
      <c r="U6" s="591">
        <f>('FCD PROJETO'!X58/'FCD PROJETO'!X$53)</f>
        <v>3.8117614902506272E-2</v>
      </c>
      <c r="V6" s="591">
        <f>('FCD PROJETO'!Y58/'FCD PROJETO'!Y$53)</f>
        <v>3.7972863033200605E-2</v>
      </c>
      <c r="W6" s="591">
        <f>('FCD PROJETO'!Z58/'FCD PROJETO'!Z$53)</f>
        <v>3.828458409074717E-2</v>
      </c>
      <c r="X6" s="591">
        <f>('FCD PROJETO'!AA58/'FCD PROJETO'!AA$53)</f>
        <v>3.8117587457336968E-2</v>
      </c>
      <c r="Y6" s="591">
        <f>('FCD PROJETO'!AB58/'FCD PROJETO'!AB$53)</f>
        <v>3.8271792255626005E-2</v>
      </c>
      <c r="Z6" s="591">
        <f>('FCD PROJETO'!AC58/'FCD PROJETO'!AC$53)</f>
        <v>3.8091592805187174E-2</v>
      </c>
      <c r="AA6" s="591">
        <f>('FCD PROJETO'!AD58/'FCD PROJETO'!AD$53)</f>
        <v>3.7980520514702999E-2</v>
      </c>
      <c r="AB6" s="591">
        <f>('FCD PROJETO'!AE58/'FCD PROJETO'!AE$53)</f>
        <v>3.8067180132348256E-2</v>
      </c>
      <c r="AC6" s="591">
        <f>('FCD PROJETO'!AF58/'FCD PROJETO'!AF$53)</f>
        <v>3.7760322421002634E-2</v>
      </c>
      <c r="AD6" s="591">
        <f>('FCD PROJETO'!AG58/'FCD PROJETO'!AG$53)</f>
        <v>3.8024111899537076E-2</v>
      </c>
      <c r="AE6" s="591">
        <f>('FCD PROJETO'!AH58/'FCD PROJETO'!AH$53)</f>
        <v>3.7401857910781058E-2</v>
      </c>
      <c r="AF6" s="591">
        <f>('FCD PROJETO'!AI58/'FCD PROJETO'!AI$53)</f>
        <v>3.7188864304530424E-2</v>
      </c>
      <c r="AG6" s="591">
        <f>('FCD PROJETO'!AJ58/'FCD PROJETO'!AJ$53)</f>
        <v>3.6970818829799856E-2</v>
      </c>
      <c r="AH6" s="591">
        <f>('FCD PROJETO'!AK58/'FCD PROJETO'!AK$53)</f>
        <v>3.6745988862939109E-2</v>
      </c>
      <c r="AI6" s="591">
        <f>('FCD PROJETO'!AL58/'FCD PROJETO'!AL$53)</f>
        <v>3.6519768046265395E-2</v>
      </c>
      <c r="AJ6" s="591">
        <f>('FCD PROJETO'!AM58/'FCD PROJETO'!AM$53)</f>
        <v>3.6332839452492126E-2</v>
      </c>
      <c r="AK6" s="591">
        <f>('FCD PROJETO'!AN58/'FCD PROJETO'!AN$53)</f>
        <v>3.6032952562724554E-2</v>
      </c>
      <c r="AL6" s="592">
        <f t="shared" si="1"/>
        <v>3.6346886103289559E-2</v>
      </c>
    </row>
    <row r="7" spans="1:38" x14ac:dyDescent="0.3">
      <c r="B7" s="590" t="str">
        <f>'FCD PROJETO'!B59</f>
        <v>2.2.5   - Reposição de ativos e equipamentos.</v>
      </c>
      <c r="C7" s="591">
        <f>('FCD PROJETO'!F59/'FCD PROJETO'!F$53)</f>
        <v>3.1981094270563941E-2</v>
      </c>
      <c r="D7" s="591">
        <f>('FCD PROJETO'!G59/'FCD PROJETO'!G$53)</f>
        <v>3.6631996612977981E-2</v>
      </c>
      <c r="E7" s="591">
        <f>('FCD PROJETO'!H59/'FCD PROJETO'!H$53)</f>
        <v>3.8905551684564769E-2</v>
      </c>
      <c r="F7" s="591">
        <f>('FCD PROJETO'!I59/'FCD PROJETO'!I$53)</f>
        <v>7.3631147329332666E-2</v>
      </c>
      <c r="G7" s="591">
        <f>('FCD PROJETO'!J59/'FCD PROJETO'!J$53)</f>
        <v>6.7326123176496999E-2</v>
      </c>
      <c r="H7" s="591">
        <f>('FCD PROJETO'!K59/'FCD PROJETO'!K$53)</f>
        <v>9.9768437803261029E-2</v>
      </c>
      <c r="I7" s="591">
        <f>('FCD PROJETO'!L59/'FCD PROJETO'!L$53)</f>
        <v>0.1217922818846673</v>
      </c>
      <c r="J7" s="591">
        <f>('FCD PROJETO'!M59/'FCD PROJETO'!M$53)</f>
        <v>0.1216241159451929</v>
      </c>
      <c r="K7" s="591">
        <f>('FCD PROJETO'!N59/'FCD PROJETO'!N$53)</f>
        <v>0.11919372812161062</v>
      </c>
      <c r="L7" s="591">
        <f>('FCD PROJETO'!O59/'FCD PROJETO'!O$53)</f>
        <v>0.13600351293605201</v>
      </c>
      <c r="M7" s="591">
        <f>('FCD PROJETO'!P59/'FCD PROJETO'!P$53)</f>
        <v>0.12917658395793752</v>
      </c>
      <c r="N7" s="591">
        <f>('FCD PROJETO'!Q59/'FCD PROJETO'!Q$53)</f>
        <v>0.12007454567972475</v>
      </c>
      <c r="O7" s="591">
        <f>('FCD PROJETO'!R59/'FCD PROJETO'!R$53)</f>
        <v>0.10987334829299816</v>
      </c>
      <c r="P7" s="591">
        <f>('FCD PROJETO'!S59/'FCD PROJETO'!S$53)</f>
        <v>0.10963332352289158</v>
      </c>
      <c r="Q7" s="591">
        <f>('FCD PROJETO'!T59/'FCD PROJETO'!T$53)</f>
        <v>0.10934289991614812</v>
      </c>
      <c r="R7" s="591">
        <f>('FCD PROJETO'!U59/'FCD PROJETO'!U$53)</f>
        <v>8.8920062735955638E-2</v>
      </c>
      <c r="S7" s="591">
        <f>('FCD PROJETO'!V59/'FCD PROJETO'!V$53)</f>
        <v>8.5868710091132269E-2</v>
      </c>
      <c r="T7" s="591">
        <f>('FCD PROJETO'!W59/'FCD PROJETO'!W$53)</f>
        <v>6.4859725883029531E-2</v>
      </c>
      <c r="U7" s="591">
        <f>('FCD PROJETO'!X59/'FCD PROJETO'!X$53)</f>
        <v>6.4269054786755778E-2</v>
      </c>
      <c r="V7" s="591">
        <f>('FCD PROJETO'!Y59/'FCD PROJETO'!Y$53)</f>
        <v>6.4064735775063081E-2</v>
      </c>
      <c r="W7" s="591">
        <f>('FCD PROJETO'!Z59/'FCD PROJETO'!Z$53)</f>
        <v>5.3857682434691308E-2</v>
      </c>
      <c r="X7" s="591">
        <f>('FCD PROJETO'!AA59/'FCD PROJETO'!AA$53)</f>
        <v>5.3672066406717782E-2</v>
      </c>
      <c r="Y7" s="591">
        <f>('FCD PROJETO'!AB59/'FCD PROJETO'!AB$53)</f>
        <v>4.315586697002096E-2</v>
      </c>
      <c r="Z7" s="591">
        <f>('FCD PROJETO'!AC59/'FCD PROJETO'!AC$53)</f>
        <v>4.2988950315243975E-2</v>
      </c>
      <c r="AA7" s="591">
        <f>('FCD PROJETO'!AD59/'FCD PROJETO'!AD$53)</f>
        <v>4.1181960756002806E-2</v>
      </c>
      <c r="AB7" s="591">
        <f>('FCD PROJETO'!AE59/'FCD PROJETO'!AE$53)</f>
        <v>3.0614747760727968E-2</v>
      </c>
      <c r="AC7" s="591">
        <f>('FCD PROJETO'!AF59/'FCD PROJETO'!AF$53)</f>
        <v>3.0410294725084205E-2</v>
      </c>
      <c r="AD7" s="591">
        <f>('FCD PROJETO'!AG59/'FCD PROJETO'!AG$53)</f>
        <v>1.9896499498044843E-2</v>
      </c>
      <c r="AE7" s="591">
        <f>('FCD PROJETO'!AH59/'FCD PROJETO'!AH$53)</f>
        <v>1.964934316820971E-2</v>
      </c>
      <c r="AF7" s="591">
        <f>('FCD PROJETO'!AI59/'FCD PROJETO'!AI$53)</f>
        <v>1.9609485582415605E-2</v>
      </c>
      <c r="AG7" s="591">
        <f>('FCD PROJETO'!AJ59/'FCD PROJETO'!AJ$53)</f>
        <v>1.9563770773145528E-2</v>
      </c>
      <c r="AH7" s="591">
        <f>('FCD PROJETO'!AK59/'FCD PROJETO'!AK$53)</f>
        <v>1.9513466648423693E-2</v>
      </c>
      <c r="AI7" s="591">
        <f>('FCD PROJETO'!AL59/'FCD PROJETO'!AL$53)</f>
        <v>1.9456467237858658E-2</v>
      </c>
      <c r="AJ7" s="591">
        <f>('FCD PROJETO'!AM59/'FCD PROJETO'!AM$53)</f>
        <v>1.9330477345439662E-2</v>
      </c>
      <c r="AK7" s="591">
        <f>('FCD PROJETO'!AN59/'FCD PROJETO'!AN$53)</f>
        <v>1.928883033540774E-2</v>
      </c>
      <c r="AL7" s="592">
        <f t="shared" si="1"/>
        <v>6.4146596867536876E-2</v>
      </c>
    </row>
    <row r="8" spans="1:38" x14ac:dyDescent="0.3">
      <c r="B8" s="590" t="str">
        <f>'FCD PROJETO'!B60</f>
        <v>2.2.6   - Custeio de combustíveis e lubrificantes</v>
      </c>
      <c r="C8" s="591">
        <f>('FCD PROJETO'!F60/'FCD PROJETO'!F$53)</f>
        <v>5.9859448127949522E-2</v>
      </c>
      <c r="D8" s="591">
        <f>('FCD PROJETO'!G60/'FCD PROJETO'!G$53)</f>
        <v>5.3115805163817531E-2</v>
      </c>
      <c r="E8" s="591">
        <f>('FCD PROJETO'!H60/'FCD PROJETO'!H$53)</f>
        <v>4.6892828564744249E-2</v>
      </c>
      <c r="F8" s="591">
        <f>('FCD PROJETO'!I60/'FCD PROJETO'!I$53)</f>
        <v>4.1625211120727826E-2</v>
      </c>
      <c r="G8" s="591">
        <f>('FCD PROJETO'!J60/'FCD PROJETO'!J$53)</f>
        <v>4.1550263366055801E-2</v>
      </c>
      <c r="H8" s="591">
        <f>('FCD PROJETO'!K60/'FCD PROJETO'!K$53)</f>
        <v>4.2191534850684498E-2</v>
      </c>
      <c r="I8" s="591">
        <f>('FCD PROJETO'!L60/'FCD PROJETO'!L$53)</f>
        <v>3.9848914522091661E-2</v>
      </c>
      <c r="J8" s="591">
        <f>('FCD PROJETO'!M60/'FCD PROJETO'!M$53)</f>
        <v>3.8609066057493348E-2</v>
      </c>
      <c r="K8" s="591">
        <f>('FCD PROJETO'!N60/'FCD PROJETO'!N$53)</f>
        <v>3.7153740891891759E-2</v>
      </c>
      <c r="L8" s="591">
        <f>('FCD PROJETO'!O60/'FCD PROJETO'!O$53)</f>
        <v>4.0103508456141024E-2</v>
      </c>
      <c r="M8" s="591">
        <f>('FCD PROJETO'!P60/'FCD PROJETO'!P$53)</f>
        <v>4.050303734546222E-2</v>
      </c>
      <c r="N8" s="591">
        <f>('FCD PROJETO'!Q60/'FCD PROJETO'!Q$53)</f>
        <v>4.0224055865981725E-2</v>
      </c>
      <c r="O8" s="591">
        <f>('FCD PROJETO'!R60/'FCD PROJETO'!R$53)</f>
        <v>4.0118888448474568E-2</v>
      </c>
      <c r="P8" s="591">
        <f>('FCD PROJETO'!S60/'FCD PROJETO'!S$53)</f>
        <v>3.9668306509891053E-2</v>
      </c>
      <c r="Q8" s="591">
        <f>('FCD PROJETO'!T60/'FCD PROJETO'!T$53)</f>
        <v>3.9227389889233327E-2</v>
      </c>
      <c r="R8" s="591">
        <f>('FCD PROJETO'!U60/'FCD PROJETO'!U$53)</f>
        <v>3.9872046026014428E-2</v>
      </c>
      <c r="S8" s="591">
        <f>('FCD PROJETO'!V60/'FCD PROJETO'!V$53)</f>
        <v>3.820722245933212E-2</v>
      </c>
      <c r="T8" s="591">
        <f>('FCD PROJETO'!W60/'FCD PROJETO'!W$53)</f>
        <v>4.3729389671151114E-2</v>
      </c>
      <c r="U8" s="591">
        <f>('FCD PROJETO'!X60/'FCD PROJETO'!X$53)</f>
        <v>4.3024015484806735E-2</v>
      </c>
      <c r="V8" s="591">
        <f>('FCD PROJETO'!Y60/'FCD PROJETO'!Y$53)</f>
        <v>4.2604851279555163E-2</v>
      </c>
      <c r="W8" s="591">
        <f>('FCD PROJETO'!Z60/'FCD PROJETO'!Z$53)</f>
        <v>4.2717630447153675E-2</v>
      </c>
      <c r="X8" s="591">
        <f>('FCD PROJETO'!AA60/'FCD PROJETO'!AA$53)</f>
        <v>4.2308736525588239E-2</v>
      </c>
      <c r="Y8" s="591">
        <f>('FCD PROJETO'!AB60/'FCD PROJETO'!AB$53)</f>
        <v>4.2267224925312728E-2</v>
      </c>
      <c r="Z8" s="591">
        <f>('FCD PROJETO'!AC60/'FCD PROJETO'!AC$53)</f>
        <v>4.1866437929186609E-2</v>
      </c>
      <c r="AA8" s="591">
        <f>('FCD PROJETO'!AD60/'FCD PROJETO'!AD$53)</f>
        <v>4.1553883613743105E-2</v>
      </c>
      <c r="AB8" s="591">
        <f>('FCD PROJETO'!AE60/'FCD PROJETO'!AE$53)</f>
        <v>4.1456792313651188E-2</v>
      </c>
      <c r="AC8" s="591">
        <f>('FCD PROJETO'!AF60/'FCD PROJETO'!AF$53)</f>
        <v>4.3089572089920702E-2</v>
      </c>
      <c r="AD8" s="591">
        <f>('FCD PROJETO'!AG60/'FCD PROJETO'!AG$53)</f>
        <v>4.3209846570797732E-2</v>
      </c>
      <c r="AE8" s="591">
        <f>('FCD PROJETO'!AH60/'FCD PROJETO'!AH$53)</f>
        <v>4.2348445567481761E-2</v>
      </c>
      <c r="AF8" s="591">
        <f>('FCD PROJETO'!AI60/'FCD PROJETO'!AI$53)</f>
        <v>4.1953899095952728E-2</v>
      </c>
      <c r="AG8" s="591">
        <f>('FCD PROJETO'!AJ60/'FCD PROJETO'!AJ$53)</f>
        <v>4.1563517090993374E-2</v>
      </c>
      <c r="AH8" s="591">
        <f>('FCD PROJETO'!AK60/'FCD PROJETO'!AK$53)</f>
        <v>4.1180421324421776E-2</v>
      </c>
      <c r="AI8" s="591">
        <f>('FCD PROJETO'!AL60/'FCD PROJETO'!AL$53)</f>
        <v>4.0798181512876584E-2</v>
      </c>
      <c r="AJ8" s="591">
        <f>('FCD PROJETO'!AM60/'FCD PROJETO'!AM$53)</f>
        <v>4.0501486609119557E-2</v>
      </c>
      <c r="AK8" s="591">
        <f>('FCD PROJETO'!AN60/'FCD PROJETO'!AN$53)</f>
        <v>4.0215099213833691E-2</v>
      </c>
      <c r="AL8" s="592">
        <f t="shared" si="1"/>
        <v>4.2147448540900953E-2</v>
      </c>
    </row>
    <row r="9" spans="1:38" x14ac:dyDescent="0.3">
      <c r="B9" s="593" t="str">
        <f>'FCD PROJETO'!B61</f>
        <v>2.2.7   - Custeio de energia elétrica</v>
      </c>
      <c r="C9" s="591">
        <f>('FCD PROJETO'!F61/'FCD PROJETO'!F$53)</f>
        <v>8.6339556456210984E-2</v>
      </c>
      <c r="D9" s="591">
        <f>('FCD PROJETO'!G61/'FCD PROJETO'!G$53)</f>
        <v>8.6264987817818661E-2</v>
      </c>
      <c r="E9" s="591">
        <f>('FCD PROJETO'!H61/'FCD PROJETO'!H$53)</f>
        <v>8.6829330963343387E-2</v>
      </c>
      <c r="F9" s="591">
        <f>('FCD PROJETO'!I61/'FCD PROJETO'!I$53)</f>
        <v>8.6049420029989901E-2</v>
      </c>
      <c r="G9" s="591">
        <f>('FCD PROJETO'!J61/'FCD PROJETO'!J$53)</f>
        <v>8.883450182380237E-2</v>
      </c>
      <c r="H9" s="591">
        <f>('FCD PROJETO'!K61/'FCD PROJETO'!K$53)</f>
        <v>8.5019115841442797E-2</v>
      </c>
      <c r="I9" s="591">
        <f>('FCD PROJETO'!L61/'FCD PROJETO'!L$53)</f>
        <v>8.2787289480246759E-2</v>
      </c>
      <c r="J9" s="591">
        <f>('FCD PROJETO'!M61/'FCD PROJETO'!M$53)</f>
        <v>8.2823189439828221E-2</v>
      </c>
      <c r="K9" s="591">
        <f>('FCD PROJETO'!N61/'FCD PROJETO'!N$53)</f>
        <v>9.0823464578347973E-2</v>
      </c>
      <c r="L9" s="591">
        <f>('FCD PROJETO'!O61/'FCD PROJETO'!O$53)</f>
        <v>9.5931552297680744E-2</v>
      </c>
      <c r="M9" s="591">
        <f>('FCD PROJETO'!P61/'FCD PROJETO'!P$53)</f>
        <v>9.9379534572128794E-2</v>
      </c>
      <c r="N9" s="591">
        <f>('FCD PROJETO'!Q61/'FCD PROJETO'!Q$53)</f>
        <v>0.10121531296519888</v>
      </c>
      <c r="O9" s="591">
        <f>('FCD PROJETO'!R61/'FCD PROJETO'!R$53)</f>
        <v>0.10228102381207876</v>
      </c>
      <c r="P9" s="591">
        <f>('FCD PROJETO'!S61/'FCD PROJETO'!S$53)</f>
        <v>0.10245065447668492</v>
      </c>
      <c r="Q9" s="591">
        <f>('FCD PROJETO'!T61/'FCD PROJETO'!T$53)</f>
        <v>0.10260903277190558</v>
      </c>
      <c r="R9" s="591">
        <f>('FCD PROJETO'!U61/'FCD PROJETO'!U$53)</f>
        <v>0.10480595716309547</v>
      </c>
      <c r="S9" s="591">
        <f>('FCD PROJETO'!V61/'FCD PROJETO'!V$53)</f>
        <v>0.100892224605459</v>
      </c>
      <c r="T9" s="591">
        <f>('FCD PROJETO'!W61/'FCD PROJETO'!W$53)</f>
        <v>0.1020817079154142</v>
      </c>
      <c r="U9" s="591">
        <f>('FCD PROJETO'!X61/'FCD PROJETO'!X$53)</f>
        <v>0.1010394896783996</v>
      </c>
      <c r="V9" s="591">
        <f>('FCD PROJETO'!Y61/'FCD PROJETO'!Y$53)</f>
        <v>0.10065515235613846</v>
      </c>
      <c r="W9" s="591">
        <f>('FCD PROJETO'!Z61/'FCD PROJETO'!Z$53)</f>
        <v>0.10148014498266796</v>
      </c>
      <c r="X9" s="591">
        <f>('FCD PROJETO'!AA61/'FCD PROJETO'!AA$53)</f>
        <v>0.10103743187795546</v>
      </c>
      <c r="Y9" s="591">
        <f>('FCD PROJETO'!AB61/'FCD PROJETO'!AB$53)</f>
        <v>0.10144546719211041</v>
      </c>
      <c r="Z9" s="591">
        <f>('FCD PROJETO'!AC61/'FCD PROJETO'!AC$53)</f>
        <v>0.1009673745813561</v>
      </c>
      <c r="AA9" s="591">
        <f>('FCD PROJETO'!AD61/'FCD PROJETO'!AD$53)</f>
        <v>0.10067267080806187</v>
      </c>
      <c r="AB9" s="591">
        <f>('FCD PROJETO'!AE61/'FCD PROJETO'!AE$53)</f>
        <v>0.10090175169257706</v>
      </c>
      <c r="AC9" s="591">
        <f>('FCD PROJETO'!AF61/'FCD PROJETO'!AF$53)</f>
        <v>0.10008790740791122</v>
      </c>
      <c r="AD9" s="591">
        <f>('FCD PROJETO'!AG61/'FCD PROJETO'!AG$53)</f>
        <v>0.10078594653319592</v>
      </c>
      <c r="AE9" s="591">
        <f>('FCD PROJETO'!AH61/'FCD PROJETO'!AH$53)</f>
        <v>9.9136888424242786E-2</v>
      </c>
      <c r="AF9" s="591">
        <f>('FCD PROJETO'!AI61/'FCD PROJETO'!AI$53)</f>
        <v>9.8572335367936151E-2</v>
      </c>
      <c r="AG9" s="591">
        <f>('FCD PROJETO'!AJ61/'FCD PROJETO'!AJ$53)</f>
        <v>9.7993881089690218E-2</v>
      </c>
      <c r="AH9" s="591">
        <f>('FCD PROJETO'!AK61/'FCD PROJETO'!AK$53)</f>
        <v>9.7397469975834636E-2</v>
      </c>
      <c r="AI9" s="591">
        <f>('FCD PROJETO'!AL61/'FCD PROJETO'!AL$53)</f>
        <v>9.6797265192086826E-2</v>
      </c>
      <c r="AJ9" s="591">
        <f>('FCD PROJETO'!AM61/'FCD PROJETO'!AM$53)</f>
        <v>9.6302231527077023E-2</v>
      </c>
      <c r="AK9" s="591">
        <f>('FCD PROJETO'!AN61/'FCD PROJETO'!AN$53)</f>
        <v>9.5507358176582138E-2</v>
      </c>
      <c r="AL9" s="592">
        <f t="shared" si="1"/>
        <v>9.6519960682128619E-2</v>
      </c>
    </row>
    <row r="10" spans="1:38" x14ac:dyDescent="0.3">
      <c r="B10" s="590" t="str">
        <f>'FCD PROJETO'!B62</f>
        <v>2.2.8   - Custeio de produto químico</v>
      </c>
      <c r="C10" s="591">
        <f>('FCD PROJETO'!F62/'FCD PROJETO'!F$53)</f>
        <v>0.10530725395009903</v>
      </c>
      <c r="D10" s="591">
        <f>('FCD PROJETO'!G62/'FCD PROJETO'!G$53)</f>
        <v>9.9237743424701416E-2</v>
      </c>
      <c r="E10" s="591">
        <f>('FCD PROJETO'!H62/'FCD PROJETO'!H$53)</f>
        <v>9.243052359900597E-2</v>
      </c>
      <c r="F10" s="591">
        <f>('FCD PROJETO'!I62/'FCD PROJETO'!I$53)</f>
        <v>8.5679305101236669E-2</v>
      </c>
      <c r="G10" s="591">
        <f>('FCD PROJETO'!J62/'FCD PROJETO'!J$53)</f>
        <v>8.2936284319357748E-2</v>
      </c>
      <c r="H10" s="591">
        <f>('FCD PROJETO'!K62/'FCD PROJETO'!K$53)</f>
        <v>7.7309146386687441E-2</v>
      </c>
      <c r="I10" s="591">
        <f>('FCD PROJETO'!L62/'FCD PROJETO'!L$53)</f>
        <v>7.3220946087879726E-2</v>
      </c>
      <c r="J10" s="591">
        <f>('FCD PROJETO'!M62/'FCD PROJETO'!M$53)</f>
        <v>7.1704791503601387E-2</v>
      </c>
      <c r="K10" s="591">
        <f>('FCD PROJETO'!N62/'FCD PROJETO'!N$53)</f>
        <v>6.9750237542772139E-2</v>
      </c>
      <c r="L10" s="591">
        <f>('FCD PROJETO'!O62/'FCD PROJETO'!O$53)</f>
        <v>6.5869799878722546E-2</v>
      </c>
      <c r="M10" s="591">
        <f>('FCD PROJETO'!P62/'FCD PROJETO'!P$53)</f>
        <v>6.7199492128161301E-2</v>
      </c>
      <c r="N10" s="591">
        <f>('FCD PROJETO'!Q62/'FCD PROJETO'!Q$53)</f>
        <v>6.7402267815395198E-2</v>
      </c>
      <c r="O10" s="591">
        <f>('FCD PROJETO'!R62/'FCD PROJETO'!R$53)</f>
        <v>6.7454639221403143E-2</v>
      </c>
      <c r="P10" s="591">
        <f>('FCD PROJETO'!S62/'FCD PROJETO'!S$53)</f>
        <v>6.6922739463706374E-2</v>
      </c>
      <c r="Q10" s="591">
        <f>('FCD PROJETO'!T62/'FCD PROJETO'!T$53)</f>
        <v>6.6388144247811198E-2</v>
      </c>
      <c r="R10" s="591">
        <f>('FCD PROJETO'!U62/'FCD PROJETO'!U$53)</f>
        <v>6.767525664987746E-2</v>
      </c>
      <c r="S10" s="591">
        <f>('FCD PROJETO'!V62/'FCD PROJETO'!V$53)</f>
        <v>6.5022141853378485E-2</v>
      </c>
      <c r="T10" s="591">
        <f>('FCD PROJETO'!W62/'FCD PROJETO'!W$53)</f>
        <v>6.5661691037875766E-2</v>
      </c>
      <c r="U10" s="591">
        <f>('FCD PROJETO'!X62/'FCD PROJETO'!X$53)</f>
        <v>6.4955957619111451E-2</v>
      </c>
      <c r="V10" s="591">
        <f>('FCD PROJETO'!Y62/'FCD PROJETO'!Y$53)</f>
        <v>6.4679307130152602E-2</v>
      </c>
      <c r="W10" s="591">
        <f>('FCD PROJETO'!Z62/'FCD PROJETO'!Z$53)</f>
        <v>6.518144457761306E-2</v>
      </c>
      <c r="X10" s="591">
        <f>('FCD PROJETO'!AA62/'FCD PROJETO'!AA$53)</f>
        <v>6.4866517914955693E-2</v>
      </c>
      <c r="Y10" s="591">
        <f>('FCD PROJETO'!AB62/'FCD PROJETO'!AB$53)</f>
        <v>6.5097792290824713E-2</v>
      </c>
      <c r="Z10" s="591">
        <f>('FCD PROJETO'!AC62/'FCD PROJETO'!AC$53)</f>
        <v>6.4765734403471581E-2</v>
      </c>
      <c r="AA10" s="591">
        <f>('FCD PROJETO'!AD62/'FCD PROJETO'!AD$53)</f>
        <v>6.4545808058238396E-2</v>
      </c>
      <c r="AB10" s="591">
        <f>('FCD PROJETO'!AE62/'FCD PROJETO'!AE$53)</f>
        <v>6.4670819828168497E-2</v>
      </c>
      <c r="AC10" s="591">
        <f>('FCD PROJETO'!AF62/'FCD PROJETO'!AF$53)</f>
        <v>6.41238483841126E-2</v>
      </c>
      <c r="AD10" s="591">
        <f>('FCD PROJETO'!AG62/'FCD PROJETO'!AG$53)</f>
        <v>6.4548571208214375E-2</v>
      </c>
      <c r="AE10" s="591">
        <f>('FCD PROJETO'!AH62/'FCD PROJETO'!AH$53)</f>
        <v>6.3467838135462751E-2</v>
      </c>
      <c r="AF10" s="591">
        <f>('FCD PROJETO'!AI62/'FCD PROJETO'!AI$53)</f>
        <v>6.3085186192054984E-2</v>
      </c>
      <c r="AG10" s="591">
        <f>('FCD PROJETO'!AJ62/'FCD PROJETO'!AJ$53)</f>
        <v>6.2694041017156379E-2</v>
      </c>
      <c r="AH10" s="591">
        <f>('FCD PROJETO'!AK62/'FCD PROJETO'!AK$53)</f>
        <v>6.2289293076913436E-2</v>
      </c>
      <c r="AI10" s="591">
        <f>('FCD PROJETO'!AL62/'FCD PROJETO'!AL$53)</f>
        <v>6.1887352596427858E-2</v>
      </c>
      <c r="AJ10" s="591">
        <f>('FCD PROJETO'!AM62/'FCD PROJETO'!AM$53)</f>
        <v>6.1581066249017095E-2</v>
      </c>
      <c r="AK10" s="591">
        <f>('FCD PROJETO'!AN62/'FCD PROJETO'!AN$53)</f>
        <v>6.1035299961676767E-2</v>
      </c>
      <c r="AL10" s="592">
        <f t="shared" si="1"/>
        <v>6.9732808081578446E-2</v>
      </c>
    </row>
    <row r="11" spans="1:38" x14ac:dyDescent="0.3">
      <c r="B11" s="590" t="str">
        <f>'FCD PROJETO'!B63</f>
        <v>2.2.9   - Custeio administrativo e comercial</v>
      </c>
      <c r="C11" s="591">
        <f>('FCD PROJETO'!F63/'FCD PROJETO'!F$53)</f>
        <v>5.3214292943918946E-2</v>
      </c>
      <c r="D11" s="591">
        <f>('FCD PROJETO'!G63/'FCD PROJETO'!G$53)</f>
        <v>5.9854247986418543E-2</v>
      </c>
      <c r="E11" s="591">
        <f>('FCD PROJETO'!H63/'FCD PROJETO'!H$53)</f>
        <v>6.4091138538304768E-2</v>
      </c>
      <c r="F11" s="591">
        <f>('FCD PROJETO'!I63/'FCD PROJETO'!I$53)</f>
        <v>6.6447393671145036E-2</v>
      </c>
      <c r="G11" s="591">
        <f>('FCD PROJETO'!J63/'FCD PROJETO'!J$53)</f>
        <v>7.0474891167160769E-2</v>
      </c>
      <c r="H11" s="591">
        <f>('FCD PROJETO'!K63/'FCD PROJETO'!K$53)</f>
        <v>6.8463898294812614E-2</v>
      </c>
      <c r="I11" s="591">
        <f>('FCD PROJETO'!L63/'FCD PROJETO'!L$53)</f>
        <v>6.7153621254165782E-2</v>
      </c>
      <c r="J11" s="591">
        <f>('FCD PROJETO'!M63/'FCD PROJETO'!M$53)</f>
        <v>6.6347619213403597E-2</v>
      </c>
      <c r="K11" s="591">
        <f>('FCD PROJETO'!N63/'FCD PROJETO'!N$53)</f>
        <v>6.5093069437250892E-2</v>
      </c>
      <c r="L11" s="591">
        <f>('FCD PROJETO'!O63/'FCD PROJETO'!O$53)</f>
        <v>6.1988492028817455E-2</v>
      </c>
      <c r="M11" s="591">
        <f>('FCD PROJETO'!P63/'FCD PROJETO'!P$53)</f>
        <v>6.3749710998611112E-2</v>
      </c>
      <c r="N11" s="591">
        <f>('FCD PROJETO'!Q63/'FCD PROJETO'!Q$53)</f>
        <v>6.4440678648009411E-2</v>
      </c>
      <c r="O11" s="591">
        <f>('FCD PROJETO'!R63/'FCD PROJETO'!R$53)</f>
        <v>6.4726870530050176E-2</v>
      </c>
      <c r="P11" s="591">
        <f>('FCD PROJETO'!S63/'FCD PROJETO'!S$53)</f>
        <v>6.444333440340666E-2</v>
      </c>
      <c r="Q11" s="591">
        <f>('FCD PROJETO'!T63/'FCD PROJETO'!T$53)</f>
        <v>6.4147554197021894E-2</v>
      </c>
      <c r="R11" s="591">
        <f>('FCD PROJETO'!U63/'FCD PROJETO'!U$53)</f>
        <v>6.5605098844869689E-2</v>
      </c>
      <c r="S11" s="591">
        <f>('FCD PROJETO'!V63/'FCD PROJETO'!V$53)</f>
        <v>6.3231884544792394E-2</v>
      </c>
      <c r="T11" s="591">
        <f>('FCD PROJETO'!W63/'FCD PROJETO'!W$53)</f>
        <v>6.405663148503031E-2</v>
      </c>
      <c r="U11" s="591">
        <f>('FCD PROJETO'!X63/'FCD PROJETO'!X$53)</f>
        <v>6.3337090771650464E-2</v>
      </c>
      <c r="V11" s="591">
        <f>('FCD PROJETO'!Y63/'FCD PROJETO'!Y$53)</f>
        <v>6.3035252152474699E-2</v>
      </c>
      <c r="W11" s="591">
        <f>('FCD PROJETO'!Z63/'FCD PROJETO'!Z$53)</f>
        <v>6.3488286935907606E-2</v>
      </c>
      <c r="X11" s="591">
        <f>('FCD PROJETO'!AA63/'FCD PROJETO'!AA$53)</f>
        <v>6.3155208563107218E-2</v>
      </c>
      <c r="Y11" s="591">
        <f>('FCD PROJETO'!AB63/'FCD PROJETO'!AB$53)</f>
        <v>6.3352032807917888E-2</v>
      </c>
      <c r="Z11" s="591">
        <f>('FCD PROJETO'!AC63/'FCD PROJETO'!AC$53)</f>
        <v>6.2997814467479332E-2</v>
      </c>
      <c r="AA11" s="591">
        <f>('FCD PROJETO'!AD63/'FCD PROJETO'!AD$53)</f>
        <v>6.2757989019120317E-2</v>
      </c>
      <c r="AB11" s="591">
        <f>('FCD PROJETO'!AE63/'FCD PROJETO'!AE$53)</f>
        <v>6.28496913413185E-2</v>
      </c>
      <c r="AC11" s="591">
        <f>('FCD PROJETO'!AF63/'FCD PROJETO'!AF$53)</f>
        <v>6.2294212808606364E-2</v>
      </c>
      <c r="AD11" s="591">
        <f>('FCD PROJETO'!AG63/'FCD PROJETO'!AG$53)</f>
        <v>6.2680162594621405E-2</v>
      </c>
      <c r="AE11" s="591">
        <f>('FCD PROJETO'!AH63/'FCD PROJETO'!AH$53)</f>
        <v>6.1609191654788578E-2</v>
      </c>
      <c r="AF11" s="591">
        <f>('FCD PROJETO'!AI63/'FCD PROJETO'!AI$53)</f>
        <v>6.1211058367916162E-2</v>
      </c>
      <c r="AG11" s="591">
        <f>('FCD PROJETO'!AJ63/'FCD PROJETO'!AJ$53)</f>
        <v>6.0811945699245723E-2</v>
      </c>
      <c r="AH11" s="591">
        <f>('FCD PROJETO'!AK63/'FCD PROJETO'!AK$53)</f>
        <v>6.0396572073297107E-2</v>
      </c>
      <c r="AI11" s="591">
        <f>('FCD PROJETO'!AL63/'FCD PROJETO'!AL$53)</f>
        <v>5.9990075520972963E-2</v>
      </c>
      <c r="AJ11" s="591">
        <f>('FCD PROJETO'!AM63/'FCD PROJETO'!AM$53)</f>
        <v>5.9696156913942394E-2</v>
      </c>
      <c r="AK11" s="591">
        <f>('FCD PROJETO'!AN63/'FCD PROJETO'!AN$53)</f>
        <v>5.9134797199848453E-2</v>
      </c>
      <c r="AL11" s="592">
        <f t="shared" si="1"/>
        <v>6.3152227630840163E-2</v>
      </c>
    </row>
    <row r="12" spans="1:38" x14ac:dyDescent="0.3">
      <c r="B12" s="590" t="str">
        <f>'FCD PROJETO'!B64</f>
        <v>2.2.10   - Custeio legal e regulação</v>
      </c>
      <c r="C12" s="591">
        <f>('FCD PROJETO'!F64/'FCD PROJETO'!F$53)</f>
        <v>1.6688412244643628E-2</v>
      </c>
      <c r="D12" s="591">
        <f>('FCD PROJETO'!G64/'FCD PROJETO'!G$53)</f>
        <v>1.9530033162710177E-2</v>
      </c>
      <c r="E12" s="591">
        <f>('FCD PROJETO'!H64/'FCD PROJETO'!H$53)</f>
        <v>2.0912501671944264E-2</v>
      </c>
      <c r="F12" s="591">
        <f>('FCD PROJETO'!I64/'FCD PROJETO'!I$53)</f>
        <v>2.1681331661999745E-2</v>
      </c>
      <c r="G12" s="591">
        <f>('FCD PROJETO'!J64/'FCD PROJETO'!J$53)</f>
        <v>2.2995476644286843E-2</v>
      </c>
      <c r="H12" s="591">
        <f>('FCD PROJETO'!K64/'FCD PROJETO'!K$53)</f>
        <v>2.233930337658753E-2</v>
      </c>
      <c r="I12" s="591">
        <f>('FCD PROJETO'!L64/'FCD PROJETO'!L$53)</f>
        <v>2.1911768908825489E-2</v>
      </c>
      <c r="J12" s="591">
        <f>('FCD PROJETO'!M64/'FCD PROJETO'!M$53)</f>
        <v>2.1648775936482591E-2</v>
      </c>
      <c r="K12" s="591">
        <f>('FCD PROJETO'!N64/'FCD PROJETO'!N$53)</f>
        <v>2.1239424895298464E-2</v>
      </c>
      <c r="L12" s="591">
        <f>('FCD PROJETO'!O64/'FCD PROJETO'!O$53)</f>
        <v>2.0226422447140329E-2</v>
      </c>
      <c r="M12" s="591">
        <f>('FCD PROJETO'!P64/'FCD PROJETO'!P$53)</f>
        <v>2.0801096192847906E-2</v>
      </c>
      <c r="N12" s="591">
        <f>('FCD PROJETO'!Q64/'FCD PROJETO'!Q$53)</f>
        <v>2.1026554227341471E-2</v>
      </c>
      <c r="O12" s="591">
        <f>('FCD PROJETO'!R64/'FCD PROJETO'!R$53)</f>
        <v>2.1119936687821517E-2</v>
      </c>
      <c r="P12" s="591">
        <f>('FCD PROJETO'!S64/'FCD PROJETO'!S$53)</f>
        <v>2.1027420782226462E-2</v>
      </c>
      <c r="Q12" s="591">
        <f>('FCD PROJETO'!T64/'FCD PROJETO'!T$53)</f>
        <v>2.0930909716865176E-2</v>
      </c>
      <c r="R12" s="591">
        <f>('FCD PROJETO'!U64/'FCD PROJETO'!U$53)</f>
        <v>2.1406496601108677E-2</v>
      </c>
      <c r="S12" s="591">
        <f>('FCD PROJETO'!V64/'FCD PROJETO'!V$53)</f>
        <v>2.0632132950374228E-2</v>
      </c>
      <c r="T12" s="591">
        <f>('FCD PROJETO'!W64/'FCD PROJETO'!W$53)</f>
        <v>2.090124225565437E-2</v>
      </c>
      <c r="U12" s="591">
        <f>('FCD PROJETO'!X64/'FCD PROJETO'!X$53)</f>
        <v>2.0666461025132234E-2</v>
      </c>
      <c r="V12" s="591">
        <f>('FCD PROJETO'!Y64/'FCD PROJETO'!Y$53)</f>
        <v>2.0567973140970246E-2</v>
      </c>
      <c r="W12" s="591">
        <f>('FCD PROJETO'!Z64/'FCD PROJETO'!Z$53)</f>
        <v>2.0715795303004814E-2</v>
      </c>
      <c r="X12" s="591">
        <f>('FCD PROJETO'!AA64/'FCD PROJETO'!AA$53)</f>
        <v>2.060711410015938E-2</v>
      </c>
      <c r="Y12" s="591">
        <f>('FCD PROJETO'!AB64/'FCD PROJETO'!AB$53)</f>
        <v>2.0671336509724195E-2</v>
      </c>
      <c r="Z12" s="591">
        <f>('FCD PROJETO'!AC64/'FCD PROJETO'!AC$53)</f>
        <v>2.0555757479524456E-2</v>
      </c>
      <c r="AA12" s="591">
        <f>('FCD PROJETO'!AD64/'FCD PROJETO'!AD$53)</f>
        <v>2.0477504070329895E-2</v>
      </c>
      <c r="AB12" s="591">
        <f>('FCD PROJETO'!AE64/'FCD PROJETO'!AE$53)</f>
        <v>2.0507425913037447E-2</v>
      </c>
      <c r="AC12" s="591">
        <f>('FCD PROJETO'!AF64/'FCD PROJETO'!AF$53)</f>
        <v>2.0326177053850321E-2</v>
      </c>
      <c r="AD12" s="591">
        <f>('FCD PROJETO'!AG64/'FCD PROJETO'!AG$53)</f>
        <v>2.0452109838466133E-2</v>
      </c>
      <c r="AE12" s="591">
        <f>('FCD PROJETO'!AH64/'FCD PROJETO'!AH$53)</f>
        <v>2.0102659320334483E-2</v>
      </c>
      <c r="AF12" s="591">
        <f>('FCD PROJETO'!AI64/'FCD PROJETO'!AI$53)</f>
        <v>1.9972751142429357E-2</v>
      </c>
      <c r="AG12" s="591">
        <f>('FCD PROJETO'!AJ64/'FCD PROJETO'!AJ$53)</f>
        <v>1.9842523398918819E-2</v>
      </c>
      <c r="AH12" s="591">
        <f>('FCD PROJETO'!AK64/'FCD PROJETO'!AK$53)</f>
        <v>1.9706989815880031E-2</v>
      </c>
      <c r="AI12" s="591">
        <f>('FCD PROJETO'!AL64/'FCD PROJETO'!AL$53)</f>
        <v>1.9574352761460443E-2</v>
      </c>
      <c r="AJ12" s="591">
        <f>('FCD PROJETO'!AM64/'FCD PROJETO'!AM$53)</f>
        <v>1.9478449123280128E-2</v>
      </c>
      <c r="AK12" s="591">
        <f>('FCD PROJETO'!AN64/'FCD PROJETO'!AN$53)</f>
        <v>1.9295281274693137E-2</v>
      </c>
      <c r="AL12" s="592">
        <f t="shared" si="1"/>
        <v>2.0586854332438696E-2</v>
      </c>
    </row>
    <row r="13" spans="1:38" x14ac:dyDescent="0.3">
      <c r="B13" s="590" t="str">
        <f>'FCD PROJETO'!B65</f>
        <v>2.2.11 - Despesas diversas</v>
      </c>
      <c r="C13" s="591">
        <f>('FCD PROJETO'!F65/'FCD PROJETO'!F$53)</f>
        <v>9.7488786560600421E-2</v>
      </c>
      <c r="D13" s="591">
        <f>('FCD PROJETO'!G65/'FCD PROJETO'!G$53)</f>
        <v>9.64073991250151E-2</v>
      </c>
      <c r="E13" s="591">
        <f>('FCD PROJETO'!H65/'FCD PROJETO'!H$53)</f>
        <v>9.7372449274220702E-2</v>
      </c>
      <c r="F13" s="591">
        <f>('FCD PROJETO'!I65/'FCD PROJETO'!I$53)</f>
        <v>9.8088796304059964E-2</v>
      </c>
      <c r="G13" s="591">
        <f>('FCD PROJETO'!J65/'FCD PROJETO'!J$53)</f>
        <v>9.8429267563732173E-2</v>
      </c>
      <c r="H13" s="591">
        <f>('FCD PROJETO'!K65/'FCD PROJETO'!K$53)</f>
        <v>9.966018038447283E-2</v>
      </c>
      <c r="I13" s="591">
        <f>('FCD PROJETO'!L65/'FCD PROJETO'!L$53)</f>
        <v>9.9933084709855749E-2</v>
      </c>
      <c r="J13" s="591">
        <f>('FCD PROJETO'!M65/'FCD PROJETO'!M$53)</f>
        <v>0.10022875984629526</v>
      </c>
      <c r="K13" s="591">
        <f>('FCD PROJETO'!N65/'FCD PROJETO'!N$53)</f>
        <v>0.10040585722111042</v>
      </c>
      <c r="L13" s="591">
        <f>('FCD PROJETO'!O65/'FCD PROJETO'!O$53)</f>
        <v>0.1007237192052063</v>
      </c>
      <c r="M13" s="591">
        <f>('FCD PROJETO'!P65/'FCD PROJETO'!P$53)</f>
        <v>0.10240362629692208</v>
      </c>
      <c r="N13" s="591">
        <f>('FCD PROJETO'!Q65/'FCD PROJETO'!Q$53)</f>
        <v>0.10240088396469056</v>
      </c>
      <c r="O13" s="591">
        <f>('FCD PROJETO'!R65/'FCD PROJETO'!R$53)</f>
        <v>0.10249292117483061</v>
      </c>
      <c r="P13" s="591">
        <f>('FCD PROJETO'!S65/'FCD PROJETO'!S$53)</f>
        <v>0.1025210172584043</v>
      </c>
      <c r="Q13" s="591">
        <f>('FCD PROJETO'!T65/'FCD PROJETO'!T$53)</f>
        <v>0.10254874466990195</v>
      </c>
      <c r="R13" s="591">
        <f>('FCD PROJETO'!U65/'FCD PROJETO'!U$53)</f>
        <v>0.10249057657642252</v>
      </c>
      <c r="S13" s="591">
        <f>('FCD PROJETO'!V65/'FCD PROJETO'!V$53)</f>
        <v>0.10261736093212043</v>
      </c>
      <c r="T13" s="591">
        <f>('FCD PROJETO'!W65/'FCD PROJETO'!W$53)</f>
        <v>0.10258904724486423</v>
      </c>
      <c r="U13" s="591">
        <f>('FCD PROJETO'!X65/'FCD PROJETO'!X$53)</f>
        <v>0.1026335843314175</v>
      </c>
      <c r="V13" s="591">
        <f>('FCD PROJETO'!Y65/'FCD PROJETO'!Y$53)</f>
        <v>0.10265808738087374</v>
      </c>
      <c r="W13" s="591">
        <f>('FCD PROJETO'!Z65/'FCD PROJETO'!Z$53)</f>
        <v>0.10264553962712297</v>
      </c>
      <c r="X13" s="591">
        <f>('FCD PROJETO'!AA65/'FCD PROJETO'!AA$53)</f>
        <v>0.10267000838612785</v>
      </c>
      <c r="Y13" s="591">
        <f>('FCD PROJETO'!AB65/'FCD PROJETO'!AB$53)</f>
        <v>0.10266866307551049</v>
      </c>
      <c r="Z13" s="591">
        <f>('FCD PROJETO'!AC65/'FCD PROJETO'!AC$53)</f>
        <v>0.10269327171103729</v>
      </c>
      <c r="AA13" s="591">
        <f>('FCD PROJETO'!AD65/'FCD PROJETO'!AD$53)</f>
        <v>0.10271184463648805</v>
      </c>
      <c r="AB13" s="591">
        <f>('FCD PROJETO'!AE65/'FCD PROJETO'!AE$53)</f>
        <v>0.1021879900415508</v>
      </c>
      <c r="AC13" s="591">
        <f>('FCD PROJETO'!AF65/'FCD PROJETO'!AF$53)</f>
        <v>0.10222666018661314</v>
      </c>
      <c r="AD13" s="591">
        <f>('FCD PROJETO'!AG65/'FCD PROJETO'!AG$53)</f>
        <v>0.10221361723875767</v>
      </c>
      <c r="AE13" s="591">
        <f>('FCD PROJETO'!AH65/'FCD PROJETO'!AH$53)</f>
        <v>0.10227990414192574</v>
      </c>
      <c r="AF13" s="591">
        <f>('FCD PROJETO'!AI65/'FCD PROJETO'!AI$53)</f>
        <v>0.10230872244693319</v>
      </c>
      <c r="AG13" s="591">
        <f>('FCD PROJETO'!AJ65/'FCD PROJETO'!AJ$53)</f>
        <v>0.10233719277725251</v>
      </c>
      <c r="AH13" s="591">
        <f>('FCD PROJETO'!AK65/'FCD PROJETO'!AK$53)</f>
        <v>0.10236583148763981</v>
      </c>
      <c r="AI13" s="591">
        <f>('FCD PROJETO'!AL65/'FCD PROJETO'!AL$53)</f>
        <v>0.10239404466084064</v>
      </c>
      <c r="AJ13" s="591">
        <f>('FCD PROJETO'!AM65/'FCD PROJETO'!AM$53)</f>
        <v>0.1024151518966553</v>
      </c>
      <c r="AK13" s="591">
        <f>('FCD PROJETO'!AN65/'FCD PROJETO'!AN$53)</f>
        <v>0.10248816267896248</v>
      </c>
      <c r="AL13" s="592">
        <f t="shared" si="1"/>
        <v>0.10144859300052671</v>
      </c>
    </row>
    <row r="14" spans="1:38" x14ac:dyDescent="0.3">
      <c r="B14" s="590" t="str">
        <f>'FCD PROJETO'!B66</f>
        <v>2.2.12 - Pagamento pelo uso de recursos hídricos</v>
      </c>
      <c r="C14" s="591">
        <f>('FCD PROJETO'!F66/'FCD PROJETO'!F$53)</f>
        <v>1.4953953447004823E-2</v>
      </c>
      <c r="D14" s="591">
        <f>('FCD PROJETO'!G66/'FCD PROJETO'!G$53)</f>
        <v>1.4079471835168313E-2</v>
      </c>
      <c r="E14" s="591">
        <f>('FCD PROJETO'!H66/'FCD PROJETO'!H$53)</f>
        <v>1.3103681890719787E-2</v>
      </c>
      <c r="F14" s="591">
        <f>('FCD PROJETO'!I66/'FCD PROJETO'!I$53)</f>
        <v>1.2137739173396283E-2</v>
      </c>
      <c r="G14" s="591">
        <f>('FCD PROJETO'!J66/'FCD PROJETO'!J$53)</f>
        <v>1.1740787784645903E-2</v>
      </c>
      <c r="H14" s="591">
        <f>('FCD PROJETO'!K66/'FCD PROJETO'!K$53)</f>
        <v>1.0942615408113733E-2</v>
      </c>
      <c r="I14" s="591">
        <f>('FCD PROJETO'!L66/'FCD PROJETO'!L$53)</f>
        <v>1.0361404320728291E-2</v>
      </c>
      <c r="J14" s="591">
        <f>('FCD PROJETO'!M66/'FCD PROJETO'!M$53)</f>
        <v>1.0145904220460432E-2</v>
      </c>
      <c r="K14" s="591">
        <f>('FCD PROJETO'!N66/'FCD PROJETO'!N$53)</f>
        <v>9.8684096389909572E-3</v>
      </c>
      <c r="L14" s="591">
        <f>('FCD PROJETO'!O66/'FCD PROJETO'!O$53)</f>
        <v>9.3191633336319E-3</v>
      </c>
      <c r="M14" s="591">
        <f>('FCD PROJETO'!P66/'FCD PROJETO'!P$53)</f>
        <v>9.5064822730008373E-3</v>
      </c>
      <c r="N14" s="591">
        <f>('FCD PROJETO'!Q66/'FCD PROJETO'!Q$53)</f>
        <v>9.5341577582221167E-3</v>
      </c>
      <c r="O14" s="591">
        <f>('FCD PROJETO'!R66/'FCD PROJETO'!R$53)</f>
        <v>9.5416433947219347E-3</v>
      </c>
      <c r="P14" s="591">
        <f>('FCD PROJETO'!S66/'FCD PROJETO'!S$53)</f>
        <v>9.4659621910237277E-3</v>
      </c>
      <c r="Q14" s="591">
        <f>('FCD PROJETO'!T66/'FCD PROJETO'!T$53)</f>
        <v>9.3904876174694639E-3</v>
      </c>
      <c r="R14" s="591">
        <f>('FCD PROJETO'!U66/'FCD PROJETO'!U$53)</f>
        <v>9.5719689961933328E-3</v>
      </c>
      <c r="S14" s="591">
        <f>('FCD PROJETO'!V66/'FCD PROJETO'!V$53)</f>
        <v>9.1962879882667454E-3</v>
      </c>
      <c r="T14" s="591">
        <f>('FCD PROJETO'!W66/'FCD PROJETO'!W$53)</f>
        <v>9.2867880699509242E-3</v>
      </c>
      <c r="U14" s="591">
        <f>('FCD PROJETO'!X66/'FCD PROJETO'!X$53)</f>
        <v>9.1874205946441273E-3</v>
      </c>
      <c r="V14" s="591">
        <f>('FCD PROJETO'!Y66/'FCD PROJETO'!Y$53)</f>
        <v>9.1481943232492868E-3</v>
      </c>
      <c r="W14" s="591">
        <f>('FCD PROJETO'!Z66/'FCD PROJETO'!Z$53)</f>
        <v>9.2187035628195704E-3</v>
      </c>
      <c r="X14" s="591">
        <f>('FCD PROJETO'!AA66/'FCD PROJETO'!AA$53)</f>
        <v>9.1742648660225693E-3</v>
      </c>
      <c r="Y14" s="591">
        <f>('FCD PROJETO'!AB66/'FCD PROJETO'!AB$53)</f>
        <v>9.2072269031759843E-3</v>
      </c>
      <c r="Z14" s="591">
        <f>('FCD PROJETO'!AC66/'FCD PROJETO'!AC$53)</f>
        <v>9.1598747907020283E-3</v>
      </c>
      <c r="AA14" s="591">
        <f>('FCD PROJETO'!AD66/'FCD PROJETO'!AD$53)</f>
        <v>9.1292123085876913E-3</v>
      </c>
      <c r="AB14" s="591">
        <f>('FCD PROJETO'!AE66/'FCD PROJETO'!AE$53)</f>
        <v>9.1465721025104276E-3</v>
      </c>
      <c r="AC14" s="591">
        <f>('FCD PROJETO'!AF66/'FCD PROJETO'!AF$53)</f>
        <v>9.0690649346738799E-3</v>
      </c>
      <c r="AD14" s="591">
        <f>('FCD PROJETO'!AG66/'FCD PROJETO'!AG$53)</f>
        <v>9.1289161858276128E-3</v>
      </c>
      <c r="AE14" s="591">
        <f>('FCD PROJETO'!AH66/'FCD PROJETO'!AH$53)</f>
        <v>8.9762081987279137E-3</v>
      </c>
      <c r="AF14" s="591">
        <f>('FCD PROJETO'!AI66/'FCD PROJETO'!AI$53)</f>
        <v>8.9219450665470219E-3</v>
      </c>
      <c r="AG14" s="591">
        <f>('FCD PROJETO'!AJ66/'FCD PROJETO'!AJ$53)</f>
        <v>8.8666925061761416E-3</v>
      </c>
      <c r="AH14" s="591">
        <f>('FCD PROJETO'!AK66/'FCD PROJETO'!AK$53)</f>
        <v>8.809669135841143E-3</v>
      </c>
      <c r="AI14" s="591">
        <f>('FCD PROJETO'!AL66/'FCD PROJETO'!AL$53)</f>
        <v>8.7526148823161912E-3</v>
      </c>
      <c r="AJ14" s="591">
        <f>('FCD PROJETO'!AM66/'FCD PROJETO'!AM$53)</f>
        <v>8.7089835893821022E-3</v>
      </c>
      <c r="AK14" s="591">
        <f>('FCD PROJETO'!AN66/'FCD PROJETO'!AN$53)</f>
        <v>8.6320027527027922E-3</v>
      </c>
      <c r="AL14" s="592">
        <f t="shared" si="1"/>
        <v>9.8681278870176008E-3</v>
      </c>
    </row>
    <row r="15" spans="1:38" x14ac:dyDescent="0.3">
      <c r="B15" s="590" t="str">
        <f>'FCD PROJETO'!B67</f>
        <v>2.2.13 - Reserva técnica de contingência e emergências</v>
      </c>
      <c r="C15" s="591">
        <f>('FCD PROJETO'!F67/'FCD PROJETO'!F$53)</f>
        <v>1.8063956357649406E-2</v>
      </c>
      <c r="D15" s="591">
        <f>('FCD PROJETO'!G67/'FCD PROJETO'!G$53)</f>
        <v>1.7863583205707668E-2</v>
      </c>
      <c r="E15" s="591">
        <f>('FCD PROJETO'!H67/'FCD PROJETO'!H$53)</f>
        <v>1.8042399912666641E-2</v>
      </c>
      <c r="F15" s="591">
        <f>('FCD PROJETO'!I67/'FCD PROJETO'!I$53)</f>
        <v>1.8175133757660229E-2</v>
      </c>
      <c r="G15" s="591">
        <f>('FCD PROJETO'!J67/'FCD PROJETO'!J$53)</f>
        <v>1.8238220582234968E-2</v>
      </c>
      <c r="H15" s="591">
        <f>('FCD PROJETO'!K67/'FCD PROJETO'!K$53)</f>
        <v>1.8466299690185588E-2</v>
      </c>
      <c r="I15" s="591">
        <f>('FCD PROJETO'!L67/'FCD PROJETO'!L$53)</f>
        <v>1.8516866857933297E-2</v>
      </c>
      <c r="J15" s="591">
        <f>('FCD PROJETO'!M67/'FCD PROJETO'!M$53)</f>
        <v>1.8571653289779656E-2</v>
      </c>
      <c r="K15" s="591">
        <f>('FCD PROJETO'!N67/'FCD PROJETO'!N$53)</f>
        <v>1.8604468133030641E-2</v>
      </c>
      <c r="L15" s="591">
        <f>('FCD PROJETO'!O67/'FCD PROJETO'!O$53)</f>
        <v>1.8663365624845194E-2</v>
      </c>
      <c r="M15" s="591">
        <f>('FCD PROJETO'!P67/'FCD PROJETO'!P$53)</f>
        <v>1.8974640074556352E-2</v>
      </c>
      <c r="N15" s="591">
        <f>('FCD PROJETO'!Q67/'FCD PROJETO'!Q$53)</f>
        <v>1.8974131940528882E-2</v>
      </c>
      <c r="O15" s="591">
        <f>('FCD PROJETO'!R67/'FCD PROJETO'!R$53)</f>
        <v>1.8991185759802923E-2</v>
      </c>
      <c r="P15" s="591">
        <f>('FCD PROJETO'!S67/'FCD PROJETO'!S$53)</f>
        <v>1.8996391757799217E-2</v>
      </c>
      <c r="Q15" s="591">
        <f>('FCD PROJETO'!T67/'FCD PROJETO'!T$53)</f>
        <v>1.9001529443566732E-2</v>
      </c>
      <c r="R15" s="591">
        <f>('FCD PROJETO'!U67/'FCD PROJETO'!U$53)</f>
        <v>1.8990751322932653E-2</v>
      </c>
      <c r="S15" s="591">
        <f>('FCD PROJETO'!V67/'FCD PROJETO'!V$53)</f>
        <v>1.9014243533154552E-2</v>
      </c>
      <c r="T15" s="591">
        <f>('FCD PROJETO'!W67/'FCD PROJETO'!W$53)</f>
        <v>1.9008997214793596E-2</v>
      </c>
      <c r="U15" s="591">
        <f>('FCD PROJETO'!X67/'FCD PROJETO'!X$53)</f>
        <v>1.901724960992722E-2</v>
      </c>
      <c r="V15" s="591">
        <f>('FCD PROJETO'!Y67/'FCD PROJETO'!Y$53)</f>
        <v>1.9021789845082692E-2</v>
      </c>
      <c r="W15" s="591">
        <f>('FCD PROJETO'!Z67/'FCD PROJETO'!Z$53)</f>
        <v>1.9019464838442059E-2</v>
      </c>
      <c r="X15" s="591">
        <f>('FCD PROJETO'!AA67/'FCD PROJETO'!AA$53)</f>
        <v>1.9023998719828662E-2</v>
      </c>
      <c r="Y15" s="591">
        <f>('FCD PROJETO'!AB67/'FCD PROJETO'!AB$53)</f>
        <v>1.9023749443648943E-2</v>
      </c>
      <c r="Z15" s="591">
        <f>('FCD PROJETO'!AC67/'FCD PROJETO'!AC$53)</f>
        <v>1.9028309243128046E-2</v>
      </c>
      <c r="AA15" s="591">
        <f>('FCD PROJETO'!AD67/'FCD PROJETO'!AD$53)</f>
        <v>1.9031750669846061E-2</v>
      </c>
      <c r="AB15" s="591">
        <f>('FCD PROJETO'!AE67/'FCD PROJETO'!AE$53)</f>
        <v>1.8934684259702381E-2</v>
      </c>
      <c r="AC15" s="591">
        <f>('FCD PROJETO'!AF67/'FCD PROJETO'!AF$53)</f>
        <v>1.8941849553654588E-2</v>
      </c>
      <c r="AD15" s="591">
        <f>('FCD PROJETO'!AG67/'FCD PROJETO'!AG$53)</f>
        <v>1.8939432791182216E-2</v>
      </c>
      <c r="AE15" s="591">
        <f>('FCD PROJETO'!AH67/'FCD PROJETO'!AH$53)</f>
        <v>1.8951715267640851E-2</v>
      </c>
      <c r="AF15" s="591">
        <f>('FCD PROJETO'!AI67/'FCD PROJETO'!AI$53)</f>
        <v>1.8957055087966055E-2</v>
      </c>
      <c r="AG15" s="591">
        <f>('FCD PROJETO'!AJ67/'FCD PROJETO'!AJ$53)</f>
        <v>1.8962330431136487E-2</v>
      </c>
      <c r="AH15" s="591">
        <f>('FCD PROJETO'!AK67/'FCD PROJETO'!AK$53)</f>
        <v>1.8967636973897226E-2</v>
      </c>
      <c r="AI15" s="591">
        <f>('FCD PROJETO'!AL67/'FCD PROJETO'!AL$53)</f>
        <v>1.8972864667741722E-2</v>
      </c>
      <c r="AJ15" s="591">
        <f>('FCD PROJETO'!AM67/'FCD PROJETO'!AM$53)</f>
        <v>1.89767756835625E-2</v>
      </c>
      <c r="AK15" s="591">
        <f>('FCD PROJETO'!AN67/'FCD PROJETO'!AN$53)</f>
        <v>1.8990304045456867E-2</v>
      </c>
      <c r="AL15" s="592">
        <f t="shared" si="1"/>
        <v>1.8797679416876371E-2</v>
      </c>
    </row>
    <row r="16" spans="1:38" x14ac:dyDescent="0.3">
      <c r="B16" s="590" t="str">
        <f>'FCD PROJETO'!B69</f>
        <v>2.2.14 - Seguros e Garantias</v>
      </c>
      <c r="C16" s="591">
        <f>('FCD PROJETO'!F69/'FCD PROJETO'!F$53)</f>
        <v>6.6880222141626769E-2</v>
      </c>
      <c r="D16" s="591">
        <f>('FCD PROJETO'!G69/'FCD PROJETO'!G$53)</f>
        <v>7.5161185451418783E-2</v>
      </c>
      <c r="E16" s="591">
        <f>('FCD PROJETO'!H69/'FCD PROJETO'!H$53)</f>
        <v>6.5236585918904647E-2</v>
      </c>
      <c r="F16" s="591">
        <f>('FCD PROJETO'!I69/'FCD PROJETO'!I$53)</f>
        <v>5.7926520393063029E-2</v>
      </c>
      <c r="G16" s="591">
        <f>('FCD PROJETO'!J69/'FCD PROJETO'!J$53)</f>
        <v>5.3789441669652993E-2</v>
      </c>
      <c r="H16" s="591">
        <f>('FCD PROJETO'!K69/'FCD PROJETO'!K$53)</f>
        <v>4.2605217779309069E-2</v>
      </c>
      <c r="I16" s="591">
        <f>('FCD PROJETO'!L69/'FCD PROJETO'!L$53)</f>
        <v>4.0324121939334823E-2</v>
      </c>
      <c r="J16" s="591">
        <f>('FCD PROJETO'!M69/'FCD PROJETO'!M$53)</f>
        <v>3.7711688544309875E-2</v>
      </c>
      <c r="K16" s="591">
        <f>('FCD PROJETO'!N69/'FCD PROJETO'!N$53)</f>
        <v>3.6324272938688798E-2</v>
      </c>
      <c r="L16" s="591">
        <f>('FCD PROJETO'!O69/'FCD PROJETO'!O$53)</f>
        <v>3.4028576843423385E-2</v>
      </c>
      <c r="M16" s="591">
        <f>('FCD PROJETO'!P69/'FCD PROJETO'!P$53)</f>
        <v>1.7751786053364523E-2</v>
      </c>
      <c r="N16" s="591">
        <f>('FCD PROJETO'!Q69/'FCD PROJETO'!Q$53)</f>
        <v>1.7620040908062587E-2</v>
      </c>
      <c r="O16" s="591">
        <f>('FCD PROJETO'!R69/'FCD PROJETO'!R$53)</f>
        <v>1.6683772553365395E-2</v>
      </c>
      <c r="P16" s="591">
        <f>('FCD PROJETO'!S69/'FCD PROJETO'!S$53)</f>
        <v>1.6482931153883967E-2</v>
      </c>
      <c r="Q16" s="591">
        <f>('FCD PROJETO'!T69/'FCD PROJETO'!T$53)</f>
        <v>1.628834572905459E-2</v>
      </c>
      <c r="R16" s="591">
        <f>('FCD PROJETO'!U69/'FCD PROJETO'!U$53)</f>
        <v>1.6505478940232736E-2</v>
      </c>
      <c r="S16" s="591">
        <f>('FCD PROJETO'!V69/'FCD PROJETO'!V$53)</f>
        <v>1.584872577688811E-2</v>
      </c>
      <c r="T16" s="591">
        <f>('FCD PROJETO'!W69/'FCD PROJETO'!W$53)</f>
        <v>1.5928138908806632E-2</v>
      </c>
      <c r="U16" s="591">
        <f>('FCD PROJETO'!X69/'FCD PROJETO'!X$53)</f>
        <v>1.5671318901290171E-2</v>
      </c>
      <c r="V16" s="591">
        <f>('FCD PROJETO'!Y69/'FCD PROJETO'!Y$53)</f>
        <v>1.550863016529253E-2</v>
      </c>
      <c r="W16" s="591">
        <f>('FCD PROJETO'!Z69/'FCD PROJETO'!Z$53)</f>
        <v>1.5523798557524083E-2</v>
      </c>
      <c r="X16" s="591">
        <f>('FCD PROJETO'!AA69/'FCD PROJETO'!AA$53)</f>
        <v>1.5368536988562762E-2</v>
      </c>
      <c r="Y16" s="591">
        <f>('FCD PROJETO'!AB69/'FCD PROJETO'!AB$53)</f>
        <v>1.5336318297897953E-2</v>
      </c>
      <c r="Z16" s="591">
        <f>('FCD PROJETO'!AC69/'FCD PROJETO'!AC$53)</f>
        <v>1.5184556345582273E-2</v>
      </c>
      <c r="AA16" s="591">
        <f>('FCD PROJETO'!AD69/'FCD PROJETO'!AD$53)</f>
        <v>1.506372737514132E-2</v>
      </c>
      <c r="AB16" s="591">
        <f>('FCD PROJETO'!AE69/'FCD PROJETO'!AE$53)</f>
        <v>1.9993207945321289E-2</v>
      </c>
      <c r="AC16" s="591">
        <f>('FCD PROJETO'!AF69/'FCD PROJETO'!AF$53)</f>
        <v>1.9754429505260906E-2</v>
      </c>
      <c r="AD16" s="591">
        <f>('FCD PROJETO'!AG69/'FCD PROJETO'!AG$53)</f>
        <v>1.978966065159261E-2</v>
      </c>
      <c r="AE16" s="591">
        <f>('FCD PROJETO'!AH69/'FCD PROJETO'!AH$53)</f>
        <v>1.9407521146293051E-2</v>
      </c>
      <c r="AF16" s="591">
        <f>('FCD PROJETO'!AI69/'FCD PROJETO'!AI$53)</f>
        <v>1.9226014219113598E-2</v>
      </c>
      <c r="AG16" s="591">
        <f>('FCD PROJETO'!AJ69/'FCD PROJETO'!AJ$53)</f>
        <v>1.9048014160993967E-2</v>
      </c>
      <c r="AH16" s="591">
        <f>('FCD PROJETO'!AK69/'FCD PROJETO'!AK$53)</f>
        <v>1.8872096293131267E-2</v>
      </c>
      <c r="AI16" s="591">
        <f>('FCD PROJETO'!AL69/'FCD PROJETO'!AL$53)</f>
        <v>1.869823711937206E-2</v>
      </c>
      <c r="AJ16" s="591">
        <f>('FCD PROJETO'!AM69/'FCD PROJETO'!AM$53)</f>
        <v>1.8565807502875113E-2</v>
      </c>
      <c r="AK16" s="591">
        <f>('FCD PROJETO'!AN69/'FCD PROJETO'!AN$53)</f>
        <v>1.8003413945965514E-2</v>
      </c>
      <c r="AL16" s="592">
        <f t="shared" si="1"/>
        <v>2.6917495507560032E-2</v>
      </c>
    </row>
    <row r="17" spans="2:38" x14ac:dyDescent="0.3">
      <c r="B17" s="590" t="str">
        <f>'FCD PROJETO'!B76</f>
        <v>2.2.15 - Taxa de Administração Central</v>
      </c>
      <c r="C17" s="591">
        <f>('FCD PROJETO'!F76/'FCD PROJETO'!F$53)</f>
        <v>1.1858003618253222E-2</v>
      </c>
      <c r="D17" s="591">
        <f>('FCD PROJETO'!G76/'FCD PROJETO'!G$53)</f>
        <v>1.379607105749027E-2</v>
      </c>
      <c r="E17" s="591">
        <f>('FCD PROJETO'!H76/'FCD PROJETO'!H$53)</f>
        <v>1.4601018535096754E-2</v>
      </c>
      <c r="F17" s="591">
        <f>('FCD PROJETO'!I76/'FCD PROJETO'!I$53)</f>
        <v>1.5141657966265388E-2</v>
      </c>
      <c r="G17" s="591">
        <f>('FCD PROJETO'!J76/'FCD PROJETO'!J$53)</f>
        <v>1.6061308636363517E-2</v>
      </c>
      <c r="H17" s="591">
        <f>('FCD PROJETO'!K76/'FCD PROJETO'!K$53)</f>
        <v>1.5613498021225846E-2</v>
      </c>
      <c r="I17" s="591">
        <f>('FCD PROJETO'!L76/'FCD PROJETO'!L$53)</f>
        <v>1.5315668306066668E-2</v>
      </c>
      <c r="J17" s="591">
        <f>('FCD PROJETO'!M76/'FCD PROJETO'!M$53)</f>
        <v>1.5133993676927877E-2</v>
      </c>
      <c r="K17" s="591">
        <f>('FCD PROJETO'!N76/'FCD PROJETO'!N$53)</f>
        <v>1.4847852276748454E-2</v>
      </c>
      <c r="L17" s="591">
        <f>('FCD PROJETO'!O76/'FCD PROJETO'!O$53)</f>
        <v>1.4139776289471563E-2</v>
      </c>
      <c r="M17" s="591">
        <f>('FCD PROJETO'!P76/'FCD PROJETO'!P$53)</f>
        <v>1.4541570144261256E-2</v>
      </c>
      <c r="N17" s="591">
        <f>('FCD PROJETO'!Q76/'FCD PROJETO'!Q$53)</f>
        <v>1.4699230124964461E-2</v>
      </c>
      <c r="O17" s="591">
        <f>('FCD PROJETO'!R76/'FCD PROJETO'!R$53)</f>
        <v>1.4765753696685625E-2</v>
      </c>
      <c r="P17" s="591">
        <f>('FCD PROJETO'!S76/'FCD PROJETO'!S$53)</f>
        <v>1.4701089198355676E-2</v>
      </c>
      <c r="Q17" s="591">
        <f>('FCD PROJETO'!T76/'FCD PROJETO'!T$53)</f>
        <v>1.46336526490423E-2</v>
      </c>
      <c r="R17" s="591">
        <f>('FCD PROJETO'!U76/'FCD PROJETO'!U$53)</f>
        <v>1.4966203590202199E-2</v>
      </c>
      <c r="S17" s="591">
        <f>('FCD PROJETO'!V76/'FCD PROJETO'!V$53)</f>
        <v>1.4424854032229784E-2</v>
      </c>
      <c r="T17" s="591">
        <f>('FCD PROJETO'!W76/'FCD PROJETO'!W$53)</f>
        <v>1.4613003136719871E-2</v>
      </c>
      <c r="U17" s="591">
        <f>('FCD PROJETO'!X76/'FCD PROJETO'!X$53)</f>
        <v>1.4448950992421654E-2</v>
      </c>
      <c r="V17" s="591">
        <f>('FCD PROJETO'!Y76/'FCD PROJETO'!Y$53)</f>
        <v>1.4380087735490238E-2</v>
      </c>
      <c r="W17" s="591">
        <f>('FCD PROJETO'!Z76/'FCD PROJETO'!Z$53)</f>
        <v>1.4483494681930827E-2</v>
      </c>
      <c r="X17" s="591">
        <f>('FCD PROJETO'!AA76/'FCD PROJETO'!AA$53)</f>
        <v>1.4407528300175453E-2</v>
      </c>
      <c r="Y17" s="591">
        <f>('FCD PROJETO'!AB76/'FCD PROJETO'!AB$53)</f>
        <v>1.44524600760059E-2</v>
      </c>
      <c r="Z17" s="591">
        <f>('FCD PROJETO'!AC76/'FCD PROJETO'!AC$53)</f>
        <v>1.4371672254887446E-2</v>
      </c>
      <c r="AA17" s="591">
        <f>('FCD PROJETO'!AD76/'FCD PROJETO'!AD$53)</f>
        <v>1.431698846270953E-2</v>
      </c>
      <c r="AB17" s="591">
        <f>('FCD PROJETO'!AE76/'FCD PROJETO'!AE$53)</f>
        <v>1.4337894809857379E-2</v>
      </c>
      <c r="AC17" s="591">
        <f>('FCD PROJETO'!AF76/'FCD PROJETO'!AF$53)</f>
        <v>1.4211243258355441E-2</v>
      </c>
      <c r="AD17" s="591">
        <f>('FCD PROJETO'!AG76/'FCD PROJETO'!AG$53)</f>
        <v>1.4299266998114081E-2</v>
      </c>
      <c r="AE17" s="591">
        <f>('FCD PROJETO'!AH76/'FCD PROJETO'!AH$53)</f>
        <v>1.4055000204023308E-2</v>
      </c>
      <c r="AF17" s="591">
        <f>('FCD PROJETO'!AI76/'FCD PROJETO'!AI$53)</f>
        <v>1.3964176294617337E-2</v>
      </c>
      <c r="AG17" s="591">
        <f>('FCD PROJETO'!AJ76/'FCD PROJETO'!AJ$53)</f>
        <v>1.3873133851044954E-2</v>
      </c>
      <c r="AH17" s="591">
        <f>('FCD PROJETO'!AK76/'FCD PROJETO'!AK$53)</f>
        <v>1.3778418038110363E-2</v>
      </c>
      <c r="AI17" s="591">
        <f>('FCD PROJETO'!AL76/'FCD PROJETO'!AL$53)</f>
        <v>1.3685664825800001E-2</v>
      </c>
      <c r="AJ17" s="591">
        <f>('FCD PROJETO'!AM76/'FCD PROJETO'!AM$53)</f>
        <v>1.3618632635437404E-2</v>
      </c>
      <c r="AK17" s="591">
        <f>('FCD PROJETO'!AN76/'FCD PROJETO'!AN$53)</f>
        <v>1.3491079735734261E-2</v>
      </c>
      <c r="AL17" s="592">
        <f t="shared" si="1"/>
        <v>1.4400854231745317E-2</v>
      </c>
    </row>
    <row r="18" spans="2:38" ht="15" thickBot="1" x14ac:dyDescent="0.35">
      <c r="B18" s="594" t="s">
        <v>5</v>
      </c>
      <c r="C18" s="595">
        <f>SUM(C3:C17)</f>
        <v>0.99999999999999978</v>
      </c>
      <c r="D18" s="595">
        <f t="shared" ref="D18:AL18" si="2">SUM(D3:D17)</f>
        <v>1</v>
      </c>
      <c r="E18" s="595">
        <f t="shared" si="2"/>
        <v>1</v>
      </c>
      <c r="F18" s="595">
        <f t="shared" si="2"/>
        <v>1.0000000000000002</v>
      </c>
      <c r="G18" s="595">
        <f t="shared" si="2"/>
        <v>0.99999999999999989</v>
      </c>
      <c r="H18" s="595">
        <f t="shared" si="2"/>
        <v>0.99999999999999967</v>
      </c>
      <c r="I18" s="595">
        <f t="shared" si="2"/>
        <v>0.99999999999999978</v>
      </c>
      <c r="J18" s="595">
        <f t="shared" si="2"/>
        <v>1.0000000000000002</v>
      </c>
      <c r="K18" s="595">
        <f t="shared" si="2"/>
        <v>0.99999999999999989</v>
      </c>
      <c r="L18" s="595">
        <f t="shared" si="2"/>
        <v>0.99999999999999978</v>
      </c>
      <c r="M18" s="595">
        <f t="shared" si="2"/>
        <v>0.99999999999999989</v>
      </c>
      <c r="N18" s="595">
        <f t="shared" si="2"/>
        <v>1.0000000000000002</v>
      </c>
      <c r="O18" s="595">
        <f t="shared" si="2"/>
        <v>1</v>
      </c>
      <c r="P18" s="595">
        <f t="shared" si="2"/>
        <v>0.99999999999999978</v>
      </c>
      <c r="Q18" s="595">
        <f t="shared" si="2"/>
        <v>0.99999999999999989</v>
      </c>
      <c r="R18" s="595">
        <f t="shared" si="2"/>
        <v>1</v>
      </c>
      <c r="S18" s="595">
        <f t="shared" si="2"/>
        <v>1</v>
      </c>
      <c r="T18" s="595">
        <f t="shared" si="2"/>
        <v>0.99999999999999967</v>
      </c>
      <c r="U18" s="595">
        <f t="shared" si="2"/>
        <v>0.99999999999999989</v>
      </c>
      <c r="V18" s="595">
        <f t="shared" si="2"/>
        <v>1.0000000000000002</v>
      </c>
      <c r="W18" s="595">
        <f t="shared" si="2"/>
        <v>1</v>
      </c>
      <c r="X18" s="595">
        <f t="shared" si="2"/>
        <v>0.99999999999999978</v>
      </c>
      <c r="Y18" s="595">
        <f t="shared" si="2"/>
        <v>1</v>
      </c>
      <c r="Z18" s="595">
        <f t="shared" si="2"/>
        <v>1</v>
      </c>
      <c r="AA18" s="595">
        <f t="shared" si="2"/>
        <v>0.99999999999999978</v>
      </c>
      <c r="AB18" s="595">
        <f t="shared" si="2"/>
        <v>1.0000000000000002</v>
      </c>
      <c r="AC18" s="595">
        <f t="shared" si="2"/>
        <v>1</v>
      </c>
      <c r="AD18" s="595">
        <f t="shared" si="2"/>
        <v>0.99999999999999989</v>
      </c>
      <c r="AE18" s="595">
        <f t="shared" si="2"/>
        <v>1</v>
      </c>
      <c r="AF18" s="595">
        <f t="shared" si="2"/>
        <v>0.99999999999999989</v>
      </c>
      <c r="AG18" s="595">
        <f t="shared" si="2"/>
        <v>1</v>
      </c>
      <c r="AH18" s="595">
        <f t="shared" si="2"/>
        <v>1</v>
      </c>
      <c r="AI18" s="595">
        <f t="shared" si="2"/>
        <v>1</v>
      </c>
      <c r="AJ18" s="595">
        <f t="shared" si="2"/>
        <v>1</v>
      </c>
      <c r="AK18" s="595">
        <f t="shared" si="2"/>
        <v>1</v>
      </c>
      <c r="AL18" s="596">
        <f t="shared" si="2"/>
        <v>1</v>
      </c>
    </row>
  </sheetData>
  <pageMargins left="0.511811024" right="0.511811024" top="0.78740157499999996" bottom="0.78740157499999996" header="0.31496062000000002" footer="0.3149606200000000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25"/>
  <sheetViews>
    <sheetView showGridLines="0" workbookViewId="0">
      <selection activeCell="G29" sqref="G29"/>
    </sheetView>
  </sheetViews>
  <sheetFormatPr defaultRowHeight="14.4" x14ac:dyDescent="0.3"/>
  <cols>
    <col min="1" max="1" width="14.88671875" bestFit="1" customWidth="1"/>
    <col min="2" max="2" width="45.44140625" customWidth="1"/>
    <col min="3" max="3" width="8" customWidth="1"/>
    <col min="4" max="33" width="11.6640625" customWidth="1"/>
    <col min="34" max="34" width="11.88671875" customWidth="1"/>
    <col min="35" max="35" width="11.5546875" customWidth="1"/>
    <col min="36" max="37" width="12.5546875" customWidth="1"/>
    <col min="38" max="38" width="13.44140625" customWidth="1"/>
  </cols>
  <sheetData>
    <row r="1" spans="1:38" x14ac:dyDescent="0.3">
      <c r="A1" s="318" t="s">
        <v>522</v>
      </c>
      <c r="B1" s="833" t="s">
        <v>932</v>
      </c>
      <c r="C1" s="834">
        <v>1.0973999999999999</v>
      </c>
    </row>
    <row r="2" spans="1:38" x14ac:dyDescent="0.3">
      <c r="A2" s="147" t="s">
        <v>528</v>
      </c>
    </row>
    <row r="3" spans="1:38" x14ac:dyDescent="0.3">
      <c r="A3" s="222" t="s">
        <v>524</v>
      </c>
      <c r="B3" s="1120" t="s">
        <v>215</v>
      </c>
      <c r="C3" s="1120" t="s">
        <v>216</v>
      </c>
      <c r="D3" s="138">
        <f>'FCD PROJETO'!F23</f>
        <v>1</v>
      </c>
      <c r="E3" s="138">
        <f>'FCD PROJETO'!G23</f>
        <v>2</v>
      </c>
      <c r="F3" s="138">
        <f>'FCD PROJETO'!H23</f>
        <v>3</v>
      </c>
      <c r="G3" s="138">
        <f>'FCD PROJETO'!I23</f>
        <v>4</v>
      </c>
      <c r="H3" s="138">
        <f>'FCD PROJETO'!J23</f>
        <v>5</v>
      </c>
      <c r="I3" s="138">
        <f>'FCD PROJETO'!K23</f>
        <v>6</v>
      </c>
      <c r="J3" s="138">
        <f>'FCD PROJETO'!L23</f>
        <v>7</v>
      </c>
      <c r="K3" s="138">
        <f>'FCD PROJETO'!M23</f>
        <v>8</v>
      </c>
      <c r="L3" s="138">
        <f>'FCD PROJETO'!N23</f>
        <v>9</v>
      </c>
      <c r="M3" s="138">
        <f>'FCD PROJETO'!O23</f>
        <v>10</v>
      </c>
      <c r="N3" s="138">
        <f>'FCD PROJETO'!P23</f>
        <v>11</v>
      </c>
      <c r="O3" s="138">
        <f>'FCD PROJETO'!Q23</f>
        <v>12</v>
      </c>
      <c r="P3" s="138">
        <f>'FCD PROJETO'!R23</f>
        <v>13</v>
      </c>
      <c r="Q3" s="138">
        <f>'FCD PROJETO'!S23</f>
        <v>14</v>
      </c>
      <c r="R3" s="138">
        <f>'FCD PROJETO'!T23</f>
        <v>15</v>
      </c>
      <c r="S3" s="138">
        <f>'FCD PROJETO'!U23</f>
        <v>16</v>
      </c>
      <c r="T3" s="138">
        <f>'FCD PROJETO'!V23</f>
        <v>17</v>
      </c>
      <c r="U3" s="138">
        <f>'FCD PROJETO'!W23</f>
        <v>18</v>
      </c>
      <c r="V3" s="138">
        <f>'FCD PROJETO'!X23</f>
        <v>19</v>
      </c>
      <c r="W3" s="138">
        <f>'FCD PROJETO'!Y23</f>
        <v>20</v>
      </c>
      <c r="X3" s="138">
        <f>'FCD PROJETO'!Z23</f>
        <v>21</v>
      </c>
      <c r="Y3" s="138">
        <f>'FCD PROJETO'!AA23</f>
        <v>22</v>
      </c>
      <c r="Z3" s="138">
        <f>'FCD PROJETO'!AB23</f>
        <v>23</v>
      </c>
      <c r="AA3" s="138">
        <f>'FCD PROJETO'!AC23</f>
        <v>24</v>
      </c>
      <c r="AB3" s="138">
        <f>'FCD PROJETO'!AD23</f>
        <v>25</v>
      </c>
      <c r="AC3" s="138">
        <f>'FCD PROJETO'!AE23</f>
        <v>26</v>
      </c>
      <c r="AD3" s="138">
        <f>'FCD PROJETO'!AF23</f>
        <v>27</v>
      </c>
      <c r="AE3" s="138">
        <f>'FCD PROJETO'!AG23</f>
        <v>28</v>
      </c>
      <c r="AF3" s="138">
        <f>'FCD PROJETO'!AH23</f>
        <v>29</v>
      </c>
      <c r="AG3" s="138">
        <f>'FCD PROJETO'!AI23</f>
        <v>30</v>
      </c>
      <c r="AH3" s="138">
        <f>'FCD PROJETO'!AJ23</f>
        <v>31</v>
      </c>
      <c r="AI3" s="138">
        <f>'FCD PROJETO'!AK23</f>
        <v>32</v>
      </c>
      <c r="AJ3" s="138">
        <f>'FCD PROJETO'!AL23</f>
        <v>33</v>
      </c>
      <c r="AK3" s="138">
        <f>'FCD PROJETO'!AM23</f>
        <v>34</v>
      </c>
      <c r="AL3" s="138">
        <f>'FCD PROJETO'!AN23</f>
        <v>35</v>
      </c>
    </row>
    <row r="4" spans="1:38" x14ac:dyDescent="0.3">
      <c r="B4" s="1120"/>
      <c r="C4" s="1120"/>
      <c r="D4" s="138">
        <f>Cronograma!C4</f>
        <v>2027</v>
      </c>
      <c r="E4" s="138">
        <f>Cronograma!D4</f>
        <v>2028</v>
      </c>
      <c r="F4" s="138">
        <f>Cronograma!E4</f>
        <v>2029</v>
      </c>
      <c r="G4" s="138">
        <f>Cronograma!F4</f>
        <v>2030</v>
      </c>
      <c r="H4" s="138">
        <f>Cronograma!G4</f>
        <v>2031</v>
      </c>
      <c r="I4" s="138">
        <f>Cronograma!H4</f>
        <v>2032</v>
      </c>
      <c r="J4" s="138">
        <f>Cronograma!I4</f>
        <v>2033</v>
      </c>
      <c r="K4" s="138">
        <f>Cronograma!J4</f>
        <v>2034</v>
      </c>
      <c r="L4" s="138">
        <f>Cronograma!K4</f>
        <v>2035</v>
      </c>
      <c r="M4" s="138">
        <f>Cronograma!L4</f>
        <v>2036</v>
      </c>
      <c r="N4" s="138">
        <f>Cronograma!M4</f>
        <v>2037</v>
      </c>
      <c r="O4" s="138">
        <f>Cronograma!N4</f>
        <v>2038</v>
      </c>
      <c r="P4" s="138">
        <f>Cronograma!O4</f>
        <v>2039</v>
      </c>
      <c r="Q4" s="138">
        <f>Cronograma!P4</f>
        <v>2040</v>
      </c>
      <c r="R4" s="138">
        <f>Cronograma!Q4</f>
        <v>2041</v>
      </c>
      <c r="S4" s="138">
        <f>Cronograma!R4</f>
        <v>2042</v>
      </c>
      <c r="T4" s="138">
        <f>Cronograma!S4</f>
        <v>2043</v>
      </c>
      <c r="U4" s="138">
        <f>Cronograma!T4</f>
        <v>2044</v>
      </c>
      <c r="V4" s="138">
        <f>Cronograma!U4</f>
        <v>2045</v>
      </c>
      <c r="W4" s="138">
        <f>Cronograma!V4</f>
        <v>2046</v>
      </c>
      <c r="X4" s="138">
        <f>Cronograma!W4</f>
        <v>2047</v>
      </c>
      <c r="Y4" s="138">
        <f>Cronograma!X4</f>
        <v>2048</v>
      </c>
      <c r="Z4" s="138">
        <f>Cronograma!Y4</f>
        <v>2049</v>
      </c>
      <c r="AA4" s="138">
        <f>Cronograma!Z4</f>
        <v>2050</v>
      </c>
      <c r="AB4" s="138">
        <f>Cronograma!AA4</f>
        <v>2051</v>
      </c>
      <c r="AC4" s="138">
        <f>Cronograma!AB4</f>
        <v>2052</v>
      </c>
      <c r="AD4" s="138">
        <f>Cronograma!AC4</f>
        <v>2053</v>
      </c>
      <c r="AE4" s="138">
        <f>Cronograma!AD4</f>
        <v>2054</v>
      </c>
      <c r="AF4" s="138">
        <f>Cronograma!AE4</f>
        <v>2055</v>
      </c>
      <c r="AG4" s="138">
        <f>Cronograma!AF4</f>
        <v>2056</v>
      </c>
      <c r="AH4" s="138">
        <f>Cronograma!AG4</f>
        <v>2057</v>
      </c>
      <c r="AI4" s="138">
        <f>Cronograma!AH4</f>
        <v>2058</v>
      </c>
      <c r="AJ4" s="138">
        <f>Cronograma!AI4</f>
        <v>2059</v>
      </c>
      <c r="AK4" s="138">
        <f>Cronograma!AJ4</f>
        <v>2060</v>
      </c>
      <c r="AL4" s="138">
        <f>Cronograma!AK4</f>
        <v>2061</v>
      </c>
    </row>
    <row r="5" spans="1:38" x14ac:dyDescent="0.3">
      <c r="B5" s="243" t="s">
        <v>295</v>
      </c>
      <c r="C5" s="244" t="s">
        <v>294</v>
      </c>
      <c r="D5" s="349">
        <v>15</v>
      </c>
      <c r="E5" s="349">
        <v>16</v>
      </c>
      <c r="F5" s="349">
        <v>19</v>
      </c>
      <c r="G5" s="349">
        <v>20</v>
      </c>
      <c r="H5" s="349">
        <v>23</v>
      </c>
      <c r="I5" s="349">
        <v>23</v>
      </c>
      <c r="J5" s="349">
        <v>24</v>
      </c>
      <c r="K5" s="349">
        <v>25</v>
      </c>
      <c r="L5" s="349">
        <v>27</v>
      </c>
      <c r="M5" s="349">
        <v>27</v>
      </c>
      <c r="N5" s="349">
        <v>27</v>
      </c>
      <c r="O5" s="349">
        <v>27</v>
      </c>
      <c r="P5" s="349">
        <v>28</v>
      </c>
      <c r="Q5" s="349">
        <v>28</v>
      </c>
      <c r="R5" s="349">
        <v>28</v>
      </c>
      <c r="S5" s="349">
        <v>28</v>
      </c>
      <c r="T5" s="349">
        <v>33</v>
      </c>
      <c r="U5" s="349">
        <v>33</v>
      </c>
      <c r="V5" s="349">
        <v>35</v>
      </c>
      <c r="W5" s="349">
        <v>35</v>
      </c>
      <c r="X5" s="349">
        <v>35</v>
      </c>
      <c r="Y5" s="349">
        <v>36</v>
      </c>
      <c r="Z5" s="349">
        <v>36</v>
      </c>
      <c r="AA5" s="349">
        <v>36</v>
      </c>
      <c r="AB5" s="349">
        <v>36</v>
      </c>
      <c r="AC5" s="349">
        <v>36</v>
      </c>
      <c r="AD5" s="349">
        <v>36</v>
      </c>
      <c r="AE5" s="349">
        <v>36</v>
      </c>
      <c r="AF5" s="349">
        <v>41</v>
      </c>
      <c r="AG5" s="349">
        <v>41</v>
      </c>
      <c r="AH5" s="349">
        <v>41</v>
      </c>
      <c r="AI5" s="349">
        <v>41</v>
      </c>
      <c r="AJ5" s="349">
        <v>41</v>
      </c>
      <c r="AK5" s="349">
        <v>41</v>
      </c>
      <c r="AL5" s="349">
        <v>41</v>
      </c>
    </row>
    <row r="6" spans="1:38" x14ac:dyDescent="0.3">
      <c r="B6" s="243" t="s">
        <v>296</v>
      </c>
      <c r="C6" s="244" t="s">
        <v>294</v>
      </c>
      <c r="D6" s="349">
        <v>10</v>
      </c>
      <c r="E6" s="349">
        <v>14</v>
      </c>
      <c r="F6" s="349">
        <v>14</v>
      </c>
      <c r="G6" s="349">
        <v>12</v>
      </c>
      <c r="H6" s="349">
        <v>10</v>
      </c>
      <c r="I6" s="349">
        <v>10</v>
      </c>
      <c r="J6" s="349">
        <v>10</v>
      </c>
      <c r="K6" s="349">
        <v>13</v>
      </c>
      <c r="L6" s="349">
        <v>13</v>
      </c>
      <c r="M6" s="349">
        <v>13</v>
      </c>
      <c r="N6" s="349">
        <v>13</v>
      </c>
      <c r="O6" s="349">
        <v>13</v>
      </c>
      <c r="P6" s="349">
        <v>13</v>
      </c>
      <c r="Q6" s="349">
        <v>13</v>
      </c>
      <c r="R6" s="349">
        <v>13</v>
      </c>
      <c r="S6" s="349">
        <v>13</v>
      </c>
      <c r="T6" s="349">
        <v>20</v>
      </c>
      <c r="U6" s="349">
        <v>20</v>
      </c>
      <c r="V6" s="349">
        <v>20</v>
      </c>
      <c r="W6" s="349">
        <v>20</v>
      </c>
      <c r="X6" s="349">
        <v>20</v>
      </c>
      <c r="Y6" s="349">
        <v>20</v>
      </c>
      <c r="Z6" s="349">
        <v>20</v>
      </c>
      <c r="AA6" s="349">
        <v>20</v>
      </c>
      <c r="AB6" s="349">
        <v>20</v>
      </c>
      <c r="AC6" s="349">
        <v>20</v>
      </c>
      <c r="AD6" s="349">
        <v>20</v>
      </c>
      <c r="AE6" s="349">
        <v>20</v>
      </c>
      <c r="AF6" s="349">
        <v>20</v>
      </c>
      <c r="AG6" s="349">
        <v>20</v>
      </c>
      <c r="AH6" s="349">
        <v>20</v>
      </c>
      <c r="AI6" s="349">
        <v>20</v>
      </c>
      <c r="AJ6" s="349">
        <v>20</v>
      </c>
      <c r="AK6" s="349">
        <v>20</v>
      </c>
      <c r="AL6" s="349">
        <v>20</v>
      </c>
    </row>
    <row r="7" spans="1:38" x14ac:dyDescent="0.3">
      <c r="B7" s="243" t="s">
        <v>297</v>
      </c>
      <c r="C7" s="244" t="s">
        <v>294</v>
      </c>
      <c r="D7" s="349">
        <v>1</v>
      </c>
      <c r="E7" s="349">
        <v>1</v>
      </c>
      <c r="F7" s="349">
        <v>1</v>
      </c>
      <c r="G7" s="349">
        <v>1</v>
      </c>
      <c r="H7" s="349">
        <v>1</v>
      </c>
      <c r="I7" s="349">
        <v>1</v>
      </c>
      <c r="J7" s="349">
        <v>1</v>
      </c>
      <c r="K7" s="349">
        <v>1</v>
      </c>
      <c r="L7" s="349">
        <v>1</v>
      </c>
      <c r="M7" s="349">
        <v>1</v>
      </c>
      <c r="N7" s="349">
        <v>1</v>
      </c>
      <c r="O7" s="349">
        <v>1</v>
      </c>
      <c r="P7" s="349">
        <v>1</v>
      </c>
      <c r="Q7" s="349">
        <v>1</v>
      </c>
      <c r="R7" s="349">
        <v>1</v>
      </c>
      <c r="S7" s="349">
        <v>1</v>
      </c>
      <c r="T7" s="349">
        <v>1</v>
      </c>
      <c r="U7" s="349">
        <v>1</v>
      </c>
      <c r="V7" s="349">
        <v>1</v>
      </c>
      <c r="W7" s="349">
        <v>1</v>
      </c>
      <c r="X7" s="349">
        <v>1</v>
      </c>
      <c r="Y7" s="349">
        <v>1</v>
      </c>
      <c r="Z7" s="349">
        <v>1</v>
      </c>
      <c r="AA7" s="349">
        <v>1</v>
      </c>
      <c r="AB7" s="349">
        <v>1</v>
      </c>
      <c r="AC7" s="349">
        <v>1</v>
      </c>
      <c r="AD7" s="349">
        <v>1</v>
      </c>
      <c r="AE7" s="349">
        <v>1</v>
      </c>
      <c r="AF7" s="349">
        <v>1</v>
      </c>
      <c r="AG7" s="349">
        <v>1</v>
      </c>
      <c r="AH7" s="349">
        <v>1</v>
      </c>
      <c r="AI7" s="349">
        <v>1</v>
      </c>
      <c r="AJ7" s="349">
        <v>1</v>
      </c>
      <c r="AK7" s="349">
        <v>1</v>
      </c>
      <c r="AL7" s="349">
        <v>1</v>
      </c>
    </row>
    <row r="8" spans="1:38" x14ac:dyDescent="0.3">
      <c r="B8" s="243" t="s">
        <v>298</v>
      </c>
      <c r="C8" s="244" t="s">
        <v>294</v>
      </c>
      <c r="D8" s="349">
        <v>8</v>
      </c>
      <c r="E8" s="349">
        <v>8</v>
      </c>
      <c r="F8" s="349">
        <v>8</v>
      </c>
      <c r="G8" s="349">
        <v>8</v>
      </c>
      <c r="H8" s="349">
        <v>8</v>
      </c>
      <c r="I8" s="349">
        <v>8</v>
      </c>
      <c r="J8" s="349">
        <v>9</v>
      </c>
      <c r="K8" s="349">
        <v>10</v>
      </c>
      <c r="L8" s="349">
        <v>10</v>
      </c>
      <c r="M8" s="349">
        <v>10</v>
      </c>
      <c r="N8" s="349">
        <v>10</v>
      </c>
      <c r="O8" s="349">
        <v>10</v>
      </c>
      <c r="P8" s="349">
        <v>10</v>
      </c>
      <c r="Q8" s="349">
        <v>10</v>
      </c>
      <c r="R8" s="349">
        <v>10</v>
      </c>
      <c r="S8" s="349">
        <v>10</v>
      </c>
      <c r="T8" s="349">
        <v>12</v>
      </c>
      <c r="U8" s="349">
        <v>12</v>
      </c>
      <c r="V8" s="349">
        <v>12</v>
      </c>
      <c r="W8" s="349">
        <v>12</v>
      </c>
      <c r="X8" s="349">
        <v>12</v>
      </c>
      <c r="Y8" s="349">
        <v>12</v>
      </c>
      <c r="Z8" s="349">
        <v>13</v>
      </c>
      <c r="AA8" s="349">
        <v>13</v>
      </c>
      <c r="AB8" s="349">
        <v>13</v>
      </c>
      <c r="AC8" s="349">
        <v>13</v>
      </c>
      <c r="AD8" s="349">
        <v>13</v>
      </c>
      <c r="AE8" s="349">
        <v>13</v>
      </c>
      <c r="AF8" s="349">
        <v>13</v>
      </c>
      <c r="AG8" s="349">
        <v>13</v>
      </c>
      <c r="AH8" s="349">
        <v>13</v>
      </c>
      <c r="AI8" s="349">
        <v>13</v>
      </c>
      <c r="AJ8" s="349">
        <v>13</v>
      </c>
      <c r="AK8" s="349">
        <v>13</v>
      </c>
      <c r="AL8" s="349">
        <v>13</v>
      </c>
    </row>
    <row r="9" spans="1:38" x14ac:dyDescent="0.3">
      <c r="B9" s="243" t="s">
        <v>299</v>
      </c>
      <c r="C9" s="244" t="s">
        <v>294</v>
      </c>
      <c r="D9" s="349">
        <v>6</v>
      </c>
      <c r="E9" s="349">
        <v>7</v>
      </c>
      <c r="F9" s="349">
        <v>7</v>
      </c>
      <c r="G9" s="349">
        <v>9</v>
      </c>
      <c r="H9" s="349">
        <v>9</v>
      </c>
      <c r="I9" s="349">
        <v>11</v>
      </c>
      <c r="J9" s="349">
        <v>11</v>
      </c>
      <c r="K9" s="349">
        <v>11</v>
      </c>
      <c r="L9" s="349">
        <v>11</v>
      </c>
      <c r="M9" s="349">
        <v>11</v>
      </c>
      <c r="N9" s="349">
        <v>11</v>
      </c>
      <c r="O9" s="349">
        <v>13</v>
      </c>
      <c r="P9" s="349">
        <v>14</v>
      </c>
      <c r="Q9" s="349">
        <v>14</v>
      </c>
      <c r="R9" s="349">
        <v>14</v>
      </c>
      <c r="S9" s="349">
        <v>14</v>
      </c>
      <c r="T9" s="349">
        <v>14</v>
      </c>
      <c r="U9" s="349">
        <v>14</v>
      </c>
      <c r="V9" s="349">
        <v>14</v>
      </c>
      <c r="W9" s="349">
        <v>14</v>
      </c>
      <c r="X9" s="349">
        <v>14</v>
      </c>
      <c r="Y9" s="349">
        <v>14</v>
      </c>
      <c r="Z9" s="349">
        <v>14</v>
      </c>
      <c r="AA9" s="349">
        <v>14</v>
      </c>
      <c r="AB9" s="349">
        <v>14</v>
      </c>
      <c r="AC9" s="349">
        <v>14</v>
      </c>
      <c r="AD9" s="349">
        <v>14</v>
      </c>
      <c r="AE9" s="349">
        <v>14</v>
      </c>
      <c r="AF9" s="349">
        <v>14</v>
      </c>
      <c r="AG9" s="349">
        <v>14</v>
      </c>
      <c r="AH9" s="349">
        <v>14</v>
      </c>
      <c r="AI9" s="349">
        <v>14</v>
      </c>
      <c r="AJ9" s="349">
        <v>14</v>
      </c>
      <c r="AK9" s="349">
        <v>14</v>
      </c>
      <c r="AL9" s="349">
        <v>14</v>
      </c>
    </row>
    <row r="10" spans="1:38" x14ac:dyDescent="0.3">
      <c r="B10" s="243" t="s">
        <v>300</v>
      </c>
      <c r="C10" s="244" t="s">
        <v>294</v>
      </c>
      <c r="D10" s="349">
        <v>3</v>
      </c>
      <c r="E10" s="349">
        <v>3</v>
      </c>
      <c r="F10" s="349">
        <v>3</v>
      </c>
      <c r="G10" s="349">
        <v>3</v>
      </c>
      <c r="H10" s="349">
        <v>3</v>
      </c>
      <c r="I10" s="349">
        <v>3</v>
      </c>
      <c r="J10" s="349">
        <v>3</v>
      </c>
      <c r="K10" s="349">
        <v>3</v>
      </c>
      <c r="L10" s="349">
        <v>3</v>
      </c>
      <c r="M10" s="349">
        <v>3</v>
      </c>
      <c r="N10" s="349">
        <v>3</v>
      </c>
      <c r="O10" s="349">
        <v>3</v>
      </c>
      <c r="P10" s="349">
        <v>3</v>
      </c>
      <c r="Q10" s="349">
        <v>3</v>
      </c>
      <c r="R10" s="349">
        <v>3</v>
      </c>
      <c r="S10" s="349">
        <v>3</v>
      </c>
      <c r="T10" s="349">
        <v>3</v>
      </c>
      <c r="U10" s="349">
        <v>3</v>
      </c>
      <c r="V10" s="349">
        <v>3</v>
      </c>
      <c r="W10" s="349">
        <v>3</v>
      </c>
      <c r="X10" s="349">
        <v>3</v>
      </c>
      <c r="Y10" s="349">
        <v>3</v>
      </c>
      <c r="Z10" s="349">
        <v>3</v>
      </c>
      <c r="AA10" s="349">
        <v>3</v>
      </c>
      <c r="AB10" s="349">
        <v>3</v>
      </c>
      <c r="AC10" s="349">
        <v>3</v>
      </c>
      <c r="AD10" s="349">
        <v>3</v>
      </c>
      <c r="AE10" s="349">
        <v>3</v>
      </c>
      <c r="AF10" s="349">
        <v>3</v>
      </c>
      <c r="AG10" s="349">
        <v>3</v>
      </c>
      <c r="AH10" s="349">
        <v>3</v>
      </c>
      <c r="AI10" s="349">
        <v>3</v>
      </c>
      <c r="AJ10" s="349">
        <v>3</v>
      </c>
      <c r="AK10" s="349">
        <v>3</v>
      </c>
      <c r="AL10" s="349">
        <v>3</v>
      </c>
    </row>
    <row r="11" spans="1:38" x14ac:dyDescent="0.3">
      <c r="B11" s="243" t="s">
        <v>301</v>
      </c>
      <c r="C11" s="244" t="s">
        <v>294</v>
      </c>
      <c r="D11" s="349">
        <v>1</v>
      </c>
      <c r="E11" s="349">
        <v>1</v>
      </c>
      <c r="F11" s="349">
        <v>1</v>
      </c>
      <c r="G11" s="349">
        <v>1</v>
      </c>
      <c r="H11" s="349">
        <v>1</v>
      </c>
      <c r="I11" s="349">
        <v>1</v>
      </c>
      <c r="J11" s="349">
        <v>1</v>
      </c>
      <c r="K11" s="349">
        <v>1</v>
      </c>
      <c r="L11" s="349">
        <v>1</v>
      </c>
      <c r="M11" s="349">
        <v>1</v>
      </c>
      <c r="N11" s="349">
        <v>1</v>
      </c>
      <c r="O11" s="349">
        <v>1</v>
      </c>
      <c r="P11" s="349">
        <v>1</v>
      </c>
      <c r="Q11" s="349">
        <v>1</v>
      </c>
      <c r="R11" s="349">
        <v>1</v>
      </c>
      <c r="S11" s="349">
        <v>1</v>
      </c>
      <c r="T11" s="349">
        <v>1</v>
      </c>
      <c r="U11" s="349">
        <v>1</v>
      </c>
      <c r="V11" s="349">
        <v>1</v>
      </c>
      <c r="W11" s="349">
        <v>1</v>
      </c>
      <c r="X11" s="349">
        <v>1</v>
      </c>
      <c r="Y11" s="349">
        <v>1</v>
      </c>
      <c r="Z11" s="349">
        <v>1</v>
      </c>
      <c r="AA11" s="349">
        <v>1</v>
      </c>
      <c r="AB11" s="349">
        <v>1</v>
      </c>
      <c r="AC11" s="349">
        <v>1</v>
      </c>
      <c r="AD11" s="349">
        <v>1</v>
      </c>
      <c r="AE11" s="349">
        <v>1</v>
      </c>
      <c r="AF11" s="349">
        <v>1</v>
      </c>
      <c r="AG11" s="349">
        <v>1</v>
      </c>
      <c r="AH11" s="349">
        <v>1</v>
      </c>
      <c r="AI11" s="349">
        <v>1</v>
      </c>
      <c r="AJ11" s="349">
        <v>1</v>
      </c>
      <c r="AK11" s="349">
        <v>1</v>
      </c>
      <c r="AL11" s="349">
        <v>1</v>
      </c>
    </row>
    <row r="12" spans="1:38" x14ac:dyDescent="0.3">
      <c r="B12" s="248" t="s">
        <v>302</v>
      </c>
      <c r="C12" s="249" t="s">
        <v>294</v>
      </c>
      <c r="D12" s="317">
        <f>SUM(D5:D11)</f>
        <v>44</v>
      </c>
      <c r="E12" s="317">
        <f t="shared" ref="E12:AL12" si="0">SUM(E5:E11)</f>
        <v>50</v>
      </c>
      <c r="F12" s="317">
        <f t="shared" si="0"/>
        <v>53</v>
      </c>
      <c r="G12" s="317">
        <f t="shared" si="0"/>
        <v>54</v>
      </c>
      <c r="H12" s="317">
        <f t="shared" si="0"/>
        <v>55</v>
      </c>
      <c r="I12" s="317">
        <f t="shared" si="0"/>
        <v>57</v>
      </c>
      <c r="J12" s="317">
        <f t="shared" si="0"/>
        <v>59</v>
      </c>
      <c r="K12" s="317">
        <f t="shared" si="0"/>
        <v>64</v>
      </c>
      <c r="L12" s="317">
        <f t="shared" si="0"/>
        <v>66</v>
      </c>
      <c r="M12" s="317">
        <f t="shared" si="0"/>
        <v>66</v>
      </c>
      <c r="N12" s="317">
        <f t="shared" si="0"/>
        <v>66</v>
      </c>
      <c r="O12" s="317">
        <f t="shared" si="0"/>
        <v>68</v>
      </c>
      <c r="P12" s="317">
        <f t="shared" si="0"/>
        <v>70</v>
      </c>
      <c r="Q12" s="317">
        <f t="shared" si="0"/>
        <v>70</v>
      </c>
      <c r="R12" s="317">
        <f t="shared" si="0"/>
        <v>70</v>
      </c>
      <c r="S12" s="317">
        <f t="shared" si="0"/>
        <v>70</v>
      </c>
      <c r="T12" s="317">
        <f t="shared" si="0"/>
        <v>84</v>
      </c>
      <c r="U12" s="317">
        <f t="shared" si="0"/>
        <v>84</v>
      </c>
      <c r="V12" s="317">
        <f t="shared" si="0"/>
        <v>86</v>
      </c>
      <c r="W12" s="317">
        <f t="shared" si="0"/>
        <v>86</v>
      </c>
      <c r="X12" s="317">
        <f t="shared" si="0"/>
        <v>86</v>
      </c>
      <c r="Y12" s="317">
        <f t="shared" si="0"/>
        <v>87</v>
      </c>
      <c r="Z12" s="317">
        <f t="shared" si="0"/>
        <v>88</v>
      </c>
      <c r="AA12" s="317">
        <f t="shared" si="0"/>
        <v>88</v>
      </c>
      <c r="AB12" s="317">
        <f t="shared" si="0"/>
        <v>88</v>
      </c>
      <c r="AC12" s="317">
        <f t="shared" si="0"/>
        <v>88</v>
      </c>
      <c r="AD12" s="317">
        <f t="shared" si="0"/>
        <v>88</v>
      </c>
      <c r="AE12" s="317">
        <f t="shared" si="0"/>
        <v>88</v>
      </c>
      <c r="AF12" s="317">
        <f t="shared" si="0"/>
        <v>93</v>
      </c>
      <c r="AG12" s="317">
        <f t="shared" si="0"/>
        <v>93</v>
      </c>
      <c r="AH12" s="317">
        <f t="shared" si="0"/>
        <v>93</v>
      </c>
      <c r="AI12" s="317">
        <f t="shared" si="0"/>
        <v>93</v>
      </c>
      <c r="AJ12" s="317">
        <f t="shared" si="0"/>
        <v>93</v>
      </c>
      <c r="AK12" s="317">
        <f t="shared" si="0"/>
        <v>93</v>
      </c>
      <c r="AL12" s="317">
        <f t="shared" si="0"/>
        <v>93</v>
      </c>
    </row>
    <row r="13" spans="1:38" x14ac:dyDescent="0.3">
      <c r="B13" s="248" t="s">
        <v>303</v>
      </c>
      <c r="C13" s="249" t="s">
        <v>304</v>
      </c>
      <c r="D13" s="350">
        <v>322</v>
      </c>
      <c r="E13" s="350">
        <v>347</v>
      </c>
      <c r="F13" s="350">
        <v>363</v>
      </c>
      <c r="G13" s="350">
        <v>392</v>
      </c>
      <c r="H13" s="350">
        <v>421</v>
      </c>
      <c r="I13" s="350">
        <v>442</v>
      </c>
      <c r="J13" s="350">
        <v>462</v>
      </c>
      <c r="K13" s="350">
        <v>459</v>
      </c>
      <c r="L13" s="350">
        <v>479</v>
      </c>
      <c r="M13" s="350">
        <v>492</v>
      </c>
      <c r="N13" s="350">
        <v>506</v>
      </c>
      <c r="O13" s="350">
        <v>504</v>
      </c>
      <c r="P13" s="350">
        <v>503</v>
      </c>
      <c r="Q13" s="350">
        <v>515</v>
      </c>
      <c r="R13" s="350">
        <v>523</v>
      </c>
      <c r="S13" s="350">
        <v>530</v>
      </c>
      <c r="T13" s="350">
        <v>448</v>
      </c>
      <c r="U13" s="350">
        <v>454</v>
      </c>
      <c r="V13" s="350">
        <v>449</v>
      </c>
      <c r="W13" s="350">
        <v>454</v>
      </c>
      <c r="X13" s="350">
        <v>460</v>
      </c>
      <c r="Y13" s="350">
        <v>459</v>
      </c>
      <c r="Z13" s="350">
        <v>459</v>
      </c>
      <c r="AA13" s="350">
        <v>464</v>
      </c>
      <c r="AB13" s="350">
        <v>468</v>
      </c>
      <c r="AC13" s="350">
        <v>473</v>
      </c>
      <c r="AD13" s="350">
        <v>477</v>
      </c>
      <c r="AE13" s="350">
        <v>481</v>
      </c>
      <c r="AF13" s="350">
        <v>459</v>
      </c>
      <c r="AG13" s="350">
        <v>463</v>
      </c>
      <c r="AH13" s="350">
        <v>467</v>
      </c>
      <c r="AI13" s="350">
        <v>470</v>
      </c>
      <c r="AJ13" s="350">
        <v>473</v>
      </c>
      <c r="AK13" s="350">
        <v>476</v>
      </c>
      <c r="AL13" s="350">
        <v>479</v>
      </c>
    </row>
    <row r="14" spans="1:38" x14ac:dyDescent="0.3">
      <c r="A14" s="85"/>
      <c r="B14" s="312"/>
      <c r="C14" s="313"/>
      <c r="D14" s="352"/>
      <c r="E14" s="352"/>
      <c r="F14" s="352"/>
      <c r="G14" s="352"/>
      <c r="H14" s="352"/>
      <c r="I14" s="352"/>
      <c r="J14" s="352"/>
      <c r="K14" s="352"/>
      <c r="L14" s="352"/>
      <c r="M14" s="352"/>
      <c r="N14" s="352"/>
      <c r="O14" s="352"/>
      <c r="P14" s="352"/>
      <c r="Q14" s="352"/>
      <c r="R14" s="352"/>
      <c r="S14" s="352"/>
      <c r="T14" s="352"/>
      <c r="U14" s="352"/>
      <c r="V14" s="352"/>
      <c r="W14" s="352"/>
      <c r="X14" s="352"/>
      <c r="Y14" s="352"/>
      <c r="Z14" s="352"/>
      <c r="AA14" s="352"/>
      <c r="AB14" s="352"/>
      <c r="AC14" s="352"/>
      <c r="AD14" s="352"/>
      <c r="AE14" s="352"/>
      <c r="AF14" s="352"/>
      <c r="AG14" s="352"/>
    </row>
    <row r="15" spans="1:38" x14ac:dyDescent="0.3">
      <c r="B15" s="243" t="s">
        <v>305</v>
      </c>
      <c r="C15" s="244" t="s">
        <v>222</v>
      </c>
      <c r="D15" s="250">
        <f>TRUNC(D24*$C$1,2)</f>
        <v>1865734.49</v>
      </c>
      <c r="E15" s="250">
        <f t="shared" ref="E15:AL15" si="1">TRUNC(E24*$C$1,2)</f>
        <v>2032385.65</v>
      </c>
      <c r="F15" s="250">
        <f t="shared" si="1"/>
        <v>2082394.17</v>
      </c>
      <c r="G15" s="250">
        <f t="shared" si="1"/>
        <v>2078079.86</v>
      </c>
      <c r="H15" s="250">
        <f t="shared" si="1"/>
        <v>2108989.41</v>
      </c>
      <c r="I15" s="250">
        <f t="shared" si="1"/>
        <v>2190198.1</v>
      </c>
      <c r="J15" s="250">
        <f t="shared" si="1"/>
        <v>2210753.2799999998</v>
      </c>
      <c r="K15" s="250">
        <f t="shared" si="1"/>
        <v>2313608.2000000002</v>
      </c>
      <c r="L15" s="250">
        <f t="shared" si="1"/>
        <v>2361846.83</v>
      </c>
      <c r="M15" s="250">
        <f t="shared" si="1"/>
        <v>2361846.83</v>
      </c>
      <c r="N15" s="250">
        <f t="shared" si="1"/>
        <v>2361846.83</v>
      </c>
      <c r="O15" s="250">
        <f t="shared" si="1"/>
        <v>2361846.83</v>
      </c>
      <c r="P15" s="250">
        <f t="shared" si="1"/>
        <v>2414576.6800000002</v>
      </c>
      <c r="Q15" s="250">
        <f t="shared" si="1"/>
        <v>2414576.6800000002</v>
      </c>
      <c r="R15" s="250">
        <f t="shared" si="1"/>
        <v>2414576.6800000002</v>
      </c>
      <c r="S15" s="250">
        <f t="shared" si="1"/>
        <v>2414576.6800000002</v>
      </c>
      <c r="T15" s="250">
        <f t="shared" si="1"/>
        <v>2754886.12</v>
      </c>
      <c r="U15" s="250">
        <f t="shared" si="1"/>
        <v>2754886.12</v>
      </c>
      <c r="V15" s="250">
        <f t="shared" si="1"/>
        <v>2825624.76</v>
      </c>
      <c r="W15" s="250">
        <f t="shared" si="1"/>
        <v>2825624.76</v>
      </c>
      <c r="X15" s="250">
        <f t="shared" si="1"/>
        <v>2825624.76</v>
      </c>
      <c r="Y15" s="250">
        <f t="shared" si="1"/>
        <v>2825624.76</v>
      </c>
      <c r="Z15" s="250">
        <f t="shared" si="1"/>
        <v>2875695.83</v>
      </c>
      <c r="AA15" s="250">
        <f t="shared" si="1"/>
        <v>2875695.83</v>
      </c>
      <c r="AB15" s="250">
        <f t="shared" si="1"/>
        <v>2875695.83</v>
      </c>
      <c r="AC15" s="250">
        <f t="shared" si="1"/>
        <v>2875695.83</v>
      </c>
      <c r="AD15" s="250">
        <f t="shared" si="1"/>
        <v>2875695.83</v>
      </c>
      <c r="AE15" s="250">
        <f t="shared" si="1"/>
        <v>2875695.83</v>
      </c>
      <c r="AF15" s="250">
        <f t="shared" si="1"/>
        <v>2992404.32</v>
      </c>
      <c r="AG15" s="250">
        <f t="shared" si="1"/>
        <v>2992404.32</v>
      </c>
      <c r="AH15" s="250">
        <f t="shared" si="1"/>
        <v>2992404.32</v>
      </c>
      <c r="AI15" s="250">
        <f t="shared" si="1"/>
        <v>2992404.32</v>
      </c>
      <c r="AJ15" s="250">
        <f t="shared" si="1"/>
        <v>2992404.32</v>
      </c>
      <c r="AK15" s="250">
        <f t="shared" si="1"/>
        <v>2992404.32</v>
      </c>
      <c r="AL15" s="250">
        <f t="shared" si="1"/>
        <v>2992404.32</v>
      </c>
    </row>
    <row r="16" spans="1:38" x14ac:dyDescent="0.3">
      <c r="B16" s="243" t="s">
        <v>306</v>
      </c>
      <c r="C16" s="244" t="s">
        <v>222</v>
      </c>
      <c r="D16" s="250">
        <f>TRUNC(D25*$C$1,2)</f>
        <v>1968867.63</v>
      </c>
      <c r="E16" s="250">
        <f t="shared" ref="E16:AL16" si="2">TRUNC(E25*$C$1,2)</f>
        <v>2186690.15</v>
      </c>
      <c r="F16" s="250">
        <f t="shared" si="2"/>
        <v>2257223.66</v>
      </c>
      <c r="G16" s="250">
        <f t="shared" si="2"/>
        <v>2239091.4500000002</v>
      </c>
      <c r="H16" s="250">
        <f t="shared" si="2"/>
        <v>2282687.2000000002</v>
      </c>
      <c r="I16" s="250">
        <f t="shared" si="2"/>
        <v>2353744.81</v>
      </c>
      <c r="J16" s="250">
        <f t="shared" si="2"/>
        <v>2382736.4500000002</v>
      </c>
      <c r="K16" s="250">
        <f t="shared" si="2"/>
        <v>2527806.11</v>
      </c>
      <c r="L16" s="250">
        <f t="shared" si="2"/>
        <v>2595843.3199999998</v>
      </c>
      <c r="M16" s="250">
        <f t="shared" si="2"/>
        <v>2595843.3199999998</v>
      </c>
      <c r="N16" s="250">
        <f t="shared" si="2"/>
        <v>2595843.3199999998</v>
      </c>
      <c r="O16" s="250">
        <f t="shared" si="2"/>
        <v>2595843.3199999998</v>
      </c>
      <c r="P16" s="250">
        <f t="shared" si="2"/>
        <v>2652987.7999999998</v>
      </c>
      <c r="Q16" s="250">
        <f t="shared" si="2"/>
        <v>2652987.7999999998</v>
      </c>
      <c r="R16" s="250">
        <f t="shared" si="2"/>
        <v>2652987.7999999998</v>
      </c>
      <c r="S16" s="250">
        <f t="shared" si="2"/>
        <v>2652987.7999999998</v>
      </c>
      <c r="T16" s="250">
        <f t="shared" si="2"/>
        <v>3103684.25</v>
      </c>
      <c r="U16" s="250">
        <f t="shared" si="2"/>
        <v>3103684.25</v>
      </c>
      <c r="V16" s="250">
        <f t="shared" si="2"/>
        <v>3191408.96</v>
      </c>
      <c r="W16" s="250">
        <f t="shared" si="2"/>
        <v>3191408.96</v>
      </c>
      <c r="X16" s="250">
        <f t="shared" si="2"/>
        <v>3191408.96</v>
      </c>
      <c r="Y16" s="250">
        <f t="shared" si="2"/>
        <v>3191408.96</v>
      </c>
      <c r="Z16" s="250">
        <f t="shared" si="2"/>
        <v>3235221.15</v>
      </c>
      <c r="AA16" s="250">
        <f t="shared" si="2"/>
        <v>3235221.15</v>
      </c>
      <c r="AB16" s="250">
        <f t="shared" si="2"/>
        <v>3235221.15</v>
      </c>
      <c r="AC16" s="250">
        <f t="shared" si="2"/>
        <v>3235221.15</v>
      </c>
      <c r="AD16" s="250">
        <f t="shared" si="2"/>
        <v>3235221.15</v>
      </c>
      <c r="AE16" s="250">
        <f t="shared" si="2"/>
        <v>3235221.15</v>
      </c>
      <c r="AF16" s="250">
        <f t="shared" si="2"/>
        <v>3399830.3</v>
      </c>
      <c r="AG16" s="250">
        <f t="shared" si="2"/>
        <v>3399830.3</v>
      </c>
      <c r="AH16" s="250">
        <f t="shared" si="2"/>
        <v>3399830.3</v>
      </c>
      <c r="AI16" s="250">
        <f t="shared" si="2"/>
        <v>3399830.3</v>
      </c>
      <c r="AJ16" s="250">
        <f t="shared" si="2"/>
        <v>3399830.3</v>
      </c>
      <c r="AK16" s="250">
        <f t="shared" si="2"/>
        <v>3399830.3</v>
      </c>
      <c r="AL16" s="250">
        <f t="shared" si="2"/>
        <v>3399830.3</v>
      </c>
    </row>
    <row r="17" spans="1:38" x14ac:dyDescent="0.3">
      <c r="B17" s="248" t="s">
        <v>307</v>
      </c>
      <c r="C17" s="249" t="s">
        <v>222</v>
      </c>
      <c r="D17" s="316">
        <f>D15+D16</f>
        <v>3834602.12</v>
      </c>
      <c r="E17" s="316">
        <f t="shared" ref="E17:AL17" si="3">E15+E16</f>
        <v>4219075.8</v>
      </c>
      <c r="F17" s="316">
        <f t="shared" si="3"/>
        <v>4339617.83</v>
      </c>
      <c r="G17" s="316">
        <f t="shared" si="3"/>
        <v>4317171.3100000005</v>
      </c>
      <c r="H17" s="316">
        <f t="shared" si="3"/>
        <v>4391676.6100000003</v>
      </c>
      <c r="I17" s="316">
        <f t="shared" si="3"/>
        <v>4543942.91</v>
      </c>
      <c r="J17" s="316">
        <f t="shared" si="3"/>
        <v>4593489.7300000004</v>
      </c>
      <c r="K17" s="316">
        <f t="shared" si="3"/>
        <v>4841414.3100000005</v>
      </c>
      <c r="L17" s="316">
        <f t="shared" si="3"/>
        <v>4957690.1500000004</v>
      </c>
      <c r="M17" s="316">
        <f t="shared" si="3"/>
        <v>4957690.1500000004</v>
      </c>
      <c r="N17" s="316">
        <f t="shared" si="3"/>
        <v>4957690.1500000004</v>
      </c>
      <c r="O17" s="316">
        <f t="shared" si="3"/>
        <v>4957690.1500000004</v>
      </c>
      <c r="P17" s="316">
        <f t="shared" si="3"/>
        <v>5067564.4800000004</v>
      </c>
      <c r="Q17" s="316">
        <f t="shared" si="3"/>
        <v>5067564.4800000004</v>
      </c>
      <c r="R17" s="316">
        <f t="shared" si="3"/>
        <v>5067564.4800000004</v>
      </c>
      <c r="S17" s="316">
        <f t="shared" si="3"/>
        <v>5067564.4800000004</v>
      </c>
      <c r="T17" s="316">
        <f t="shared" si="3"/>
        <v>5858570.3700000001</v>
      </c>
      <c r="U17" s="316">
        <f t="shared" si="3"/>
        <v>5858570.3700000001</v>
      </c>
      <c r="V17" s="316">
        <f t="shared" si="3"/>
        <v>6017033.7199999997</v>
      </c>
      <c r="W17" s="316">
        <f t="shared" si="3"/>
        <v>6017033.7199999997</v>
      </c>
      <c r="X17" s="316">
        <f t="shared" si="3"/>
        <v>6017033.7199999997</v>
      </c>
      <c r="Y17" s="316">
        <f t="shared" si="3"/>
        <v>6017033.7199999997</v>
      </c>
      <c r="Z17" s="316">
        <f t="shared" si="3"/>
        <v>6110916.9800000004</v>
      </c>
      <c r="AA17" s="316">
        <f t="shared" si="3"/>
        <v>6110916.9800000004</v>
      </c>
      <c r="AB17" s="316">
        <f t="shared" si="3"/>
        <v>6110916.9800000004</v>
      </c>
      <c r="AC17" s="316">
        <f t="shared" si="3"/>
        <v>6110916.9800000004</v>
      </c>
      <c r="AD17" s="316">
        <f t="shared" si="3"/>
        <v>6110916.9800000004</v>
      </c>
      <c r="AE17" s="316">
        <f t="shared" si="3"/>
        <v>6110916.9800000004</v>
      </c>
      <c r="AF17" s="316">
        <f t="shared" si="3"/>
        <v>6392234.6199999992</v>
      </c>
      <c r="AG17" s="316">
        <f t="shared" si="3"/>
        <v>6392234.6199999992</v>
      </c>
      <c r="AH17" s="316">
        <f t="shared" si="3"/>
        <v>6392234.6199999992</v>
      </c>
      <c r="AI17" s="316">
        <f t="shared" si="3"/>
        <v>6392234.6199999992</v>
      </c>
      <c r="AJ17" s="316">
        <f t="shared" si="3"/>
        <v>6392234.6199999992</v>
      </c>
      <c r="AK17" s="316">
        <f t="shared" si="3"/>
        <v>6392234.6199999992</v>
      </c>
      <c r="AL17" s="316">
        <f t="shared" si="3"/>
        <v>6392234.6199999992</v>
      </c>
    </row>
    <row r="18" spans="1:38" x14ac:dyDescent="0.3">
      <c r="B18" s="248" t="s">
        <v>529</v>
      </c>
      <c r="C18" s="249" t="s">
        <v>222</v>
      </c>
      <c r="D18" s="316">
        <f>D17/D12/12</f>
        <v>7262.5040151515159</v>
      </c>
      <c r="E18" s="316">
        <f t="shared" ref="E18:AL18" si="4">E17/E12/12</f>
        <v>7031.7930000000006</v>
      </c>
      <c r="F18" s="316">
        <f t="shared" si="4"/>
        <v>6823.2984748427671</v>
      </c>
      <c r="G18" s="316">
        <f t="shared" si="4"/>
        <v>6662.3014043209887</v>
      </c>
      <c r="H18" s="316">
        <f t="shared" si="4"/>
        <v>6654.0554696969702</v>
      </c>
      <c r="I18" s="316">
        <f t="shared" si="4"/>
        <v>6643.1913888888894</v>
      </c>
      <c r="J18" s="316">
        <f t="shared" si="4"/>
        <v>6487.9798446327695</v>
      </c>
      <c r="K18" s="316">
        <f t="shared" si="4"/>
        <v>6303.924882812501</v>
      </c>
      <c r="L18" s="316">
        <f t="shared" si="4"/>
        <v>6259.7097853535352</v>
      </c>
      <c r="M18" s="316">
        <f t="shared" si="4"/>
        <v>6259.7097853535352</v>
      </c>
      <c r="N18" s="316">
        <f t="shared" si="4"/>
        <v>6259.7097853535352</v>
      </c>
      <c r="O18" s="316">
        <f t="shared" si="4"/>
        <v>6075.600674019609</v>
      </c>
      <c r="P18" s="316">
        <f t="shared" si="4"/>
        <v>6032.8148571428574</v>
      </c>
      <c r="Q18" s="316">
        <f t="shared" si="4"/>
        <v>6032.8148571428574</v>
      </c>
      <c r="R18" s="316">
        <f t="shared" si="4"/>
        <v>6032.8148571428574</v>
      </c>
      <c r="S18" s="316">
        <f t="shared" si="4"/>
        <v>6032.8148571428574</v>
      </c>
      <c r="T18" s="316">
        <f t="shared" si="4"/>
        <v>5812.0737797619049</v>
      </c>
      <c r="U18" s="316">
        <f t="shared" si="4"/>
        <v>5812.0737797619049</v>
      </c>
      <c r="V18" s="316">
        <f t="shared" si="4"/>
        <v>5830.4590310077519</v>
      </c>
      <c r="W18" s="316">
        <f t="shared" si="4"/>
        <v>5830.4590310077519</v>
      </c>
      <c r="X18" s="316">
        <f t="shared" si="4"/>
        <v>5830.4590310077519</v>
      </c>
      <c r="Y18" s="316">
        <f t="shared" si="4"/>
        <v>5763.442260536398</v>
      </c>
      <c r="Z18" s="316">
        <f t="shared" si="4"/>
        <v>5786.8532007575768</v>
      </c>
      <c r="AA18" s="316">
        <f t="shared" si="4"/>
        <v>5786.8532007575768</v>
      </c>
      <c r="AB18" s="316">
        <f t="shared" si="4"/>
        <v>5786.8532007575768</v>
      </c>
      <c r="AC18" s="316">
        <f t="shared" si="4"/>
        <v>5786.8532007575768</v>
      </c>
      <c r="AD18" s="316">
        <f t="shared" si="4"/>
        <v>5786.8532007575768</v>
      </c>
      <c r="AE18" s="316">
        <f t="shared" si="4"/>
        <v>5786.8532007575768</v>
      </c>
      <c r="AF18" s="316">
        <f t="shared" si="4"/>
        <v>5727.8087992831533</v>
      </c>
      <c r="AG18" s="316">
        <f t="shared" si="4"/>
        <v>5727.8087992831533</v>
      </c>
      <c r="AH18" s="316">
        <f t="shared" si="4"/>
        <v>5727.8087992831533</v>
      </c>
      <c r="AI18" s="316">
        <f t="shared" si="4"/>
        <v>5727.8087992831533</v>
      </c>
      <c r="AJ18" s="316">
        <f t="shared" si="4"/>
        <v>5727.8087992831533</v>
      </c>
      <c r="AK18" s="316">
        <f t="shared" si="4"/>
        <v>5727.8087992831533</v>
      </c>
      <c r="AL18" s="316">
        <f t="shared" si="4"/>
        <v>5727.8087992831533</v>
      </c>
    </row>
    <row r="19" spans="1:38" x14ac:dyDescent="0.3">
      <c r="B19" s="312" t="s">
        <v>880</v>
      </c>
    </row>
    <row r="20" spans="1:38" x14ac:dyDescent="0.3">
      <c r="B20" t="s">
        <v>878</v>
      </c>
    </row>
    <row r="21" spans="1:38" x14ac:dyDescent="0.3">
      <c r="B21" t="s">
        <v>879</v>
      </c>
    </row>
    <row r="23" spans="1:38" x14ac:dyDescent="0.3">
      <c r="B23" s="830" t="s">
        <v>930</v>
      </c>
    </row>
    <row r="24" spans="1:38" x14ac:dyDescent="0.3">
      <c r="B24" s="243" t="s">
        <v>305</v>
      </c>
      <c r="C24" s="244" t="s">
        <v>222</v>
      </c>
      <c r="D24" s="351">
        <v>1700140.7816100202</v>
      </c>
      <c r="E24" s="351">
        <v>1852000.7816100202</v>
      </c>
      <c r="F24" s="351">
        <v>1897570.78161002</v>
      </c>
      <c r="G24" s="351">
        <v>1893639.3899113038</v>
      </c>
      <c r="H24" s="351">
        <v>1921805.5499113039</v>
      </c>
      <c r="I24" s="351">
        <v>1995806.5499113039</v>
      </c>
      <c r="J24" s="351">
        <v>2014537.349911304</v>
      </c>
      <c r="K24" s="351">
        <v>2108263.3499113042</v>
      </c>
      <c r="L24" s="351">
        <v>2152220.5499113034</v>
      </c>
      <c r="M24" s="351">
        <v>2152220.5499113034</v>
      </c>
      <c r="N24" s="351">
        <v>2152220.5499113034</v>
      </c>
      <c r="O24" s="351">
        <v>2152220.5499113034</v>
      </c>
      <c r="P24" s="351">
        <v>2200270.3499113042</v>
      </c>
      <c r="Q24" s="351">
        <v>2200270.3499113042</v>
      </c>
      <c r="R24" s="351">
        <v>2200270.3499113042</v>
      </c>
      <c r="S24" s="351">
        <v>2200270.3499113042</v>
      </c>
      <c r="T24" s="351">
        <v>2510375.5499113039</v>
      </c>
      <c r="U24" s="351">
        <v>2510375.5499113039</v>
      </c>
      <c r="V24" s="351">
        <v>2574835.7582125878</v>
      </c>
      <c r="W24" s="351">
        <v>2574835.7582125878</v>
      </c>
      <c r="X24" s="351">
        <v>2574835.7582125878</v>
      </c>
      <c r="Y24" s="351">
        <v>2574835.7582125878</v>
      </c>
      <c r="Z24" s="351">
        <v>2620462.7582125873</v>
      </c>
      <c r="AA24" s="351">
        <v>2620462.7582125873</v>
      </c>
      <c r="AB24" s="351">
        <v>2620462.7582125873</v>
      </c>
      <c r="AC24" s="351">
        <v>2620462.7582125873</v>
      </c>
      <c r="AD24" s="351">
        <v>2620462.7582125873</v>
      </c>
      <c r="AE24" s="351">
        <v>2620462.7582125873</v>
      </c>
      <c r="AF24" s="351">
        <v>2726812.7582125873</v>
      </c>
      <c r="AG24" s="351">
        <v>2726812.7582125873</v>
      </c>
      <c r="AH24" s="351">
        <v>2726812.7582125873</v>
      </c>
      <c r="AI24" s="351">
        <v>2726812.7582125873</v>
      </c>
      <c r="AJ24" s="351">
        <v>2726812.7582125873</v>
      </c>
      <c r="AK24" s="351">
        <v>2726812.7582125873</v>
      </c>
      <c r="AL24" s="351">
        <v>2726812.7582125873</v>
      </c>
    </row>
    <row r="25" spans="1:38" s="88" customFormat="1" x14ac:dyDescent="0.3">
      <c r="A25" s="87"/>
      <c r="B25" s="243" t="s">
        <v>306</v>
      </c>
      <c r="C25" s="244" t="s">
        <v>222</v>
      </c>
      <c r="D25" s="351">
        <v>1794120.3155935672</v>
      </c>
      <c r="E25" s="351">
        <v>1992609.9432235672</v>
      </c>
      <c r="F25" s="351">
        <v>2056883.2383235674</v>
      </c>
      <c r="G25" s="351">
        <v>2040360.3597951909</v>
      </c>
      <c r="H25" s="351">
        <v>2080086.7568439911</v>
      </c>
      <c r="I25" s="351">
        <v>2144837.6318439911</v>
      </c>
      <c r="J25" s="351">
        <v>2171256.114087991</v>
      </c>
      <c r="K25" s="351">
        <v>2303450.0762679903</v>
      </c>
      <c r="L25" s="351">
        <v>2365448.6298639914</v>
      </c>
      <c r="M25" s="351">
        <v>2365448.6298639914</v>
      </c>
      <c r="N25" s="351">
        <v>2365448.6298639914</v>
      </c>
      <c r="O25" s="351">
        <v>2365448.6298639914</v>
      </c>
      <c r="P25" s="351">
        <v>2417521.2371079903</v>
      </c>
      <c r="Q25" s="351">
        <v>2417521.2371079903</v>
      </c>
      <c r="R25" s="351">
        <v>2417521.2371079903</v>
      </c>
      <c r="S25" s="351">
        <v>2417521.2371079903</v>
      </c>
      <c r="T25" s="351">
        <v>2828216.0122839906</v>
      </c>
      <c r="U25" s="351">
        <v>2828216.0122839906</v>
      </c>
      <c r="V25" s="351">
        <v>2908154.6981436145</v>
      </c>
      <c r="W25" s="351">
        <v>2908154.6981436145</v>
      </c>
      <c r="X25" s="351">
        <v>2908154.6981436145</v>
      </c>
      <c r="Y25" s="351">
        <v>2908154.6981436145</v>
      </c>
      <c r="Z25" s="351">
        <v>2948078.3231436145</v>
      </c>
      <c r="AA25" s="351">
        <v>2948078.3231436145</v>
      </c>
      <c r="AB25" s="351">
        <v>2948078.3231436145</v>
      </c>
      <c r="AC25" s="351">
        <v>2948078.3231436145</v>
      </c>
      <c r="AD25" s="351">
        <v>2948078.3231436145</v>
      </c>
      <c r="AE25" s="351">
        <v>2948078.3231436145</v>
      </c>
      <c r="AF25" s="351">
        <v>3098077.5536436141</v>
      </c>
      <c r="AG25" s="351">
        <v>3098077.5536436141</v>
      </c>
      <c r="AH25" s="351">
        <v>3098077.5536436141</v>
      </c>
      <c r="AI25" s="351">
        <v>3098077.5536436141</v>
      </c>
      <c r="AJ25" s="351">
        <v>3098077.5536436141</v>
      </c>
      <c r="AK25" s="351">
        <v>3098077.5536436141</v>
      </c>
      <c r="AL25" s="351">
        <v>3098077.5536436141</v>
      </c>
    </row>
  </sheetData>
  <mergeCells count="2">
    <mergeCell ref="B3:B4"/>
    <mergeCell ref="C3:C4"/>
  </mergeCells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M296"/>
  <sheetViews>
    <sheetView showGridLines="0" zoomScaleNormal="100" workbookViewId="0">
      <pane xSplit="2" ySplit="4" topLeftCell="C50" activePane="bottomRight" state="frozen"/>
      <selection pane="topRight" activeCell="C1" sqref="C1"/>
      <selection pane="bottomLeft" activeCell="A5" sqref="A5"/>
      <selection pane="bottomRight" activeCell="I67" sqref="I67"/>
    </sheetView>
  </sheetViews>
  <sheetFormatPr defaultRowHeight="14.4" x14ac:dyDescent="0.3"/>
  <cols>
    <col min="1" max="1" width="14.88671875" bestFit="1" customWidth="1"/>
    <col min="2" max="2" width="53" customWidth="1"/>
    <col min="3" max="3" width="8" customWidth="1"/>
    <col min="4" max="38" width="14.6640625" customWidth="1"/>
    <col min="39" max="39" width="17" bestFit="1" customWidth="1"/>
  </cols>
  <sheetData>
    <row r="1" spans="1:39" x14ac:dyDescent="0.3">
      <c r="A1" s="318" t="s">
        <v>522</v>
      </c>
    </row>
    <row r="2" spans="1:39" x14ac:dyDescent="0.3">
      <c r="A2" s="147" t="s">
        <v>528</v>
      </c>
    </row>
    <row r="3" spans="1:39" x14ac:dyDescent="0.3">
      <c r="A3" s="222" t="s">
        <v>524</v>
      </c>
      <c r="B3" s="1120" t="s">
        <v>389</v>
      </c>
      <c r="C3" s="1120" t="s">
        <v>216</v>
      </c>
      <c r="D3" s="138">
        <f>'FCD PROJETO'!F23</f>
        <v>1</v>
      </c>
      <c r="E3" s="138">
        <f>'FCD PROJETO'!G23</f>
        <v>2</v>
      </c>
      <c r="F3" s="138">
        <f>'FCD PROJETO'!H23</f>
        <v>3</v>
      </c>
      <c r="G3" s="138">
        <f>'FCD PROJETO'!I23</f>
        <v>4</v>
      </c>
      <c r="H3" s="138">
        <f>'FCD PROJETO'!J23</f>
        <v>5</v>
      </c>
      <c r="I3" s="138">
        <f>'FCD PROJETO'!K23</f>
        <v>6</v>
      </c>
      <c r="J3" s="138">
        <f>'FCD PROJETO'!L23</f>
        <v>7</v>
      </c>
      <c r="K3" s="138">
        <f>'FCD PROJETO'!M23</f>
        <v>8</v>
      </c>
      <c r="L3" s="138">
        <f>'FCD PROJETO'!N23</f>
        <v>9</v>
      </c>
      <c r="M3" s="138">
        <f>'FCD PROJETO'!O23</f>
        <v>10</v>
      </c>
      <c r="N3" s="138">
        <f>'FCD PROJETO'!P23</f>
        <v>11</v>
      </c>
      <c r="O3" s="138">
        <f>'FCD PROJETO'!Q23</f>
        <v>12</v>
      </c>
      <c r="P3" s="138">
        <f>'FCD PROJETO'!R23</f>
        <v>13</v>
      </c>
      <c r="Q3" s="138">
        <f>'FCD PROJETO'!S23</f>
        <v>14</v>
      </c>
      <c r="R3" s="138">
        <f>'FCD PROJETO'!T23</f>
        <v>15</v>
      </c>
      <c r="S3" s="138">
        <f>'FCD PROJETO'!U23</f>
        <v>16</v>
      </c>
      <c r="T3" s="138">
        <f>'FCD PROJETO'!V23</f>
        <v>17</v>
      </c>
      <c r="U3" s="138">
        <f>'FCD PROJETO'!W23</f>
        <v>18</v>
      </c>
      <c r="V3" s="138">
        <f>'FCD PROJETO'!X23</f>
        <v>19</v>
      </c>
      <c r="W3" s="138">
        <f>'FCD PROJETO'!Y23</f>
        <v>20</v>
      </c>
      <c r="X3" s="138">
        <f>'FCD PROJETO'!Z23</f>
        <v>21</v>
      </c>
      <c r="Y3" s="138">
        <f>'FCD PROJETO'!AA23</f>
        <v>22</v>
      </c>
      <c r="Z3" s="138">
        <f>'FCD PROJETO'!AB23</f>
        <v>23</v>
      </c>
      <c r="AA3" s="138">
        <f>'FCD PROJETO'!AC23</f>
        <v>24</v>
      </c>
      <c r="AB3" s="138">
        <f>'FCD PROJETO'!AD23</f>
        <v>25</v>
      </c>
      <c r="AC3" s="138">
        <f>'FCD PROJETO'!AE23</f>
        <v>26</v>
      </c>
      <c r="AD3" s="138">
        <f>'FCD PROJETO'!AF23</f>
        <v>27</v>
      </c>
      <c r="AE3" s="138">
        <f>'FCD PROJETO'!AG23</f>
        <v>28</v>
      </c>
      <c r="AF3" s="138">
        <f>'FCD PROJETO'!AH23</f>
        <v>29</v>
      </c>
      <c r="AG3" s="138">
        <f>'FCD PROJETO'!AI23</f>
        <v>30</v>
      </c>
      <c r="AH3" s="138">
        <f>'FCD PROJETO'!AJ23</f>
        <v>31</v>
      </c>
      <c r="AI3" s="138">
        <f>'FCD PROJETO'!AK23</f>
        <v>32</v>
      </c>
      <c r="AJ3" s="138">
        <f>'FCD PROJETO'!AL23</f>
        <v>33</v>
      </c>
      <c r="AK3" s="138">
        <f>'FCD PROJETO'!AM23</f>
        <v>34</v>
      </c>
      <c r="AL3" s="138">
        <f>'FCD PROJETO'!AN23</f>
        <v>35</v>
      </c>
    </row>
    <row r="4" spans="1:39" x14ac:dyDescent="0.3">
      <c r="B4" s="1120"/>
      <c r="C4" s="1120"/>
      <c r="D4" s="138">
        <f>'FCD PROJETO'!F24</f>
        <v>2027</v>
      </c>
      <c r="E4" s="138">
        <f>'FCD PROJETO'!G24</f>
        <v>2028</v>
      </c>
      <c r="F4" s="138">
        <f>'FCD PROJETO'!H24</f>
        <v>2029</v>
      </c>
      <c r="G4" s="138">
        <f>'FCD PROJETO'!I24</f>
        <v>2030</v>
      </c>
      <c r="H4" s="138">
        <f>'FCD PROJETO'!J24</f>
        <v>2031</v>
      </c>
      <c r="I4" s="138">
        <f>'FCD PROJETO'!K24</f>
        <v>2032</v>
      </c>
      <c r="J4" s="138">
        <f>'FCD PROJETO'!L24</f>
        <v>2033</v>
      </c>
      <c r="K4" s="138">
        <f>'FCD PROJETO'!M24</f>
        <v>2034</v>
      </c>
      <c r="L4" s="138">
        <f>'FCD PROJETO'!N24</f>
        <v>2035</v>
      </c>
      <c r="M4" s="138">
        <f>'FCD PROJETO'!O24</f>
        <v>2036</v>
      </c>
      <c r="N4" s="138">
        <f>'FCD PROJETO'!P24</f>
        <v>2037</v>
      </c>
      <c r="O4" s="138">
        <f>'FCD PROJETO'!Q24</f>
        <v>2038</v>
      </c>
      <c r="P4" s="138">
        <f>'FCD PROJETO'!R24</f>
        <v>2039</v>
      </c>
      <c r="Q4" s="138">
        <f>'FCD PROJETO'!S24</f>
        <v>2040</v>
      </c>
      <c r="R4" s="138">
        <f>'FCD PROJETO'!T24</f>
        <v>2041</v>
      </c>
      <c r="S4" s="138">
        <f>'FCD PROJETO'!U24</f>
        <v>2042</v>
      </c>
      <c r="T4" s="138">
        <f>'FCD PROJETO'!V24</f>
        <v>2043</v>
      </c>
      <c r="U4" s="138">
        <f>'FCD PROJETO'!W24</f>
        <v>2044</v>
      </c>
      <c r="V4" s="138">
        <f>'FCD PROJETO'!X24</f>
        <v>2045</v>
      </c>
      <c r="W4" s="138">
        <f>'FCD PROJETO'!Y24</f>
        <v>2046</v>
      </c>
      <c r="X4" s="138">
        <f>'FCD PROJETO'!Z24</f>
        <v>2047</v>
      </c>
      <c r="Y4" s="138">
        <f>'FCD PROJETO'!AA24</f>
        <v>2048</v>
      </c>
      <c r="Z4" s="138">
        <f>'FCD PROJETO'!AB24</f>
        <v>2049</v>
      </c>
      <c r="AA4" s="138">
        <f>'FCD PROJETO'!AC24</f>
        <v>2050</v>
      </c>
      <c r="AB4" s="138">
        <f>'FCD PROJETO'!AD24</f>
        <v>2051</v>
      </c>
      <c r="AC4" s="138">
        <f>'FCD PROJETO'!AE24</f>
        <v>2052</v>
      </c>
      <c r="AD4" s="138">
        <f>'FCD PROJETO'!AF24</f>
        <v>2053</v>
      </c>
      <c r="AE4" s="138">
        <f>'FCD PROJETO'!AG24</f>
        <v>2054</v>
      </c>
      <c r="AF4" s="138">
        <f>'FCD PROJETO'!AH24</f>
        <v>2055</v>
      </c>
      <c r="AG4" s="138">
        <f>'FCD PROJETO'!AI24</f>
        <v>2056</v>
      </c>
      <c r="AH4" s="138">
        <f>'FCD PROJETO'!AJ24</f>
        <v>2057</v>
      </c>
      <c r="AI4" s="138">
        <f>'FCD PROJETO'!AK24</f>
        <v>2058</v>
      </c>
      <c r="AJ4" s="138">
        <f>'FCD PROJETO'!AL24</f>
        <v>2059</v>
      </c>
      <c r="AK4" s="138">
        <f>'FCD PROJETO'!AM24</f>
        <v>2060</v>
      </c>
      <c r="AL4" s="138">
        <f>'FCD PROJETO'!AN24</f>
        <v>2061</v>
      </c>
    </row>
    <row r="5" spans="1:39" x14ac:dyDescent="0.3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9" x14ac:dyDescent="0.3">
      <c r="B6" s="243" t="s">
        <v>390</v>
      </c>
      <c r="C6" s="244" t="s">
        <v>126</v>
      </c>
      <c r="D6" s="250">
        <f>'Base Física'!F10</f>
        <v>302518.86680173344</v>
      </c>
      <c r="E6" s="250">
        <f>'Base Física'!G10</f>
        <v>318551.17354761629</v>
      </c>
      <c r="F6" s="250">
        <f>'Base Física'!H10</f>
        <v>327097.87063211534</v>
      </c>
      <c r="G6" s="250">
        <f>'Base Física'!I10</f>
        <v>333639.12266374228</v>
      </c>
      <c r="H6" s="250">
        <f>'Base Física'!J10</f>
        <v>340099.34664209257</v>
      </c>
      <c r="I6" s="250">
        <f>'Base Física'!K10</f>
        <v>346479.7314649531</v>
      </c>
      <c r="J6" s="250">
        <f>'Base Física'!L10</f>
        <v>352761.82310199778</v>
      </c>
      <c r="K6" s="250">
        <f>'Base Física'!M10</f>
        <v>358918.46611744148</v>
      </c>
      <c r="L6" s="250">
        <f>'Base Física'!N10</f>
        <v>365023.64472305629</v>
      </c>
      <c r="M6" s="250">
        <f>'Base Física'!O10</f>
        <v>370993.1778710793</v>
      </c>
      <c r="N6" s="250">
        <f>'Base Física'!P10</f>
        <v>376838.24111314496</v>
      </c>
      <c r="O6" s="250">
        <f>'Base Física'!Q10</f>
        <v>382596.94473612087</v>
      </c>
      <c r="P6" s="250">
        <f>'Base Física'!R10</f>
        <v>388185.58164948464</v>
      </c>
      <c r="Q6" s="250">
        <f>'Base Física'!S10</f>
        <v>393663.88682391745</v>
      </c>
      <c r="R6" s="250">
        <f>'Base Física'!T10</f>
        <v>399024.27041877067</v>
      </c>
      <c r="S6" s="250">
        <f>'Base Física'!U10</f>
        <v>404264.35789962229</v>
      </c>
      <c r="T6" s="250">
        <f>'Base Física'!V10</f>
        <v>409360.82356184412</v>
      </c>
      <c r="U6" s="250">
        <f>'Base Física'!W10</f>
        <v>414337.09972150292</v>
      </c>
      <c r="V6" s="250">
        <f>'Base Física'!X10</f>
        <v>419150.12073369807</v>
      </c>
      <c r="W6" s="250">
        <f>'Base Física'!Y10</f>
        <v>423873.70373100205</v>
      </c>
      <c r="X6" s="250">
        <f>'Base Física'!Z10</f>
        <v>428432.40590154397</v>
      </c>
      <c r="Y6" s="250">
        <f>'Base Física'!AA10</f>
        <v>432863.63968485338</v>
      </c>
      <c r="Z6" s="250">
        <f>'Base Física'!AB10</f>
        <v>437150.46269474534</v>
      </c>
      <c r="AA6" s="250">
        <f>'Base Física'!AC10</f>
        <v>441310.22942385013</v>
      </c>
      <c r="AB6" s="250">
        <f>'Base Física'!AD10</f>
        <v>445321.81052758021</v>
      </c>
      <c r="AC6" s="250">
        <f>'Base Física'!AE10</f>
        <v>449249.82655700151</v>
      </c>
      <c r="AD6" s="250">
        <f>'Base Física'!AF10</f>
        <v>452995.15065138065</v>
      </c>
      <c r="AE6" s="250">
        <f>'Base Física'!AG10</f>
        <v>456637.77750159503</v>
      </c>
      <c r="AF6" s="250">
        <f>'Base Física'!AH10</f>
        <v>460138.37061472703</v>
      </c>
      <c r="AG6" s="250">
        <f>'Base Física'!AI10</f>
        <v>463523.5011180467</v>
      </c>
      <c r="AH6" s="250">
        <f>'Base Física'!AJ10</f>
        <v>466786.36528739153</v>
      </c>
      <c r="AI6" s="250">
        <f>'Base Física'!AK10</f>
        <v>469917.40558616113</v>
      </c>
      <c r="AJ6" s="250">
        <f>'Base Física'!AL10</f>
        <v>472934.577831809</v>
      </c>
      <c r="AK6" s="250">
        <f>'Base Física'!AM10</f>
        <v>473314.16391981387</v>
      </c>
      <c r="AL6" s="250">
        <f>'Base Física'!AN10</f>
        <v>475657.81352704653</v>
      </c>
    </row>
    <row r="7" spans="1:39" x14ac:dyDescent="0.3">
      <c r="B7" s="243" t="s">
        <v>391</v>
      </c>
      <c r="C7" s="244" t="s">
        <v>294</v>
      </c>
      <c r="D7" s="251">
        <f>'Base Física'!F52</f>
        <v>14263.030023655514</v>
      </c>
      <c r="E7" s="251">
        <f>'Base Física'!G52</f>
        <v>15018.914358680637</v>
      </c>
      <c r="F7" s="251">
        <f>'Base Física'!H52</f>
        <v>15421.87037397998</v>
      </c>
      <c r="G7" s="251">
        <f>'Base Física'!I52</f>
        <v>15730.27452445744</v>
      </c>
      <c r="H7" s="251">
        <f>'Base Física'!J52</f>
        <v>16034.858398967119</v>
      </c>
      <c r="I7" s="251">
        <f>'Base Física'!K52</f>
        <v>16335.678051152905</v>
      </c>
      <c r="J7" s="251">
        <f>'Base Física'!L52</f>
        <v>16631.863418293153</v>
      </c>
      <c r="K7" s="251">
        <f>'Base Física'!M52</f>
        <v>16922.134187526706</v>
      </c>
      <c r="L7" s="251">
        <f>'Base Física'!N52</f>
        <v>17209.978534797559</v>
      </c>
      <c r="M7" s="251">
        <f>'Base Física'!O52</f>
        <v>17491.42752810369</v>
      </c>
      <c r="N7" s="251">
        <f>'Base Física'!P52</f>
        <v>17767.008067569303</v>
      </c>
      <c r="O7" s="251">
        <f>'Base Física'!Q52</f>
        <v>18038.516960684621</v>
      </c>
      <c r="P7" s="251">
        <f>'Base Física'!R52</f>
        <v>18302.007621380697</v>
      </c>
      <c r="Q7" s="251">
        <f>'Base Física'!S52</f>
        <v>18560.296408482667</v>
      </c>
      <c r="R7" s="251">
        <f>'Base Física'!T52</f>
        <v>18813.025479432843</v>
      </c>
      <c r="S7" s="251">
        <f>'Base Física'!U52</f>
        <v>19060.082880698832</v>
      </c>
      <c r="T7" s="251">
        <f>'Base Física'!V52</f>
        <v>19300.368861944557</v>
      </c>
      <c r="U7" s="251">
        <f>'Base Física'!W52</f>
        <v>19534.98819997656</v>
      </c>
      <c r="V7" s="251">
        <f>'Base Física'!X52</f>
        <v>19761.91045420547</v>
      </c>
      <c r="W7" s="251">
        <f>'Base Física'!Y52</f>
        <v>19984.615923196699</v>
      </c>
      <c r="X7" s="251">
        <f>'Base Física'!Z52</f>
        <v>20199.547661553224</v>
      </c>
      <c r="Y7" s="251">
        <f>'Base Física'!AA52</f>
        <v>20408.469574957722</v>
      </c>
      <c r="Z7" s="251">
        <f>'Base Física'!AB52</f>
        <v>20610.58287103938</v>
      </c>
      <c r="AA7" s="251">
        <f>'Base Física'!AC52</f>
        <v>20806.705771987272</v>
      </c>
      <c r="AB7" s="251">
        <f>'Base Física'!AD52</f>
        <v>20995.842080508257</v>
      </c>
      <c r="AC7" s="251">
        <f>'Base Física'!AE52</f>
        <v>21181.038498679936</v>
      </c>
      <c r="AD7" s="251">
        <f>'Base Física'!AF52</f>
        <v>21357.621435708657</v>
      </c>
      <c r="AE7" s="251">
        <f>'Base Física'!AG52</f>
        <v>21529.362447034182</v>
      </c>
      <c r="AF7" s="251">
        <f>'Base Física'!AH52</f>
        <v>21694.406912528382</v>
      </c>
      <c r="AG7" s="251">
        <f>'Base Física'!AI52</f>
        <v>21854.007596324689</v>
      </c>
      <c r="AH7" s="251">
        <f>'Base Física'!AJ52</f>
        <v>22007.843719348963</v>
      </c>
      <c r="AI7" s="251">
        <f>'Base Física'!AK52</f>
        <v>22155.464666957148</v>
      </c>
      <c r="AJ7" s="251">
        <f>'Base Física'!AL52</f>
        <v>22297.717012343659</v>
      </c>
      <c r="AK7" s="251">
        <f>'Base Física'!AM52</f>
        <v>22315.613574720126</v>
      </c>
      <c r="AL7" s="251">
        <f>'Base Física'!AN52</f>
        <v>22426.110963085644</v>
      </c>
    </row>
    <row r="8" spans="1:39" x14ac:dyDescent="0.3">
      <c r="B8" s="243" t="s">
        <v>392</v>
      </c>
      <c r="C8" s="244" t="s">
        <v>126</v>
      </c>
      <c r="D8" s="250">
        <f>'Base Física'!F13</f>
        <v>0</v>
      </c>
      <c r="E8" s="250">
        <f>'Base Física'!G13</f>
        <v>64094.803530707497</v>
      </c>
      <c r="F8" s="250">
        <f>'Base Física'!H13</f>
        <v>130839.14825284615</v>
      </c>
      <c r="G8" s="250">
        <f>'Base Física'!I13</f>
        <v>200183.47359824541</v>
      </c>
      <c r="H8" s="250">
        <f>'Base Física'!J13</f>
        <v>272079.47731367406</v>
      </c>
      <c r="I8" s="250">
        <f>'Base Física'!K13</f>
        <v>294507.77174521016</v>
      </c>
      <c r="J8" s="250">
        <f>'Base Física'!L13</f>
        <v>317485.64079179801</v>
      </c>
      <c r="K8" s="250">
        <f>'Base Física'!M13</f>
        <v>330204.98882804613</v>
      </c>
      <c r="L8" s="250">
        <f>'Base Física'!N13</f>
        <v>343122.22603967268</v>
      </c>
      <c r="M8" s="250">
        <f>'Base Física'!O13</f>
        <v>356153.45075623621</v>
      </c>
      <c r="N8" s="250">
        <f>'Base Física'!P13</f>
        <v>369301.47629088204</v>
      </c>
      <c r="O8" s="250">
        <f>'Base Física'!Q13</f>
        <v>382596.94473612081</v>
      </c>
      <c r="P8" s="250">
        <f>'Base Física'!R13</f>
        <v>388185.58164948458</v>
      </c>
      <c r="Q8" s="250">
        <f>'Base Física'!S13</f>
        <v>393663.88682391739</v>
      </c>
      <c r="R8" s="250">
        <f>'Base Física'!T13</f>
        <v>399024.27041877061</v>
      </c>
      <c r="S8" s="250">
        <f>'Base Física'!U13</f>
        <v>404264.35789962223</v>
      </c>
      <c r="T8" s="250">
        <f>'Base Física'!V13</f>
        <v>409360.82356184407</v>
      </c>
      <c r="U8" s="250">
        <f>'Base Física'!W13</f>
        <v>414337.09972150286</v>
      </c>
      <c r="V8" s="250">
        <f>'Base Física'!X13</f>
        <v>419150.12073369802</v>
      </c>
      <c r="W8" s="250">
        <f>'Base Física'!Y13</f>
        <v>423873.703731002</v>
      </c>
      <c r="X8" s="250">
        <f>'Base Física'!Z13</f>
        <v>428432.40590154391</v>
      </c>
      <c r="Y8" s="250">
        <f>'Base Física'!AA13</f>
        <v>432863.63968485332</v>
      </c>
      <c r="Z8" s="250">
        <f>'Base Física'!AB13</f>
        <v>437150.46269474528</v>
      </c>
      <c r="AA8" s="250">
        <f>'Base Física'!AC13</f>
        <v>441310.22942385008</v>
      </c>
      <c r="AB8" s="250">
        <f>'Base Física'!AD13</f>
        <v>445321.81052758015</v>
      </c>
      <c r="AC8" s="250">
        <f>'Base Física'!AE13</f>
        <v>449249.82655700145</v>
      </c>
      <c r="AD8" s="250">
        <f>'Base Física'!AF13</f>
        <v>452995.15065138065</v>
      </c>
      <c r="AE8" s="250">
        <f>'Base Física'!AG13</f>
        <v>456637.77750159503</v>
      </c>
      <c r="AF8" s="250">
        <f>'Base Física'!AH13</f>
        <v>460138.37061472703</v>
      </c>
      <c r="AG8" s="250">
        <f>'Base Física'!AI13</f>
        <v>463523.5011180467</v>
      </c>
      <c r="AH8" s="250">
        <f>'Base Física'!AJ13</f>
        <v>466786.36528739153</v>
      </c>
      <c r="AI8" s="250">
        <f>'Base Física'!AK13</f>
        <v>469917.40558616113</v>
      </c>
      <c r="AJ8" s="250">
        <f>'Base Física'!AL13</f>
        <v>472934.577831809</v>
      </c>
      <c r="AK8" s="250">
        <f>'Base Física'!AM13</f>
        <v>473314.16391981387</v>
      </c>
      <c r="AL8" s="250">
        <f>'Base Física'!AN13</f>
        <v>475657.81352704653</v>
      </c>
    </row>
    <row r="9" spans="1:39" x14ac:dyDescent="0.3">
      <c r="B9" s="243" t="s">
        <v>393</v>
      </c>
      <c r="C9" s="244" t="s">
        <v>294</v>
      </c>
      <c r="D9" s="251">
        <f>'Base Física'!F53</f>
        <v>0</v>
      </c>
      <c r="E9" s="251">
        <f>'Base Física'!G53</f>
        <v>3021.9143578834273</v>
      </c>
      <c r="F9" s="251">
        <f>'Base Física'!H53</f>
        <v>6168.7481495919919</v>
      </c>
      <c r="G9" s="251">
        <f>'Base Física'!I53</f>
        <v>9438.1647146744654</v>
      </c>
      <c r="H9" s="251">
        <f>'Base Física'!J53</f>
        <v>12827.886719173694</v>
      </c>
      <c r="I9" s="251">
        <f>'Base Física'!K53</f>
        <v>13885.326343479968</v>
      </c>
      <c r="J9" s="251">
        <f>'Base Física'!L53</f>
        <v>14968.677076463839</v>
      </c>
      <c r="K9" s="251">
        <f>'Base Física'!M53</f>
        <v>15568.363452524569</v>
      </c>
      <c r="L9" s="251">
        <f>'Base Física'!N53</f>
        <v>16177.3798227097</v>
      </c>
      <c r="M9" s="251">
        <f>'Base Física'!O53</f>
        <v>16791.770426979547</v>
      </c>
      <c r="N9" s="251">
        <f>'Base Física'!P53</f>
        <v>17411.667906217917</v>
      </c>
      <c r="O9" s="251">
        <f>'Base Física'!Q53</f>
        <v>18038.516960684621</v>
      </c>
      <c r="P9" s="251">
        <f>'Base Física'!R53</f>
        <v>18302.007621380697</v>
      </c>
      <c r="Q9" s="251">
        <f>'Base Física'!S53</f>
        <v>18560.296408482667</v>
      </c>
      <c r="R9" s="251">
        <f>'Base Física'!T53</f>
        <v>18813.025479432843</v>
      </c>
      <c r="S9" s="251">
        <f>'Base Física'!U53</f>
        <v>19060.082880698832</v>
      </c>
      <c r="T9" s="251">
        <f>'Base Física'!V53</f>
        <v>19300.368861944557</v>
      </c>
      <c r="U9" s="251">
        <f>'Base Física'!W53</f>
        <v>19534.98819997656</v>
      </c>
      <c r="V9" s="251">
        <f>'Base Física'!X53</f>
        <v>19761.91045420547</v>
      </c>
      <c r="W9" s="251">
        <f>'Base Física'!Y53</f>
        <v>19984.615923196699</v>
      </c>
      <c r="X9" s="251">
        <f>'Base Física'!Z53</f>
        <v>20199.547661553224</v>
      </c>
      <c r="Y9" s="251">
        <f>'Base Física'!AA53</f>
        <v>20408.469574957722</v>
      </c>
      <c r="Z9" s="251">
        <f>'Base Física'!AB53</f>
        <v>20610.58287103938</v>
      </c>
      <c r="AA9" s="251">
        <f>'Base Física'!AC53</f>
        <v>20806.705771987272</v>
      </c>
      <c r="AB9" s="251">
        <f>'Base Física'!AD53</f>
        <v>20995.842080508257</v>
      </c>
      <c r="AC9" s="251">
        <f>'Base Física'!AE53</f>
        <v>21181.038498679936</v>
      </c>
      <c r="AD9" s="251">
        <f>'Base Física'!AF53</f>
        <v>21357.621435708657</v>
      </c>
      <c r="AE9" s="251">
        <f>'Base Física'!AG53</f>
        <v>21529.362447034182</v>
      </c>
      <c r="AF9" s="251">
        <f>'Base Física'!AH53</f>
        <v>21694.406912528382</v>
      </c>
      <c r="AG9" s="251">
        <f>'Base Física'!AI53</f>
        <v>21854.007596324689</v>
      </c>
      <c r="AH9" s="251">
        <f>'Base Física'!AJ53</f>
        <v>22007.843719348963</v>
      </c>
      <c r="AI9" s="251">
        <f>'Base Física'!AK53</f>
        <v>22155.464666957148</v>
      </c>
      <c r="AJ9" s="251">
        <f>'Base Física'!AL53</f>
        <v>22297.717012343659</v>
      </c>
      <c r="AK9" s="251">
        <f>'Base Física'!AM53</f>
        <v>22315.613574720126</v>
      </c>
      <c r="AL9" s="251">
        <f>'Base Física'!AN53</f>
        <v>22426.110963085644</v>
      </c>
    </row>
    <row r="10" spans="1:39" x14ac:dyDescent="0.3">
      <c r="A10" s="138" t="s">
        <v>568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</row>
    <row r="11" spans="1:39" x14ac:dyDescent="0.3">
      <c r="A11" s="353">
        <v>0.01</v>
      </c>
      <c r="B11" s="243" t="s">
        <v>394</v>
      </c>
      <c r="C11" s="244" t="s">
        <v>294</v>
      </c>
      <c r="D11" s="251">
        <f t="shared" ref="D11:AL11" si="0">IF(D6&lt;200000,0,(D6/26000*12)*(1+$A$11)^D3)</f>
        <v>141.02033329373111</v>
      </c>
      <c r="E11" s="251">
        <f t="shared" si="0"/>
        <v>149.97879329350309</v>
      </c>
      <c r="F11" s="251">
        <f t="shared" si="0"/>
        <v>155.54273686621801</v>
      </c>
      <c r="G11" s="251">
        <f t="shared" si="0"/>
        <v>160.23978874004865</v>
      </c>
      <c r="H11" s="251">
        <f t="shared" si="0"/>
        <v>164.97592216305367</v>
      </c>
      <c r="I11" s="251">
        <f t="shared" si="0"/>
        <v>169.75163848840205</v>
      </c>
      <c r="J11" s="251">
        <f t="shared" si="0"/>
        <v>174.55773296370975</v>
      </c>
      <c r="K11" s="251">
        <f t="shared" si="0"/>
        <v>179.38027745031528</v>
      </c>
      <c r="L11" s="251">
        <f t="shared" si="0"/>
        <v>184.2558389608501</v>
      </c>
      <c r="M11" s="251">
        <f t="shared" si="0"/>
        <v>189.14181814754249</v>
      </c>
      <c r="N11" s="251">
        <f t="shared" si="0"/>
        <v>194.04299881060078</v>
      </c>
      <c r="O11" s="251">
        <f t="shared" si="0"/>
        <v>198.9783755910826</v>
      </c>
      <c r="P11" s="251">
        <f t="shared" si="0"/>
        <v>203.90372401678454</v>
      </c>
      <c r="Q11" s="251">
        <f t="shared" si="0"/>
        <v>208.84914765553245</v>
      </c>
      <c r="R11" s="251">
        <f t="shared" si="0"/>
        <v>213.80990325939504</v>
      </c>
      <c r="S11" s="251">
        <f t="shared" si="0"/>
        <v>218.78388598933307</v>
      </c>
      <c r="T11" s="251">
        <f t="shared" si="0"/>
        <v>223.75746340373837</v>
      </c>
      <c r="U11" s="251">
        <f t="shared" si="0"/>
        <v>228.7422811916353</v>
      </c>
      <c r="V11" s="251">
        <f t="shared" si="0"/>
        <v>233.71339035593888</v>
      </c>
      <c r="W11" s="251">
        <f t="shared" si="0"/>
        <v>238.71067914850343</v>
      </c>
      <c r="X11" s="251">
        <f t="shared" si="0"/>
        <v>243.69075877695164</v>
      </c>
      <c r="Y11" s="251">
        <f t="shared" si="0"/>
        <v>248.67334035011322</v>
      </c>
      <c r="Z11" s="251">
        <f t="shared" si="0"/>
        <v>253.64741314787952</v>
      </c>
      <c r="AA11" s="251">
        <f t="shared" si="0"/>
        <v>258.62164110047593</v>
      </c>
      <c r="AB11" s="251">
        <f t="shared" si="0"/>
        <v>263.58227903057144</v>
      </c>
      <c r="AC11" s="251">
        <f t="shared" si="0"/>
        <v>268.56631146736999</v>
      </c>
      <c r="AD11" s="251">
        <f t="shared" si="0"/>
        <v>273.513358996671</v>
      </c>
      <c r="AE11" s="251">
        <f t="shared" si="0"/>
        <v>278.46986333416197</v>
      </c>
      <c r="AF11" s="251">
        <f t="shared" si="0"/>
        <v>283.41066431200784</v>
      </c>
      <c r="AG11" s="251">
        <f t="shared" si="0"/>
        <v>288.35060686766326</v>
      </c>
      <c r="AH11" s="251">
        <f t="shared" si="0"/>
        <v>293.28418666442229</v>
      </c>
      <c r="AI11" s="251">
        <f t="shared" si="0"/>
        <v>298.2039491493274</v>
      </c>
      <c r="AJ11" s="251">
        <f t="shared" si="0"/>
        <v>303.11979657153898</v>
      </c>
      <c r="AK11" s="251">
        <f t="shared" si="0"/>
        <v>306.39671701939557</v>
      </c>
      <c r="AL11" s="251">
        <f t="shared" si="0"/>
        <v>310.99300134010207</v>
      </c>
      <c r="AM11" s="1"/>
    </row>
    <row r="12" spans="1:39" x14ac:dyDescent="0.3">
      <c r="A12" s="86"/>
      <c r="B12" s="243" t="s">
        <v>407</v>
      </c>
      <c r="C12" s="244" t="s">
        <v>294</v>
      </c>
      <c r="D12" s="251">
        <f>D11/12</f>
        <v>11.751694441144259</v>
      </c>
      <c r="E12" s="251">
        <f t="shared" ref="E12:AG12" si="1">E11/12</f>
        <v>12.498232774458591</v>
      </c>
      <c r="F12" s="251">
        <f t="shared" si="1"/>
        <v>12.9618947388515</v>
      </c>
      <c r="G12" s="251">
        <f t="shared" si="1"/>
        <v>13.353315728337387</v>
      </c>
      <c r="H12" s="251">
        <f t="shared" si="1"/>
        <v>13.747993513587806</v>
      </c>
      <c r="I12" s="251">
        <f t="shared" si="1"/>
        <v>14.145969874033504</v>
      </c>
      <c r="J12" s="251">
        <f t="shared" si="1"/>
        <v>14.546477746975812</v>
      </c>
      <c r="K12" s="251">
        <f t="shared" si="1"/>
        <v>14.94835645419294</v>
      </c>
      <c r="L12" s="251">
        <f t="shared" si="1"/>
        <v>15.354653246737508</v>
      </c>
      <c r="M12" s="251">
        <f t="shared" si="1"/>
        <v>15.761818178961875</v>
      </c>
      <c r="N12" s="251">
        <f t="shared" si="1"/>
        <v>16.170249900883398</v>
      </c>
      <c r="O12" s="251">
        <f t="shared" si="1"/>
        <v>16.581531299256884</v>
      </c>
      <c r="P12" s="251">
        <f t="shared" si="1"/>
        <v>16.991977001398713</v>
      </c>
      <c r="Q12" s="251">
        <f t="shared" si="1"/>
        <v>17.404095637961039</v>
      </c>
      <c r="R12" s="251">
        <f t="shared" si="1"/>
        <v>17.81749193828292</v>
      </c>
      <c r="S12" s="251">
        <f t="shared" si="1"/>
        <v>18.231990499111088</v>
      </c>
      <c r="T12" s="251">
        <f t="shared" si="1"/>
        <v>18.646455283644865</v>
      </c>
      <c r="U12" s="251">
        <f t="shared" si="1"/>
        <v>19.061856765969608</v>
      </c>
      <c r="V12" s="251">
        <f t="shared" si="1"/>
        <v>19.476115862994906</v>
      </c>
      <c r="W12" s="251">
        <f t="shared" si="1"/>
        <v>19.892556595708619</v>
      </c>
      <c r="X12" s="251">
        <f t="shared" si="1"/>
        <v>20.307563231412637</v>
      </c>
      <c r="Y12" s="251">
        <f t="shared" si="1"/>
        <v>20.722778362509434</v>
      </c>
      <c r="Z12" s="251">
        <f t="shared" si="1"/>
        <v>21.137284428989961</v>
      </c>
      <c r="AA12" s="251">
        <f t="shared" si="1"/>
        <v>21.551803425039662</v>
      </c>
      <c r="AB12" s="251">
        <f t="shared" si="1"/>
        <v>21.965189919214286</v>
      </c>
      <c r="AC12" s="251">
        <f t="shared" si="1"/>
        <v>22.380525955614164</v>
      </c>
      <c r="AD12" s="251">
        <f t="shared" si="1"/>
        <v>22.79277991638925</v>
      </c>
      <c r="AE12" s="251">
        <f t="shared" si="1"/>
        <v>23.205821944513499</v>
      </c>
      <c r="AF12" s="251">
        <f t="shared" si="1"/>
        <v>23.617555359333988</v>
      </c>
      <c r="AG12" s="251">
        <f t="shared" si="1"/>
        <v>24.029217238971938</v>
      </c>
      <c r="AH12" s="251">
        <f t="shared" ref="AH12:AL12" si="2">AH11/12</f>
        <v>24.440348888701859</v>
      </c>
      <c r="AI12" s="251">
        <f t="shared" si="2"/>
        <v>24.850329095777283</v>
      </c>
      <c r="AJ12" s="251">
        <f t="shared" si="2"/>
        <v>25.25998304762825</v>
      </c>
      <c r="AK12" s="251">
        <f t="shared" si="2"/>
        <v>25.533059751616296</v>
      </c>
      <c r="AL12" s="251">
        <f t="shared" si="2"/>
        <v>25.916083445008507</v>
      </c>
      <c r="AM12" s="45"/>
    </row>
    <row r="13" spans="1:39" x14ac:dyDescent="0.3">
      <c r="A13" s="353">
        <v>2.1200347402451126E-2</v>
      </c>
      <c r="B13" s="243" t="s">
        <v>405</v>
      </c>
      <c r="C13" s="244" t="s">
        <v>126</v>
      </c>
      <c r="D13" s="251">
        <f t="shared" ref="D13:AL13" si="3">IF(D6&lt;200000,0,D6*((1+$A$13)^D3)/100)</f>
        <v>3089.3237187372602</v>
      </c>
      <c r="E13" s="251">
        <f t="shared" si="3"/>
        <v>3322.0113896864536</v>
      </c>
      <c r="F13" s="251">
        <f t="shared" si="3"/>
        <v>3483.457999470927</v>
      </c>
      <c r="G13" s="251">
        <f t="shared" si="3"/>
        <v>3628.4470183304456</v>
      </c>
      <c r="H13" s="251">
        <f t="shared" si="3"/>
        <v>3777.1181241029826</v>
      </c>
      <c r="I13" s="251">
        <f t="shared" si="3"/>
        <v>3929.556679554184</v>
      </c>
      <c r="J13" s="251">
        <f t="shared" si="3"/>
        <v>4085.6226784306132</v>
      </c>
      <c r="K13" s="251">
        <f t="shared" si="3"/>
        <v>4245.0561008813938</v>
      </c>
      <c r="L13" s="251">
        <f t="shared" si="3"/>
        <v>4408.7917165448171</v>
      </c>
      <c r="M13" s="251">
        <f t="shared" si="3"/>
        <v>4575.8888029064656</v>
      </c>
      <c r="N13" s="251">
        <f t="shared" si="3"/>
        <v>4746.5215904989218</v>
      </c>
      <c r="O13" s="251">
        <f t="shared" si="3"/>
        <v>4921.2218558783043</v>
      </c>
      <c r="P13" s="251">
        <f t="shared" si="3"/>
        <v>5098.9622976953196</v>
      </c>
      <c r="Q13" s="251">
        <f t="shared" si="3"/>
        <v>5280.5472182147341</v>
      </c>
      <c r="R13" s="251">
        <f t="shared" si="3"/>
        <v>5465.9243964308989</v>
      </c>
      <c r="S13" s="251">
        <f t="shared" si="3"/>
        <v>5655.1055507457859</v>
      </c>
      <c r="T13" s="251">
        <f t="shared" si="3"/>
        <v>5847.7997659864204</v>
      </c>
      <c r="U13" s="251">
        <f t="shared" si="3"/>
        <v>6044.369305723355</v>
      </c>
      <c r="V13" s="251">
        <f t="shared" si="3"/>
        <v>6244.2131452134508</v>
      </c>
      <c r="W13" s="251">
        <f t="shared" si="3"/>
        <v>6448.4531982588805</v>
      </c>
      <c r="X13" s="251">
        <f t="shared" si="3"/>
        <v>6655.985145955312</v>
      </c>
      <c r="Y13" s="251">
        <f t="shared" si="3"/>
        <v>6867.3960144419189</v>
      </c>
      <c r="Z13" s="251">
        <f t="shared" si="3"/>
        <v>7082.4396331922026</v>
      </c>
      <c r="AA13" s="251">
        <f t="shared" si="3"/>
        <v>7301.4125397771386</v>
      </c>
      <c r="AB13" s="251">
        <f t="shared" si="3"/>
        <v>7523.9831273867876</v>
      </c>
      <c r="AC13" s="251">
        <f t="shared" si="3"/>
        <v>7751.2673929367338</v>
      </c>
      <c r="AD13" s="251">
        <f t="shared" si="3"/>
        <v>7981.5880227916614</v>
      </c>
      <c r="AE13" s="251">
        <f t="shared" si="3"/>
        <v>8216.3427187616089</v>
      </c>
      <c r="AF13" s="251">
        <f t="shared" si="3"/>
        <v>8454.8540027440158</v>
      </c>
      <c r="AG13" s="251">
        <f t="shared" si="3"/>
        <v>8697.6189004537591</v>
      </c>
      <c r="AH13" s="251">
        <f t="shared" si="3"/>
        <v>8944.5342637141766</v>
      </c>
      <c r="AI13" s="251">
        <f t="shared" si="3"/>
        <v>9195.4302702217938</v>
      </c>
      <c r="AJ13" s="251">
        <f t="shared" si="3"/>
        <v>9450.6688490547731</v>
      </c>
      <c r="AK13" s="251">
        <f t="shared" si="3"/>
        <v>9658.7724050520064</v>
      </c>
      <c r="AL13" s="251">
        <f t="shared" si="3"/>
        <v>9912.3817818923326</v>
      </c>
      <c r="AM13" s="1"/>
    </row>
    <row r="14" spans="1:39" x14ac:dyDescent="0.3">
      <c r="A14" s="86"/>
      <c r="B14" s="243" t="s">
        <v>407</v>
      </c>
      <c r="C14" s="244" t="s">
        <v>126</v>
      </c>
      <c r="D14" s="251">
        <f>D13/12</f>
        <v>257.44364322810503</v>
      </c>
      <c r="E14" s="251">
        <f t="shared" ref="E14:AG14" si="4">E13/12</f>
        <v>276.83428247387116</v>
      </c>
      <c r="F14" s="251">
        <f t="shared" si="4"/>
        <v>290.28816662257725</v>
      </c>
      <c r="G14" s="251">
        <f t="shared" si="4"/>
        <v>302.37058486087045</v>
      </c>
      <c r="H14" s="251">
        <f t="shared" si="4"/>
        <v>314.75984367524853</v>
      </c>
      <c r="I14" s="251">
        <f t="shared" si="4"/>
        <v>327.46305662951534</v>
      </c>
      <c r="J14" s="251">
        <f t="shared" si="4"/>
        <v>340.46855653588443</v>
      </c>
      <c r="K14" s="251">
        <f t="shared" si="4"/>
        <v>353.7546750734495</v>
      </c>
      <c r="L14" s="251">
        <f t="shared" si="4"/>
        <v>367.39930971206809</v>
      </c>
      <c r="M14" s="251">
        <f t="shared" si="4"/>
        <v>381.32406690887211</v>
      </c>
      <c r="N14" s="251">
        <f t="shared" si="4"/>
        <v>395.54346587491017</v>
      </c>
      <c r="O14" s="251">
        <f t="shared" si="4"/>
        <v>410.10182132319204</v>
      </c>
      <c r="P14" s="251">
        <f t="shared" si="4"/>
        <v>424.9135248079433</v>
      </c>
      <c r="Q14" s="251">
        <f t="shared" si="4"/>
        <v>440.04560151789451</v>
      </c>
      <c r="R14" s="251">
        <f t="shared" si="4"/>
        <v>455.49369970257493</v>
      </c>
      <c r="S14" s="251">
        <f t="shared" si="4"/>
        <v>471.25879589548214</v>
      </c>
      <c r="T14" s="251">
        <f t="shared" si="4"/>
        <v>487.31664716553502</v>
      </c>
      <c r="U14" s="251">
        <f t="shared" si="4"/>
        <v>503.69744214361293</v>
      </c>
      <c r="V14" s="251">
        <f t="shared" si="4"/>
        <v>520.35109543445424</v>
      </c>
      <c r="W14" s="251">
        <f t="shared" si="4"/>
        <v>537.37109985490667</v>
      </c>
      <c r="X14" s="251">
        <f t="shared" si="4"/>
        <v>554.66542882960937</v>
      </c>
      <c r="Y14" s="251">
        <f t="shared" si="4"/>
        <v>572.2830012034932</v>
      </c>
      <c r="Z14" s="251">
        <f t="shared" si="4"/>
        <v>590.20330276601692</v>
      </c>
      <c r="AA14" s="251">
        <f t="shared" si="4"/>
        <v>608.45104498142825</v>
      </c>
      <c r="AB14" s="251">
        <f t="shared" si="4"/>
        <v>626.99859394889893</v>
      </c>
      <c r="AC14" s="251">
        <f t="shared" si="4"/>
        <v>645.93894941139445</v>
      </c>
      <c r="AD14" s="251">
        <f t="shared" si="4"/>
        <v>665.13233523263841</v>
      </c>
      <c r="AE14" s="251">
        <f t="shared" si="4"/>
        <v>684.69522656346737</v>
      </c>
      <c r="AF14" s="251">
        <f t="shared" si="4"/>
        <v>704.57116689533461</v>
      </c>
      <c r="AG14" s="251">
        <f t="shared" si="4"/>
        <v>724.80157503781322</v>
      </c>
      <c r="AH14" s="251">
        <f t="shared" ref="AH14:AL14" si="5">AH13/12</f>
        <v>745.37785530951476</v>
      </c>
      <c r="AI14" s="251">
        <f t="shared" si="5"/>
        <v>766.28585585181611</v>
      </c>
      <c r="AJ14" s="251">
        <f t="shared" si="5"/>
        <v>787.55573742123113</v>
      </c>
      <c r="AK14" s="251">
        <f t="shared" si="5"/>
        <v>804.89770042100054</v>
      </c>
      <c r="AL14" s="251">
        <f t="shared" si="5"/>
        <v>826.03181515769438</v>
      </c>
      <c r="AM14" s="45"/>
    </row>
    <row r="15" spans="1:39" x14ac:dyDescent="0.3">
      <c r="A15" s="353">
        <f>(1/AL3)</f>
        <v>2.8571428571428571E-2</v>
      </c>
      <c r="B15" s="246" t="s">
        <v>395</v>
      </c>
      <c r="C15" s="244" t="s">
        <v>294</v>
      </c>
      <c r="D15" s="251">
        <f t="shared" ref="D15:AL15" si="6">IF(D6&lt;200000,0,D$7*$A$15)</f>
        <v>407.51514353301468</v>
      </c>
      <c r="E15" s="251">
        <f t="shared" si="6"/>
        <v>429.11183881944675</v>
      </c>
      <c r="F15" s="251">
        <f t="shared" si="6"/>
        <v>440.62486782799942</v>
      </c>
      <c r="G15" s="251">
        <f t="shared" si="6"/>
        <v>449.43641498449824</v>
      </c>
      <c r="H15" s="251">
        <f t="shared" si="6"/>
        <v>458.1388113990605</v>
      </c>
      <c r="I15" s="251">
        <f t="shared" si="6"/>
        <v>466.73365860436871</v>
      </c>
      <c r="J15" s="251">
        <f t="shared" si="6"/>
        <v>475.19609766551866</v>
      </c>
      <c r="K15" s="251">
        <f t="shared" si="6"/>
        <v>483.48954821504873</v>
      </c>
      <c r="L15" s="251">
        <f t="shared" si="6"/>
        <v>491.7136724227874</v>
      </c>
      <c r="M15" s="251">
        <f t="shared" si="6"/>
        <v>499.75507223153397</v>
      </c>
      <c r="N15" s="251">
        <f t="shared" si="6"/>
        <v>507.6288019305515</v>
      </c>
      <c r="O15" s="251">
        <f t="shared" si="6"/>
        <v>515.38619887670347</v>
      </c>
      <c r="P15" s="251">
        <f t="shared" si="6"/>
        <v>522.91450346801992</v>
      </c>
      <c r="Q15" s="251">
        <f t="shared" si="6"/>
        <v>530.29418309950472</v>
      </c>
      <c r="R15" s="251">
        <f t="shared" si="6"/>
        <v>537.51501369808125</v>
      </c>
      <c r="S15" s="251">
        <f t="shared" si="6"/>
        <v>544.57379659139519</v>
      </c>
      <c r="T15" s="251">
        <f t="shared" si="6"/>
        <v>551.43911034127302</v>
      </c>
      <c r="U15" s="251">
        <f t="shared" si="6"/>
        <v>558.14251999933026</v>
      </c>
      <c r="V15" s="251">
        <f t="shared" si="6"/>
        <v>564.62601297729918</v>
      </c>
      <c r="W15" s="251">
        <f t="shared" si="6"/>
        <v>570.9890263770485</v>
      </c>
      <c r="X15" s="251">
        <f t="shared" si="6"/>
        <v>577.129933187235</v>
      </c>
      <c r="Y15" s="251">
        <f t="shared" si="6"/>
        <v>583.09913071307778</v>
      </c>
      <c r="Z15" s="251">
        <f t="shared" si="6"/>
        <v>588.8737963154108</v>
      </c>
      <c r="AA15" s="251">
        <f t="shared" si="6"/>
        <v>594.47730777106494</v>
      </c>
      <c r="AB15" s="251">
        <f t="shared" si="6"/>
        <v>599.88120230023594</v>
      </c>
      <c r="AC15" s="251">
        <f t="shared" si="6"/>
        <v>605.17252853371247</v>
      </c>
      <c r="AD15" s="251">
        <f t="shared" si="6"/>
        <v>610.21775530596165</v>
      </c>
      <c r="AE15" s="251">
        <f t="shared" si="6"/>
        <v>615.12464134383379</v>
      </c>
      <c r="AF15" s="251">
        <f t="shared" si="6"/>
        <v>619.84019750081086</v>
      </c>
      <c r="AG15" s="251">
        <f t="shared" si="6"/>
        <v>624.40021703784828</v>
      </c>
      <c r="AH15" s="251">
        <f t="shared" si="6"/>
        <v>628.79553483854181</v>
      </c>
      <c r="AI15" s="251">
        <f t="shared" si="6"/>
        <v>633.01327619877566</v>
      </c>
      <c r="AJ15" s="251">
        <f t="shared" si="6"/>
        <v>637.07762892410449</v>
      </c>
      <c r="AK15" s="251">
        <f t="shared" si="6"/>
        <v>637.58895927771789</v>
      </c>
      <c r="AL15" s="251">
        <f t="shared" si="6"/>
        <v>640.74602751673262</v>
      </c>
      <c r="AM15" s="1"/>
    </row>
    <row r="16" spans="1:39" x14ac:dyDescent="0.3">
      <c r="A16" s="29"/>
      <c r="B16" s="243"/>
      <c r="C16" s="244"/>
      <c r="D16" s="252">
        <f t="shared" ref="D16:AL16" si="7">D15/D7</f>
        <v>2.8571428571428571E-2</v>
      </c>
      <c r="E16" s="252">
        <f t="shared" si="7"/>
        <v>2.8571428571428571E-2</v>
      </c>
      <c r="F16" s="252">
        <f t="shared" si="7"/>
        <v>2.8571428571428571E-2</v>
      </c>
      <c r="G16" s="252">
        <f t="shared" si="7"/>
        <v>2.8571428571428571E-2</v>
      </c>
      <c r="H16" s="252">
        <f t="shared" si="7"/>
        <v>2.8571428571428571E-2</v>
      </c>
      <c r="I16" s="252">
        <f t="shared" si="7"/>
        <v>2.8571428571428571E-2</v>
      </c>
      <c r="J16" s="252">
        <f t="shared" si="7"/>
        <v>2.8571428571428571E-2</v>
      </c>
      <c r="K16" s="252">
        <f t="shared" si="7"/>
        <v>2.8571428571428571E-2</v>
      </c>
      <c r="L16" s="252">
        <f t="shared" si="7"/>
        <v>2.8571428571428571E-2</v>
      </c>
      <c r="M16" s="252">
        <f t="shared" si="7"/>
        <v>2.8571428571428571E-2</v>
      </c>
      <c r="N16" s="252">
        <f t="shared" si="7"/>
        <v>2.8571428571428571E-2</v>
      </c>
      <c r="O16" s="252">
        <f t="shared" si="7"/>
        <v>2.8571428571428571E-2</v>
      </c>
      <c r="P16" s="252">
        <f t="shared" si="7"/>
        <v>2.8571428571428571E-2</v>
      </c>
      <c r="Q16" s="252">
        <f t="shared" si="7"/>
        <v>2.8571428571428567E-2</v>
      </c>
      <c r="R16" s="252">
        <f t="shared" si="7"/>
        <v>2.8571428571428574E-2</v>
      </c>
      <c r="S16" s="252">
        <f t="shared" si="7"/>
        <v>2.8571428571428571E-2</v>
      </c>
      <c r="T16" s="252">
        <f t="shared" si="7"/>
        <v>2.8571428571428571E-2</v>
      </c>
      <c r="U16" s="252">
        <f t="shared" si="7"/>
        <v>2.8571428571428571E-2</v>
      </c>
      <c r="V16" s="252">
        <f t="shared" si="7"/>
        <v>2.8571428571428574E-2</v>
      </c>
      <c r="W16" s="252">
        <f t="shared" si="7"/>
        <v>2.8571428571428571E-2</v>
      </c>
      <c r="X16" s="252">
        <f t="shared" si="7"/>
        <v>2.8571428571428571E-2</v>
      </c>
      <c r="Y16" s="252">
        <f t="shared" si="7"/>
        <v>2.8571428571428571E-2</v>
      </c>
      <c r="Z16" s="252">
        <f t="shared" si="7"/>
        <v>2.8571428571428571E-2</v>
      </c>
      <c r="AA16" s="252">
        <f t="shared" si="7"/>
        <v>2.8571428571428574E-2</v>
      </c>
      <c r="AB16" s="252">
        <f t="shared" si="7"/>
        <v>2.8571428571428574E-2</v>
      </c>
      <c r="AC16" s="252">
        <f t="shared" si="7"/>
        <v>2.8571428571428571E-2</v>
      </c>
      <c r="AD16" s="252">
        <f t="shared" si="7"/>
        <v>2.8571428571428571E-2</v>
      </c>
      <c r="AE16" s="252">
        <f t="shared" si="7"/>
        <v>2.8571428571428571E-2</v>
      </c>
      <c r="AF16" s="252">
        <f t="shared" si="7"/>
        <v>2.8571428571428567E-2</v>
      </c>
      <c r="AG16" s="252">
        <f t="shared" si="7"/>
        <v>2.8571428571428574E-2</v>
      </c>
      <c r="AH16" s="252">
        <f t="shared" si="7"/>
        <v>2.8571428571428574E-2</v>
      </c>
      <c r="AI16" s="252">
        <f t="shared" si="7"/>
        <v>2.8571428571428571E-2</v>
      </c>
      <c r="AJ16" s="252">
        <f t="shared" si="7"/>
        <v>2.8571428571428571E-2</v>
      </c>
      <c r="AK16" s="252">
        <f t="shared" si="7"/>
        <v>2.8571428571428571E-2</v>
      </c>
      <c r="AL16" s="252">
        <f t="shared" si="7"/>
        <v>2.8571428571428567E-2</v>
      </c>
      <c r="AM16" s="45"/>
    </row>
    <row r="17" spans="1:39" x14ac:dyDescent="0.3">
      <c r="A17" s="86"/>
      <c r="B17" s="243" t="s">
        <v>407</v>
      </c>
      <c r="C17" s="244" t="s">
        <v>294</v>
      </c>
      <c r="D17" s="251">
        <f>D15/12</f>
        <v>33.959595294417888</v>
      </c>
      <c r="E17" s="251">
        <f t="shared" ref="E17:AG17" si="8">E15/12</f>
        <v>35.759319901620565</v>
      </c>
      <c r="F17" s="251">
        <f t="shared" si="8"/>
        <v>36.718738985666619</v>
      </c>
      <c r="G17" s="251">
        <f t="shared" si="8"/>
        <v>37.453034582041518</v>
      </c>
      <c r="H17" s="251">
        <f t="shared" si="8"/>
        <v>38.178234283255044</v>
      </c>
      <c r="I17" s="251">
        <f t="shared" si="8"/>
        <v>38.894471550364059</v>
      </c>
      <c r="J17" s="251">
        <f t="shared" si="8"/>
        <v>39.599674805459891</v>
      </c>
      <c r="K17" s="251">
        <f t="shared" si="8"/>
        <v>40.290795684587394</v>
      </c>
      <c r="L17" s="251">
        <f t="shared" si="8"/>
        <v>40.976139368565619</v>
      </c>
      <c r="M17" s="251">
        <f t="shared" si="8"/>
        <v>41.646256019294498</v>
      </c>
      <c r="N17" s="251">
        <f t="shared" si="8"/>
        <v>42.302400160879294</v>
      </c>
      <c r="O17" s="251">
        <f t="shared" si="8"/>
        <v>42.948849906391956</v>
      </c>
      <c r="P17" s="251">
        <f t="shared" si="8"/>
        <v>43.576208622334995</v>
      </c>
      <c r="Q17" s="251">
        <f t="shared" si="8"/>
        <v>44.191181924958727</v>
      </c>
      <c r="R17" s="251">
        <f t="shared" si="8"/>
        <v>44.792917808173435</v>
      </c>
      <c r="S17" s="251">
        <f t="shared" si="8"/>
        <v>45.381149715949597</v>
      </c>
      <c r="T17" s="251">
        <f t="shared" si="8"/>
        <v>45.953259195106085</v>
      </c>
      <c r="U17" s="251">
        <f t="shared" si="8"/>
        <v>46.511876666610853</v>
      </c>
      <c r="V17" s="251">
        <f t="shared" si="8"/>
        <v>47.052167748108268</v>
      </c>
      <c r="W17" s="251">
        <f t="shared" si="8"/>
        <v>47.58241886475404</v>
      </c>
      <c r="X17" s="251">
        <f t="shared" si="8"/>
        <v>48.094161098936247</v>
      </c>
      <c r="Y17" s="251">
        <f t="shared" si="8"/>
        <v>48.591594226089818</v>
      </c>
      <c r="Z17" s="251">
        <f t="shared" si="8"/>
        <v>49.072816359617569</v>
      </c>
      <c r="AA17" s="251">
        <f t="shared" si="8"/>
        <v>49.539775647588748</v>
      </c>
      <c r="AB17" s="251">
        <f t="shared" si="8"/>
        <v>49.990100191686331</v>
      </c>
      <c r="AC17" s="251">
        <f t="shared" si="8"/>
        <v>50.431044044476039</v>
      </c>
      <c r="AD17" s="251">
        <f t="shared" si="8"/>
        <v>50.85147960883014</v>
      </c>
      <c r="AE17" s="251">
        <f t="shared" si="8"/>
        <v>51.260386778652816</v>
      </c>
      <c r="AF17" s="251">
        <f t="shared" si="8"/>
        <v>51.653349791734236</v>
      </c>
      <c r="AG17" s="251">
        <f t="shared" si="8"/>
        <v>52.03335141982069</v>
      </c>
      <c r="AH17" s="251">
        <f t="shared" ref="AH17:AL17" si="9">AH15/12</f>
        <v>52.399627903211815</v>
      </c>
      <c r="AI17" s="251">
        <f t="shared" si="9"/>
        <v>52.751106349897974</v>
      </c>
      <c r="AJ17" s="251">
        <f t="shared" si="9"/>
        <v>53.089802410342038</v>
      </c>
      <c r="AK17" s="251">
        <f t="shared" si="9"/>
        <v>53.132413273143158</v>
      </c>
      <c r="AL17" s="251">
        <f t="shared" si="9"/>
        <v>53.39550229306105</v>
      </c>
      <c r="AM17" s="85"/>
    </row>
    <row r="18" spans="1:39" x14ac:dyDescent="0.3">
      <c r="A18" s="353">
        <f>1/AL3</f>
        <v>2.8571428571428571E-2</v>
      </c>
      <c r="B18" s="246" t="s">
        <v>396</v>
      </c>
      <c r="C18" s="244" t="s">
        <v>294</v>
      </c>
      <c r="D18" s="251">
        <f t="shared" ref="D18:AL18" si="10">IF(D6&lt;200000,0,D$7*$A$18)</f>
        <v>407.51514353301468</v>
      </c>
      <c r="E18" s="251">
        <f t="shared" si="10"/>
        <v>429.11183881944675</v>
      </c>
      <c r="F18" s="251">
        <f t="shared" si="10"/>
        <v>440.62486782799942</v>
      </c>
      <c r="G18" s="251">
        <f t="shared" si="10"/>
        <v>449.43641498449824</v>
      </c>
      <c r="H18" s="251">
        <f t="shared" si="10"/>
        <v>458.1388113990605</v>
      </c>
      <c r="I18" s="251">
        <f t="shared" si="10"/>
        <v>466.73365860436871</v>
      </c>
      <c r="J18" s="251">
        <f t="shared" si="10"/>
        <v>475.19609766551866</v>
      </c>
      <c r="K18" s="251">
        <f t="shared" si="10"/>
        <v>483.48954821504873</v>
      </c>
      <c r="L18" s="251">
        <f t="shared" si="10"/>
        <v>491.7136724227874</v>
      </c>
      <c r="M18" s="251">
        <f t="shared" si="10"/>
        <v>499.75507223153397</v>
      </c>
      <c r="N18" s="251">
        <f t="shared" si="10"/>
        <v>507.6288019305515</v>
      </c>
      <c r="O18" s="251">
        <f t="shared" si="10"/>
        <v>515.38619887670347</v>
      </c>
      <c r="P18" s="251">
        <f t="shared" si="10"/>
        <v>522.91450346801992</v>
      </c>
      <c r="Q18" s="251">
        <f t="shared" si="10"/>
        <v>530.29418309950472</v>
      </c>
      <c r="R18" s="251">
        <f t="shared" si="10"/>
        <v>537.51501369808125</v>
      </c>
      <c r="S18" s="251">
        <f t="shared" si="10"/>
        <v>544.57379659139519</v>
      </c>
      <c r="T18" s="251">
        <f t="shared" si="10"/>
        <v>551.43911034127302</v>
      </c>
      <c r="U18" s="251">
        <f t="shared" si="10"/>
        <v>558.14251999933026</v>
      </c>
      <c r="V18" s="251">
        <f t="shared" si="10"/>
        <v>564.62601297729918</v>
      </c>
      <c r="W18" s="251">
        <f t="shared" si="10"/>
        <v>570.9890263770485</v>
      </c>
      <c r="X18" s="251">
        <f t="shared" si="10"/>
        <v>577.129933187235</v>
      </c>
      <c r="Y18" s="251">
        <f t="shared" si="10"/>
        <v>583.09913071307778</v>
      </c>
      <c r="Z18" s="251">
        <f t="shared" si="10"/>
        <v>588.8737963154108</v>
      </c>
      <c r="AA18" s="251">
        <f t="shared" si="10"/>
        <v>594.47730777106494</v>
      </c>
      <c r="AB18" s="251">
        <f t="shared" si="10"/>
        <v>599.88120230023594</v>
      </c>
      <c r="AC18" s="251">
        <f t="shared" si="10"/>
        <v>605.17252853371247</v>
      </c>
      <c r="AD18" s="251">
        <f t="shared" si="10"/>
        <v>610.21775530596165</v>
      </c>
      <c r="AE18" s="251">
        <f t="shared" si="10"/>
        <v>615.12464134383379</v>
      </c>
      <c r="AF18" s="251">
        <f t="shared" si="10"/>
        <v>619.84019750081086</v>
      </c>
      <c r="AG18" s="251">
        <f t="shared" si="10"/>
        <v>624.40021703784828</v>
      </c>
      <c r="AH18" s="251">
        <f t="shared" si="10"/>
        <v>628.79553483854181</v>
      </c>
      <c r="AI18" s="251">
        <f t="shared" si="10"/>
        <v>633.01327619877566</v>
      </c>
      <c r="AJ18" s="251">
        <f t="shared" si="10"/>
        <v>637.07762892410449</v>
      </c>
      <c r="AK18" s="251">
        <f t="shared" si="10"/>
        <v>637.58895927771789</v>
      </c>
      <c r="AL18" s="251">
        <f t="shared" si="10"/>
        <v>640.74602751673262</v>
      </c>
      <c r="AM18" s="1"/>
    </row>
    <row r="19" spans="1:39" x14ac:dyDescent="0.3">
      <c r="A19" s="29"/>
      <c r="B19" s="243"/>
      <c r="C19" s="244"/>
      <c r="D19" s="252">
        <f t="shared" ref="D19:AL19" si="11">D18/D7</f>
        <v>2.8571428571428571E-2</v>
      </c>
      <c r="E19" s="252">
        <f t="shared" si="11"/>
        <v>2.8571428571428571E-2</v>
      </c>
      <c r="F19" s="252">
        <f t="shared" si="11"/>
        <v>2.8571428571428571E-2</v>
      </c>
      <c r="G19" s="252">
        <f t="shared" si="11"/>
        <v>2.8571428571428571E-2</v>
      </c>
      <c r="H19" s="252">
        <f t="shared" si="11"/>
        <v>2.8571428571428571E-2</v>
      </c>
      <c r="I19" s="252">
        <f t="shared" si="11"/>
        <v>2.8571428571428571E-2</v>
      </c>
      <c r="J19" s="252">
        <f t="shared" si="11"/>
        <v>2.8571428571428571E-2</v>
      </c>
      <c r="K19" s="252">
        <f t="shared" si="11"/>
        <v>2.8571428571428571E-2</v>
      </c>
      <c r="L19" s="252">
        <f t="shared" si="11"/>
        <v>2.8571428571428571E-2</v>
      </c>
      <c r="M19" s="252">
        <f t="shared" si="11"/>
        <v>2.8571428571428571E-2</v>
      </c>
      <c r="N19" s="252">
        <f t="shared" si="11"/>
        <v>2.8571428571428571E-2</v>
      </c>
      <c r="O19" s="252">
        <f t="shared" si="11"/>
        <v>2.8571428571428571E-2</v>
      </c>
      <c r="P19" s="252">
        <f t="shared" si="11"/>
        <v>2.8571428571428571E-2</v>
      </c>
      <c r="Q19" s="252">
        <f t="shared" si="11"/>
        <v>2.8571428571428567E-2</v>
      </c>
      <c r="R19" s="252">
        <f t="shared" si="11"/>
        <v>2.8571428571428574E-2</v>
      </c>
      <c r="S19" s="252">
        <f t="shared" si="11"/>
        <v>2.8571428571428571E-2</v>
      </c>
      <c r="T19" s="252">
        <f t="shared" si="11"/>
        <v>2.8571428571428571E-2</v>
      </c>
      <c r="U19" s="252">
        <f t="shared" si="11"/>
        <v>2.8571428571428571E-2</v>
      </c>
      <c r="V19" s="252">
        <f t="shared" si="11"/>
        <v>2.8571428571428574E-2</v>
      </c>
      <c r="W19" s="252">
        <f t="shared" si="11"/>
        <v>2.8571428571428571E-2</v>
      </c>
      <c r="X19" s="252">
        <f t="shared" si="11"/>
        <v>2.8571428571428571E-2</v>
      </c>
      <c r="Y19" s="252">
        <f t="shared" si="11"/>
        <v>2.8571428571428571E-2</v>
      </c>
      <c r="Z19" s="252">
        <f t="shared" si="11"/>
        <v>2.8571428571428571E-2</v>
      </c>
      <c r="AA19" s="252">
        <f t="shared" si="11"/>
        <v>2.8571428571428574E-2</v>
      </c>
      <c r="AB19" s="252">
        <f t="shared" si="11"/>
        <v>2.8571428571428574E-2</v>
      </c>
      <c r="AC19" s="252">
        <f t="shared" si="11"/>
        <v>2.8571428571428571E-2</v>
      </c>
      <c r="AD19" s="252">
        <f t="shared" si="11"/>
        <v>2.8571428571428571E-2</v>
      </c>
      <c r="AE19" s="252">
        <f t="shared" si="11"/>
        <v>2.8571428571428571E-2</v>
      </c>
      <c r="AF19" s="252">
        <f t="shared" si="11"/>
        <v>2.8571428571428567E-2</v>
      </c>
      <c r="AG19" s="252">
        <f t="shared" si="11"/>
        <v>2.8571428571428574E-2</v>
      </c>
      <c r="AH19" s="252">
        <f t="shared" si="11"/>
        <v>2.8571428571428574E-2</v>
      </c>
      <c r="AI19" s="252">
        <f t="shared" si="11"/>
        <v>2.8571428571428571E-2</v>
      </c>
      <c r="AJ19" s="252">
        <f t="shared" si="11"/>
        <v>2.8571428571428571E-2</v>
      </c>
      <c r="AK19" s="252">
        <f t="shared" si="11"/>
        <v>2.8571428571428571E-2</v>
      </c>
      <c r="AL19" s="252">
        <f t="shared" si="11"/>
        <v>2.8571428571428567E-2</v>
      </c>
      <c r="AM19" s="45"/>
    </row>
    <row r="20" spans="1:39" x14ac:dyDescent="0.3">
      <c r="A20" s="86"/>
      <c r="B20" s="243" t="s">
        <v>407</v>
      </c>
      <c r="C20" s="244" t="s">
        <v>294</v>
      </c>
      <c r="D20" s="251">
        <f>D18/12</f>
        <v>33.959595294417888</v>
      </c>
      <c r="E20" s="251">
        <f t="shared" ref="E20:AG20" si="12">E18/12</f>
        <v>35.759319901620565</v>
      </c>
      <c r="F20" s="251">
        <f t="shared" si="12"/>
        <v>36.718738985666619</v>
      </c>
      <c r="G20" s="251">
        <f t="shared" si="12"/>
        <v>37.453034582041518</v>
      </c>
      <c r="H20" s="251">
        <f t="shared" si="12"/>
        <v>38.178234283255044</v>
      </c>
      <c r="I20" s="251">
        <f t="shared" si="12"/>
        <v>38.894471550364059</v>
      </c>
      <c r="J20" s="251">
        <f t="shared" si="12"/>
        <v>39.599674805459891</v>
      </c>
      <c r="K20" s="251">
        <f t="shared" si="12"/>
        <v>40.290795684587394</v>
      </c>
      <c r="L20" s="251">
        <f t="shared" si="12"/>
        <v>40.976139368565619</v>
      </c>
      <c r="M20" s="251">
        <f t="shared" si="12"/>
        <v>41.646256019294498</v>
      </c>
      <c r="N20" s="251">
        <f t="shared" si="12"/>
        <v>42.302400160879294</v>
      </c>
      <c r="O20" s="251">
        <f t="shared" si="12"/>
        <v>42.948849906391956</v>
      </c>
      <c r="P20" s="251">
        <f t="shared" si="12"/>
        <v>43.576208622334995</v>
      </c>
      <c r="Q20" s="251">
        <f t="shared" si="12"/>
        <v>44.191181924958727</v>
      </c>
      <c r="R20" s="251">
        <f t="shared" si="12"/>
        <v>44.792917808173435</v>
      </c>
      <c r="S20" s="251">
        <f t="shared" si="12"/>
        <v>45.381149715949597</v>
      </c>
      <c r="T20" s="251">
        <f t="shared" si="12"/>
        <v>45.953259195106085</v>
      </c>
      <c r="U20" s="251">
        <f t="shared" si="12"/>
        <v>46.511876666610853</v>
      </c>
      <c r="V20" s="251">
        <f t="shared" si="12"/>
        <v>47.052167748108268</v>
      </c>
      <c r="W20" s="251">
        <f t="shared" si="12"/>
        <v>47.58241886475404</v>
      </c>
      <c r="X20" s="251">
        <f t="shared" si="12"/>
        <v>48.094161098936247</v>
      </c>
      <c r="Y20" s="251">
        <f t="shared" si="12"/>
        <v>48.591594226089818</v>
      </c>
      <c r="Z20" s="251">
        <f t="shared" si="12"/>
        <v>49.072816359617569</v>
      </c>
      <c r="AA20" s="251">
        <f t="shared" si="12"/>
        <v>49.539775647588748</v>
      </c>
      <c r="AB20" s="251">
        <f t="shared" si="12"/>
        <v>49.990100191686331</v>
      </c>
      <c r="AC20" s="251">
        <f t="shared" si="12"/>
        <v>50.431044044476039</v>
      </c>
      <c r="AD20" s="251">
        <f t="shared" si="12"/>
        <v>50.85147960883014</v>
      </c>
      <c r="AE20" s="251">
        <f t="shared" si="12"/>
        <v>51.260386778652816</v>
      </c>
      <c r="AF20" s="251">
        <f t="shared" si="12"/>
        <v>51.653349791734236</v>
      </c>
      <c r="AG20" s="251">
        <f t="shared" si="12"/>
        <v>52.03335141982069</v>
      </c>
      <c r="AH20" s="251">
        <f t="shared" ref="AH20:AL20" si="13">AH18/12</f>
        <v>52.399627903211815</v>
      </c>
      <c r="AI20" s="251">
        <f t="shared" si="13"/>
        <v>52.751106349897974</v>
      </c>
      <c r="AJ20" s="251">
        <f t="shared" si="13"/>
        <v>53.089802410342038</v>
      </c>
      <c r="AK20" s="251">
        <f t="shared" si="13"/>
        <v>53.132413273143158</v>
      </c>
      <c r="AL20" s="251">
        <f t="shared" si="13"/>
        <v>53.39550229306105</v>
      </c>
      <c r="AM20" s="85"/>
    </row>
    <row r="21" spans="1:39" x14ac:dyDescent="0.3">
      <c r="A21" s="18"/>
      <c r="B21" s="243" t="s">
        <v>397</v>
      </c>
      <c r="C21" s="244" t="s">
        <v>398</v>
      </c>
      <c r="D21" s="251">
        <f>D11*1*3+D15*1*6</f>
        <v>2868.1518610792814</v>
      </c>
      <c r="E21" s="251">
        <f t="shared" ref="E21:AG21" si="14">E11*1*3+E15*1*6</f>
        <v>3024.6074127971897</v>
      </c>
      <c r="F21" s="251">
        <f t="shared" si="14"/>
        <v>3110.3774175666504</v>
      </c>
      <c r="G21" s="251">
        <f t="shared" si="14"/>
        <v>3177.3378561271356</v>
      </c>
      <c r="H21" s="251">
        <f t="shared" si="14"/>
        <v>3243.7606348835238</v>
      </c>
      <c r="I21" s="251">
        <f t="shared" si="14"/>
        <v>3309.6568670914185</v>
      </c>
      <c r="J21" s="251">
        <f t="shared" si="14"/>
        <v>3374.8497848842412</v>
      </c>
      <c r="K21" s="251">
        <f t="shared" si="14"/>
        <v>3439.0781216412383</v>
      </c>
      <c r="L21" s="251">
        <f t="shared" si="14"/>
        <v>3503.0495514192748</v>
      </c>
      <c r="M21" s="251">
        <f t="shared" si="14"/>
        <v>3565.9558878318312</v>
      </c>
      <c r="N21" s="251">
        <f t="shared" si="14"/>
        <v>3627.9018080151109</v>
      </c>
      <c r="O21" s="251">
        <f t="shared" si="14"/>
        <v>3689.2523200334685</v>
      </c>
      <c r="P21" s="251">
        <f t="shared" si="14"/>
        <v>3749.1981928584728</v>
      </c>
      <c r="Q21" s="251">
        <f t="shared" si="14"/>
        <v>3808.3125415636259</v>
      </c>
      <c r="R21" s="251">
        <f t="shared" si="14"/>
        <v>3866.5197919666725</v>
      </c>
      <c r="S21" s="251">
        <f t="shared" si="14"/>
        <v>3923.7944375163706</v>
      </c>
      <c r="T21" s="251">
        <f t="shared" si="14"/>
        <v>3979.9070522588531</v>
      </c>
      <c r="U21" s="251">
        <f t="shared" si="14"/>
        <v>4035.0819635708876</v>
      </c>
      <c r="V21" s="251">
        <f t="shared" si="14"/>
        <v>4088.8962489316118</v>
      </c>
      <c r="W21" s="251">
        <f t="shared" si="14"/>
        <v>4142.0661957078009</v>
      </c>
      <c r="X21" s="251">
        <f t="shared" si="14"/>
        <v>4193.8518754542647</v>
      </c>
      <c r="Y21" s="251">
        <f t="shared" si="14"/>
        <v>4244.6148053288061</v>
      </c>
      <c r="Z21" s="251">
        <f t="shared" si="14"/>
        <v>4294.1850173361036</v>
      </c>
      <c r="AA21" s="251">
        <f t="shared" si="14"/>
        <v>4342.7287699278177</v>
      </c>
      <c r="AB21" s="251">
        <f t="shared" si="14"/>
        <v>4390.0340508931295</v>
      </c>
      <c r="AC21" s="251">
        <f t="shared" si="14"/>
        <v>4436.7341056043842</v>
      </c>
      <c r="AD21" s="251">
        <f t="shared" si="14"/>
        <v>4481.8466088257828</v>
      </c>
      <c r="AE21" s="251">
        <f t="shared" si="14"/>
        <v>4526.1574380654883</v>
      </c>
      <c r="AF21" s="251">
        <f t="shared" si="14"/>
        <v>4569.2731779408887</v>
      </c>
      <c r="AG21" s="251">
        <f t="shared" si="14"/>
        <v>4611.4531228300793</v>
      </c>
      <c r="AH21" s="251">
        <f t="shared" ref="AH21:AL21" si="15">AH11*1*3+AH15*1*6</f>
        <v>4652.6257690245184</v>
      </c>
      <c r="AI21" s="251">
        <f t="shared" si="15"/>
        <v>4692.6915046406357</v>
      </c>
      <c r="AJ21" s="251">
        <f t="shared" si="15"/>
        <v>4731.8251632592437</v>
      </c>
      <c r="AK21" s="251">
        <f t="shared" si="15"/>
        <v>4744.7239067244936</v>
      </c>
      <c r="AL21" s="251">
        <f t="shared" si="15"/>
        <v>4777.4551691207016</v>
      </c>
      <c r="AM21" s="45"/>
    </row>
    <row r="22" spans="1:39" x14ac:dyDescent="0.3">
      <c r="A22" s="86"/>
      <c r="B22" s="243" t="s">
        <v>407</v>
      </c>
      <c r="C22" s="244" t="s">
        <v>398</v>
      </c>
      <c r="D22" s="251">
        <f>D21/12</f>
        <v>239.01265508994013</v>
      </c>
      <c r="E22" s="251">
        <f t="shared" ref="E22:AG22" si="16">E21/12</f>
        <v>252.05061773309913</v>
      </c>
      <c r="F22" s="251">
        <f t="shared" si="16"/>
        <v>259.19811813055418</v>
      </c>
      <c r="G22" s="251">
        <f t="shared" si="16"/>
        <v>264.77815467726128</v>
      </c>
      <c r="H22" s="251">
        <f t="shared" si="16"/>
        <v>270.31338624029365</v>
      </c>
      <c r="I22" s="251">
        <f t="shared" si="16"/>
        <v>275.80473892428489</v>
      </c>
      <c r="J22" s="251">
        <f t="shared" si="16"/>
        <v>281.23748207368675</v>
      </c>
      <c r="K22" s="251">
        <f t="shared" si="16"/>
        <v>286.58984347010318</v>
      </c>
      <c r="L22" s="251">
        <f t="shared" si="16"/>
        <v>291.92079595160624</v>
      </c>
      <c r="M22" s="251">
        <f t="shared" si="16"/>
        <v>297.16299065265258</v>
      </c>
      <c r="N22" s="251">
        <f t="shared" si="16"/>
        <v>302.32515066792593</v>
      </c>
      <c r="O22" s="251">
        <f t="shared" si="16"/>
        <v>307.43769333612238</v>
      </c>
      <c r="P22" s="251">
        <f t="shared" si="16"/>
        <v>312.43318273820609</v>
      </c>
      <c r="Q22" s="251">
        <f t="shared" si="16"/>
        <v>317.35937846363549</v>
      </c>
      <c r="R22" s="251">
        <f t="shared" si="16"/>
        <v>322.20998266388938</v>
      </c>
      <c r="S22" s="251">
        <f t="shared" si="16"/>
        <v>326.98286979303089</v>
      </c>
      <c r="T22" s="251">
        <f t="shared" si="16"/>
        <v>331.65892102157108</v>
      </c>
      <c r="U22" s="251">
        <f t="shared" si="16"/>
        <v>336.25683029757397</v>
      </c>
      <c r="V22" s="251">
        <f t="shared" si="16"/>
        <v>340.7413540776343</v>
      </c>
      <c r="W22" s="251">
        <f t="shared" si="16"/>
        <v>345.17218297565006</v>
      </c>
      <c r="X22" s="251">
        <f t="shared" si="16"/>
        <v>349.48765628785537</v>
      </c>
      <c r="Y22" s="251">
        <f t="shared" si="16"/>
        <v>353.7179004440672</v>
      </c>
      <c r="Z22" s="251">
        <f t="shared" si="16"/>
        <v>357.84875144467532</v>
      </c>
      <c r="AA22" s="251">
        <f t="shared" si="16"/>
        <v>361.89406416065145</v>
      </c>
      <c r="AB22" s="251">
        <f t="shared" si="16"/>
        <v>365.83617090776079</v>
      </c>
      <c r="AC22" s="251">
        <f t="shared" si="16"/>
        <v>369.72784213369869</v>
      </c>
      <c r="AD22" s="251">
        <f t="shared" si="16"/>
        <v>373.48721740214859</v>
      </c>
      <c r="AE22" s="251">
        <f t="shared" si="16"/>
        <v>377.17978650545734</v>
      </c>
      <c r="AF22" s="251">
        <f t="shared" si="16"/>
        <v>380.77276482840739</v>
      </c>
      <c r="AG22" s="251">
        <f t="shared" si="16"/>
        <v>384.28776023583993</v>
      </c>
      <c r="AH22" s="251">
        <f t="shared" ref="AH22:AL22" si="17">AH21/12</f>
        <v>387.71881408537655</v>
      </c>
      <c r="AI22" s="251">
        <f t="shared" si="17"/>
        <v>391.05762538671962</v>
      </c>
      <c r="AJ22" s="251">
        <f t="shared" si="17"/>
        <v>394.31876360493698</v>
      </c>
      <c r="AK22" s="251">
        <f t="shared" si="17"/>
        <v>395.39365889370782</v>
      </c>
      <c r="AL22" s="251">
        <f t="shared" si="17"/>
        <v>398.1212640933918</v>
      </c>
      <c r="AM22" s="85"/>
    </row>
    <row r="23" spans="1:39" x14ac:dyDescent="0.3">
      <c r="A23" s="18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</row>
    <row r="24" spans="1:39" x14ac:dyDescent="0.3">
      <c r="A24" s="18"/>
      <c r="B24" s="243" t="s">
        <v>400</v>
      </c>
      <c r="C24" s="244" t="s">
        <v>294</v>
      </c>
      <c r="D24" s="251">
        <f t="shared" ref="D24:AL24" si="18">IF(D8&lt;45000,0,(D8/36000*12)*(1+$A$11)^D3)</f>
        <v>0</v>
      </c>
      <c r="E24" s="251">
        <f t="shared" si="18"/>
        <v>21.794369693891575</v>
      </c>
      <c r="F24" s="251">
        <f t="shared" si="18"/>
        <v>44.934568428018537</v>
      </c>
      <c r="G24" s="251">
        <f t="shared" si="18"/>
        <v>69.437241787354438</v>
      </c>
      <c r="H24" s="251">
        <f t="shared" si="18"/>
        <v>95.319421694208785</v>
      </c>
      <c r="I24" s="251">
        <f t="shared" si="18"/>
        <v>104.2086447387135</v>
      </c>
      <c r="J24" s="251">
        <f t="shared" si="18"/>
        <v>113.46252642641134</v>
      </c>
      <c r="K24" s="251">
        <f t="shared" si="18"/>
        <v>119.18822879476501</v>
      </c>
      <c r="L24" s="251">
        <f t="shared" si="18"/>
        <v>125.08924178342147</v>
      </c>
      <c r="M24" s="251">
        <f t="shared" si="18"/>
        <v>131.13832724896284</v>
      </c>
      <c r="N24" s="251">
        <f t="shared" si="18"/>
        <v>137.339322491503</v>
      </c>
      <c r="O24" s="251">
        <f t="shared" si="18"/>
        <v>143.70660459355963</v>
      </c>
      <c r="P24" s="251">
        <f t="shared" si="18"/>
        <v>147.26380067878881</v>
      </c>
      <c r="Q24" s="251">
        <f t="shared" si="18"/>
        <v>150.83549552899566</v>
      </c>
      <c r="R24" s="251">
        <f t="shared" si="18"/>
        <v>154.41826346511863</v>
      </c>
      <c r="S24" s="251">
        <f t="shared" si="18"/>
        <v>158.0105843256294</v>
      </c>
      <c r="T24" s="251">
        <f t="shared" si="18"/>
        <v>161.60261245825549</v>
      </c>
      <c r="U24" s="251">
        <f t="shared" si="18"/>
        <v>165.20275863840325</v>
      </c>
      <c r="V24" s="251">
        <f t="shared" si="18"/>
        <v>168.79300414595582</v>
      </c>
      <c r="W24" s="251">
        <f t="shared" si="18"/>
        <v>172.40215716280804</v>
      </c>
      <c r="X24" s="251">
        <f t="shared" si="18"/>
        <v>175.99888133890951</v>
      </c>
      <c r="Y24" s="251">
        <f t="shared" si="18"/>
        <v>179.59741247508174</v>
      </c>
      <c r="Z24" s="251">
        <f t="shared" si="18"/>
        <v>183.18979838457966</v>
      </c>
      <c r="AA24" s="251">
        <f t="shared" si="18"/>
        <v>186.78229635034367</v>
      </c>
      <c r="AB24" s="251">
        <f t="shared" si="18"/>
        <v>190.36497929985714</v>
      </c>
      <c r="AC24" s="251">
        <f t="shared" si="18"/>
        <v>193.96455828198941</v>
      </c>
      <c r="AD24" s="251">
        <f t="shared" si="18"/>
        <v>197.53742594204016</v>
      </c>
      <c r="AE24" s="251">
        <f t="shared" si="18"/>
        <v>201.117123519117</v>
      </c>
      <c r="AF24" s="251">
        <f t="shared" si="18"/>
        <v>204.68547978089455</v>
      </c>
      <c r="AG24" s="251">
        <f t="shared" si="18"/>
        <v>208.25321607109012</v>
      </c>
      <c r="AH24" s="251">
        <f t="shared" si="18"/>
        <v>211.81635703541608</v>
      </c>
      <c r="AI24" s="251">
        <f t="shared" si="18"/>
        <v>215.36951883006978</v>
      </c>
      <c r="AJ24" s="251">
        <f t="shared" si="18"/>
        <v>218.91985307944486</v>
      </c>
      <c r="AK24" s="251">
        <f t="shared" si="18"/>
        <v>221.2865178473412</v>
      </c>
      <c r="AL24" s="251">
        <f t="shared" si="18"/>
        <v>224.60605652340703</v>
      </c>
      <c r="AM24" s="1"/>
    </row>
    <row r="25" spans="1:39" x14ac:dyDescent="0.3">
      <c r="A25" s="86"/>
      <c r="B25" s="243" t="s">
        <v>407</v>
      </c>
      <c r="C25" s="244" t="s">
        <v>294</v>
      </c>
      <c r="D25" s="251">
        <f>D24/12</f>
        <v>0</v>
      </c>
      <c r="E25" s="251">
        <f t="shared" ref="E25:AG25" si="19">E24/12</f>
        <v>1.8161974744909646</v>
      </c>
      <c r="F25" s="251">
        <f t="shared" si="19"/>
        <v>3.7445473690015447</v>
      </c>
      <c r="G25" s="251">
        <f t="shared" si="19"/>
        <v>5.7864368156128698</v>
      </c>
      <c r="H25" s="251">
        <f t="shared" si="19"/>
        <v>7.9432851411840657</v>
      </c>
      <c r="I25" s="251">
        <f t="shared" si="19"/>
        <v>8.6840537282261252</v>
      </c>
      <c r="J25" s="251">
        <f t="shared" si="19"/>
        <v>9.4552105355342793</v>
      </c>
      <c r="K25" s="251">
        <f t="shared" si="19"/>
        <v>9.9323523995637508</v>
      </c>
      <c r="L25" s="251">
        <f t="shared" si="19"/>
        <v>10.424103481951789</v>
      </c>
      <c r="M25" s="251">
        <f t="shared" si="19"/>
        <v>10.928193937413569</v>
      </c>
      <c r="N25" s="251">
        <f t="shared" si="19"/>
        <v>11.444943540958583</v>
      </c>
      <c r="O25" s="251">
        <f t="shared" si="19"/>
        <v>11.975550382796635</v>
      </c>
      <c r="P25" s="251">
        <f t="shared" si="19"/>
        <v>12.271983389899068</v>
      </c>
      <c r="Q25" s="251">
        <f t="shared" si="19"/>
        <v>12.569624627416305</v>
      </c>
      <c r="R25" s="251">
        <f t="shared" si="19"/>
        <v>12.86818862209322</v>
      </c>
      <c r="S25" s="251">
        <f t="shared" si="19"/>
        <v>13.16754869380245</v>
      </c>
      <c r="T25" s="251">
        <f t="shared" si="19"/>
        <v>13.46688437152129</v>
      </c>
      <c r="U25" s="251">
        <f t="shared" si="19"/>
        <v>13.766896553200271</v>
      </c>
      <c r="V25" s="251">
        <f t="shared" si="19"/>
        <v>14.066083678829651</v>
      </c>
      <c r="W25" s="251">
        <f t="shared" si="19"/>
        <v>14.366846430234004</v>
      </c>
      <c r="X25" s="251">
        <f t="shared" si="19"/>
        <v>14.666573444909126</v>
      </c>
      <c r="Y25" s="251">
        <f t="shared" si="19"/>
        <v>14.966451039590146</v>
      </c>
      <c r="Z25" s="251">
        <f t="shared" si="19"/>
        <v>15.265816532048305</v>
      </c>
      <c r="AA25" s="251">
        <f t="shared" si="19"/>
        <v>15.565191362528639</v>
      </c>
      <c r="AB25" s="251">
        <f t="shared" si="19"/>
        <v>15.863748274988096</v>
      </c>
      <c r="AC25" s="251">
        <f t="shared" si="19"/>
        <v>16.163713190165783</v>
      </c>
      <c r="AD25" s="251">
        <f t="shared" si="19"/>
        <v>16.461452161836679</v>
      </c>
      <c r="AE25" s="251">
        <f t="shared" si="19"/>
        <v>16.759760293259749</v>
      </c>
      <c r="AF25" s="251">
        <f t="shared" si="19"/>
        <v>17.057123315074545</v>
      </c>
      <c r="AG25" s="251">
        <f t="shared" si="19"/>
        <v>17.354434672590845</v>
      </c>
      <c r="AH25" s="251">
        <f t="shared" ref="AH25:AL25" si="20">AH24/12</f>
        <v>17.651363086284672</v>
      </c>
      <c r="AI25" s="251">
        <f t="shared" si="20"/>
        <v>17.947459902505816</v>
      </c>
      <c r="AJ25" s="251">
        <f t="shared" si="20"/>
        <v>18.243321089953739</v>
      </c>
      <c r="AK25" s="251">
        <f t="shared" si="20"/>
        <v>18.4405431539451</v>
      </c>
      <c r="AL25" s="251">
        <f t="shared" si="20"/>
        <v>18.717171376950585</v>
      </c>
      <c r="AM25" s="45"/>
    </row>
    <row r="26" spans="1:39" x14ac:dyDescent="0.3">
      <c r="A26" s="354">
        <v>2.1709919192907327E-2</v>
      </c>
      <c r="B26" s="246" t="s">
        <v>406</v>
      </c>
      <c r="C26" s="244" t="s">
        <v>126</v>
      </c>
      <c r="D26" s="251">
        <f t="shared" ref="D26:AL26" si="21">IF(D8&lt;100000,0,D$8*((1+$A$26)^D3)/100)</f>
        <v>0</v>
      </c>
      <c r="E26" s="251">
        <f t="shared" si="21"/>
        <v>0</v>
      </c>
      <c r="F26" s="251">
        <f t="shared" si="21"/>
        <v>1395.4701060414147</v>
      </c>
      <c r="G26" s="251">
        <f t="shared" si="21"/>
        <v>2181.4168314387339</v>
      </c>
      <c r="H26" s="251">
        <f t="shared" si="21"/>
        <v>3029.2410483811236</v>
      </c>
      <c r="I26" s="251">
        <f t="shared" si="21"/>
        <v>3350.135848814256</v>
      </c>
      <c r="J26" s="251">
        <f t="shared" si="21"/>
        <v>3689.9234444384915</v>
      </c>
      <c r="K26" s="251">
        <f t="shared" si="21"/>
        <v>3921.0692112291954</v>
      </c>
      <c r="L26" s="251">
        <f t="shared" si="21"/>
        <v>4162.9130333577186</v>
      </c>
      <c r="M26" s="251">
        <f t="shared" si="21"/>
        <v>4414.8225658114625</v>
      </c>
      <c r="N26" s="251">
        <f t="shared" si="21"/>
        <v>4677.1871801147208</v>
      </c>
      <c r="O26" s="251">
        <f t="shared" si="21"/>
        <v>4950.7707250473213</v>
      </c>
      <c r="P26" s="251">
        <f t="shared" si="21"/>
        <v>5132.1380109423399</v>
      </c>
      <c r="Q26" s="251">
        <f t="shared" si="21"/>
        <v>5317.556489261261</v>
      </c>
      <c r="R26" s="251">
        <f t="shared" si="21"/>
        <v>5506.9794764480739</v>
      </c>
      <c r="S26" s="251">
        <f t="shared" si="21"/>
        <v>5700.4246416127789</v>
      </c>
      <c r="T26" s="251">
        <f t="shared" si="21"/>
        <v>5897.6044721885337</v>
      </c>
      <c r="U26" s="251">
        <f t="shared" si="21"/>
        <v>6098.8899462885247</v>
      </c>
      <c r="V26" s="251">
        <f t="shared" si="21"/>
        <v>6303.6803147516357</v>
      </c>
      <c r="W26" s="251">
        <f t="shared" si="21"/>
        <v>6513.1138382867048</v>
      </c>
      <c r="X26" s="251">
        <f t="shared" si="21"/>
        <v>6726.0813665566084</v>
      </c>
      <c r="Y26" s="251">
        <f t="shared" si="21"/>
        <v>6943.1815385302289</v>
      </c>
      <c r="Z26" s="251">
        <f t="shared" si="21"/>
        <v>7164.1713710665808</v>
      </c>
      <c r="AA26" s="251">
        <f t="shared" si="21"/>
        <v>7389.3566348796221</v>
      </c>
      <c r="AB26" s="251">
        <f t="shared" si="21"/>
        <v>7618.40767781666</v>
      </c>
      <c r="AC26" s="251">
        <f t="shared" si="21"/>
        <v>7852.4606858751549</v>
      </c>
      <c r="AD26" s="251">
        <f t="shared" si="21"/>
        <v>8089.8229177456851</v>
      </c>
      <c r="AE26" s="251">
        <f t="shared" si="21"/>
        <v>8331.916515726105</v>
      </c>
      <c r="AF26" s="251">
        <f t="shared" si="21"/>
        <v>8578.0610356961042</v>
      </c>
      <c r="AG26" s="251">
        <f t="shared" si="21"/>
        <v>8828.7668821365587</v>
      </c>
      <c r="AH26" s="251">
        <f t="shared" si="21"/>
        <v>9083.9359446727958</v>
      </c>
      <c r="AI26" s="251">
        <f t="shared" si="21"/>
        <v>9343.4021633721313</v>
      </c>
      <c r="AJ26" s="251">
        <f t="shared" si="21"/>
        <v>9607.5397181858625</v>
      </c>
      <c r="AK26" s="251">
        <f t="shared" si="21"/>
        <v>9823.9972284863688</v>
      </c>
      <c r="AL26" s="251">
        <f t="shared" si="21"/>
        <v>10086.975715823997</v>
      </c>
      <c r="AM26" s="1"/>
    </row>
    <row r="27" spans="1:39" x14ac:dyDescent="0.3">
      <c r="A27" s="86"/>
      <c r="B27" s="243" t="s">
        <v>407</v>
      </c>
      <c r="C27" s="244" t="s">
        <v>126</v>
      </c>
      <c r="D27" s="251">
        <f>D26/12</f>
        <v>0</v>
      </c>
      <c r="E27" s="251">
        <f t="shared" ref="E27:AG27" si="22">E26/12</f>
        <v>0</v>
      </c>
      <c r="F27" s="251">
        <f t="shared" si="22"/>
        <v>116.28917550345123</v>
      </c>
      <c r="G27" s="251">
        <f t="shared" si="22"/>
        <v>181.78473595322782</v>
      </c>
      <c r="H27" s="251">
        <f t="shared" si="22"/>
        <v>252.4367540317603</v>
      </c>
      <c r="I27" s="251">
        <f t="shared" si="22"/>
        <v>279.17798740118798</v>
      </c>
      <c r="J27" s="251">
        <f t="shared" si="22"/>
        <v>307.49362036987429</v>
      </c>
      <c r="K27" s="251">
        <f t="shared" si="22"/>
        <v>326.75576760243297</v>
      </c>
      <c r="L27" s="251">
        <f t="shared" si="22"/>
        <v>346.90941944647653</v>
      </c>
      <c r="M27" s="251">
        <f t="shared" si="22"/>
        <v>367.90188048428854</v>
      </c>
      <c r="N27" s="251">
        <f t="shared" si="22"/>
        <v>389.76559834289338</v>
      </c>
      <c r="O27" s="251">
        <f t="shared" si="22"/>
        <v>412.56422708727678</v>
      </c>
      <c r="P27" s="251">
        <f t="shared" si="22"/>
        <v>427.6781675785283</v>
      </c>
      <c r="Q27" s="251">
        <f t="shared" si="22"/>
        <v>443.1297074384384</v>
      </c>
      <c r="R27" s="251">
        <f t="shared" si="22"/>
        <v>458.91495637067283</v>
      </c>
      <c r="S27" s="251">
        <f t="shared" si="22"/>
        <v>475.03538680106493</v>
      </c>
      <c r="T27" s="251">
        <f t="shared" si="22"/>
        <v>491.46703934904446</v>
      </c>
      <c r="U27" s="251">
        <f t="shared" si="22"/>
        <v>508.24082885737704</v>
      </c>
      <c r="V27" s="251">
        <f t="shared" si="22"/>
        <v>525.3066928959696</v>
      </c>
      <c r="W27" s="251">
        <f t="shared" si="22"/>
        <v>542.75948652389206</v>
      </c>
      <c r="X27" s="251">
        <f t="shared" si="22"/>
        <v>560.50678054638399</v>
      </c>
      <c r="Y27" s="251">
        <f t="shared" si="22"/>
        <v>578.59846154418574</v>
      </c>
      <c r="Z27" s="251">
        <f t="shared" si="22"/>
        <v>597.01428092221511</v>
      </c>
      <c r="AA27" s="251">
        <f t="shared" si="22"/>
        <v>615.7797195733018</v>
      </c>
      <c r="AB27" s="251">
        <f t="shared" si="22"/>
        <v>634.86730648472167</v>
      </c>
      <c r="AC27" s="251">
        <f t="shared" si="22"/>
        <v>654.37172382292954</v>
      </c>
      <c r="AD27" s="251">
        <f t="shared" si="22"/>
        <v>674.15190981214039</v>
      </c>
      <c r="AE27" s="251">
        <f t="shared" si="22"/>
        <v>694.32637631050875</v>
      </c>
      <c r="AF27" s="251">
        <f t="shared" si="22"/>
        <v>714.83841964134206</v>
      </c>
      <c r="AG27" s="251">
        <f t="shared" si="22"/>
        <v>735.73057351137993</v>
      </c>
      <c r="AH27" s="251">
        <f t="shared" ref="AH27:AL27" si="23">AH26/12</f>
        <v>756.99466205606632</v>
      </c>
      <c r="AI27" s="251">
        <f t="shared" si="23"/>
        <v>778.61684694767757</v>
      </c>
      <c r="AJ27" s="251">
        <f t="shared" si="23"/>
        <v>800.62830984882191</v>
      </c>
      <c r="AK27" s="251">
        <f t="shared" si="23"/>
        <v>818.66643570719737</v>
      </c>
      <c r="AL27" s="251">
        <f t="shared" si="23"/>
        <v>840.58130965199973</v>
      </c>
      <c r="AM27" s="45"/>
    </row>
    <row r="28" spans="1:39" x14ac:dyDescent="0.3">
      <c r="A28" s="354">
        <v>2.3770317761164964E-2</v>
      </c>
      <c r="B28" s="246" t="s">
        <v>399</v>
      </c>
      <c r="C28" s="244" t="s">
        <v>294</v>
      </c>
      <c r="D28" s="251">
        <f>IF(D9&lt;2000,0,D$9*((1+$A$28)^D3)/100)</f>
        <v>0</v>
      </c>
      <c r="E28" s="251">
        <f t="shared" ref="E28:AL28" si="24">IF(E9&lt;3000,0,E$9*((1+$A$28)^E3)/100)</f>
        <v>31.672855531966079</v>
      </c>
      <c r="F28" s="251">
        <f t="shared" si="24"/>
        <v>66.191868589235398</v>
      </c>
      <c r="G28" s="251">
        <f t="shared" si="24"/>
        <v>103.68064441638862</v>
      </c>
      <c r="H28" s="251">
        <f t="shared" si="24"/>
        <v>144.26726063688076</v>
      </c>
      <c r="I28" s="251">
        <f t="shared" si="24"/>
        <v>159.87159010598052</v>
      </c>
      <c r="J28" s="251">
        <f t="shared" si="24"/>
        <v>176.4416686747646</v>
      </c>
      <c r="K28" s="251">
        <f t="shared" si="24"/>
        <v>187.87250792934211</v>
      </c>
      <c r="L28" s="251">
        <f t="shared" si="24"/>
        <v>199.86234884599992</v>
      </c>
      <c r="M28" s="251">
        <f t="shared" si="24"/>
        <v>212.38401504867383</v>
      </c>
      <c r="N28" s="251">
        <f t="shared" si="24"/>
        <v>225.45934854748157</v>
      </c>
      <c r="O28" s="251">
        <f t="shared" si="24"/>
        <v>239.12844267558592</v>
      </c>
      <c r="P28" s="251">
        <f t="shared" si="24"/>
        <v>248.38860715041264</v>
      </c>
      <c r="Q28" s="251">
        <f t="shared" si="24"/>
        <v>257.88161526918549</v>
      </c>
      <c r="R28" s="251">
        <f t="shared" si="24"/>
        <v>267.60649614320482</v>
      </c>
      <c r="S28" s="251">
        <f t="shared" si="24"/>
        <v>277.56539913409847</v>
      </c>
      <c r="T28" s="251">
        <f t="shared" si="24"/>
        <v>287.74559570049246</v>
      </c>
      <c r="U28" s="251">
        <f t="shared" si="24"/>
        <v>298.16644194564276</v>
      </c>
      <c r="V28" s="251">
        <f t="shared" si="24"/>
        <v>308.79984280255206</v>
      </c>
      <c r="W28" s="251">
        <f t="shared" si="24"/>
        <v>319.70283210573416</v>
      </c>
      <c r="X28" s="251">
        <f t="shared" si="24"/>
        <v>330.8223599738543</v>
      </c>
      <c r="Y28" s="251">
        <f t="shared" si="24"/>
        <v>342.18910938632615</v>
      </c>
      <c r="Z28" s="251">
        <f t="shared" si="24"/>
        <v>353.79244358047981</v>
      </c>
      <c r="AA28" s="251">
        <f t="shared" si="24"/>
        <v>365.64878839978616</v>
      </c>
      <c r="AB28" s="251">
        <f t="shared" si="24"/>
        <v>377.74319063540628</v>
      </c>
      <c r="AC28" s="251">
        <f t="shared" si="24"/>
        <v>390.13339782120488</v>
      </c>
      <c r="AD28" s="251">
        <f t="shared" si="24"/>
        <v>402.73678500076409</v>
      </c>
      <c r="AE28" s="251">
        <f t="shared" si="24"/>
        <v>415.62543529897374</v>
      </c>
      <c r="AF28" s="251">
        <f t="shared" si="24"/>
        <v>428.76691254419302</v>
      </c>
      <c r="AG28" s="251">
        <f t="shared" si="24"/>
        <v>442.18815593251202</v>
      </c>
      <c r="AH28" s="251">
        <f t="shared" si="24"/>
        <v>455.88577732712338</v>
      </c>
      <c r="AI28" s="251">
        <f t="shared" si="24"/>
        <v>469.8529378700199</v>
      </c>
      <c r="AJ28" s="251">
        <f t="shared" si="24"/>
        <v>484.10995912952598</v>
      </c>
      <c r="AK28" s="251">
        <f t="shared" si="24"/>
        <v>496.01519843769029</v>
      </c>
      <c r="AL28" s="251">
        <f t="shared" si="24"/>
        <v>510.32007397257422</v>
      </c>
      <c r="AM28" s="1"/>
    </row>
    <row r="29" spans="1:39" x14ac:dyDescent="0.3">
      <c r="A29" s="18"/>
      <c r="B29" s="243"/>
      <c r="C29" s="244"/>
      <c r="D29" s="252">
        <f t="shared" ref="D29:AL29" si="25">IFERROR(D28/D9,0)</f>
        <v>0</v>
      </c>
      <c r="E29" s="252">
        <f t="shared" si="25"/>
        <v>1.0481056635287969E-2</v>
      </c>
      <c r="F29" s="252">
        <f t="shared" si="25"/>
        <v>1.073019468198153E-2</v>
      </c>
      <c r="G29" s="252">
        <f t="shared" si="25"/>
        <v>1.0985254819211395E-2</v>
      </c>
      <c r="H29" s="252">
        <f t="shared" si="25"/>
        <v>1.124637781695142E-2</v>
      </c>
      <c r="I29" s="252">
        <f t="shared" si="25"/>
        <v>1.1513707791322474E-2</v>
      </c>
      <c r="J29" s="252">
        <f t="shared" si="25"/>
        <v>1.1787392284131412E-2</v>
      </c>
      <c r="K29" s="252">
        <f t="shared" si="25"/>
        <v>1.2067582344300722E-2</v>
      </c>
      <c r="L29" s="252">
        <f t="shared" si="25"/>
        <v>1.2354432611233772E-2</v>
      </c>
      <c r="M29" s="252">
        <f t="shared" si="25"/>
        <v>1.2648101400161699E-2</v>
      </c>
      <c r="N29" s="252">
        <f t="shared" si="25"/>
        <v>1.2948750789518982E-2</v>
      </c>
      <c r="O29" s="252">
        <f t="shared" si="25"/>
        <v>1.3256546710395986E-2</v>
      </c>
      <c r="P29" s="252">
        <f t="shared" si="25"/>
        <v>1.3571659038117825E-2</v>
      </c>
      <c r="Q29" s="252">
        <f t="shared" si="25"/>
        <v>1.3894261686000072E-2</v>
      </c>
      <c r="R29" s="252">
        <f t="shared" si="25"/>
        <v>1.4224532701333075E-2</v>
      </c>
      <c r="S29" s="252">
        <f t="shared" si="25"/>
        <v>1.4562654363647847E-2</v>
      </c>
      <c r="T29" s="252">
        <f t="shared" si="25"/>
        <v>1.4908813285317773E-2</v>
      </c>
      <c r="U29" s="252">
        <f t="shared" si="25"/>
        <v>1.5263200514551656E-2</v>
      </c>
      <c r="V29" s="252">
        <f t="shared" si="25"/>
        <v>1.5626011640834925E-2</v>
      </c>
      <c r="W29" s="252">
        <f t="shared" si="25"/>
        <v>1.5997446902877237E-2</v>
      </c>
      <c r="X29" s="252">
        <f t="shared" si="25"/>
        <v>1.6377711299125994E-2</v>
      </c>
      <c r="Y29" s="252">
        <f t="shared" si="25"/>
        <v>1.6767014700906843E-2</v>
      </c>
      <c r="Z29" s="252">
        <f t="shared" si="25"/>
        <v>1.7165571968253523E-2</v>
      </c>
      <c r="AA29" s="252">
        <f t="shared" si="25"/>
        <v>1.757360306849106E-2</v>
      </c>
      <c r="AB29" s="252">
        <f t="shared" si="25"/>
        <v>1.7991333197637675E-2</v>
      </c>
      <c r="AC29" s="252">
        <f t="shared" si="25"/>
        <v>1.8418992904692521E-2</v>
      </c>
      <c r="AD29" s="252">
        <f t="shared" si="25"/>
        <v>1.8856818218877709E-2</v>
      </c>
      <c r="AE29" s="252">
        <f t="shared" si="25"/>
        <v>1.9305050779904957E-2</v>
      </c>
      <c r="AF29" s="252">
        <f t="shared" si="25"/>
        <v>1.9763937971338727E-2</v>
      </c>
      <c r="AG29" s="252">
        <f t="shared" si="25"/>
        <v>2.0233733057129406E-2</v>
      </c>
      <c r="AH29" s="252">
        <f t="shared" si="25"/>
        <v>2.071469532139196E-2</v>
      </c>
      <c r="AI29" s="252">
        <f t="shared" si="25"/>
        <v>2.1207090211507171E-2</v>
      </c>
      <c r="AJ29" s="252">
        <f t="shared" si="25"/>
        <v>2.1711189484624388E-2</v>
      </c>
      <c r="AK29" s="252">
        <f t="shared" si="25"/>
        <v>2.2227271357646777E-2</v>
      </c>
      <c r="AL29" s="252">
        <f t="shared" si="25"/>
        <v>2.275562066078168E-2</v>
      </c>
      <c r="AM29" s="45"/>
    </row>
    <row r="30" spans="1:39" x14ac:dyDescent="0.3">
      <c r="A30" s="86"/>
      <c r="B30" s="243" t="s">
        <v>407</v>
      </c>
      <c r="C30" s="244" t="s">
        <v>294</v>
      </c>
      <c r="D30" s="251">
        <f>D28/12</f>
        <v>0</v>
      </c>
      <c r="E30" s="251">
        <f t="shared" ref="E30:AG30" si="26">E28/12</f>
        <v>2.6394046276638399</v>
      </c>
      <c r="F30" s="251">
        <f t="shared" si="26"/>
        <v>5.5159890491029495</v>
      </c>
      <c r="G30" s="251">
        <f t="shared" si="26"/>
        <v>8.6400537013657175</v>
      </c>
      <c r="H30" s="251">
        <f t="shared" si="26"/>
        <v>12.022271719740063</v>
      </c>
      <c r="I30" s="251">
        <f t="shared" si="26"/>
        <v>13.32263250883171</v>
      </c>
      <c r="J30" s="251">
        <f t="shared" si="26"/>
        <v>14.703472389563716</v>
      </c>
      <c r="K30" s="251">
        <f t="shared" si="26"/>
        <v>15.656042327445176</v>
      </c>
      <c r="L30" s="251">
        <f t="shared" si="26"/>
        <v>16.655195737166661</v>
      </c>
      <c r="M30" s="251">
        <f t="shared" si="26"/>
        <v>17.698667920722819</v>
      </c>
      <c r="N30" s="251">
        <f t="shared" si="26"/>
        <v>18.788279045623465</v>
      </c>
      <c r="O30" s="251">
        <f t="shared" si="26"/>
        <v>19.927370222965493</v>
      </c>
      <c r="P30" s="251">
        <f t="shared" si="26"/>
        <v>20.699050595867721</v>
      </c>
      <c r="Q30" s="251">
        <f t="shared" si="26"/>
        <v>21.490134605765459</v>
      </c>
      <c r="R30" s="251">
        <f t="shared" si="26"/>
        <v>22.300541345267067</v>
      </c>
      <c r="S30" s="251">
        <f t="shared" si="26"/>
        <v>23.130449927841539</v>
      </c>
      <c r="T30" s="251">
        <f t="shared" si="26"/>
        <v>23.978799641707706</v>
      </c>
      <c r="U30" s="251">
        <f t="shared" si="26"/>
        <v>24.847203495470229</v>
      </c>
      <c r="V30" s="251">
        <f t="shared" si="26"/>
        <v>25.733320233546007</v>
      </c>
      <c r="W30" s="251">
        <f t="shared" si="26"/>
        <v>26.641902675477848</v>
      </c>
      <c r="X30" s="251">
        <f t="shared" si="26"/>
        <v>27.568529997821191</v>
      </c>
      <c r="Y30" s="251">
        <f t="shared" si="26"/>
        <v>28.515759115527178</v>
      </c>
      <c r="Z30" s="251">
        <f t="shared" si="26"/>
        <v>29.482703631706652</v>
      </c>
      <c r="AA30" s="251">
        <f t="shared" si="26"/>
        <v>30.470732366648846</v>
      </c>
      <c r="AB30" s="251">
        <f t="shared" si="26"/>
        <v>31.478599219617191</v>
      </c>
      <c r="AC30" s="251">
        <f t="shared" si="26"/>
        <v>32.511116485100409</v>
      </c>
      <c r="AD30" s="251">
        <f t="shared" si="26"/>
        <v>33.561398750063674</v>
      </c>
      <c r="AE30" s="251">
        <f t="shared" si="26"/>
        <v>34.635452941581143</v>
      </c>
      <c r="AF30" s="251">
        <f t="shared" si="26"/>
        <v>35.730576045349416</v>
      </c>
      <c r="AG30" s="251">
        <f t="shared" si="26"/>
        <v>36.849012994376004</v>
      </c>
      <c r="AH30" s="251">
        <f t="shared" ref="AH30:AL30" si="27">AH28/12</f>
        <v>37.990481443926946</v>
      </c>
      <c r="AI30" s="251">
        <f t="shared" si="27"/>
        <v>39.154411489168325</v>
      </c>
      <c r="AJ30" s="251">
        <f t="shared" si="27"/>
        <v>40.342496594127162</v>
      </c>
      <c r="AK30" s="251">
        <f t="shared" si="27"/>
        <v>41.334599869807526</v>
      </c>
      <c r="AL30" s="251">
        <f t="shared" si="27"/>
        <v>42.526672831047854</v>
      </c>
      <c r="AM30" s="85"/>
    </row>
    <row r="31" spans="1:39" x14ac:dyDescent="0.3">
      <c r="A31" s="18"/>
      <c r="B31" s="243" t="s">
        <v>401</v>
      </c>
      <c r="C31" s="244" t="s">
        <v>294</v>
      </c>
      <c r="D31" s="251">
        <f t="shared" ref="D31:AL31" si="28">IF(D8&lt;10000,0,(D8/3600))</f>
        <v>0</v>
      </c>
      <c r="E31" s="251">
        <f t="shared" si="28"/>
        <v>17.804112091863193</v>
      </c>
      <c r="F31" s="251">
        <f t="shared" si="28"/>
        <v>36.344207848012822</v>
      </c>
      <c r="G31" s="251">
        <f t="shared" si="28"/>
        <v>55.606520443957059</v>
      </c>
      <c r="H31" s="251">
        <f t="shared" si="28"/>
        <v>75.577632587131689</v>
      </c>
      <c r="I31" s="251">
        <f t="shared" si="28"/>
        <v>81.807714373669484</v>
      </c>
      <c r="J31" s="251">
        <f t="shared" si="28"/>
        <v>88.190455775499444</v>
      </c>
      <c r="K31" s="251">
        <f t="shared" si="28"/>
        <v>91.723608007790588</v>
      </c>
      <c r="L31" s="251">
        <f t="shared" si="28"/>
        <v>95.311729455464629</v>
      </c>
      <c r="M31" s="251">
        <f t="shared" si="28"/>
        <v>98.931514098954509</v>
      </c>
      <c r="N31" s="251">
        <f t="shared" si="28"/>
        <v>102.58374341413391</v>
      </c>
      <c r="O31" s="251">
        <f t="shared" si="28"/>
        <v>106.27692909336689</v>
      </c>
      <c r="P31" s="251">
        <f t="shared" si="28"/>
        <v>107.82932823596794</v>
      </c>
      <c r="Q31" s="251">
        <f t="shared" si="28"/>
        <v>109.35107967331038</v>
      </c>
      <c r="R31" s="251">
        <f t="shared" si="28"/>
        <v>110.84007511632517</v>
      </c>
      <c r="S31" s="251">
        <f t="shared" si="28"/>
        <v>112.29565497211729</v>
      </c>
      <c r="T31" s="251">
        <f t="shared" si="28"/>
        <v>113.71133987829002</v>
      </c>
      <c r="U31" s="251">
        <f t="shared" si="28"/>
        <v>115.09363881152858</v>
      </c>
      <c r="V31" s="251">
        <f t="shared" si="28"/>
        <v>116.43058909269389</v>
      </c>
      <c r="W31" s="251">
        <f t="shared" si="28"/>
        <v>117.74269548083389</v>
      </c>
      <c r="X31" s="251">
        <f t="shared" si="28"/>
        <v>119.00900163931776</v>
      </c>
      <c r="Y31" s="251">
        <f t="shared" si="28"/>
        <v>120.23989991245925</v>
      </c>
      <c r="Z31" s="251">
        <f t="shared" si="28"/>
        <v>121.43068408187369</v>
      </c>
      <c r="AA31" s="251">
        <f t="shared" si="28"/>
        <v>122.58617483995836</v>
      </c>
      <c r="AB31" s="251">
        <f t="shared" si="28"/>
        <v>123.70050292432782</v>
      </c>
      <c r="AC31" s="251">
        <f t="shared" si="28"/>
        <v>124.79161848805596</v>
      </c>
      <c r="AD31" s="251">
        <f t="shared" si="28"/>
        <v>125.83198629205017</v>
      </c>
      <c r="AE31" s="251">
        <f t="shared" si="28"/>
        <v>126.8438270837764</v>
      </c>
      <c r="AF31" s="251">
        <f t="shared" si="28"/>
        <v>127.8162140596464</v>
      </c>
      <c r="AG31" s="251">
        <f t="shared" si="28"/>
        <v>128.7565280883463</v>
      </c>
      <c r="AH31" s="251">
        <f t="shared" si="28"/>
        <v>129.66287924649765</v>
      </c>
      <c r="AI31" s="251">
        <f t="shared" si="28"/>
        <v>130.53261266282254</v>
      </c>
      <c r="AJ31" s="251">
        <f t="shared" si="28"/>
        <v>131.37071606439139</v>
      </c>
      <c r="AK31" s="251">
        <f t="shared" si="28"/>
        <v>131.47615664439274</v>
      </c>
      <c r="AL31" s="251">
        <f t="shared" si="28"/>
        <v>132.12717042417958</v>
      </c>
      <c r="AM31" s="1"/>
    </row>
    <row r="32" spans="1:39" x14ac:dyDescent="0.3">
      <c r="A32" s="86"/>
      <c r="B32" s="243" t="s">
        <v>407</v>
      </c>
      <c r="C32" s="244" t="s">
        <v>294</v>
      </c>
      <c r="D32" s="251">
        <f>D31/12</f>
        <v>0</v>
      </c>
      <c r="E32" s="251">
        <f t="shared" ref="E32:AG32" si="29">E31/12</f>
        <v>1.483676007655266</v>
      </c>
      <c r="F32" s="251">
        <f t="shared" si="29"/>
        <v>3.0286839873344018</v>
      </c>
      <c r="G32" s="251">
        <f t="shared" si="29"/>
        <v>4.6338767036630886</v>
      </c>
      <c r="H32" s="251">
        <f t="shared" si="29"/>
        <v>6.298136048927641</v>
      </c>
      <c r="I32" s="251">
        <f t="shared" si="29"/>
        <v>6.8173095311391236</v>
      </c>
      <c r="J32" s="251">
        <f t="shared" si="29"/>
        <v>7.3492046479582873</v>
      </c>
      <c r="K32" s="251">
        <f t="shared" si="29"/>
        <v>7.6436340006492154</v>
      </c>
      <c r="L32" s="251">
        <f t="shared" si="29"/>
        <v>7.9426441212887191</v>
      </c>
      <c r="M32" s="251">
        <f t="shared" si="29"/>
        <v>8.2442928415795418</v>
      </c>
      <c r="N32" s="251">
        <f t="shared" si="29"/>
        <v>8.5486452845111582</v>
      </c>
      <c r="O32" s="251">
        <f t="shared" si="29"/>
        <v>8.8564107577805746</v>
      </c>
      <c r="P32" s="251">
        <f t="shared" si="29"/>
        <v>8.9857773529973279</v>
      </c>
      <c r="Q32" s="251">
        <f t="shared" si="29"/>
        <v>9.112589972775865</v>
      </c>
      <c r="R32" s="251">
        <f t="shared" si="29"/>
        <v>9.2366729263604306</v>
      </c>
      <c r="S32" s="251">
        <f t="shared" si="29"/>
        <v>9.3579712476764403</v>
      </c>
      <c r="T32" s="251">
        <f t="shared" si="29"/>
        <v>9.475944989857501</v>
      </c>
      <c r="U32" s="251">
        <f t="shared" si="29"/>
        <v>9.5911365676273821</v>
      </c>
      <c r="V32" s="251">
        <f t="shared" si="29"/>
        <v>9.7025490910578238</v>
      </c>
      <c r="W32" s="251">
        <f t="shared" si="29"/>
        <v>9.8118912900694912</v>
      </c>
      <c r="X32" s="251">
        <f t="shared" si="29"/>
        <v>9.9174168032764793</v>
      </c>
      <c r="Y32" s="251">
        <f t="shared" si="29"/>
        <v>10.019991659371604</v>
      </c>
      <c r="Z32" s="251">
        <f t="shared" si="29"/>
        <v>10.119223673489474</v>
      </c>
      <c r="AA32" s="251">
        <f t="shared" si="29"/>
        <v>10.215514569996531</v>
      </c>
      <c r="AB32" s="251">
        <f t="shared" si="29"/>
        <v>10.308375243693986</v>
      </c>
      <c r="AC32" s="251">
        <f t="shared" si="29"/>
        <v>10.399301540671329</v>
      </c>
      <c r="AD32" s="251">
        <f t="shared" si="29"/>
        <v>10.485998857670848</v>
      </c>
      <c r="AE32" s="251">
        <f t="shared" si="29"/>
        <v>10.570318923648033</v>
      </c>
      <c r="AF32" s="251">
        <f t="shared" si="29"/>
        <v>10.6513511716372</v>
      </c>
      <c r="AG32" s="251">
        <f t="shared" si="29"/>
        <v>10.729710674028858</v>
      </c>
      <c r="AH32" s="251">
        <f t="shared" ref="AH32:AL32" si="30">AH31/12</f>
        <v>10.805239937208137</v>
      </c>
      <c r="AI32" s="251">
        <f t="shared" si="30"/>
        <v>10.877717721901879</v>
      </c>
      <c r="AJ32" s="251">
        <f t="shared" si="30"/>
        <v>10.947559672032616</v>
      </c>
      <c r="AK32" s="251">
        <f t="shared" si="30"/>
        <v>10.956346387032729</v>
      </c>
      <c r="AL32" s="251">
        <f t="shared" si="30"/>
        <v>11.010597535348298</v>
      </c>
      <c r="AM32" s="45"/>
    </row>
    <row r="33" spans="1:39" x14ac:dyDescent="0.3">
      <c r="A33" s="18"/>
      <c r="B33" s="243" t="s">
        <v>397</v>
      </c>
      <c r="C33" s="244" t="s">
        <v>398</v>
      </c>
      <c r="D33" s="251">
        <f t="shared" ref="D33:AG33" si="31">D28*1*6+D24*2*3+D31*1</f>
        <v>0</v>
      </c>
      <c r="E33" s="251">
        <f t="shared" si="31"/>
        <v>338.60746344700908</v>
      </c>
      <c r="F33" s="251">
        <f t="shared" si="31"/>
        <v>703.10282995153636</v>
      </c>
      <c r="G33" s="251">
        <f t="shared" si="31"/>
        <v>1094.3138376664153</v>
      </c>
      <c r="H33" s="251">
        <f t="shared" si="31"/>
        <v>1513.0977265736688</v>
      </c>
      <c r="I33" s="251">
        <f t="shared" si="31"/>
        <v>1666.2891234418337</v>
      </c>
      <c r="J33" s="251">
        <f t="shared" si="31"/>
        <v>1827.6156263825551</v>
      </c>
      <c r="K33" s="251">
        <f t="shared" si="31"/>
        <v>1934.0880283524334</v>
      </c>
      <c r="L33" s="251">
        <f t="shared" si="31"/>
        <v>2045.0212732319931</v>
      </c>
      <c r="M33" s="251">
        <f t="shared" si="31"/>
        <v>2160.0655678847747</v>
      </c>
      <c r="N33" s="251">
        <f t="shared" si="31"/>
        <v>2279.3757696480416</v>
      </c>
      <c r="O33" s="251">
        <f t="shared" si="31"/>
        <v>2403.2872127082405</v>
      </c>
      <c r="P33" s="251">
        <f t="shared" si="31"/>
        <v>2481.7437752111764</v>
      </c>
      <c r="Q33" s="251">
        <f t="shared" si="31"/>
        <v>2561.6537444623973</v>
      </c>
      <c r="R33" s="251">
        <f t="shared" si="31"/>
        <v>2642.9886327662662</v>
      </c>
      <c r="S33" s="251">
        <f t="shared" si="31"/>
        <v>2725.7515557304841</v>
      </c>
      <c r="T33" s="251">
        <f t="shared" si="31"/>
        <v>2809.8005888307775</v>
      </c>
      <c r="U33" s="251">
        <f t="shared" si="31"/>
        <v>2895.3088423158051</v>
      </c>
      <c r="V33" s="251">
        <f t="shared" si="31"/>
        <v>2981.9876707837411</v>
      </c>
      <c r="W33" s="251">
        <f t="shared" si="31"/>
        <v>3070.372631092087</v>
      </c>
      <c r="X33" s="251">
        <f t="shared" si="31"/>
        <v>3159.9364495159007</v>
      </c>
      <c r="Y33" s="251">
        <f t="shared" si="31"/>
        <v>3250.9590310809067</v>
      </c>
      <c r="Z33" s="251">
        <f t="shared" si="31"/>
        <v>3343.3241358722303</v>
      </c>
      <c r="AA33" s="251">
        <f t="shared" si="31"/>
        <v>3437.1726833407374</v>
      </c>
      <c r="AB33" s="251">
        <f t="shared" si="31"/>
        <v>3532.3495225359079</v>
      </c>
      <c r="AC33" s="251">
        <f t="shared" si="31"/>
        <v>3629.3793551072217</v>
      </c>
      <c r="AD33" s="251">
        <f t="shared" si="31"/>
        <v>3727.4772519488756</v>
      </c>
      <c r="AE33" s="251">
        <f t="shared" si="31"/>
        <v>3827.2991799923207</v>
      </c>
      <c r="AF33" s="251">
        <f t="shared" si="31"/>
        <v>3928.5305680101719</v>
      </c>
      <c r="AG33" s="251">
        <f t="shared" si="31"/>
        <v>4031.4047601099592</v>
      </c>
      <c r="AH33" s="251">
        <f t="shared" ref="AH33:AL33" si="32">AH28*1*6+AH24*2*3+AH31*1</f>
        <v>4135.8756854217345</v>
      </c>
      <c r="AI33" s="251">
        <f t="shared" si="32"/>
        <v>4241.8673528633608</v>
      </c>
      <c r="AJ33" s="251">
        <f t="shared" si="32"/>
        <v>4349.549589318216</v>
      </c>
      <c r="AK33" s="251">
        <f t="shared" si="32"/>
        <v>4435.286454354582</v>
      </c>
      <c r="AL33" s="251">
        <f t="shared" si="32"/>
        <v>4541.6839534000674</v>
      </c>
      <c r="AM33" s="1"/>
    </row>
    <row r="34" spans="1:39" x14ac:dyDescent="0.3">
      <c r="A34" s="86"/>
      <c r="B34" s="243" t="s">
        <v>407</v>
      </c>
      <c r="C34" s="244" t="s">
        <v>398</v>
      </c>
      <c r="D34" s="251">
        <f>D33/12</f>
        <v>0</v>
      </c>
      <c r="E34" s="251">
        <f t="shared" ref="E34:AG34" si="33">E33/12</f>
        <v>28.217288620584089</v>
      </c>
      <c r="F34" s="251">
        <f t="shared" si="33"/>
        <v>58.591902495961364</v>
      </c>
      <c r="G34" s="251">
        <f t="shared" si="33"/>
        <v>91.192819805534612</v>
      </c>
      <c r="H34" s="251">
        <f t="shared" si="33"/>
        <v>126.09147721447239</v>
      </c>
      <c r="I34" s="251">
        <f t="shared" si="33"/>
        <v>138.85742695348614</v>
      </c>
      <c r="J34" s="251">
        <f t="shared" si="33"/>
        <v>152.30130219854627</v>
      </c>
      <c r="K34" s="251">
        <f t="shared" si="33"/>
        <v>161.17400236270279</v>
      </c>
      <c r="L34" s="251">
        <f t="shared" si="33"/>
        <v>170.41843943599943</v>
      </c>
      <c r="M34" s="251">
        <f t="shared" si="33"/>
        <v>180.00546399039789</v>
      </c>
      <c r="N34" s="251">
        <f t="shared" si="33"/>
        <v>189.94798080400346</v>
      </c>
      <c r="O34" s="251">
        <f t="shared" si="33"/>
        <v>200.27393439235337</v>
      </c>
      <c r="P34" s="251">
        <f t="shared" si="33"/>
        <v>206.81198126759804</v>
      </c>
      <c r="Q34" s="251">
        <f t="shared" si="33"/>
        <v>213.47114537186644</v>
      </c>
      <c r="R34" s="251">
        <f t="shared" si="33"/>
        <v>220.24905273052218</v>
      </c>
      <c r="S34" s="251">
        <f t="shared" si="33"/>
        <v>227.14596297754034</v>
      </c>
      <c r="T34" s="251">
        <f t="shared" si="33"/>
        <v>234.15004906923147</v>
      </c>
      <c r="U34" s="251">
        <f t="shared" si="33"/>
        <v>241.27573685965044</v>
      </c>
      <c r="V34" s="251">
        <f t="shared" si="33"/>
        <v>248.49897256531176</v>
      </c>
      <c r="W34" s="251">
        <f t="shared" si="33"/>
        <v>255.86438592434058</v>
      </c>
      <c r="X34" s="251">
        <f t="shared" si="33"/>
        <v>263.32803745965839</v>
      </c>
      <c r="Y34" s="251">
        <f t="shared" si="33"/>
        <v>270.91325259007556</v>
      </c>
      <c r="Z34" s="251">
        <f t="shared" si="33"/>
        <v>278.61034465601921</v>
      </c>
      <c r="AA34" s="251">
        <f t="shared" si="33"/>
        <v>286.43105694506147</v>
      </c>
      <c r="AB34" s="251">
        <f t="shared" si="33"/>
        <v>294.36246021132564</v>
      </c>
      <c r="AC34" s="251">
        <f t="shared" si="33"/>
        <v>302.44827959226848</v>
      </c>
      <c r="AD34" s="251">
        <f t="shared" si="33"/>
        <v>310.62310432907299</v>
      </c>
      <c r="AE34" s="251">
        <f t="shared" si="33"/>
        <v>318.94159833269339</v>
      </c>
      <c r="AF34" s="251">
        <f t="shared" si="33"/>
        <v>327.37754733418097</v>
      </c>
      <c r="AG34" s="251">
        <f t="shared" si="33"/>
        <v>335.95039667582995</v>
      </c>
      <c r="AH34" s="251">
        <f t="shared" ref="AH34:AL34" si="34">AH33/12</f>
        <v>344.65630711847786</v>
      </c>
      <c r="AI34" s="251">
        <f t="shared" si="34"/>
        <v>353.48894607194671</v>
      </c>
      <c r="AJ34" s="251">
        <f t="shared" si="34"/>
        <v>362.462465776518</v>
      </c>
      <c r="AK34" s="251">
        <f t="shared" si="34"/>
        <v>369.60720452954848</v>
      </c>
      <c r="AL34" s="251">
        <f t="shared" si="34"/>
        <v>378.47366278333897</v>
      </c>
      <c r="AM34" s="45"/>
    </row>
    <row r="35" spans="1:39" x14ac:dyDescent="0.3">
      <c r="A35" s="86"/>
      <c r="B35" s="243"/>
      <c r="C35" s="244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5"/>
      <c r="R35" s="245"/>
      <c r="S35" s="245"/>
      <c r="T35" s="245"/>
      <c r="U35" s="245"/>
      <c r="V35" s="245"/>
      <c r="W35" s="245"/>
      <c r="X35" s="245"/>
      <c r="Y35" s="245"/>
      <c r="Z35" s="245"/>
      <c r="AA35" s="245"/>
      <c r="AB35" s="245"/>
      <c r="AC35" s="245"/>
      <c r="AD35" s="245"/>
      <c r="AE35" s="245"/>
      <c r="AF35" s="245"/>
      <c r="AG35" s="245"/>
      <c r="AH35" s="245"/>
      <c r="AI35" s="245"/>
      <c r="AJ35" s="245"/>
      <c r="AK35" s="245"/>
      <c r="AL35" s="245"/>
      <c r="AM35" s="85"/>
    </row>
    <row r="36" spans="1:39" x14ac:dyDescent="0.3">
      <c r="A36" s="86"/>
      <c r="B36" s="243" t="s">
        <v>409</v>
      </c>
      <c r="C36" s="247" t="s">
        <v>430</v>
      </c>
      <c r="D36" s="253">
        <f>D37/22</f>
        <v>12.647882016236276</v>
      </c>
      <c r="E36" s="253">
        <f t="shared" ref="E36:AL36" si="35">E37/22</f>
        <v>13.705005035013544</v>
      </c>
      <c r="F36" s="253">
        <f t="shared" si="35"/>
        <v>14.476504864403461</v>
      </c>
      <c r="G36" s="253">
        <f t="shared" si="35"/>
        <v>15.189965814923399</v>
      </c>
      <c r="H36" s="253">
        <f t="shared" si="35"/>
        <v>15.92715667982575</v>
      </c>
      <c r="I36" s="253">
        <f t="shared" si="35"/>
        <v>16.457546680203578</v>
      </c>
      <c r="J36" s="253">
        <f t="shared" si="35"/>
        <v>16.997096835217288</v>
      </c>
      <c r="K36" s="253">
        <f t="shared" si="35"/>
        <v>17.4954447258385</v>
      </c>
      <c r="L36" s="253">
        <f t="shared" si="35"/>
        <v>18.002587163170254</v>
      </c>
      <c r="M36" s="253">
        <f t="shared" si="35"/>
        <v>18.514559451903484</v>
      </c>
      <c r="N36" s="253">
        <f t="shared" si="35"/>
        <v>19.0320165777668</v>
      </c>
      <c r="O36" s="253">
        <f t="shared" si="35"/>
        <v>19.557016742695875</v>
      </c>
      <c r="P36" s="253">
        <f t="shared" si="35"/>
        <v>20.047267663786027</v>
      </c>
      <c r="Q36" s="253">
        <f t="shared" si="35"/>
        <v>20.541854576656736</v>
      </c>
      <c r="R36" s="253">
        <f t="shared" si="35"/>
        <v>21.04046379067892</v>
      </c>
      <c r="S36" s="253">
        <f t="shared" si="35"/>
        <v>21.543042094351634</v>
      </c>
      <c r="T36" s="253">
        <f t="shared" si="35"/>
        <v>22.048401361444817</v>
      </c>
      <c r="U36" s="253">
        <f t="shared" si="35"/>
        <v>22.557843440543817</v>
      </c>
      <c r="V36" s="253">
        <f t="shared" si="35"/>
        <v>23.069062916703651</v>
      </c>
      <c r="W36" s="253">
        <f t="shared" si="35"/>
        <v>23.586152175146399</v>
      </c>
      <c r="X36" s="253">
        <f t="shared" si="35"/>
        <v>24.104983623739905</v>
      </c>
      <c r="Y36" s="253">
        <f t="shared" si="35"/>
        <v>24.62766042219101</v>
      </c>
      <c r="Z36" s="253">
        <f t="shared" si="35"/>
        <v>25.153249212261201</v>
      </c>
      <c r="AA36" s="253">
        <f t="shared" si="35"/>
        <v>25.682765303464681</v>
      </c>
      <c r="AB36" s="253">
        <f t="shared" si="35"/>
        <v>26.21500086288864</v>
      </c>
      <c r="AC36" s="253">
        <f t="shared" si="35"/>
        <v>26.753793721751865</v>
      </c>
      <c r="AD36" s="253">
        <f t="shared" si="35"/>
        <v>27.293291361706157</v>
      </c>
      <c r="AE36" s="253">
        <f t="shared" si="35"/>
        <v>27.838278767630815</v>
      </c>
      <c r="AF36" s="253">
        <f t="shared" si="35"/>
        <v>28.386403552925472</v>
      </c>
      <c r="AG36" s="253">
        <f t="shared" si="35"/>
        <v>28.939309660412288</v>
      </c>
      <c r="AH36" s="253">
        <f t="shared" si="35"/>
        <v>29.496607132750079</v>
      </c>
      <c r="AI36" s="253">
        <f t="shared" si="35"/>
        <v>30.057705609298338</v>
      </c>
      <c r="AJ36" s="253">
        <f t="shared" si="35"/>
        <v>30.623762074313323</v>
      </c>
      <c r="AK36" s="253">
        <f t="shared" si="35"/>
        <v>31.029359974298689</v>
      </c>
      <c r="AL36" s="253">
        <f t="shared" si="35"/>
        <v>31.573761885223266</v>
      </c>
      <c r="AM36" s="85"/>
    </row>
    <row r="37" spans="1:39" x14ac:dyDescent="0.3">
      <c r="A37" s="18"/>
      <c r="B37" s="243" t="s">
        <v>408</v>
      </c>
      <c r="C37" s="247" t="s">
        <v>216</v>
      </c>
      <c r="D37" s="253">
        <f t="shared" ref="D37:AL37" si="36">D12+D14/2.5+D17+D20+D22/2.5+D30+D25+D32</f>
        <v>278.25340435719806</v>
      </c>
      <c r="E37" s="253">
        <f t="shared" si="36"/>
        <v>301.51011077029796</v>
      </c>
      <c r="F37" s="253">
        <f t="shared" si="36"/>
        <v>318.48310701687615</v>
      </c>
      <c r="G37" s="253">
        <f t="shared" si="36"/>
        <v>334.17924792831479</v>
      </c>
      <c r="H37" s="253">
        <f t="shared" si="36"/>
        <v>350.3974469561665</v>
      </c>
      <c r="I37" s="253">
        <f t="shared" si="36"/>
        <v>362.06602696447868</v>
      </c>
      <c r="J37" s="253">
        <f t="shared" si="36"/>
        <v>373.93613037478036</v>
      </c>
      <c r="K37" s="253">
        <f t="shared" si="36"/>
        <v>384.89978396844697</v>
      </c>
      <c r="L37" s="253">
        <f t="shared" si="36"/>
        <v>396.05691758974558</v>
      </c>
      <c r="M37" s="253">
        <f t="shared" si="36"/>
        <v>407.32030794187665</v>
      </c>
      <c r="N37" s="253">
        <f t="shared" si="36"/>
        <v>418.70436471086964</v>
      </c>
      <c r="O37" s="253">
        <f t="shared" si="36"/>
        <v>430.25436833930922</v>
      </c>
      <c r="P37" s="253">
        <f t="shared" si="36"/>
        <v>441.03988860329258</v>
      </c>
      <c r="Q37" s="253">
        <f t="shared" si="36"/>
        <v>451.92080068644816</v>
      </c>
      <c r="R37" s="253">
        <f t="shared" si="36"/>
        <v>462.89020339493624</v>
      </c>
      <c r="S37" s="253">
        <f t="shared" si="36"/>
        <v>473.94692607573597</v>
      </c>
      <c r="T37" s="253">
        <f t="shared" si="36"/>
        <v>485.06482995178601</v>
      </c>
      <c r="U37" s="253">
        <f t="shared" si="36"/>
        <v>496.27255569196399</v>
      </c>
      <c r="V37" s="253">
        <f t="shared" si="36"/>
        <v>507.51938416748033</v>
      </c>
      <c r="W37" s="253">
        <f t="shared" si="36"/>
        <v>518.89534785322076</v>
      </c>
      <c r="X37" s="253">
        <f t="shared" si="36"/>
        <v>530.30963972227789</v>
      </c>
      <c r="Y37" s="253">
        <f t="shared" si="36"/>
        <v>541.80852928820218</v>
      </c>
      <c r="Z37" s="253">
        <f t="shared" si="36"/>
        <v>553.37148266974646</v>
      </c>
      <c r="AA37" s="253">
        <f t="shared" si="36"/>
        <v>565.02083667622298</v>
      </c>
      <c r="AB37" s="253">
        <f t="shared" si="36"/>
        <v>576.73001898355005</v>
      </c>
      <c r="AC37" s="253">
        <f t="shared" si="36"/>
        <v>588.58346187854102</v>
      </c>
      <c r="AD37" s="253">
        <f t="shared" si="36"/>
        <v>600.45240995753545</v>
      </c>
      <c r="AE37" s="253">
        <f t="shared" si="36"/>
        <v>612.44213288787796</v>
      </c>
      <c r="AF37" s="253">
        <f t="shared" si="36"/>
        <v>624.50087816436042</v>
      </c>
      <c r="AG37" s="253">
        <f t="shared" si="36"/>
        <v>636.66481252907033</v>
      </c>
      <c r="AH37" s="253">
        <f t="shared" si="36"/>
        <v>648.92535692050171</v>
      </c>
      <c r="AI37" s="253">
        <f t="shared" si="36"/>
        <v>661.26952340456342</v>
      </c>
      <c r="AJ37" s="253">
        <f t="shared" si="36"/>
        <v>673.72276563489311</v>
      </c>
      <c r="AK37" s="253">
        <f t="shared" si="36"/>
        <v>682.64591943457117</v>
      </c>
      <c r="AL37" s="253">
        <f t="shared" si="36"/>
        <v>694.62276147491184</v>
      </c>
    </row>
    <row r="38" spans="1:39" x14ac:dyDescent="0.3">
      <c r="A38" s="18"/>
      <c r="B38" s="243" t="s">
        <v>431</v>
      </c>
      <c r="C38" s="247" t="s">
        <v>216</v>
      </c>
      <c r="D38" s="253">
        <f>D37*12</f>
        <v>3339.0408522863768</v>
      </c>
      <c r="E38" s="253">
        <f t="shared" ref="E38:AG38" si="37">E37*12</f>
        <v>3618.1213292435755</v>
      </c>
      <c r="F38" s="253">
        <f t="shared" si="37"/>
        <v>3821.7972842025138</v>
      </c>
      <c r="G38" s="253">
        <f t="shared" si="37"/>
        <v>4010.1509751397775</v>
      </c>
      <c r="H38" s="253">
        <f t="shared" si="37"/>
        <v>4204.7693634739981</v>
      </c>
      <c r="I38" s="253">
        <f t="shared" si="37"/>
        <v>4344.7923235737444</v>
      </c>
      <c r="J38" s="253">
        <f t="shared" si="37"/>
        <v>4487.2335644973646</v>
      </c>
      <c r="K38" s="253">
        <f t="shared" si="37"/>
        <v>4618.7974076213632</v>
      </c>
      <c r="L38" s="253">
        <f t="shared" si="37"/>
        <v>4752.683011076947</v>
      </c>
      <c r="M38" s="253">
        <f t="shared" si="37"/>
        <v>4887.8436953025193</v>
      </c>
      <c r="N38" s="253">
        <f t="shared" si="37"/>
        <v>5024.4523765304357</v>
      </c>
      <c r="O38" s="253">
        <f t="shared" si="37"/>
        <v>5163.0524200717109</v>
      </c>
      <c r="P38" s="253">
        <f t="shared" si="37"/>
        <v>5292.4786632395108</v>
      </c>
      <c r="Q38" s="253">
        <f t="shared" si="37"/>
        <v>5423.0496082373775</v>
      </c>
      <c r="R38" s="253">
        <f t="shared" si="37"/>
        <v>5554.6824407392351</v>
      </c>
      <c r="S38" s="253">
        <f t="shared" si="37"/>
        <v>5687.3631129088317</v>
      </c>
      <c r="T38" s="253">
        <f t="shared" si="37"/>
        <v>5820.7779594214317</v>
      </c>
      <c r="U38" s="253">
        <f t="shared" si="37"/>
        <v>5955.2706683035676</v>
      </c>
      <c r="V38" s="253">
        <f t="shared" si="37"/>
        <v>6090.2326100097634</v>
      </c>
      <c r="W38" s="253">
        <f t="shared" si="37"/>
        <v>6226.7441742386491</v>
      </c>
      <c r="X38" s="253">
        <f t="shared" si="37"/>
        <v>6363.7156766673343</v>
      </c>
      <c r="Y38" s="253">
        <f t="shared" si="37"/>
        <v>6501.7023514584262</v>
      </c>
      <c r="Z38" s="253">
        <f t="shared" si="37"/>
        <v>6640.4577920369575</v>
      </c>
      <c r="AA38" s="253">
        <f t="shared" si="37"/>
        <v>6780.2500401146754</v>
      </c>
      <c r="AB38" s="253">
        <f t="shared" si="37"/>
        <v>6920.7602278026006</v>
      </c>
      <c r="AC38" s="253">
        <f t="shared" si="37"/>
        <v>7063.0015425424917</v>
      </c>
      <c r="AD38" s="253">
        <f t="shared" si="37"/>
        <v>7205.428919490425</v>
      </c>
      <c r="AE38" s="253">
        <f t="shared" si="37"/>
        <v>7349.3055946545355</v>
      </c>
      <c r="AF38" s="253">
        <f t="shared" si="37"/>
        <v>7494.0105379723245</v>
      </c>
      <c r="AG38" s="253">
        <f t="shared" si="37"/>
        <v>7639.977750348844</v>
      </c>
      <c r="AH38" s="253">
        <f t="shared" ref="AH38:AL38" si="38">AH37*12</f>
        <v>7787.104283046021</v>
      </c>
      <c r="AI38" s="253">
        <f t="shared" si="38"/>
        <v>7935.234280854761</v>
      </c>
      <c r="AJ38" s="253">
        <f t="shared" si="38"/>
        <v>8084.6731876187168</v>
      </c>
      <c r="AK38" s="253">
        <f t="shared" si="38"/>
        <v>8191.751033214854</v>
      </c>
      <c r="AL38" s="253">
        <f t="shared" si="38"/>
        <v>8335.4731376989421</v>
      </c>
    </row>
    <row r="39" spans="1:39" s="85" customFormat="1" x14ac:dyDescent="0.3">
      <c r="A39" s="86"/>
      <c r="B39" s="243"/>
      <c r="C39" s="247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6"/>
      <c r="AE39" s="136"/>
      <c r="AF39" s="136"/>
      <c r="AG39" s="136"/>
      <c r="AH39" s="136"/>
      <c r="AI39" s="136"/>
      <c r="AJ39" s="136"/>
      <c r="AK39" s="136"/>
      <c r="AL39" s="136"/>
    </row>
    <row r="40" spans="1:39" x14ac:dyDescent="0.3">
      <c r="A40" s="18"/>
      <c r="B40" s="243" t="s">
        <v>436</v>
      </c>
      <c r="C40" s="247" t="s">
        <v>216</v>
      </c>
      <c r="D40" s="253">
        <f>IF(D8=0,D36/4+1,D36/4+2)</f>
        <v>4.1619705040590684</v>
      </c>
      <c r="E40" s="253">
        <f t="shared" ref="E40:AG40" si="39">E36/4+2</f>
        <v>5.4262512587533855</v>
      </c>
      <c r="F40" s="253">
        <f t="shared" si="39"/>
        <v>5.6191262161008648</v>
      </c>
      <c r="G40" s="253">
        <f t="shared" si="39"/>
        <v>5.7974914537308493</v>
      </c>
      <c r="H40" s="253">
        <f t="shared" si="39"/>
        <v>5.9817891699564374</v>
      </c>
      <c r="I40" s="253">
        <f t="shared" si="39"/>
        <v>6.1143866700508944</v>
      </c>
      <c r="J40" s="253">
        <f t="shared" si="39"/>
        <v>6.2492742088043221</v>
      </c>
      <c r="K40" s="253">
        <f t="shared" si="39"/>
        <v>6.3738611814596249</v>
      </c>
      <c r="L40" s="253">
        <f t="shared" si="39"/>
        <v>6.5006467907925636</v>
      </c>
      <c r="M40" s="253">
        <f t="shared" si="39"/>
        <v>6.6286398629758709</v>
      </c>
      <c r="N40" s="253">
        <f t="shared" si="39"/>
        <v>6.7580041444417001</v>
      </c>
      <c r="O40" s="253">
        <f t="shared" si="39"/>
        <v>6.8892541856739689</v>
      </c>
      <c r="P40" s="253">
        <f t="shared" si="39"/>
        <v>7.0118169159465067</v>
      </c>
      <c r="Q40" s="253">
        <f t="shared" si="39"/>
        <v>7.1354636441641839</v>
      </c>
      <c r="R40" s="253">
        <f t="shared" si="39"/>
        <v>7.2601159476697301</v>
      </c>
      <c r="S40" s="253">
        <f t="shared" si="39"/>
        <v>7.3857605235879085</v>
      </c>
      <c r="T40" s="253">
        <f t="shared" si="39"/>
        <v>7.5121003403612043</v>
      </c>
      <c r="U40" s="253">
        <f t="shared" si="39"/>
        <v>7.6394608601359542</v>
      </c>
      <c r="V40" s="253">
        <f t="shared" si="39"/>
        <v>7.7672657291759126</v>
      </c>
      <c r="W40" s="253">
        <f t="shared" si="39"/>
        <v>7.8965380437865997</v>
      </c>
      <c r="X40" s="253">
        <f t="shared" si="39"/>
        <v>8.0262459059349762</v>
      </c>
      <c r="Y40" s="253">
        <f t="shared" si="39"/>
        <v>8.1569151055477533</v>
      </c>
      <c r="Z40" s="253">
        <f t="shared" si="39"/>
        <v>8.2883123030653003</v>
      </c>
      <c r="AA40" s="253">
        <f t="shared" si="39"/>
        <v>8.4206913258661693</v>
      </c>
      <c r="AB40" s="253">
        <f t="shared" si="39"/>
        <v>8.553750215722161</v>
      </c>
      <c r="AC40" s="253">
        <f t="shared" si="39"/>
        <v>8.6884484304379654</v>
      </c>
      <c r="AD40" s="253">
        <f t="shared" si="39"/>
        <v>8.8233228404265382</v>
      </c>
      <c r="AE40" s="253">
        <f t="shared" si="39"/>
        <v>8.9595696919077028</v>
      </c>
      <c r="AF40" s="253">
        <f t="shared" si="39"/>
        <v>9.096600888231368</v>
      </c>
      <c r="AG40" s="253">
        <f t="shared" si="39"/>
        <v>9.2348274151030729</v>
      </c>
      <c r="AH40" s="253">
        <f t="shared" ref="AH40:AL40" si="40">AH36/4+2</f>
        <v>9.3741517831875196</v>
      </c>
      <c r="AI40" s="253">
        <f t="shared" si="40"/>
        <v>9.5144264023245846</v>
      </c>
      <c r="AJ40" s="253">
        <f t="shared" si="40"/>
        <v>9.6559405185783298</v>
      </c>
      <c r="AK40" s="253">
        <f t="shared" si="40"/>
        <v>9.7573399935746714</v>
      </c>
      <c r="AL40" s="253">
        <f t="shared" si="40"/>
        <v>9.8934404713058157</v>
      </c>
    </row>
    <row r="41" spans="1:39" x14ac:dyDescent="0.3">
      <c r="A41" s="18"/>
      <c r="B41" s="243" t="s">
        <v>432</v>
      </c>
      <c r="C41" s="247" t="s">
        <v>216</v>
      </c>
      <c r="D41" s="321">
        <v>2</v>
      </c>
      <c r="E41" s="321">
        <v>2</v>
      </c>
      <c r="F41" s="321">
        <v>2</v>
      </c>
      <c r="G41" s="321">
        <v>2</v>
      </c>
      <c r="H41" s="321">
        <v>3</v>
      </c>
      <c r="I41" s="321">
        <v>3</v>
      </c>
      <c r="J41" s="321">
        <v>3</v>
      </c>
      <c r="K41" s="321">
        <v>3</v>
      </c>
      <c r="L41" s="321">
        <v>3</v>
      </c>
      <c r="M41" s="321">
        <v>3</v>
      </c>
      <c r="N41" s="321">
        <v>3</v>
      </c>
      <c r="O41" s="321">
        <v>3</v>
      </c>
      <c r="P41" s="321">
        <v>3</v>
      </c>
      <c r="Q41" s="321">
        <v>3</v>
      </c>
      <c r="R41" s="321">
        <v>3</v>
      </c>
      <c r="S41" s="321">
        <v>3</v>
      </c>
      <c r="T41" s="321">
        <v>4</v>
      </c>
      <c r="U41" s="321">
        <v>4</v>
      </c>
      <c r="V41" s="321">
        <v>4</v>
      </c>
      <c r="W41" s="321">
        <v>4</v>
      </c>
      <c r="X41" s="321">
        <v>4</v>
      </c>
      <c r="Y41" s="321">
        <v>4</v>
      </c>
      <c r="Z41" s="321">
        <v>4</v>
      </c>
      <c r="AA41" s="321">
        <v>4</v>
      </c>
      <c r="AB41" s="321">
        <v>4</v>
      </c>
      <c r="AC41" s="321">
        <v>4</v>
      </c>
      <c r="AD41" s="321">
        <v>4</v>
      </c>
      <c r="AE41" s="321">
        <v>4</v>
      </c>
      <c r="AF41" s="321">
        <v>4</v>
      </c>
      <c r="AG41" s="321">
        <v>4</v>
      </c>
      <c r="AH41" s="321">
        <v>4</v>
      </c>
      <c r="AI41" s="321">
        <v>4</v>
      </c>
      <c r="AJ41" s="321">
        <v>4</v>
      </c>
      <c r="AK41" s="321">
        <v>4</v>
      </c>
      <c r="AL41" s="321">
        <v>4</v>
      </c>
    </row>
    <row r="42" spans="1:39" s="85" customFormat="1" x14ac:dyDescent="0.3">
      <c r="A42" s="86"/>
      <c r="B42" s="243" t="s">
        <v>433</v>
      </c>
      <c r="C42" s="247" t="s">
        <v>216</v>
      </c>
      <c r="D42" s="321">
        <v>0</v>
      </c>
      <c r="E42" s="321">
        <v>1</v>
      </c>
      <c r="F42" s="321">
        <v>1</v>
      </c>
      <c r="G42" s="321">
        <v>1</v>
      </c>
      <c r="H42" s="321">
        <v>1</v>
      </c>
      <c r="I42" s="321">
        <v>1</v>
      </c>
      <c r="J42" s="321">
        <v>1</v>
      </c>
      <c r="K42" s="321">
        <v>1</v>
      </c>
      <c r="L42" s="321">
        <v>1</v>
      </c>
      <c r="M42" s="321">
        <v>2</v>
      </c>
      <c r="N42" s="321">
        <v>2</v>
      </c>
      <c r="O42" s="321">
        <v>2</v>
      </c>
      <c r="P42" s="321">
        <v>2</v>
      </c>
      <c r="Q42" s="321">
        <v>2</v>
      </c>
      <c r="R42" s="321">
        <v>2</v>
      </c>
      <c r="S42" s="321">
        <v>2</v>
      </c>
      <c r="T42" s="321">
        <v>2</v>
      </c>
      <c r="U42" s="321">
        <v>2</v>
      </c>
      <c r="V42" s="321">
        <v>2</v>
      </c>
      <c r="W42" s="321">
        <v>2</v>
      </c>
      <c r="X42" s="321">
        <v>2</v>
      </c>
      <c r="Y42" s="321">
        <v>2</v>
      </c>
      <c r="Z42" s="321">
        <v>2</v>
      </c>
      <c r="AA42" s="321">
        <v>2</v>
      </c>
      <c r="AB42" s="321">
        <v>2</v>
      </c>
      <c r="AC42" s="321">
        <v>2</v>
      </c>
      <c r="AD42" s="321">
        <v>3</v>
      </c>
      <c r="AE42" s="321">
        <v>3</v>
      </c>
      <c r="AF42" s="321">
        <v>3</v>
      </c>
      <c r="AG42" s="321">
        <v>3</v>
      </c>
      <c r="AH42" s="321">
        <v>3</v>
      </c>
      <c r="AI42" s="321">
        <v>3</v>
      </c>
      <c r="AJ42" s="321">
        <v>3</v>
      </c>
      <c r="AK42" s="321">
        <v>3</v>
      </c>
      <c r="AL42" s="321">
        <v>3</v>
      </c>
    </row>
    <row r="43" spans="1:39" s="85" customFormat="1" x14ac:dyDescent="0.3">
      <c r="A43" s="86"/>
      <c r="B43" s="243" t="s">
        <v>434</v>
      </c>
      <c r="C43" s="247" t="s">
        <v>216</v>
      </c>
      <c r="D43" s="321">
        <v>1</v>
      </c>
      <c r="E43" s="321">
        <v>1</v>
      </c>
      <c r="F43" s="321">
        <v>1</v>
      </c>
      <c r="G43" s="321">
        <v>1</v>
      </c>
      <c r="H43" s="321">
        <v>1</v>
      </c>
      <c r="I43" s="321">
        <v>1</v>
      </c>
      <c r="J43" s="321">
        <v>1</v>
      </c>
      <c r="K43" s="321">
        <v>1</v>
      </c>
      <c r="L43" s="321">
        <v>1</v>
      </c>
      <c r="M43" s="321">
        <v>1</v>
      </c>
      <c r="N43" s="321">
        <v>1</v>
      </c>
      <c r="O43" s="321">
        <v>1</v>
      </c>
      <c r="P43" s="321">
        <v>1</v>
      </c>
      <c r="Q43" s="321">
        <v>1</v>
      </c>
      <c r="R43" s="321">
        <v>1</v>
      </c>
      <c r="S43" s="321">
        <v>1</v>
      </c>
      <c r="T43" s="321">
        <v>1</v>
      </c>
      <c r="U43" s="321">
        <v>1</v>
      </c>
      <c r="V43" s="321">
        <v>1</v>
      </c>
      <c r="W43" s="321">
        <v>1</v>
      </c>
      <c r="X43" s="321">
        <v>1</v>
      </c>
      <c r="Y43" s="321">
        <v>1</v>
      </c>
      <c r="Z43" s="321">
        <v>1</v>
      </c>
      <c r="AA43" s="321">
        <v>1</v>
      </c>
      <c r="AB43" s="321">
        <v>1</v>
      </c>
      <c r="AC43" s="321">
        <v>1</v>
      </c>
      <c r="AD43" s="321">
        <v>1</v>
      </c>
      <c r="AE43" s="321">
        <v>1</v>
      </c>
      <c r="AF43" s="321">
        <v>1</v>
      </c>
      <c r="AG43" s="321">
        <v>1</v>
      </c>
      <c r="AH43" s="321">
        <v>1</v>
      </c>
      <c r="AI43" s="321">
        <v>1</v>
      </c>
      <c r="AJ43" s="321">
        <v>1</v>
      </c>
      <c r="AK43" s="321">
        <v>1</v>
      </c>
      <c r="AL43" s="321">
        <v>1</v>
      </c>
    </row>
    <row r="44" spans="1:39" s="85" customFormat="1" x14ac:dyDescent="0.3">
      <c r="A44" s="86"/>
      <c r="B44" s="243" t="s">
        <v>435</v>
      </c>
      <c r="C44" s="247" t="s">
        <v>216</v>
      </c>
      <c r="D44" s="321">
        <v>1</v>
      </c>
      <c r="E44" s="321">
        <v>1</v>
      </c>
      <c r="F44" s="321">
        <v>1</v>
      </c>
      <c r="G44" s="321">
        <v>1</v>
      </c>
      <c r="H44" s="321">
        <v>1</v>
      </c>
      <c r="I44" s="321">
        <v>1</v>
      </c>
      <c r="J44" s="321">
        <v>1</v>
      </c>
      <c r="K44" s="321">
        <v>1</v>
      </c>
      <c r="L44" s="321">
        <v>1</v>
      </c>
      <c r="M44" s="321">
        <v>1</v>
      </c>
      <c r="N44" s="321">
        <v>1</v>
      </c>
      <c r="O44" s="321">
        <v>1</v>
      </c>
      <c r="P44" s="321">
        <v>1</v>
      </c>
      <c r="Q44" s="321">
        <v>1</v>
      </c>
      <c r="R44" s="321">
        <v>1</v>
      </c>
      <c r="S44" s="321">
        <v>1</v>
      </c>
      <c r="T44" s="321">
        <v>1</v>
      </c>
      <c r="U44" s="321">
        <v>1</v>
      </c>
      <c r="V44" s="321">
        <v>1</v>
      </c>
      <c r="W44" s="321">
        <v>1</v>
      </c>
      <c r="X44" s="321">
        <v>1</v>
      </c>
      <c r="Y44" s="321">
        <v>1</v>
      </c>
      <c r="Z44" s="321">
        <v>1</v>
      </c>
      <c r="AA44" s="321">
        <v>1</v>
      </c>
      <c r="AB44" s="321">
        <v>1</v>
      </c>
      <c r="AC44" s="321">
        <v>1</v>
      </c>
      <c r="AD44" s="321">
        <v>1</v>
      </c>
      <c r="AE44" s="321">
        <v>1</v>
      </c>
      <c r="AF44" s="321">
        <v>1</v>
      </c>
      <c r="AG44" s="321">
        <v>1</v>
      </c>
      <c r="AH44" s="321">
        <v>1</v>
      </c>
      <c r="AI44" s="321">
        <v>1</v>
      </c>
      <c r="AJ44" s="321">
        <v>1</v>
      </c>
      <c r="AK44" s="321">
        <v>1</v>
      </c>
      <c r="AL44" s="321">
        <v>1</v>
      </c>
    </row>
    <row r="45" spans="1:39" s="85" customFormat="1" x14ac:dyDescent="0.3">
      <c r="A45" s="86"/>
      <c r="B45" s="243"/>
      <c r="C45" s="243"/>
      <c r="D45" s="243"/>
      <c r="E45" s="243"/>
      <c r="F45" s="243"/>
      <c r="G45" s="243"/>
      <c r="H45" s="243"/>
      <c r="I45" s="243"/>
      <c r="J45" s="243"/>
      <c r="K45" s="243"/>
      <c r="L45" s="243"/>
      <c r="M45" s="243"/>
      <c r="N45" s="243"/>
      <c r="O45" s="243"/>
      <c r="P45" s="243"/>
      <c r="Q45" s="243"/>
      <c r="R45" s="243"/>
      <c r="S45" s="243"/>
      <c r="T45" s="243"/>
      <c r="U45" s="243"/>
      <c r="V45" s="243"/>
      <c r="W45" s="243"/>
      <c r="X45" s="243"/>
      <c r="Y45" s="243"/>
      <c r="Z45" s="243"/>
      <c r="AA45" s="243"/>
      <c r="AB45" s="243"/>
      <c r="AC45" s="243"/>
      <c r="AD45" s="243"/>
      <c r="AE45" s="243"/>
      <c r="AF45" s="243"/>
      <c r="AG45" s="243"/>
      <c r="AH45" s="243"/>
      <c r="AI45" s="243"/>
      <c r="AJ45" s="243"/>
      <c r="AK45" s="243"/>
      <c r="AL45" s="243"/>
    </row>
    <row r="46" spans="1:39" x14ac:dyDescent="0.3">
      <c r="B46" s="243" t="s">
        <v>437</v>
      </c>
      <c r="C46" s="247" t="s">
        <v>216</v>
      </c>
      <c r="D46" s="321">
        <v>1</v>
      </c>
      <c r="E46" s="321">
        <v>1</v>
      </c>
      <c r="F46" s="321">
        <v>1</v>
      </c>
      <c r="G46" s="321">
        <v>1</v>
      </c>
      <c r="H46" s="321">
        <v>1</v>
      </c>
      <c r="I46" s="321">
        <v>1</v>
      </c>
      <c r="J46" s="321">
        <v>1</v>
      </c>
      <c r="K46" s="321">
        <v>1</v>
      </c>
      <c r="L46" s="321">
        <v>1</v>
      </c>
      <c r="M46" s="321">
        <v>1</v>
      </c>
      <c r="N46" s="321">
        <v>1</v>
      </c>
      <c r="O46" s="321">
        <v>1</v>
      </c>
      <c r="P46" s="321">
        <v>1</v>
      </c>
      <c r="Q46" s="321">
        <v>1</v>
      </c>
      <c r="R46" s="321">
        <v>1</v>
      </c>
      <c r="S46" s="321">
        <v>1</v>
      </c>
      <c r="T46" s="321">
        <v>1</v>
      </c>
      <c r="U46" s="321">
        <v>1</v>
      </c>
      <c r="V46" s="321">
        <v>1</v>
      </c>
      <c r="W46" s="321">
        <v>1</v>
      </c>
      <c r="X46" s="321">
        <v>1</v>
      </c>
      <c r="Y46" s="321">
        <v>1</v>
      </c>
      <c r="Z46" s="321">
        <v>1</v>
      </c>
      <c r="AA46" s="321">
        <v>1</v>
      </c>
      <c r="AB46" s="321">
        <v>1</v>
      </c>
      <c r="AC46" s="321">
        <v>1</v>
      </c>
      <c r="AD46" s="321">
        <v>1</v>
      </c>
      <c r="AE46" s="321">
        <v>1</v>
      </c>
      <c r="AF46" s="321">
        <v>1</v>
      </c>
      <c r="AG46" s="321">
        <v>1</v>
      </c>
      <c r="AH46" s="321">
        <v>1</v>
      </c>
      <c r="AI46" s="321">
        <v>1</v>
      </c>
      <c r="AJ46" s="321">
        <v>1</v>
      </c>
      <c r="AK46" s="321">
        <v>1</v>
      </c>
      <c r="AL46" s="321">
        <v>1</v>
      </c>
    </row>
    <row r="47" spans="1:39" s="85" customFormat="1" x14ac:dyDescent="0.3">
      <c r="A47" s="86"/>
      <c r="B47" s="243" t="s">
        <v>442</v>
      </c>
      <c r="C47" s="247" t="s">
        <v>216</v>
      </c>
      <c r="D47" s="321">
        <v>1</v>
      </c>
      <c r="E47" s="321">
        <v>1</v>
      </c>
      <c r="F47" s="321">
        <v>1</v>
      </c>
      <c r="G47" s="321">
        <v>1</v>
      </c>
      <c r="H47" s="321">
        <v>2</v>
      </c>
      <c r="I47" s="321">
        <v>2</v>
      </c>
      <c r="J47" s="321">
        <v>2</v>
      </c>
      <c r="K47" s="321">
        <v>2</v>
      </c>
      <c r="L47" s="321">
        <v>2</v>
      </c>
      <c r="M47" s="321">
        <v>3</v>
      </c>
      <c r="N47" s="321">
        <v>3</v>
      </c>
      <c r="O47" s="321">
        <v>3</v>
      </c>
      <c r="P47" s="321">
        <v>3</v>
      </c>
      <c r="Q47" s="321">
        <v>3</v>
      </c>
      <c r="R47" s="321">
        <v>3</v>
      </c>
      <c r="S47" s="321">
        <v>3</v>
      </c>
      <c r="T47" s="321">
        <v>3</v>
      </c>
      <c r="U47" s="321">
        <v>3</v>
      </c>
      <c r="V47" s="321">
        <v>3</v>
      </c>
      <c r="W47" s="321">
        <v>3</v>
      </c>
      <c r="X47" s="321">
        <v>3</v>
      </c>
      <c r="Y47" s="321">
        <v>3</v>
      </c>
      <c r="Z47" s="321">
        <v>3</v>
      </c>
      <c r="AA47" s="321">
        <v>3</v>
      </c>
      <c r="AB47" s="321">
        <v>3</v>
      </c>
      <c r="AC47" s="321">
        <v>3</v>
      </c>
      <c r="AD47" s="321">
        <v>4</v>
      </c>
      <c r="AE47" s="321">
        <v>4</v>
      </c>
      <c r="AF47" s="321">
        <v>4</v>
      </c>
      <c r="AG47" s="321">
        <v>4</v>
      </c>
      <c r="AH47" s="321">
        <v>4</v>
      </c>
      <c r="AI47" s="321">
        <v>4</v>
      </c>
      <c r="AJ47" s="321">
        <v>4</v>
      </c>
      <c r="AK47" s="321">
        <v>4</v>
      </c>
      <c r="AL47" s="321">
        <v>4</v>
      </c>
    </row>
    <row r="48" spans="1:39" s="85" customFormat="1" x14ac:dyDescent="0.3">
      <c r="A48" s="86"/>
      <c r="B48" s="243" t="s">
        <v>441</v>
      </c>
      <c r="C48" s="247" t="s">
        <v>216</v>
      </c>
      <c r="D48" s="321">
        <v>2</v>
      </c>
      <c r="E48" s="321">
        <v>2</v>
      </c>
      <c r="F48" s="321">
        <v>2</v>
      </c>
      <c r="G48" s="321">
        <v>2</v>
      </c>
      <c r="H48" s="321">
        <v>2</v>
      </c>
      <c r="I48" s="321">
        <v>2</v>
      </c>
      <c r="J48" s="321">
        <v>2</v>
      </c>
      <c r="K48" s="321">
        <v>2</v>
      </c>
      <c r="L48" s="321">
        <v>2</v>
      </c>
      <c r="M48" s="321">
        <v>2</v>
      </c>
      <c r="N48" s="321">
        <v>2</v>
      </c>
      <c r="O48" s="321">
        <v>2</v>
      </c>
      <c r="P48" s="321">
        <v>2</v>
      </c>
      <c r="Q48" s="321">
        <v>2</v>
      </c>
      <c r="R48" s="321">
        <v>2</v>
      </c>
      <c r="S48" s="321">
        <v>2</v>
      </c>
      <c r="T48" s="321">
        <v>2</v>
      </c>
      <c r="U48" s="321">
        <v>3</v>
      </c>
      <c r="V48" s="321">
        <v>3</v>
      </c>
      <c r="W48" s="321">
        <v>3</v>
      </c>
      <c r="X48" s="321">
        <v>3</v>
      </c>
      <c r="Y48" s="321">
        <v>3</v>
      </c>
      <c r="Z48" s="321">
        <v>3</v>
      </c>
      <c r="AA48" s="321">
        <v>3</v>
      </c>
      <c r="AB48" s="321">
        <v>3</v>
      </c>
      <c r="AC48" s="321">
        <v>3</v>
      </c>
      <c r="AD48" s="321">
        <v>3</v>
      </c>
      <c r="AE48" s="321">
        <v>3</v>
      </c>
      <c r="AF48" s="321">
        <v>3</v>
      </c>
      <c r="AG48" s="321">
        <v>3</v>
      </c>
      <c r="AH48" s="321">
        <v>3</v>
      </c>
      <c r="AI48" s="321">
        <v>3</v>
      </c>
      <c r="AJ48" s="321">
        <v>3</v>
      </c>
      <c r="AK48" s="321">
        <v>3</v>
      </c>
      <c r="AL48" s="321">
        <v>3</v>
      </c>
    </row>
    <row r="49" spans="1:39" s="85" customFormat="1" x14ac:dyDescent="0.3">
      <c r="A49" s="86"/>
      <c r="B49" s="243" t="s">
        <v>439</v>
      </c>
      <c r="C49" s="247" t="s">
        <v>216</v>
      </c>
      <c r="D49" s="321">
        <v>1</v>
      </c>
      <c r="E49" s="321">
        <v>1</v>
      </c>
      <c r="F49" s="321">
        <v>1</v>
      </c>
      <c r="G49" s="321">
        <v>1</v>
      </c>
      <c r="H49" s="321">
        <v>1</v>
      </c>
      <c r="I49" s="321">
        <v>1</v>
      </c>
      <c r="J49" s="321">
        <v>1</v>
      </c>
      <c r="K49" s="321">
        <v>1</v>
      </c>
      <c r="L49" s="321">
        <v>1</v>
      </c>
      <c r="M49" s="321">
        <v>1</v>
      </c>
      <c r="N49" s="321">
        <v>1</v>
      </c>
      <c r="O49" s="321">
        <v>1</v>
      </c>
      <c r="P49" s="321">
        <v>1</v>
      </c>
      <c r="Q49" s="321">
        <v>1</v>
      </c>
      <c r="R49" s="321">
        <v>1</v>
      </c>
      <c r="S49" s="321">
        <v>1</v>
      </c>
      <c r="T49" s="321">
        <v>1</v>
      </c>
      <c r="U49" s="321">
        <v>1</v>
      </c>
      <c r="V49" s="321">
        <v>1</v>
      </c>
      <c r="W49" s="321">
        <v>1</v>
      </c>
      <c r="X49" s="321">
        <v>1</v>
      </c>
      <c r="Y49" s="321">
        <v>1</v>
      </c>
      <c r="Z49" s="321">
        <v>1</v>
      </c>
      <c r="AA49" s="321">
        <v>1</v>
      </c>
      <c r="AB49" s="321">
        <v>1</v>
      </c>
      <c r="AC49" s="321">
        <v>1</v>
      </c>
      <c r="AD49" s="321">
        <v>1</v>
      </c>
      <c r="AE49" s="321">
        <v>1</v>
      </c>
      <c r="AF49" s="321">
        <v>1</v>
      </c>
      <c r="AG49" s="321">
        <v>1</v>
      </c>
      <c r="AH49" s="321">
        <v>1</v>
      </c>
      <c r="AI49" s="321">
        <v>1</v>
      </c>
      <c r="AJ49" s="321">
        <v>1</v>
      </c>
      <c r="AK49" s="321">
        <v>1</v>
      </c>
      <c r="AL49" s="321">
        <v>1</v>
      </c>
    </row>
    <row r="50" spans="1:39" s="85" customFormat="1" x14ac:dyDescent="0.3">
      <c r="A50" s="86"/>
      <c r="B50" s="243" t="s">
        <v>440</v>
      </c>
      <c r="C50" s="247" t="s">
        <v>216</v>
      </c>
      <c r="D50" s="321">
        <v>1</v>
      </c>
      <c r="E50" s="321">
        <v>1</v>
      </c>
      <c r="F50" s="321">
        <v>1</v>
      </c>
      <c r="G50" s="321">
        <v>1</v>
      </c>
      <c r="H50" s="321">
        <v>1</v>
      </c>
      <c r="I50" s="321">
        <v>1</v>
      </c>
      <c r="J50" s="321">
        <v>1</v>
      </c>
      <c r="K50" s="321">
        <v>1</v>
      </c>
      <c r="L50" s="321">
        <v>1</v>
      </c>
      <c r="M50" s="321">
        <v>1</v>
      </c>
      <c r="N50" s="321">
        <v>1</v>
      </c>
      <c r="O50" s="321">
        <v>1</v>
      </c>
      <c r="P50" s="321">
        <v>1</v>
      </c>
      <c r="Q50" s="321">
        <v>1</v>
      </c>
      <c r="R50" s="321">
        <v>1</v>
      </c>
      <c r="S50" s="321">
        <v>1</v>
      </c>
      <c r="T50" s="321">
        <v>1</v>
      </c>
      <c r="U50" s="321">
        <v>1</v>
      </c>
      <c r="V50" s="321">
        <v>1</v>
      </c>
      <c r="W50" s="321">
        <v>1</v>
      </c>
      <c r="X50" s="321">
        <v>1</v>
      </c>
      <c r="Y50" s="321">
        <v>1</v>
      </c>
      <c r="Z50" s="321">
        <v>1</v>
      </c>
      <c r="AA50" s="321">
        <v>1</v>
      </c>
      <c r="AB50" s="321">
        <v>1</v>
      </c>
      <c r="AC50" s="321">
        <v>1</v>
      </c>
      <c r="AD50" s="321">
        <v>1</v>
      </c>
      <c r="AE50" s="321">
        <v>1</v>
      </c>
      <c r="AF50" s="321">
        <v>1</v>
      </c>
      <c r="AG50" s="321">
        <v>1</v>
      </c>
      <c r="AH50" s="321">
        <v>1</v>
      </c>
      <c r="AI50" s="321">
        <v>1</v>
      </c>
      <c r="AJ50" s="321">
        <v>1</v>
      </c>
      <c r="AK50" s="321">
        <v>1</v>
      </c>
      <c r="AL50" s="321">
        <v>1</v>
      </c>
    </row>
    <row r="51" spans="1:39" s="85" customFormat="1" x14ac:dyDescent="0.3">
      <c r="A51" s="86"/>
      <c r="B51" s="243" t="s">
        <v>438</v>
      </c>
      <c r="C51" s="247" t="s">
        <v>216</v>
      </c>
      <c r="D51" s="321">
        <v>1</v>
      </c>
      <c r="E51" s="321">
        <v>1</v>
      </c>
      <c r="F51" s="321">
        <v>1</v>
      </c>
      <c r="G51" s="321">
        <v>1</v>
      </c>
      <c r="H51" s="321">
        <v>1</v>
      </c>
      <c r="I51" s="321">
        <v>2</v>
      </c>
      <c r="J51" s="321">
        <v>2</v>
      </c>
      <c r="K51" s="321">
        <v>2</v>
      </c>
      <c r="L51" s="321">
        <v>2</v>
      </c>
      <c r="M51" s="321">
        <v>3</v>
      </c>
      <c r="N51" s="321">
        <v>3</v>
      </c>
      <c r="O51" s="321">
        <v>3</v>
      </c>
      <c r="P51" s="321">
        <v>3</v>
      </c>
      <c r="Q51" s="321">
        <v>3</v>
      </c>
      <c r="R51" s="321">
        <v>3</v>
      </c>
      <c r="S51" s="321">
        <v>3</v>
      </c>
      <c r="T51" s="321">
        <v>3</v>
      </c>
      <c r="U51" s="321">
        <v>4</v>
      </c>
      <c r="V51" s="321">
        <v>4</v>
      </c>
      <c r="W51" s="321">
        <v>4</v>
      </c>
      <c r="X51" s="321">
        <v>4</v>
      </c>
      <c r="Y51" s="321">
        <v>4</v>
      </c>
      <c r="Z51" s="321">
        <v>4</v>
      </c>
      <c r="AA51" s="321">
        <v>4</v>
      </c>
      <c r="AB51" s="321">
        <v>4</v>
      </c>
      <c r="AC51" s="321">
        <v>4</v>
      </c>
      <c r="AD51" s="321">
        <v>4</v>
      </c>
      <c r="AE51" s="321">
        <v>4</v>
      </c>
      <c r="AF51" s="321">
        <v>4</v>
      </c>
      <c r="AG51" s="321">
        <v>4</v>
      </c>
      <c r="AH51" s="321">
        <v>4</v>
      </c>
      <c r="AI51" s="321">
        <v>4</v>
      </c>
      <c r="AJ51" s="321">
        <v>4</v>
      </c>
      <c r="AK51" s="321">
        <v>4</v>
      </c>
      <c r="AL51" s="321">
        <v>4</v>
      </c>
    </row>
    <row r="52" spans="1:39" s="85" customFormat="1" x14ac:dyDescent="0.3">
      <c r="A52" s="86"/>
      <c r="B52" s="243"/>
      <c r="C52" s="247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6"/>
      <c r="AF52" s="136"/>
      <c r="AG52" s="136"/>
      <c r="AH52" s="136"/>
      <c r="AI52" s="136"/>
      <c r="AJ52" s="136"/>
      <c r="AK52" s="136"/>
      <c r="AL52" s="136"/>
    </row>
    <row r="53" spans="1:39" x14ac:dyDescent="0.3">
      <c r="A53" s="86"/>
      <c r="B53" s="243" t="s">
        <v>402</v>
      </c>
      <c r="C53" s="244" t="s">
        <v>222</v>
      </c>
      <c r="D53" s="254">
        <f>$F$68*D11</f>
        <v>40169.641938719309</v>
      </c>
      <c r="E53" s="254">
        <f t="shared" ref="E53:AL53" si="41">$F$68*E11</f>
        <v>42721.459269654355</v>
      </c>
      <c r="F53" s="254">
        <f t="shared" si="41"/>
        <v>44306.348596342206</v>
      </c>
      <c r="G53" s="254">
        <f t="shared" si="41"/>
        <v>45644.303822602866</v>
      </c>
      <c r="H53" s="254">
        <f t="shared" si="41"/>
        <v>46993.391428145842</v>
      </c>
      <c r="I53" s="254">
        <f t="shared" si="41"/>
        <v>48353.754223421325</v>
      </c>
      <c r="J53" s="254">
        <f t="shared" si="41"/>
        <v>49722.770234712727</v>
      </c>
      <c r="K53" s="254">
        <f t="shared" si="41"/>
        <v>51096.472031722311</v>
      </c>
      <c r="L53" s="254">
        <f t="shared" si="41"/>
        <v>52485.275727998152</v>
      </c>
      <c r="M53" s="254">
        <f t="shared" si="41"/>
        <v>53877.046899327484</v>
      </c>
      <c r="N53" s="254">
        <f t="shared" si="41"/>
        <v>55273.148211199637</v>
      </c>
      <c r="O53" s="254">
        <f t="shared" si="41"/>
        <v>56678.990287119879</v>
      </c>
      <c r="P53" s="254">
        <f t="shared" si="41"/>
        <v>58081.975786181079</v>
      </c>
      <c r="Q53" s="254">
        <f t="shared" si="41"/>
        <v>59490.679709678421</v>
      </c>
      <c r="R53" s="254">
        <f t="shared" si="41"/>
        <v>60903.750943438681</v>
      </c>
      <c r="S53" s="254">
        <f t="shared" si="41"/>
        <v>62320.589924061533</v>
      </c>
      <c r="T53" s="254">
        <f t="shared" si="41"/>
        <v>63737.313450554881</v>
      </c>
      <c r="U53" s="254">
        <f t="shared" si="41"/>
        <v>65157.23879743732</v>
      </c>
      <c r="V53" s="254">
        <f t="shared" si="41"/>
        <v>66573.259242889195</v>
      </c>
      <c r="W53" s="254">
        <f t="shared" si="41"/>
        <v>67996.736955451212</v>
      </c>
      <c r="X53" s="254">
        <f t="shared" si="41"/>
        <v>69415.312637614683</v>
      </c>
      <c r="Y53" s="254">
        <f t="shared" si="41"/>
        <v>70834.600998729758</v>
      </c>
      <c r="Z53" s="254">
        <f t="shared" si="41"/>
        <v>72251.465635173488</v>
      </c>
      <c r="AA53" s="254">
        <f t="shared" si="41"/>
        <v>73668.374467470567</v>
      </c>
      <c r="AB53" s="254">
        <f t="shared" si="41"/>
        <v>75081.412181858279</v>
      </c>
      <c r="AC53" s="254">
        <f t="shared" si="41"/>
        <v>76501.11382148035</v>
      </c>
      <c r="AD53" s="254">
        <f t="shared" si="41"/>
        <v>77910.280310201735</v>
      </c>
      <c r="AE53" s="254">
        <f t="shared" si="41"/>
        <v>79322.140570736039</v>
      </c>
      <c r="AF53" s="254">
        <f t="shared" si="41"/>
        <v>80729.527729275433</v>
      </c>
      <c r="AG53" s="254">
        <f t="shared" si="41"/>
        <v>82136.670366253893</v>
      </c>
      <c r="AH53" s="254">
        <f t="shared" si="41"/>
        <v>83542.000571360695</v>
      </c>
      <c r="AI53" s="254">
        <f t="shared" si="41"/>
        <v>84943.394915185912</v>
      </c>
      <c r="AJ53" s="254">
        <f t="shared" si="41"/>
        <v>86343.67405340288</v>
      </c>
      <c r="AK53" s="254">
        <f t="shared" si="41"/>
        <v>87277.104842974833</v>
      </c>
      <c r="AL53" s="254">
        <f t="shared" si="41"/>
        <v>88586.356431728083</v>
      </c>
    </row>
    <row r="54" spans="1:39" x14ac:dyDescent="0.3">
      <c r="A54" s="86"/>
      <c r="B54" s="243" t="s">
        <v>405</v>
      </c>
      <c r="C54" s="244" t="s">
        <v>222</v>
      </c>
      <c r="D54" s="254">
        <f t="shared" ref="D54:AL54" si="42">$F$98*D13</f>
        <v>631488.66134708328</v>
      </c>
      <c r="E54" s="254">
        <f t="shared" si="42"/>
        <v>679052.34816580801</v>
      </c>
      <c r="F54" s="254">
        <f t="shared" si="42"/>
        <v>712053.64967185212</v>
      </c>
      <c r="G54" s="254">
        <f t="shared" si="42"/>
        <v>741690.85501692642</v>
      </c>
      <c r="H54" s="254">
        <f t="shared" si="42"/>
        <v>772080.71574789064</v>
      </c>
      <c r="I54" s="254">
        <f t="shared" si="42"/>
        <v>803240.68086767069</v>
      </c>
      <c r="J54" s="254">
        <f t="shared" si="42"/>
        <v>835142.13169800164</v>
      </c>
      <c r="K54" s="254">
        <f t="shared" si="42"/>
        <v>867731.91758116568</v>
      </c>
      <c r="L54" s="254">
        <f t="shared" si="42"/>
        <v>901201.11477892601</v>
      </c>
      <c r="M54" s="254">
        <f t="shared" si="42"/>
        <v>935357.43020211055</v>
      </c>
      <c r="N54" s="254">
        <f t="shared" si="42"/>
        <v>970236.47831388458</v>
      </c>
      <c r="O54" s="254">
        <f t="shared" si="42"/>
        <v>1005946.9595600842</v>
      </c>
      <c r="P54" s="254">
        <f t="shared" si="42"/>
        <v>1042278.8832719002</v>
      </c>
      <c r="Q54" s="254">
        <f t="shared" si="42"/>
        <v>1079396.6568752737</v>
      </c>
      <c r="R54" s="254">
        <f t="shared" si="42"/>
        <v>1117289.6058744399</v>
      </c>
      <c r="S54" s="254">
        <f t="shared" si="42"/>
        <v>1155960.1256279461</v>
      </c>
      <c r="T54" s="254">
        <f t="shared" si="42"/>
        <v>1195348.7501652841</v>
      </c>
      <c r="U54" s="254">
        <f t="shared" si="42"/>
        <v>1235529.5297829111</v>
      </c>
      <c r="V54" s="254">
        <f t="shared" si="42"/>
        <v>1276379.6090130815</v>
      </c>
      <c r="W54" s="254">
        <f t="shared" si="42"/>
        <v>1318128.3182560978</v>
      </c>
      <c r="X54" s="254">
        <f t="shared" si="42"/>
        <v>1360549.9236847253</v>
      </c>
      <c r="Y54" s="254">
        <f t="shared" si="42"/>
        <v>1403764.4193120727</v>
      </c>
      <c r="Z54" s="254">
        <f t="shared" si="42"/>
        <v>1447721.4854208182</v>
      </c>
      <c r="AA54" s="254">
        <f t="shared" si="42"/>
        <v>1492481.737255845</v>
      </c>
      <c r="AB54" s="254">
        <f t="shared" si="42"/>
        <v>1537977.3910691333</v>
      </c>
      <c r="AC54" s="254">
        <f t="shared" si="42"/>
        <v>1584436.5677901977</v>
      </c>
      <c r="AD54" s="254">
        <f t="shared" si="42"/>
        <v>1631516.4077388435</v>
      </c>
      <c r="AE54" s="254">
        <f t="shared" si="42"/>
        <v>1679502.6151420604</v>
      </c>
      <c r="AF54" s="254">
        <f t="shared" si="42"/>
        <v>1728256.7067009043</v>
      </c>
      <c r="AG54" s="254">
        <f t="shared" si="42"/>
        <v>1777880.2794417529</v>
      </c>
      <c r="AH54" s="254">
        <f t="shared" si="42"/>
        <v>1828352.2488458147</v>
      </c>
      <c r="AI54" s="254">
        <f t="shared" si="42"/>
        <v>1879637.9015360367</v>
      </c>
      <c r="AJ54" s="254">
        <f t="shared" si="42"/>
        <v>1931811.2194352862</v>
      </c>
      <c r="AK54" s="254">
        <f t="shared" si="42"/>
        <v>1974349.6673166805</v>
      </c>
      <c r="AL54" s="254">
        <f t="shared" si="42"/>
        <v>2026189.9600366117</v>
      </c>
    </row>
    <row r="55" spans="1:39" x14ac:dyDescent="0.3">
      <c r="A55" s="86"/>
      <c r="B55" s="243" t="s">
        <v>395</v>
      </c>
      <c r="C55" s="244" t="s">
        <v>222</v>
      </c>
      <c r="D55" s="254">
        <f t="shared" ref="D55:AL55" si="43">$F$124*D15</f>
        <v>105448.61854060288</v>
      </c>
      <c r="E55" s="254">
        <f t="shared" si="43"/>
        <v>111036.97941292003</v>
      </c>
      <c r="F55" s="254">
        <f t="shared" si="43"/>
        <v>114016.09079917312</v>
      </c>
      <c r="G55" s="254">
        <f t="shared" si="43"/>
        <v>116296.16674138876</v>
      </c>
      <c r="H55" s="254">
        <f t="shared" si="43"/>
        <v>118547.99883762089</v>
      </c>
      <c r="I55" s="254">
        <f t="shared" si="43"/>
        <v>120772.00150046645</v>
      </c>
      <c r="J55" s="254">
        <f t="shared" si="43"/>
        <v>122961.7422319296</v>
      </c>
      <c r="K55" s="254">
        <f t="shared" si="43"/>
        <v>125107.755496126</v>
      </c>
      <c r="L55" s="254">
        <f t="shared" si="43"/>
        <v>127235.82987612046</v>
      </c>
      <c r="M55" s="254">
        <f t="shared" si="43"/>
        <v>129316.62249063172</v>
      </c>
      <c r="N55" s="254">
        <f t="shared" si="43"/>
        <v>131354.0287875495</v>
      </c>
      <c r="O55" s="254">
        <f t="shared" si="43"/>
        <v>133361.33282133579</v>
      </c>
      <c r="P55" s="254">
        <f t="shared" si="43"/>
        <v>135309.35691738484</v>
      </c>
      <c r="Q55" s="254">
        <f t="shared" si="43"/>
        <v>137218.92281882785</v>
      </c>
      <c r="R55" s="254">
        <f t="shared" si="43"/>
        <v>139087.38494451551</v>
      </c>
      <c r="S55" s="254">
        <f t="shared" si="43"/>
        <v>140913.9156059894</v>
      </c>
      <c r="T55" s="254">
        <f t="shared" si="43"/>
        <v>142690.3841919078</v>
      </c>
      <c r="U55" s="254">
        <f t="shared" si="43"/>
        <v>144424.95847502668</v>
      </c>
      <c r="V55" s="254">
        <f t="shared" si="43"/>
        <v>146102.62711800594</v>
      </c>
      <c r="W55" s="254">
        <f t="shared" si="43"/>
        <v>147749.12046532508</v>
      </c>
      <c r="X55" s="254">
        <f t="shared" si="43"/>
        <v>149338.14151152893</v>
      </c>
      <c r="Y55" s="254">
        <f t="shared" si="43"/>
        <v>150882.73106331599</v>
      </c>
      <c r="Z55" s="254">
        <f t="shared" si="43"/>
        <v>152376.9835345757</v>
      </c>
      <c r="AA55" s="254">
        <f t="shared" si="43"/>
        <v>153826.94815884077</v>
      </c>
      <c r="AB55" s="254">
        <f t="shared" si="43"/>
        <v>155225.25990720905</v>
      </c>
      <c r="AC55" s="254">
        <f t="shared" si="43"/>
        <v>156594.44348338342</v>
      </c>
      <c r="AD55" s="254">
        <f t="shared" si="43"/>
        <v>157899.94636297063</v>
      </c>
      <c r="AE55" s="254">
        <f t="shared" si="43"/>
        <v>159169.65219413044</v>
      </c>
      <c r="AF55" s="254">
        <f t="shared" si="43"/>
        <v>160389.8495053098</v>
      </c>
      <c r="AG55" s="254">
        <f t="shared" si="43"/>
        <v>161569.80016071361</v>
      </c>
      <c r="AH55" s="254">
        <f t="shared" si="43"/>
        <v>162707.13259482107</v>
      </c>
      <c r="AI55" s="254">
        <f t="shared" si="43"/>
        <v>163798.51534919519</v>
      </c>
      <c r="AJ55" s="254">
        <f t="shared" si="43"/>
        <v>164850.20726040128</v>
      </c>
      <c r="AK55" s="254">
        <f t="shared" si="43"/>
        <v>164982.51910270227</v>
      </c>
      <c r="AL55" s="254">
        <f t="shared" si="43"/>
        <v>165799.44208022972</v>
      </c>
    </row>
    <row r="56" spans="1:39" x14ac:dyDescent="0.3">
      <c r="A56" s="86"/>
      <c r="B56" s="243" t="s">
        <v>396</v>
      </c>
      <c r="C56" s="244" t="s">
        <v>222</v>
      </c>
      <c r="D56" s="254">
        <f t="shared" ref="D56:AL56" si="44">$F$152*D18</f>
        <v>56669.055859701024</v>
      </c>
      <c r="E56" s="254">
        <f t="shared" si="44"/>
        <v>59672.292306232266</v>
      </c>
      <c r="F56" s="254">
        <f t="shared" si="44"/>
        <v>61273.294120161598</v>
      </c>
      <c r="G56" s="254">
        <f t="shared" si="44"/>
        <v>62498.627867744326</v>
      </c>
      <c r="H56" s="254">
        <f t="shared" si="44"/>
        <v>63708.783113153353</v>
      </c>
      <c r="I56" s="254">
        <f t="shared" si="44"/>
        <v>64903.982565523511</v>
      </c>
      <c r="J56" s="254">
        <f t="shared" si="44"/>
        <v>66080.76934136702</v>
      </c>
      <c r="K56" s="254">
        <f t="shared" si="44"/>
        <v>67234.05657478467</v>
      </c>
      <c r="L56" s="254">
        <f t="shared" si="44"/>
        <v>68377.703287112818</v>
      </c>
      <c r="M56" s="254">
        <f t="shared" si="44"/>
        <v>69495.940344517119</v>
      </c>
      <c r="N56" s="254">
        <f t="shared" si="44"/>
        <v>70590.861196462487</v>
      </c>
      <c r="O56" s="254">
        <f t="shared" si="44"/>
        <v>71669.604815794388</v>
      </c>
      <c r="P56" s="254">
        <f t="shared" si="44"/>
        <v>72716.490852262854</v>
      </c>
      <c r="Q56" s="254">
        <f t="shared" si="44"/>
        <v>73742.709101817134</v>
      </c>
      <c r="R56" s="254">
        <f t="shared" si="44"/>
        <v>74746.837804855182</v>
      </c>
      <c r="S56" s="254">
        <f t="shared" si="44"/>
        <v>75728.432153999413</v>
      </c>
      <c r="T56" s="254">
        <f t="shared" si="44"/>
        <v>76683.122684057424</v>
      </c>
      <c r="U56" s="254">
        <f t="shared" si="44"/>
        <v>77615.298831106862</v>
      </c>
      <c r="V56" s="254">
        <f t="shared" si="44"/>
        <v>78516.893364623233</v>
      </c>
      <c r="W56" s="254">
        <f t="shared" si="44"/>
        <v>79401.73400799236</v>
      </c>
      <c r="X56" s="254">
        <f t="shared" si="44"/>
        <v>80255.688509016894</v>
      </c>
      <c r="Y56" s="254">
        <f t="shared" si="44"/>
        <v>81085.765116960596</v>
      </c>
      <c r="Z56" s="254">
        <f t="shared" si="44"/>
        <v>81888.790115621028</v>
      </c>
      <c r="AA56" s="254">
        <f t="shared" si="44"/>
        <v>82668.014418644292</v>
      </c>
      <c r="AB56" s="254">
        <f t="shared" si="44"/>
        <v>83419.479991870816</v>
      </c>
      <c r="AC56" s="254">
        <f t="shared" si="44"/>
        <v>84155.291817898062</v>
      </c>
      <c r="AD56" s="254">
        <f t="shared" si="44"/>
        <v>84856.881052847035</v>
      </c>
      <c r="AE56" s="254">
        <f t="shared" si="44"/>
        <v>85539.232625273522</v>
      </c>
      <c r="AF56" s="254">
        <f t="shared" si="44"/>
        <v>86194.977864462766</v>
      </c>
      <c r="AG56" s="254">
        <f t="shared" si="44"/>
        <v>86829.094181283188</v>
      </c>
      <c r="AH56" s="254">
        <f t="shared" si="44"/>
        <v>87440.30707464763</v>
      </c>
      <c r="AI56" s="254">
        <f t="shared" si="44"/>
        <v>88026.82618820174</v>
      </c>
      <c r="AJ56" s="254">
        <f t="shared" si="44"/>
        <v>88592.01507818597</v>
      </c>
      <c r="AK56" s="254">
        <f t="shared" si="44"/>
        <v>88663.120677159444</v>
      </c>
      <c r="AL56" s="254">
        <f t="shared" si="44"/>
        <v>89102.142586476839</v>
      </c>
    </row>
    <row r="57" spans="1:39" x14ac:dyDescent="0.3">
      <c r="A57" s="86"/>
      <c r="B57" s="243" t="s">
        <v>411</v>
      </c>
      <c r="C57" s="244" t="s">
        <v>222</v>
      </c>
      <c r="D57" s="254">
        <f>$F$179*(D21)</f>
        <v>295419.64169116598</v>
      </c>
      <c r="E57" s="254">
        <f t="shared" ref="E57:AL57" si="45">$F$179*(E21)</f>
        <v>311534.56351811055</v>
      </c>
      <c r="F57" s="254">
        <f t="shared" si="45"/>
        <v>320368.87400936498</v>
      </c>
      <c r="G57" s="254">
        <f t="shared" si="45"/>
        <v>327265.79918109498</v>
      </c>
      <c r="H57" s="254">
        <f t="shared" si="45"/>
        <v>334107.34539300296</v>
      </c>
      <c r="I57" s="254">
        <f t="shared" si="45"/>
        <v>340894.65731041611</v>
      </c>
      <c r="J57" s="254">
        <f t="shared" si="45"/>
        <v>347609.52784307685</v>
      </c>
      <c r="K57" s="254">
        <f t="shared" si="45"/>
        <v>354225.04652904754</v>
      </c>
      <c r="L57" s="254">
        <f t="shared" si="45"/>
        <v>360814.10379618529</v>
      </c>
      <c r="M57" s="254">
        <f t="shared" si="45"/>
        <v>367293.45644667861</v>
      </c>
      <c r="N57" s="254">
        <f t="shared" si="45"/>
        <v>373673.88622555643</v>
      </c>
      <c r="O57" s="254">
        <f t="shared" si="45"/>
        <v>379992.98896344728</v>
      </c>
      <c r="P57" s="254">
        <f t="shared" si="45"/>
        <v>386167.41386442271</v>
      </c>
      <c r="Q57" s="254">
        <f t="shared" si="45"/>
        <v>392256.19178105349</v>
      </c>
      <c r="R57" s="254">
        <f t="shared" si="45"/>
        <v>398251.53857256728</v>
      </c>
      <c r="S57" s="254">
        <f t="shared" si="45"/>
        <v>404150.82706418616</v>
      </c>
      <c r="T57" s="254">
        <f t="shared" si="45"/>
        <v>409930.42638266186</v>
      </c>
      <c r="U57" s="254">
        <f t="shared" si="45"/>
        <v>415613.4422478014</v>
      </c>
      <c r="V57" s="254">
        <f t="shared" si="45"/>
        <v>421156.313639956</v>
      </c>
      <c r="W57" s="254">
        <f t="shared" si="45"/>
        <v>426632.8181579035</v>
      </c>
      <c r="X57" s="254">
        <f t="shared" si="45"/>
        <v>431966.74317178928</v>
      </c>
      <c r="Y57" s="254">
        <f t="shared" si="45"/>
        <v>437195.32494886703</v>
      </c>
      <c r="Z57" s="254">
        <f t="shared" si="45"/>
        <v>442301.05678561865</v>
      </c>
      <c r="AA57" s="254">
        <f t="shared" si="45"/>
        <v>447301.06330256519</v>
      </c>
      <c r="AB57" s="254">
        <f t="shared" si="45"/>
        <v>452173.50724199234</v>
      </c>
      <c r="AC57" s="254">
        <f t="shared" si="45"/>
        <v>456983.61287725158</v>
      </c>
      <c r="AD57" s="254">
        <f t="shared" si="45"/>
        <v>461630.20070905564</v>
      </c>
      <c r="AE57" s="254">
        <f t="shared" si="45"/>
        <v>466194.21612074529</v>
      </c>
      <c r="AF57" s="254">
        <f t="shared" si="45"/>
        <v>470635.13732791151</v>
      </c>
      <c r="AG57" s="254">
        <f t="shared" si="45"/>
        <v>474979.67165149818</v>
      </c>
      <c r="AH57" s="254">
        <f t="shared" si="45"/>
        <v>479220.45420952537</v>
      </c>
      <c r="AI57" s="254">
        <f t="shared" si="45"/>
        <v>483347.22497798549</v>
      </c>
      <c r="AJ57" s="254">
        <f t="shared" si="45"/>
        <v>487377.99181570212</v>
      </c>
      <c r="AK57" s="254">
        <f t="shared" si="45"/>
        <v>488706.56239262287</v>
      </c>
      <c r="AL57" s="254">
        <f t="shared" si="45"/>
        <v>492077.88241943228</v>
      </c>
    </row>
    <row r="58" spans="1:39" x14ac:dyDescent="0.3">
      <c r="A58" s="86"/>
      <c r="B58" s="243" t="s">
        <v>403</v>
      </c>
      <c r="C58" s="244" t="s">
        <v>222</v>
      </c>
      <c r="D58" s="254">
        <f>$F$204*D24</f>
        <v>0</v>
      </c>
      <c r="E58" s="254">
        <f t="shared" ref="E58:AL58" si="46">$F$204*E24</f>
        <v>10018.217917191141</v>
      </c>
      <c r="F58" s="254">
        <f t="shared" si="46"/>
        <v>20655.07306930728</v>
      </c>
      <c r="G58" s="254">
        <f t="shared" si="46"/>
        <v>31918.216932393214</v>
      </c>
      <c r="H58" s="254">
        <f t="shared" si="46"/>
        <v>43815.478570176951</v>
      </c>
      <c r="I58" s="254">
        <f t="shared" si="46"/>
        <v>47901.58772704444</v>
      </c>
      <c r="J58" s="254">
        <f t="shared" si="46"/>
        <v>52155.319522428501</v>
      </c>
      <c r="K58" s="254">
        <f t="shared" si="46"/>
        <v>54787.253130089637</v>
      </c>
      <c r="L58" s="254">
        <f t="shared" si="46"/>
        <v>57499.77177058535</v>
      </c>
      <c r="M58" s="254">
        <f t="shared" si="46"/>
        <v>60280.354886530753</v>
      </c>
      <c r="N58" s="254">
        <f t="shared" si="46"/>
        <v>63130.766369669182</v>
      </c>
      <c r="O58" s="254">
        <f t="shared" si="46"/>
        <v>66057.61493352156</v>
      </c>
      <c r="P58" s="254">
        <f t="shared" si="46"/>
        <v>67692.751258018849</v>
      </c>
      <c r="Q58" s="254">
        <f t="shared" si="46"/>
        <v>69334.552229813446</v>
      </c>
      <c r="R58" s="254">
        <f t="shared" si="46"/>
        <v>70981.443167011079</v>
      </c>
      <c r="S58" s="254">
        <f t="shared" si="46"/>
        <v>72632.72529696206</v>
      </c>
      <c r="T58" s="254">
        <f t="shared" si="46"/>
        <v>74283.872868686303</v>
      </c>
      <c r="U58" s="254">
        <f t="shared" si="46"/>
        <v>75938.752063314823</v>
      </c>
      <c r="V58" s="254">
        <f t="shared" si="46"/>
        <v>77589.080215771508</v>
      </c>
      <c r="W58" s="254">
        <f t="shared" si="46"/>
        <v>79248.099583027972</v>
      </c>
      <c r="X58" s="254">
        <f t="shared" si="46"/>
        <v>80901.405785056544</v>
      </c>
      <c r="Y58" s="254">
        <f t="shared" si="46"/>
        <v>82555.542592420825</v>
      </c>
      <c r="Z58" s="254">
        <f t="shared" si="46"/>
        <v>84206.854623439736</v>
      </c>
      <c r="AA58" s="254">
        <f t="shared" si="46"/>
        <v>85858.218163362471</v>
      </c>
      <c r="AB58" s="254">
        <f t="shared" si="46"/>
        <v>87505.070034765333</v>
      </c>
      <c r="AC58" s="254">
        <f t="shared" si="46"/>
        <v>89159.688505482074</v>
      </c>
      <c r="AD58" s="254">
        <f t="shared" si="46"/>
        <v>90802.02858277761</v>
      </c>
      <c r="AE58" s="254">
        <f t="shared" si="46"/>
        <v>92447.508168032509</v>
      </c>
      <c r="AF58" s="254">
        <f t="shared" si="46"/>
        <v>94087.774490883807</v>
      </c>
      <c r="AG58" s="254">
        <f t="shared" si="46"/>
        <v>95727.755831397997</v>
      </c>
      <c r="AH58" s="254">
        <f t="shared" si="46"/>
        <v>97365.62483846971</v>
      </c>
      <c r="AI58" s="254">
        <f t="shared" si="46"/>
        <v>98998.906720618179</v>
      </c>
      <c r="AJ58" s="254">
        <f t="shared" si="46"/>
        <v>100630.88886502842</v>
      </c>
      <c r="AK58" s="254">
        <f t="shared" si="46"/>
        <v>101718.77365888734</v>
      </c>
      <c r="AL58" s="254">
        <f t="shared" si="46"/>
        <v>103244.66600211452</v>
      </c>
    </row>
    <row r="59" spans="1:39" x14ac:dyDescent="0.3">
      <c r="A59" s="86"/>
      <c r="B59" s="243" t="s">
        <v>406</v>
      </c>
      <c r="C59" s="244" t="s">
        <v>222</v>
      </c>
      <c r="D59" s="254">
        <f>$F$228*D26</f>
        <v>0</v>
      </c>
      <c r="E59" s="254">
        <f t="shared" ref="E59:AL59" si="47">$F$228*E26</f>
        <v>0</v>
      </c>
      <c r="F59" s="254">
        <f t="shared" si="47"/>
        <v>755088.87437900959</v>
      </c>
      <c r="G59" s="254">
        <f t="shared" si="47"/>
        <v>1180364.6474914989</v>
      </c>
      <c r="H59" s="254">
        <f t="shared" si="47"/>
        <v>1639122.3312790261</v>
      </c>
      <c r="I59" s="254">
        <f t="shared" si="47"/>
        <v>1812758.5077933939</v>
      </c>
      <c r="J59" s="254">
        <f t="shared" si="47"/>
        <v>1996617.5757856679</v>
      </c>
      <c r="K59" s="254">
        <f t="shared" si="47"/>
        <v>2121690.5501961177</v>
      </c>
      <c r="L59" s="254">
        <f t="shared" si="47"/>
        <v>2252552.2423498617</v>
      </c>
      <c r="M59" s="254">
        <f t="shared" si="47"/>
        <v>2388860.4903605822</v>
      </c>
      <c r="N59" s="254">
        <f t="shared" si="47"/>
        <v>2530825.9831600757</v>
      </c>
      <c r="O59" s="254">
        <f t="shared" si="47"/>
        <v>2678862.0393231055</v>
      </c>
      <c r="P59" s="254">
        <f t="shared" si="47"/>
        <v>2776999.8777209003</v>
      </c>
      <c r="Q59" s="254">
        <f t="shared" si="47"/>
        <v>2877329.8163392683</v>
      </c>
      <c r="R59" s="254">
        <f t="shared" si="47"/>
        <v>2979826.5947060529</v>
      </c>
      <c r="S59" s="254">
        <f t="shared" si="47"/>
        <v>3084499.773576675</v>
      </c>
      <c r="T59" s="254">
        <f t="shared" si="47"/>
        <v>3191193.7799012158</v>
      </c>
      <c r="U59" s="254">
        <f t="shared" si="47"/>
        <v>3300109.3499367209</v>
      </c>
      <c r="V59" s="254">
        <f t="shared" si="47"/>
        <v>3410921.41831211</v>
      </c>
      <c r="W59" s="254">
        <f t="shared" si="47"/>
        <v>3524245.8978969362</v>
      </c>
      <c r="X59" s="254">
        <f t="shared" si="47"/>
        <v>3639482.6274437811</v>
      </c>
      <c r="Y59" s="254">
        <f t="shared" si="47"/>
        <v>3756955.5304987072</v>
      </c>
      <c r="Z59" s="254">
        <f t="shared" si="47"/>
        <v>3876533.1288841269</v>
      </c>
      <c r="AA59" s="254">
        <f t="shared" si="47"/>
        <v>3998380.8751333635</v>
      </c>
      <c r="AB59" s="254">
        <f t="shared" si="47"/>
        <v>4122320.3944665948</v>
      </c>
      <c r="AC59" s="254">
        <f t="shared" si="47"/>
        <v>4248966.4771270463</v>
      </c>
      <c r="AD59" s="254">
        <f t="shared" si="47"/>
        <v>4377403.1807921901</v>
      </c>
      <c r="AE59" s="254">
        <f t="shared" si="47"/>
        <v>4508400.0266593955</v>
      </c>
      <c r="AF59" s="254">
        <f t="shared" si="47"/>
        <v>4641588.8264151625</v>
      </c>
      <c r="AG59" s="254">
        <f t="shared" si="47"/>
        <v>4777245.7599240923</v>
      </c>
      <c r="AH59" s="254">
        <f t="shared" si="47"/>
        <v>4915317.7396624498</v>
      </c>
      <c r="AI59" s="254">
        <f t="shared" si="47"/>
        <v>5055714.9106006604</v>
      </c>
      <c r="AJ59" s="254">
        <f t="shared" si="47"/>
        <v>5198639.7415103707</v>
      </c>
      <c r="AK59" s="254">
        <f t="shared" si="47"/>
        <v>5315764.9003339745</v>
      </c>
      <c r="AL59" s="254">
        <f t="shared" si="47"/>
        <v>5458062.5598323653</v>
      </c>
    </row>
    <row r="60" spans="1:39" x14ac:dyDescent="0.3">
      <c r="A60" s="86"/>
      <c r="B60" s="243" t="s">
        <v>399</v>
      </c>
      <c r="C60" s="244" t="s">
        <v>222</v>
      </c>
      <c r="D60" s="254">
        <f>$F$252*D28</f>
        <v>0</v>
      </c>
      <c r="E60" s="254">
        <f t="shared" ref="E60:AL60" si="48">$F$252*E28</f>
        <v>18656.578822549298</v>
      </c>
      <c r="F60" s="254">
        <f t="shared" si="48"/>
        <v>38989.658273803216</v>
      </c>
      <c r="G60" s="254">
        <f t="shared" si="48"/>
        <v>61072.046787029547</v>
      </c>
      <c r="H60" s="254">
        <f t="shared" si="48"/>
        <v>84979.187205548238</v>
      </c>
      <c r="I60" s="254">
        <f t="shared" si="48"/>
        <v>94170.761436026762</v>
      </c>
      <c r="J60" s="254">
        <f t="shared" si="48"/>
        <v>103931.20051618334</v>
      </c>
      <c r="K60" s="254">
        <f t="shared" si="48"/>
        <v>110664.42207069967</v>
      </c>
      <c r="L60" s="254">
        <f t="shared" si="48"/>
        <v>117726.91796424778</v>
      </c>
      <c r="M60" s="254">
        <f t="shared" si="48"/>
        <v>125102.68022427082</v>
      </c>
      <c r="N60" s="254">
        <f t="shared" si="48"/>
        <v>132804.57466840855</v>
      </c>
      <c r="O60" s="254">
        <f t="shared" si="48"/>
        <v>140856.21787362712</v>
      </c>
      <c r="P60" s="254">
        <f t="shared" si="48"/>
        <v>146310.82515587905</v>
      </c>
      <c r="Q60" s="254">
        <f t="shared" si="48"/>
        <v>151902.58665816102</v>
      </c>
      <c r="R60" s="254">
        <f t="shared" si="48"/>
        <v>157630.93048819335</v>
      </c>
      <c r="S60" s="254">
        <f t="shared" si="48"/>
        <v>163497.12270594935</v>
      </c>
      <c r="T60" s="254">
        <f t="shared" si="48"/>
        <v>169493.66569141808</v>
      </c>
      <c r="U60" s="254">
        <f t="shared" si="48"/>
        <v>175631.9609636614</v>
      </c>
      <c r="V60" s="254">
        <f t="shared" si="48"/>
        <v>181895.45940441525</v>
      </c>
      <c r="W60" s="254">
        <f t="shared" si="48"/>
        <v>188317.75622356165</v>
      </c>
      <c r="X60" s="254">
        <f t="shared" si="48"/>
        <v>194867.60291899912</v>
      </c>
      <c r="Y60" s="254">
        <f t="shared" si="48"/>
        <v>201563.07299292154</v>
      </c>
      <c r="Z60" s="254">
        <f t="shared" si="48"/>
        <v>208397.90096664583</v>
      </c>
      <c r="AA60" s="254">
        <f t="shared" si="48"/>
        <v>215381.76231901001</v>
      </c>
      <c r="AB60" s="254">
        <f t="shared" si="48"/>
        <v>222505.84901187971</v>
      </c>
      <c r="AC60" s="254">
        <f t="shared" si="48"/>
        <v>229804.1766526025</v>
      </c>
      <c r="AD60" s="254">
        <f t="shared" si="48"/>
        <v>237228.07583685007</v>
      </c>
      <c r="AE60" s="254">
        <f t="shared" si="48"/>
        <v>244820.00640850747</v>
      </c>
      <c r="AF60" s="254">
        <f t="shared" si="48"/>
        <v>252560.86216503143</v>
      </c>
      <c r="AG60" s="254">
        <f t="shared" si="48"/>
        <v>260466.51137048687</v>
      </c>
      <c r="AH60" s="254">
        <f t="shared" si="48"/>
        <v>268534.95827676874</v>
      </c>
      <c r="AI60" s="254">
        <f t="shared" si="48"/>
        <v>276762.17452295648</v>
      </c>
      <c r="AJ60" s="254">
        <f t="shared" si="48"/>
        <v>285160.13032565598</v>
      </c>
      <c r="AK60" s="254">
        <f t="shared" si="48"/>
        <v>292172.79248773708</v>
      </c>
      <c r="AL60" s="254">
        <f t="shared" si="48"/>
        <v>300598.9363728051</v>
      </c>
    </row>
    <row r="61" spans="1:39" x14ac:dyDescent="0.3">
      <c r="A61" s="86"/>
      <c r="B61" s="243" t="s">
        <v>401</v>
      </c>
      <c r="C61" s="244" t="s">
        <v>222</v>
      </c>
      <c r="D61" s="254">
        <f>$F$274*D31</f>
        <v>0</v>
      </c>
      <c r="E61" s="254">
        <f t="shared" ref="E61:AL61" si="49">$F$274*E31</f>
        <v>9849.4128503396369</v>
      </c>
      <c r="F61" s="254">
        <f t="shared" si="49"/>
        <v>20105.979223599174</v>
      </c>
      <c r="G61" s="254">
        <f t="shared" si="49"/>
        <v>30762.083174801486</v>
      </c>
      <c r="H61" s="254">
        <f t="shared" si="49"/>
        <v>41810.302123527123</v>
      </c>
      <c r="I61" s="254">
        <f t="shared" si="49"/>
        <v>45256.845668657697</v>
      </c>
      <c r="J61" s="254">
        <f t="shared" si="49"/>
        <v>48787.84203956405</v>
      </c>
      <c r="K61" s="254">
        <f t="shared" si="49"/>
        <v>50742.417185989834</v>
      </c>
      <c r="L61" s="254">
        <f t="shared" si="49"/>
        <v>52727.401852057592</v>
      </c>
      <c r="M61" s="254">
        <f t="shared" si="49"/>
        <v>54729.902914682629</v>
      </c>
      <c r="N61" s="254">
        <f t="shared" si="49"/>
        <v>56750.35269413302</v>
      </c>
      <c r="O61" s="254">
        <f t="shared" si="49"/>
        <v>58793.459943741502</v>
      </c>
      <c r="P61" s="254">
        <f t="shared" si="49"/>
        <v>59652.262673419827</v>
      </c>
      <c r="Q61" s="254">
        <f t="shared" si="49"/>
        <v>60494.110786072037</v>
      </c>
      <c r="R61" s="254">
        <f t="shared" si="49"/>
        <v>61317.837955102252</v>
      </c>
      <c r="S61" s="254">
        <f t="shared" si="49"/>
        <v>62123.079287125009</v>
      </c>
      <c r="T61" s="254">
        <f t="shared" si="49"/>
        <v>62906.250334068827</v>
      </c>
      <c r="U61" s="254">
        <f t="shared" si="49"/>
        <v>63670.951926925729</v>
      </c>
      <c r="V61" s="254">
        <f t="shared" si="49"/>
        <v>64410.566191969192</v>
      </c>
      <c r="W61" s="254">
        <f t="shared" si="49"/>
        <v>65136.436566952121</v>
      </c>
      <c r="X61" s="254">
        <f t="shared" si="49"/>
        <v>65836.969796886988</v>
      </c>
      <c r="Y61" s="254">
        <f t="shared" si="49"/>
        <v>66517.915030571588</v>
      </c>
      <c r="Z61" s="254">
        <f t="shared" si="49"/>
        <v>67176.668740933354</v>
      </c>
      <c r="AA61" s="254">
        <f t="shared" si="49"/>
        <v>67815.897783213368</v>
      </c>
      <c r="AB61" s="254">
        <f t="shared" si="49"/>
        <v>68432.355222767394</v>
      </c>
      <c r="AC61" s="254">
        <f t="shared" si="49"/>
        <v>69035.971263777436</v>
      </c>
      <c r="AD61" s="254">
        <f t="shared" si="49"/>
        <v>69611.513136625086</v>
      </c>
      <c r="AE61" s="254">
        <f t="shared" si="49"/>
        <v>70171.27358101595</v>
      </c>
      <c r="AF61" s="254">
        <f t="shared" si="49"/>
        <v>70709.207779936987</v>
      </c>
      <c r="AG61" s="254">
        <f t="shared" si="49"/>
        <v>71229.39890375406</v>
      </c>
      <c r="AH61" s="254">
        <f t="shared" si="49"/>
        <v>71730.801427954968</v>
      </c>
      <c r="AI61" s="254">
        <f t="shared" si="49"/>
        <v>72211.946651200065</v>
      </c>
      <c r="AJ61" s="254">
        <f t="shared" si="49"/>
        <v>72675.59383398197</v>
      </c>
      <c r="AK61" s="254">
        <f t="shared" si="49"/>
        <v>72733.924617244513</v>
      </c>
      <c r="AL61" s="254">
        <f t="shared" si="49"/>
        <v>73094.07195036039</v>
      </c>
    </row>
    <row r="62" spans="1:39" x14ac:dyDescent="0.3">
      <c r="A62" s="86"/>
      <c r="B62" s="243" t="s">
        <v>410</v>
      </c>
      <c r="C62" s="244" t="s">
        <v>222</v>
      </c>
      <c r="D62" s="254">
        <f>$F$179*(D33)</f>
        <v>0</v>
      </c>
      <c r="E62" s="254">
        <f t="shared" ref="E62:AL62" si="50">$F$179*(E33)</f>
        <v>34876.568735041932</v>
      </c>
      <c r="F62" s="254">
        <f t="shared" si="50"/>
        <v>72419.591485008248</v>
      </c>
      <c r="G62" s="254">
        <f t="shared" si="50"/>
        <v>112714.32527964078</v>
      </c>
      <c r="H62" s="254">
        <f t="shared" si="50"/>
        <v>155849.0658370879</v>
      </c>
      <c r="I62" s="254">
        <f t="shared" si="50"/>
        <v>171627.77971450886</v>
      </c>
      <c r="J62" s="254">
        <f t="shared" si="50"/>
        <v>188244.40951740317</v>
      </c>
      <c r="K62" s="254">
        <f t="shared" si="50"/>
        <v>199211.06692030065</v>
      </c>
      <c r="L62" s="254">
        <f t="shared" si="50"/>
        <v>210637.19114289529</v>
      </c>
      <c r="M62" s="254">
        <f t="shared" si="50"/>
        <v>222486.7534921318</v>
      </c>
      <c r="N62" s="254">
        <f t="shared" si="50"/>
        <v>234775.70427374827</v>
      </c>
      <c r="O62" s="254">
        <f t="shared" si="50"/>
        <v>247538.58290894877</v>
      </c>
      <c r="P62" s="254">
        <f t="shared" si="50"/>
        <v>255619.60884675116</v>
      </c>
      <c r="Q62" s="254">
        <f t="shared" si="50"/>
        <v>263850.33567962691</v>
      </c>
      <c r="R62" s="254">
        <f t="shared" si="50"/>
        <v>272227.8291749254</v>
      </c>
      <c r="S62" s="254">
        <f t="shared" si="50"/>
        <v>280752.41024023987</v>
      </c>
      <c r="T62" s="254">
        <f t="shared" si="50"/>
        <v>289409.4606495701</v>
      </c>
      <c r="U62" s="254">
        <f t="shared" si="50"/>
        <v>298216.81075852795</v>
      </c>
      <c r="V62" s="254">
        <f t="shared" si="50"/>
        <v>307144.73009072535</v>
      </c>
      <c r="W62" s="254">
        <f t="shared" si="50"/>
        <v>316248.38100248494</v>
      </c>
      <c r="X62" s="254">
        <f t="shared" si="50"/>
        <v>325473.45430013776</v>
      </c>
      <c r="Y62" s="254">
        <f t="shared" si="50"/>
        <v>334848.7802013334</v>
      </c>
      <c r="Z62" s="254">
        <f t="shared" si="50"/>
        <v>344362.38599483971</v>
      </c>
      <c r="AA62" s="254">
        <f t="shared" si="50"/>
        <v>354028.78638409596</v>
      </c>
      <c r="AB62" s="254">
        <f t="shared" si="50"/>
        <v>363832.00082119851</v>
      </c>
      <c r="AC62" s="254">
        <f t="shared" si="50"/>
        <v>373826.07357604383</v>
      </c>
      <c r="AD62" s="254">
        <f t="shared" si="50"/>
        <v>383930.15695073421</v>
      </c>
      <c r="AE62" s="254">
        <f t="shared" si="50"/>
        <v>394211.81553920906</v>
      </c>
      <c r="AF62" s="254">
        <f t="shared" si="50"/>
        <v>404638.64850504772</v>
      </c>
      <c r="AG62" s="254">
        <f t="shared" si="50"/>
        <v>415234.69029132579</v>
      </c>
      <c r="AH62" s="254">
        <f t="shared" si="50"/>
        <v>425995.19559843867</v>
      </c>
      <c r="AI62" s="254">
        <f t="shared" si="50"/>
        <v>436912.33734492614</v>
      </c>
      <c r="AJ62" s="254">
        <f t="shared" si="50"/>
        <v>448003.60769977624</v>
      </c>
      <c r="AK62" s="254">
        <f t="shared" si="50"/>
        <v>456834.50479852193</v>
      </c>
      <c r="AL62" s="254">
        <f t="shared" si="50"/>
        <v>467793.44720020692</v>
      </c>
    </row>
    <row r="63" spans="1:39" s="46" customFormat="1" x14ac:dyDescent="0.3">
      <c r="B63" s="248" t="s">
        <v>404</v>
      </c>
      <c r="C63" s="249"/>
      <c r="D63" s="787">
        <f>SUM(D53:D62)</f>
        <v>1129195.6193772724</v>
      </c>
      <c r="E63" s="787">
        <f t="shared" ref="E63:AG63" si="51">SUM(E53:E62)</f>
        <v>1277418.4209978471</v>
      </c>
      <c r="F63" s="787">
        <f t="shared" si="51"/>
        <v>2159277.4336276217</v>
      </c>
      <c r="G63" s="787">
        <f t="shared" si="51"/>
        <v>2710227.0722951214</v>
      </c>
      <c r="H63" s="787">
        <f t="shared" si="51"/>
        <v>3301014.5995351803</v>
      </c>
      <c r="I63" s="787">
        <f t="shared" si="51"/>
        <v>3549880.55880713</v>
      </c>
      <c r="J63" s="787">
        <f t="shared" si="51"/>
        <v>3811253.288730335</v>
      </c>
      <c r="K63" s="787">
        <f t="shared" si="51"/>
        <v>4002490.9577160431</v>
      </c>
      <c r="L63" s="787">
        <f t="shared" si="51"/>
        <v>4201257.5525459908</v>
      </c>
      <c r="M63" s="787">
        <f t="shared" si="51"/>
        <v>4406800.6782614635</v>
      </c>
      <c r="N63" s="787">
        <f t="shared" si="51"/>
        <v>4619415.7839006875</v>
      </c>
      <c r="O63" s="787">
        <f t="shared" si="51"/>
        <v>4839757.7914307266</v>
      </c>
      <c r="P63" s="787">
        <f t="shared" si="51"/>
        <v>5000829.4463471211</v>
      </c>
      <c r="Q63" s="787">
        <f t="shared" si="51"/>
        <v>5165016.5619795928</v>
      </c>
      <c r="R63" s="787">
        <f t="shared" si="51"/>
        <v>5332263.7536311019</v>
      </c>
      <c r="S63" s="787">
        <f t="shared" si="51"/>
        <v>5502579.0014831331</v>
      </c>
      <c r="T63" s="787">
        <f t="shared" si="51"/>
        <v>5675677.0263194246</v>
      </c>
      <c r="U63" s="787">
        <f t="shared" si="51"/>
        <v>5851908.2937834356</v>
      </c>
      <c r="V63" s="787">
        <f t="shared" si="51"/>
        <v>6030689.956593547</v>
      </c>
      <c r="W63" s="787">
        <f t="shared" si="51"/>
        <v>6213105.2991157323</v>
      </c>
      <c r="X63" s="787">
        <f t="shared" si="51"/>
        <v>6398087.8697595373</v>
      </c>
      <c r="Y63" s="787">
        <f t="shared" si="51"/>
        <v>6586203.6827559015</v>
      </c>
      <c r="Z63" s="787">
        <f t="shared" si="51"/>
        <v>6777216.7207017923</v>
      </c>
      <c r="AA63" s="787">
        <f t="shared" si="51"/>
        <v>6971411.6773864115</v>
      </c>
      <c r="AB63" s="787">
        <f t="shared" si="51"/>
        <v>7168472.7199492687</v>
      </c>
      <c r="AC63" s="787">
        <f t="shared" si="51"/>
        <v>7369463.4169151634</v>
      </c>
      <c r="AD63" s="787">
        <f t="shared" si="51"/>
        <v>7572788.6714730971</v>
      </c>
      <c r="AE63" s="787">
        <f t="shared" si="51"/>
        <v>7779778.4870091053</v>
      </c>
      <c r="AF63" s="787">
        <f t="shared" si="51"/>
        <v>7989791.5184839265</v>
      </c>
      <c r="AG63" s="787">
        <f t="shared" si="51"/>
        <v>8203299.6321225585</v>
      </c>
      <c r="AH63" s="787">
        <f t="shared" ref="AH63:AL63" si="52">SUM(AH53:AH62)</f>
        <v>8420206.4631002508</v>
      </c>
      <c r="AI63" s="787">
        <f t="shared" si="52"/>
        <v>8640354.1388069671</v>
      </c>
      <c r="AJ63" s="787">
        <f t="shared" si="52"/>
        <v>8864085.0698777921</v>
      </c>
      <c r="AK63" s="787">
        <f t="shared" si="52"/>
        <v>9043203.8702285048</v>
      </c>
      <c r="AL63" s="787">
        <f t="shared" si="52"/>
        <v>9264549.4649123307</v>
      </c>
      <c r="AM63" s="23"/>
    </row>
    <row r="66" spans="2:9" x14ac:dyDescent="0.3">
      <c r="B66" t="s">
        <v>882</v>
      </c>
      <c r="H66" s="833" t="s">
        <v>932</v>
      </c>
      <c r="I66" s="834">
        <v>1.0973999999999999</v>
      </c>
    </row>
    <row r="67" spans="2:9" ht="15" thickBot="1" x14ac:dyDescent="0.35">
      <c r="G67" s="429"/>
      <c r="I67" s="14"/>
    </row>
    <row r="68" spans="2:9" s="397" customFormat="1" ht="13.8" x14ac:dyDescent="0.3">
      <c r="B68" s="398" t="s">
        <v>594</v>
      </c>
      <c r="C68" s="1123" t="s">
        <v>569</v>
      </c>
      <c r="D68" s="1123"/>
      <c r="E68" s="753" t="s">
        <v>570</v>
      </c>
      <c r="F68" s="754">
        <f>ROUND(F74+F84+F96,2)</f>
        <v>284.85000000000002</v>
      </c>
      <c r="G68" s="430"/>
      <c r="H68" s="753" t="s">
        <v>934</v>
      </c>
      <c r="I68" s="753" t="s">
        <v>933</v>
      </c>
    </row>
    <row r="69" spans="2:9" s="397" customFormat="1" ht="13.8" x14ac:dyDescent="0.3">
      <c r="B69" s="399" t="s">
        <v>571</v>
      </c>
      <c r="C69" s="400" t="s">
        <v>572</v>
      </c>
      <c r="D69" s="400" t="s">
        <v>216</v>
      </c>
      <c r="E69" s="401" t="s">
        <v>573</v>
      </c>
      <c r="F69" s="393" t="s">
        <v>574</v>
      </c>
      <c r="H69" s="401" t="s">
        <v>573</v>
      </c>
      <c r="I69" s="840"/>
    </row>
    <row r="70" spans="2:9" s="397" customFormat="1" ht="27.6" x14ac:dyDescent="0.3">
      <c r="B70" s="402" t="s">
        <v>576</v>
      </c>
      <c r="C70" s="403">
        <v>1.76</v>
      </c>
      <c r="D70" s="404" t="s">
        <v>575</v>
      </c>
      <c r="E70" s="405">
        <f>I70</f>
        <v>5.6</v>
      </c>
      <c r="F70" s="394">
        <f t="shared" ref="F70:F71" si="53">ROUND(C70*E70,2)</f>
        <v>9.86</v>
      </c>
      <c r="G70" s="430"/>
      <c r="H70" s="405">
        <v>5.1100000000000003</v>
      </c>
      <c r="I70" s="839">
        <f>TRUNC(H70*$I$66,2)</f>
        <v>5.6</v>
      </c>
    </row>
    <row r="71" spans="2:9" s="397" customFormat="1" ht="13.8" x14ac:dyDescent="0.3">
      <c r="B71" s="402" t="s">
        <v>577</v>
      </c>
      <c r="C71" s="403">
        <v>2.11</v>
      </c>
      <c r="D71" s="404" t="s">
        <v>578</v>
      </c>
      <c r="E71" s="405">
        <f>I71</f>
        <v>8.06</v>
      </c>
      <c r="F71" s="394">
        <f t="shared" si="53"/>
        <v>17.010000000000002</v>
      </c>
      <c r="G71" s="430"/>
      <c r="H71" s="405">
        <v>7.35</v>
      </c>
      <c r="I71" s="839">
        <f t="shared" ref="I71:I133" si="54">TRUNC(H71*$I$66,2)</f>
        <v>8.06</v>
      </c>
    </row>
    <row r="72" spans="2:9" s="397" customFormat="1" ht="13.2" customHeight="1" x14ac:dyDescent="0.3">
      <c r="B72" s="747" t="s">
        <v>593</v>
      </c>
      <c r="C72" s="748">
        <v>1.3295999999999999</v>
      </c>
      <c r="D72" s="404"/>
      <c r="E72" s="406"/>
      <c r="F72" s="755">
        <f>ROUND(SUM(F70:F71)*C72,2)</f>
        <v>35.729999999999997</v>
      </c>
      <c r="G72" s="430"/>
      <c r="H72" s="406"/>
      <c r="I72" s="840"/>
    </row>
    <row r="73" spans="2:9" s="397" customFormat="1" ht="13.8" x14ac:dyDescent="0.3">
      <c r="B73" s="747" t="s">
        <v>579</v>
      </c>
      <c r="C73" s="748">
        <v>0.22500000000000001</v>
      </c>
      <c r="D73" s="407"/>
      <c r="E73" s="406"/>
      <c r="F73" s="755">
        <f>ROUND(SUM(F70:F72)*C73,2)</f>
        <v>14.09</v>
      </c>
      <c r="G73" s="430"/>
      <c r="H73" s="406"/>
      <c r="I73" s="840"/>
    </row>
    <row r="74" spans="2:9" s="397" customFormat="1" ht="13.8" x14ac:dyDescent="0.3">
      <c r="B74" s="749" t="s">
        <v>580</v>
      </c>
      <c r="C74" s="408"/>
      <c r="D74" s="750"/>
      <c r="E74" s="751"/>
      <c r="F74" s="752">
        <f>ROUND(SUM(F70:F73),2)</f>
        <v>76.69</v>
      </c>
      <c r="G74" s="430"/>
      <c r="H74" s="430"/>
      <c r="I74" s="841"/>
    </row>
    <row r="75" spans="2:9" s="397" customFormat="1" ht="13.8" x14ac:dyDescent="0.3">
      <c r="B75" s="399" t="s">
        <v>581</v>
      </c>
      <c r="C75" s="400" t="s">
        <v>572</v>
      </c>
      <c r="D75" s="400" t="s">
        <v>216</v>
      </c>
      <c r="E75" s="401" t="s">
        <v>573</v>
      </c>
      <c r="F75" s="393" t="s">
        <v>574</v>
      </c>
      <c r="G75" s="430"/>
      <c r="H75" s="401" t="s">
        <v>573</v>
      </c>
      <c r="I75" s="840"/>
    </row>
    <row r="76" spans="2:9" s="397" customFormat="1" ht="13.8" x14ac:dyDescent="0.3">
      <c r="B76" s="402" t="s">
        <v>582</v>
      </c>
      <c r="C76" s="403">
        <v>0.48249999999999915</v>
      </c>
      <c r="D76" s="404" t="s">
        <v>583</v>
      </c>
      <c r="E76" s="405">
        <f>I76</f>
        <v>6.69</v>
      </c>
      <c r="F76" s="394">
        <f t="shared" ref="F76:F82" si="55">ROUND(C76*E76,2)</f>
        <v>3.23</v>
      </c>
      <c r="G76" s="430"/>
      <c r="H76" s="405">
        <v>6.1</v>
      </c>
      <c r="I76" s="839">
        <f t="shared" si="54"/>
        <v>6.69</v>
      </c>
    </row>
    <row r="77" spans="2:9" s="397" customFormat="1" ht="13.8" x14ac:dyDescent="0.3">
      <c r="B77" s="402" t="s">
        <v>584</v>
      </c>
      <c r="C77" s="403">
        <v>0.15</v>
      </c>
      <c r="D77" s="404" t="s">
        <v>583</v>
      </c>
      <c r="E77" s="405">
        <f t="shared" ref="E77:E82" si="56">I77</f>
        <v>76.45</v>
      </c>
      <c r="F77" s="394">
        <f t="shared" si="55"/>
        <v>11.47</v>
      </c>
      <c r="G77" s="430"/>
      <c r="H77" s="405">
        <v>69.67</v>
      </c>
      <c r="I77" s="839">
        <f t="shared" si="54"/>
        <v>76.45</v>
      </c>
    </row>
    <row r="78" spans="2:9" s="397" customFormat="1" ht="27.6" x14ac:dyDescent="0.3">
      <c r="B78" s="402" t="s">
        <v>576</v>
      </c>
      <c r="C78" s="403">
        <v>1.76</v>
      </c>
      <c r="D78" s="404" t="s">
        <v>575</v>
      </c>
      <c r="E78" s="405">
        <f t="shared" si="56"/>
        <v>3.52</v>
      </c>
      <c r="F78" s="394">
        <f t="shared" si="55"/>
        <v>6.2</v>
      </c>
      <c r="G78" s="430"/>
      <c r="H78" s="405">
        <v>3.21</v>
      </c>
      <c r="I78" s="839">
        <f t="shared" si="54"/>
        <v>3.52</v>
      </c>
    </row>
    <row r="79" spans="2:9" s="397" customFormat="1" ht="27.6" x14ac:dyDescent="0.3">
      <c r="B79" s="402" t="s">
        <v>606</v>
      </c>
      <c r="C79" s="403">
        <v>2.46</v>
      </c>
      <c r="D79" s="404" t="s">
        <v>578</v>
      </c>
      <c r="E79" s="405">
        <f t="shared" si="56"/>
        <v>18.16</v>
      </c>
      <c r="F79" s="394">
        <f t="shared" si="55"/>
        <v>44.67</v>
      </c>
      <c r="G79" s="430"/>
      <c r="H79" s="405">
        <v>16.55</v>
      </c>
      <c r="I79" s="839">
        <f t="shared" si="54"/>
        <v>18.16</v>
      </c>
    </row>
    <row r="80" spans="2:9" s="397" customFormat="1" ht="13.8" x14ac:dyDescent="0.3">
      <c r="B80" s="402" t="s">
        <v>577</v>
      </c>
      <c r="C80" s="403">
        <v>2.11</v>
      </c>
      <c r="D80" s="404" t="s">
        <v>578</v>
      </c>
      <c r="E80" s="405">
        <f t="shared" si="56"/>
        <v>0.43</v>
      </c>
      <c r="F80" s="394">
        <f t="shared" si="55"/>
        <v>0.91</v>
      </c>
      <c r="G80" s="430"/>
      <c r="H80" s="405">
        <v>0.4</v>
      </c>
      <c r="I80" s="839">
        <f t="shared" si="54"/>
        <v>0.43</v>
      </c>
    </row>
    <row r="81" spans="2:9" s="397" customFormat="1" ht="13.8" x14ac:dyDescent="0.3">
      <c r="B81" s="402" t="s">
        <v>607</v>
      </c>
      <c r="C81" s="403">
        <v>2.11</v>
      </c>
      <c r="D81" s="404" t="s">
        <v>578</v>
      </c>
      <c r="E81" s="405">
        <f t="shared" si="56"/>
        <v>11.86</v>
      </c>
      <c r="F81" s="394">
        <f t="shared" si="55"/>
        <v>25.02</v>
      </c>
      <c r="G81" s="430"/>
      <c r="H81" s="405">
        <v>10.81</v>
      </c>
      <c r="I81" s="839">
        <f t="shared" si="54"/>
        <v>11.86</v>
      </c>
    </row>
    <row r="82" spans="2:9" s="397" customFormat="1" ht="13.8" x14ac:dyDescent="0.3">
      <c r="B82" s="402" t="s">
        <v>585</v>
      </c>
      <c r="C82" s="403">
        <v>6</v>
      </c>
      <c r="D82" s="404" t="s">
        <v>126</v>
      </c>
      <c r="E82" s="405">
        <f t="shared" si="56"/>
        <v>0.32</v>
      </c>
      <c r="F82" s="394">
        <f t="shared" si="55"/>
        <v>1.92</v>
      </c>
      <c r="G82" s="430"/>
      <c r="H82" s="405">
        <v>0.3</v>
      </c>
      <c r="I82" s="839">
        <f t="shared" si="54"/>
        <v>0.32</v>
      </c>
    </row>
    <row r="83" spans="2:9" s="397" customFormat="1" ht="13.8" x14ac:dyDescent="0.3">
      <c r="B83" s="747" t="s">
        <v>579</v>
      </c>
      <c r="C83" s="748">
        <v>0.22500000000000001</v>
      </c>
      <c r="D83" s="404"/>
      <c r="E83" s="406"/>
      <c r="F83" s="755">
        <f>ROUND(SUM(F76:F82)*C83,2)</f>
        <v>21.02</v>
      </c>
      <c r="G83" s="430"/>
      <c r="H83" s="406"/>
      <c r="I83" s="840"/>
    </row>
    <row r="84" spans="2:9" s="397" customFormat="1" ht="13.8" x14ac:dyDescent="0.3">
      <c r="B84" s="749" t="s">
        <v>586</v>
      </c>
      <c r="C84" s="409"/>
      <c r="D84" s="410"/>
      <c r="E84" s="411"/>
      <c r="F84" s="752">
        <f>ROUND(SUM(F76:F83),2)</f>
        <v>114.44</v>
      </c>
      <c r="G84" s="430"/>
      <c r="H84" s="430"/>
      <c r="I84" s="841"/>
    </row>
    <row r="85" spans="2:9" s="397" customFormat="1" ht="13.8" x14ac:dyDescent="0.3">
      <c r="B85" s="399" t="s">
        <v>587</v>
      </c>
      <c r="C85" s="400" t="s">
        <v>572</v>
      </c>
      <c r="D85" s="400" t="s">
        <v>216</v>
      </c>
      <c r="E85" s="401" t="s">
        <v>573</v>
      </c>
      <c r="F85" s="393" t="s">
        <v>574</v>
      </c>
      <c r="G85" s="430"/>
      <c r="H85" s="401" t="s">
        <v>573</v>
      </c>
      <c r="I85" s="840"/>
    </row>
    <row r="86" spans="2:9" s="397" customFormat="1" ht="27.6" x14ac:dyDescent="0.3">
      <c r="B86" s="402" t="s">
        <v>576</v>
      </c>
      <c r="C86" s="403">
        <v>1.76</v>
      </c>
      <c r="D86" s="404" t="s">
        <v>575</v>
      </c>
      <c r="E86" s="405">
        <f>I86</f>
        <v>10.58</v>
      </c>
      <c r="F86" s="394">
        <f t="shared" ref="F86:F94" si="57">ROUND(C86*E86,2)</f>
        <v>18.62</v>
      </c>
      <c r="G86" s="430"/>
      <c r="H86" s="405">
        <v>9.65</v>
      </c>
      <c r="I86" s="839">
        <f t="shared" si="54"/>
        <v>10.58</v>
      </c>
    </row>
    <row r="87" spans="2:9" s="397" customFormat="1" ht="13.8" x14ac:dyDescent="0.3">
      <c r="B87" s="402" t="s">
        <v>607</v>
      </c>
      <c r="C87" s="403">
        <v>2.11</v>
      </c>
      <c r="D87" s="404" t="s">
        <v>578</v>
      </c>
      <c r="E87" s="405">
        <f t="shared" ref="E87:E94" si="58">I87</f>
        <v>4.4400000000000004</v>
      </c>
      <c r="F87" s="394">
        <f t="shared" si="57"/>
        <v>9.3699999999999992</v>
      </c>
      <c r="G87" s="430"/>
      <c r="H87" s="405">
        <v>4.05</v>
      </c>
      <c r="I87" s="839">
        <f t="shared" si="54"/>
        <v>4.4400000000000004</v>
      </c>
    </row>
    <row r="88" spans="2:9" s="397" customFormat="1" ht="13.8" x14ac:dyDescent="0.3">
      <c r="B88" s="402" t="s">
        <v>585</v>
      </c>
      <c r="C88" s="403">
        <v>6</v>
      </c>
      <c r="D88" s="404" t="s">
        <v>126</v>
      </c>
      <c r="E88" s="405">
        <f t="shared" si="58"/>
        <v>1.3</v>
      </c>
      <c r="F88" s="394">
        <f t="shared" si="57"/>
        <v>7.8</v>
      </c>
      <c r="G88" s="430"/>
      <c r="H88" s="405">
        <v>1.19</v>
      </c>
      <c r="I88" s="839">
        <f t="shared" si="54"/>
        <v>1.3</v>
      </c>
    </row>
    <row r="89" spans="2:9" s="397" customFormat="1" ht="13.8" x14ac:dyDescent="0.3">
      <c r="B89" s="402" t="s">
        <v>588</v>
      </c>
      <c r="C89" s="403">
        <v>0.5</v>
      </c>
      <c r="D89" s="404" t="s">
        <v>570</v>
      </c>
      <c r="E89" s="405">
        <f t="shared" si="58"/>
        <v>10.5</v>
      </c>
      <c r="F89" s="394">
        <f t="shared" si="57"/>
        <v>5.25</v>
      </c>
      <c r="G89" s="430"/>
      <c r="H89" s="405">
        <v>9.57</v>
      </c>
      <c r="I89" s="839">
        <f t="shared" si="54"/>
        <v>10.5</v>
      </c>
    </row>
    <row r="90" spans="2:9" s="397" customFormat="1" ht="13.8" x14ac:dyDescent="0.3">
      <c r="B90" s="402" t="s">
        <v>589</v>
      </c>
      <c r="C90" s="403">
        <v>0.3</v>
      </c>
      <c r="D90" s="404" t="s">
        <v>570</v>
      </c>
      <c r="E90" s="405">
        <f t="shared" si="58"/>
        <v>22.23</v>
      </c>
      <c r="F90" s="394">
        <f t="shared" si="57"/>
        <v>6.67</v>
      </c>
      <c r="G90" s="430"/>
      <c r="H90" s="405">
        <v>20.260000000000002</v>
      </c>
      <c r="I90" s="839">
        <f t="shared" si="54"/>
        <v>22.23</v>
      </c>
    </row>
    <row r="91" spans="2:9" s="397" customFormat="1" ht="13.8" x14ac:dyDescent="0.3">
      <c r="B91" s="402" t="s">
        <v>621</v>
      </c>
      <c r="C91" s="403">
        <v>0.2</v>
      </c>
      <c r="D91" s="404" t="s">
        <v>570</v>
      </c>
      <c r="E91" s="405">
        <f t="shared" si="58"/>
        <v>40.31</v>
      </c>
      <c r="F91" s="394">
        <f t="shared" si="57"/>
        <v>8.06</v>
      </c>
      <c r="G91" s="430"/>
      <c r="H91" s="405">
        <v>36.74</v>
      </c>
      <c r="I91" s="839">
        <f t="shared" si="54"/>
        <v>40.31</v>
      </c>
    </row>
    <row r="92" spans="2:9" s="397" customFormat="1" ht="13.8" x14ac:dyDescent="0.3">
      <c r="B92" s="402" t="s">
        <v>590</v>
      </c>
      <c r="C92" s="403">
        <v>0.5</v>
      </c>
      <c r="D92" s="404" t="s">
        <v>126</v>
      </c>
      <c r="E92" s="405">
        <f t="shared" si="58"/>
        <v>10.98</v>
      </c>
      <c r="F92" s="394">
        <f t="shared" si="57"/>
        <v>5.49</v>
      </c>
      <c r="G92" s="430"/>
      <c r="H92" s="405">
        <v>10.01</v>
      </c>
      <c r="I92" s="839">
        <f t="shared" si="54"/>
        <v>10.98</v>
      </c>
    </row>
    <row r="93" spans="2:9" s="397" customFormat="1" ht="13.8" x14ac:dyDescent="0.3">
      <c r="B93" s="402" t="s">
        <v>591</v>
      </c>
      <c r="C93" s="403">
        <v>0.3</v>
      </c>
      <c r="D93" s="404" t="s">
        <v>126</v>
      </c>
      <c r="E93" s="405">
        <f t="shared" si="58"/>
        <v>26.18</v>
      </c>
      <c r="F93" s="394">
        <f t="shared" si="57"/>
        <v>7.85</v>
      </c>
      <c r="G93" s="430"/>
      <c r="H93" s="405">
        <v>23.86</v>
      </c>
      <c r="I93" s="839">
        <f t="shared" si="54"/>
        <v>26.18</v>
      </c>
    </row>
    <row r="94" spans="2:9" s="397" customFormat="1" ht="13.8" x14ac:dyDescent="0.3">
      <c r="B94" s="402" t="s">
        <v>622</v>
      </c>
      <c r="C94" s="403">
        <v>0.2</v>
      </c>
      <c r="D94" s="404" t="s">
        <v>126</v>
      </c>
      <c r="E94" s="405">
        <f t="shared" si="58"/>
        <v>37</v>
      </c>
      <c r="F94" s="394">
        <f t="shared" si="57"/>
        <v>7.4</v>
      </c>
      <c r="G94" s="430"/>
      <c r="H94" s="405">
        <v>33.72</v>
      </c>
      <c r="I94" s="839">
        <f t="shared" si="54"/>
        <v>37</v>
      </c>
    </row>
    <row r="95" spans="2:9" s="397" customFormat="1" ht="13.8" x14ac:dyDescent="0.3">
      <c r="B95" s="747" t="s">
        <v>579</v>
      </c>
      <c r="C95" s="756">
        <v>0.22500000000000001</v>
      </c>
      <c r="D95" s="404"/>
      <c r="E95" s="406"/>
      <c r="F95" s="755">
        <f>ROUND(SUM(F86:F94)*C95,2)</f>
        <v>17.21</v>
      </c>
      <c r="G95" s="430"/>
      <c r="H95" s="406"/>
      <c r="I95" s="840"/>
    </row>
    <row r="96" spans="2:9" s="397" customFormat="1" thickBot="1" x14ac:dyDescent="0.35">
      <c r="B96" s="757" t="s">
        <v>592</v>
      </c>
      <c r="C96" s="758"/>
      <c r="D96" s="395"/>
      <c r="E96" s="396"/>
      <c r="F96" s="759">
        <f>ROUND(SUM(F86:F95),2)</f>
        <v>93.72</v>
      </c>
      <c r="G96" s="430"/>
      <c r="H96" s="430"/>
      <c r="I96" s="841"/>
    </row>
    <row r="97" spans="2:9" ht="15" thickBot="1" x14ac:dyDescent="0.35">
      <c r="B97" s="288"/>
      <c r="C97" s="288"/>
      <c r="D97" s="288"/>
      <c r="E97" s="288"/>
      <c r="F97" s="288"/>
      <c r="G97" s="430"/>
      <c r="H97" s="288"/>
      <c r="I97" s="840">
        <f t="shared" si="54"/>
        <v>0</v>
      </c>
    </row>
    <row r="98" spans="2:9" x14ac:dyDescent="0.3">
      <c r="B98" s="398" t="s">
        <v>405</v>
      </c>
      <c r="C98" s="1123" t="s">
        <v>569</v>
      </c>
      <c r="D98" s="1123"/>
      <c r="E98" s="753" t="s">
        <v>570</v>
      </c>
      <c r="F98" s="754">
        <f>ROUND(F104+F112+F122,2)</f>
        <v>204.41</v>
      </c>
      <c r="G98" s="430"/>
      <c r="H98" s="753" t="s">
        <v>934</v>
      </c>
      <c r="I98" s="753" t="s">
        <v>933</v>
      </c>
    </row>
    <row r="99" spans="2:9" x14ac:dyDescent="0.3">
      <c r="B99" s="399" t="s">
        <v>571</v>
      </c>
      <c r="C99" s="400" t="s">
        <v>572</v>
      </c>
      <c r="D99" s="400" t="s">
        <v>216</v>
      </c>
      <c r="E99" s="401" t="s">
        <v>573</v>
      </c>
      <c r="F99" s="393" t="s">
        <v>574</v>
      </c>
      <c r="G99" s="430"/>
      <c r="H99" s="401" t="s">
        <v>573</v>
      </c>
      <c r="I99" s="840"/>
    </row>
    <row r="100" spans="2:9" ht="27.6" x14ac:dyDescent="0.3">
      <c r="B100" s="402" t="s">
        <v>576</v>
      </c>
      <c r="C100" s="403">
        <v>1</v>
      </c>
      <c r="D100" s="404" t="s">
        <v>575</v>
      </c>
      <c r="E100" s="405">
        <f>I100</f>
        <v>5.6</v>
      </c>
      <c r="F100" s="394">
        <f t="shared" ref="F100:F101" si="59">ROUND(C100*E100,2)</f>
        <v>5.6</v>
      </c>
      <c r="G100" s="430"/>
      <c r="H100" s="405">
        <v>5.1100000000000003</v>
      </c>
      <c r="I100" s="839">
        <f t="shared" si="54"/>
        <v>5.6</v>
      </c>
    </row>
    <row r="101" spans="2:9" x14ac:dyDescent="0.3">
      <c r="B101" s="402" t="s">
        <v>577</v>
      </c>
      <c r="C101" s="403">
        <v>1</v>
      </c>
      <c r="D101" s="404" t="s">
        <v>578</v>
      </c>
      <c r="E101" s="405">
        <f>I101</f>
        <v>8.06</v>
      </c>
      <c r="F101" s="394">
        <f t="shared" si="59"/>
        <v>8.06</v>
      </c>
      <c r="G101" s="430"/>
      <c r="H101" s="405">
        <v>7.35</v>
      </c>
      <c r="I101" s="839">
        <f t="shared" si="54"/>
        <v>8.06</v>
      </c>
    </row>
    <row r="102" spans="2:9" x14ac:dyDescent="0.3">
      <c r="B102" s="747" t="s">
        <v>593</v>
      </c>
      <c r="C102" s="748">
        <v>1.3295999999999999</v>
      </c>
      <c r="D102" s="404"/>
      <c r="E102" s="406"/>
      <c r="F102" s="755">
        <f>ROUND(SUM(F100:F101)*C102,2)</f>
        <v>18.16</v>
      </c>
      <c r="G102" s="430"/>
      <c r="H102" s="406"/>
      <c r="I102" s="840"/>
    </row>
    <row r="103" spans="2:9" x14ac:dyDescent="0.3">
      <c r="B103" s="747" t="s">
        <v>579</v>
      </c>
      <c r="C103" s="748">
        <v>0.22500000000000001</v>
      </c>
      <c r="D103" s="407"/>
      <c r="E103" s="406"/>
      <c r="F103" s="755">
        <f>ROUND(SUM(F100:F102)*C103,2)</f>
        <v>7.16</v>
      </c>
      <c r="G103" s="430"/>
      <c r="H103" s="406"/>
      <c r="I103" s="840"/>
    </row>
    <row r="104" spans="2:9" x14ac:dyDescent="0.3">
      <c r="B104" s="749" t="s">
        <v>580</v>
      </c>
      <c r="C104" s="408"/>
      <c r="D104" s="750"/>
      <c r="E104" s="751"/>
      <c r="F104" s="752">
        <f>ROUND(SUM(F100:F103),2)</f>
        <v>38.979999999999997</v>
      </c>
      <c r="G104" s="430"/>
      <c r="H104" s="430"/>
      <c r="I104" s="841"/>
    </row>
    <row r="105" spans="2:9" x14ac:dyDescent="0.3">
      <c r="B105" s="399" t="s">
        <v>581</v>
      </c>
      <c r="C105" s="400" t="s">
        <v>572</v>
      </c>
      <c r="D105" s="400" t="s">
        <v>216</v>
      </c>
      <c r="E105" s="401" t="s">
        <v>573</v>
      </c>
      <c r="F105" s="393" t="s">
        <v>574</v>
      </c>
      <c r="G105" s="430"/>
      <c r="H105" s="401" t="s">
        <v>573</v>
      </c>
      <c r="I105" s="840"/>
    </row>
    <row r="106" spans="2:9" ht="27.6" x14ac:dyDescent="0.3">
      <c r="B106" s="402" t="s">
        <v>576</v>
      </c>
      <c r="C106" s="403">
        <v>1</v>
      </c>
      <c r="D106" s="404" t="s">
        <v>575</v>
      </c>
      <c r="E106" s="405">
        <f>I106</f>
        <v>3.52</v>
      </c>
      <c r="F106" s="394">
        <f t="shared" ref="F106:F110" si="60">ROUND(C106*E106,2)</f>
        <v>3.52</v>
      </c>
      <c r="G106" s="430"/>
      <c r="H106" s="405">
        <v>3.21</v>
      </c>
      <c r="I106" s="839">
        <f t="shared" si="54"/>
        <v>3.52</v>
      </c>
    </row>
    <row r="107" spans="2:9" ht="27.6" x14ac:dyDescent="0.3">
      <c r="B107" s="402" t="s">
        <v>606</v>
      </c>
      <c r="C107" s="403">
        <v>1</v>
      </c>
      <c r="D107" s="404" t="s">
        <v>578</v>
      </c>
      <c r="E107" s="405">
        <f t="shared" ref="E107:E110" si="61">I107</f>
        <v>18.16</v>
      </c>
      <c r="F107" s="394">
        <f t="shared" si="60"/>
        <v>18.16</v>
      </c>
      <c r="G107" s="430"/>
      <c r="H107" s="405">
        <v>16.55</v>
      </c>
      <c r="I107" s="839">
        <f t="shared" si="54"/>
        <v>18.16</v>
      </c>
    </row>
    <row r="108" spans="2:9" x14ac:dyDescent="0.3">
      <c r="B108" s="402" t="s">
        <v>577</v>
      </c>
      <c r="C108" s="403">
        <v>1.1000000000000001</v>
      </c>
      <c r="D108" s="404" t="s">
        <v>578</v>
      </c>
      <c r="E108" s="405">
        <f t="shared" si="61"/>
        <v>0.43</v>
      </c>
      <c r="F108" s="394">
        <f t="shared" si="60"/>
        <v>0.47</v>
      </c>
      <c r="G108" s="430"/>
      <c r="H108" s="405">
        <v>0.4</v>
      </c>
      <c r="I108" s="839">
        <f t="shared" si="54"/>
        <v>0.43</v>
      </c>
    </row>
    <row r="109" spans="2:9" x14ac:dyDescent="0.3">
      <c r="B109" s="402" t="s">
        <v>607</v>
      </c>
      <c r="C109" s="403">
        <v>1.1000000000000001</v>
      </c>
      <c r="D109" s="404" t="s">
        <v>578</v>
      </c>
      <c r="E109" s="405">
        <f t="shared" si="61"/>
        <v>11.86</v>
      </c>
      <c r="F109" s="394">
        <f t="shared" si="60"/>
        <v>13.05</v>
      </c>
      <c r="G109" s="430"/>
      <c r="H109" s="405">
        <v>10.81</v>
      </c>
      <c r="I109" s="839">
        <f t="shared" si="54"/>
        <v>11.86</v>
      </c>
    </row>
    <row r="110" spans="2:9" x14ac:dyDescent="0.3">
      <c r="B110" s="402" t="s">
        <v>585</v>
      </c>
      <c r="C110" s="403">
        <v>3</v>
      </c>
      <c r="D110" s="404" t="s">
        <v>126</v>
      </c>
      <c r="E110" s="405">
        <f t="shared" si="61"/>
        <v>0.32</v>
      </c>
      <c r="F110" s="394">
        <f t="shared" si="60"/>
        <v>0.96</v>
      </c>
      <c r="G110" s="430"/>
      <c r="H110" s="405">
        <v>0.3</v>
      </c>
      <c r="I110" s="839">
        <f t="shared" si="54"/>
        <v>0.32</v>
      </c>
    </row>
    <row r="111" spans="2:9" x14ac:dyDescent="0.3">
      <c r="B111" s="747" t="s">
        <v>579</v>
      </c>
      <c r="C111" s="748">
        <v>0.22500000000000001</v>
      </c>
      <c r="D111" s="404"/>
      <c r="E111" s="406"/>
      <c r="F111" s="755">
        <f>ROUND(SUM(F106:F110)*C111,2)</f>
        <v>8.14</v>
      </c>
      <c r="G111" s="430"/>
      <c r="H111" s="406"/>
      <c r="I111" s="840"/>
    </row>
    <row r="112" spans="2:9" x14ac:dyDescent="0.3">
      <c r="B112" s="749" t="s">
        <v>586</v>
      </c>
      <c r="C112" s="409"/>
      <c r="D112" s="410"/>
      <c r="E112" s="411"/>
      <c r="F112" s="752">
        <f>ROUND(SUM(F106:F111),2)</f>
        <v>44.3</v>
      </c>
      <c r="G112" s="430"/>
      <c r="H112" s="430"/>
      <c r="I112" s="841"/>
    </row>
    <row r="113" spans="2:9" x14ac:dyDescent="0.3">
      <c r="B113" s="399" t="s">
        <v>587</v>
      </c>
      <c r="C113" s="400" t="s">
        <v>572</v>
      </c>
      <c r="D113" s="400" t="s">
        <v>216</v>
      </c>
      <c r="E113" s="401" t="s">
        <v>573</v>
      </c>
      <c r="F113" s="393" t="s">
        <v>574</v>
      </c>
      <c r="G113" s="430"/>
      <c r="H113" s="401" t="s">
        <v>573</v>
      </c>
      <c r="I113" s="840"/>
    </row>
    <row r="114" spans="2:9" ht="27.6" x14ac:dyDescent="0.3">
      <c r="B114" s="402" t="s">
        <v>576</v>
      </c>
      <c r="C114" s="403">
        <v>1.76</v>
      </c>
      <c r="D114" s="404" t="s">
        <v>575</v>
      </c>
      <c r="E114" s="405">
        <f>I114</f>
        <v>10.58</v>
      </c>
      <c r="F114" s="394">
        <f t="shared" ref="F114:F120" si="62">ROUND(C114*E114,2)</f>
        <v>18.62</v>
      </c>
      <c r="G114" s="430"/>
      <c r="H114" s="405">
        <v>9.65</v>
      </c>
      <c r="I114" s="839">
        <f t="shared" si="54"/>
        <v>10.58</v>
      </c>
    </row>
    <row r="115" spans="2:9" x14ac:dyDescent="0.3">
      <c r="B115" s="402" t="s">
        <v>607</v>
      </c>
      <c r="C115" s="403">
        <v>1.4567552063848457</v>
      </c>
      <c r="D115" s="404" t="s">
        <v>578</v>
      </c>
      <c r="E115" s="405">
        <f t="shared" ref="E115:E120" si="63">I115</f>
        <v>4.4400000000000004</v>
      </c>
      <c r="F115" s="394">
        <f t="shared" si="62"/>
        <v>6.47</v>
      </c>
      <c r="G115" s="430"/>
      <c r="H115" s="405">
        <v>4.05</v>
      </c>
      <c r="I115" s="839">
        <f t="shared" si="54"/>
        <v>4.4400000000000004</v>
      </c>
    </row>
    <row r="116" spans="2:9" x14ac:dyDescent="0.3">
      <c r="B116" s="402" t="s">
        <v>585</v>
      </c>
      <c r="C116" s="403">
        <v>3</v>
      </c>
      <c r="D116" s="404" t="s">
        <v>126</v>
      </c>
      <c r="E116" s="405">
        <f t="shared" si="63"/>
        <v>1.3</v>
      </c>
      <c r="F116" s="394">
        <f t="shared" si="62"/>
        <v>3.9</v>
      </c>
      <c r="G116" s="430"/>
      <c r="H116" s="405">
        <v>1.19</v>
      </c>
      <c r="I116" s="839">
        <f t="shared" si="54"/>
        <v>1.3</v>
      </c>
    </row>
    <row r="117" spans="2:9" x14ac:dyDescent="0.3">
      <c r="B117" s="402" t="s">
        <v>588</v>
      </c>
      <c r="C117" s="403">
        <v>1</v>
      </c>
      <c r="D117" s="404" t="s">
        <v>570</v>
      </c>
      <c r="E117" s="405">
        <f t="shared" si="63"/>
        <v>10.5</v>
      </c>
      <c r="F117" s="394">
        <f t="shared" si="62"/>
        <v>10.5</v>
      </c>
      <c r="G117" s="430"/>
      <c r="H117" s="405">
        <v>9.57</v>
      </c>
      <c r="I117" s="839">
        <f t="shared" si="54"/>
        <v>10.5</v>
      </c>
    </row>
    <row r="118" spans="2:9" x14ac:dyDescent="0.3">
      <c r="B118" s="402" t="s">
        <v>589</v>
      </c>
      <c r="C118" s="403">
        <v>1</v>
      </c>
      <c r="D118" s="404" t="s">
        <v>570</v>
      </c>
      <c r="E118" s="405">
        <f t="shared" si="63"/>
        <v>22.23</v>
      </c>
      <c r="F118" s="394">
        <f t="shared" si="62"/>
        <v>22.23</v>
      </c>
      <c r="G118" s="430"/>
      <c r="H118" s="405">
        <v>20.260000000000002</v>
      </c>
      <c r="I118" s="839">
        <f t="shared" si="54"/>
        <v>22.23</v>
      </c>
    </row>
    <row r="119" spans="2:9" x14ac:dyDescent="0.3">
      <c r="B119" s="402" t="s">
        <v>590</v>
      </c>
      <c r="C119" s="403">
        <v>1</v>
      </c>
      <c r="D119" s="404" t="s">
        <v>126</v>
      </c>
      <c r="E119" s="405">
        <f t="shared" si="63"/>
        <v>10.98</v>
      </c>
      <c r="F119" s="394">
        <f t="shared" si="62"/>
        <v>10.98</v>
      </c>
      <c r="G119" s="430"/>
      <c r="H119" s="405">
        <v>10.01</v>
      </c>
      <c r="I119" s="839">
        <f t="shared" si="54"/>
        <v>10.98</v>
      </c>
    </row>
    <row r="120" spans="2:9" x14ac:dyDescent="0.3">
      <c r="B120" s="402" t="s">
        <v>591</v>
      </c>
      <c r="C120" s="403">
        <v>1</v>
      </c>
      <c r="D120" s="404" t="s">
        <v>126</v>
      </c>
      <c r="E120" s="405">
        <f t="shared" si="63"/>
        <v>26.18</v>
      </c>
      <c r="F120" s="394">
        <f t="shared" si="62"/>
        <v>26.18</v>
      </c>
      <c r="G120" s="430"/>
      <c r="H120" s="405">
        <v>23.86</v>
      </c>
      <c r="I120" s="839">
        <f t="shared" si="54"/>
        <v>26.18</v>
      </c>
    </row>
    <row r="121" spans="2:9" x14ac:dyDescent="0.3">
      <c r="B121" s="747" t="s">
        <v>579</v>
      </c>
      <c r="C121" s="756">
        <v>0.22500000000000001</v>
      </c>
      <c r="D121" s="404"/>
      <c r="E121" s="406"/>
      <c r="F121" s="755">
        <f>ROUND(SUM(F114:F120)*C121,2)</f>
        <v>22.25</v>
      </c>
      <c r="G121" s="430"/>
      <c r="H121" s="406"/>
      <c r="I121" s="837"/>
    </row>
    <row r="122" spans="2:9" ht="15" thickBot="1" x14ac:dyDescent="0.35">
      <c r="B122" s="757" t="s">
        <v>592</v>
      </c>
      <c r="C122" s="758"/>
      <c r="D122" s="395"/>
      <c r="E122" s="396"/>
      <c r="F122" s="759">
        <f>ROUND(SUM(F114:F121),2)</f>
        <v>121.13</v>
      </c>
      <c r="G122" s="430"/>
      <c r="H122" s="430"/>
      <c r="I122" s="430"/>
    </row>
    <row r="123" spans="2:9" ht="15" thickBot="1" x14ac:dyDescent="0.35">
      <c r="B123" s="288"/>
      <c r="C123" s="288"/>
      <c r="D123" s="288"/>
      <c r="E123" s="288"/>
      <c r="F123" s="288"/>
      <c r="G123" s="430"/>
      <c r="H123" s="288"/>
      <c r="I123" s="837"/>
    </row>
    <row r="124" spans="2:9" x14ac:dyDescent="0.3">
      <c r="B124" s="398" t="s">
        <v>599</v>
      </c>
      <c r="C124" s="1121" t="s">
        <v>569</v>
      </c>
      <c r="D124" s="1122"/>
      <c r="E124" s="753" t="s">
        <v>570</v>
      </c>
      <c r="F124" s="754">
        <f>ROUND(F129+F135+F150,2)</f>
        <v>258.76</v>
      </c>
      <c r="G124" s="430"/>
      <c r="H124" s="753" t="s">
        <v>934</v>
      </c>
      <c r="I124" s="753" t="s">
        <v>933</v>
      </c>
    </row>
    <row r="125" spans="2:9" x14ac:dyDescent="0.3">
      <c r="B125" s="399" t="s">
        <v>571</v>
      </c>
      <c r="C125" s="400" t="s">
        <v>572</v>
      </c>
      <c r="D125" s="400" t="s">
        <v>216</v>
      </c>
      <c r="E125" s="401" t="s">
        <v>573</v>
      </c>
      <c r="F125" s="393" t="s">
        <v>574</v>
      </c>
      <c r="G125" s="430"/>
      <c r="H125" s="401" t="s">
        <v>573</v>
      </c>
      <c r="I125" s="837"/>
    </row>
    <row r="126" spans="2:9" x14ac:dyDescent="0.3">
      <c r="B126" s="402" t="s">
        <v>577</v>
      </c>
      <c r="C126" s="403">
        <v>2</v>
      </c>
      <c r="D126" s="404" t="s">
        <v>578</v>
      </c>
      <c r="E126" s="405">
        <f>I126</f>
        <v>8.06</v>
      </c>
      <c r="F126" s="394">
        <f t="shared" ref="F126" si="64">ROUND(C126*E126,2)</f>
        <v>16.12</v>
      </c>
      <c r="G126" s="430"/>
      <c r="H126" s="405">
        <v>7.35</v>
      </c>
      <c r="I126" s="839">
        <f t="shared" si="54"/>
        <v>8.06</v>
      </c>
    </row>
    <row r="127" spans="2:9" x14ac:dyDescent="0.3">
      <c r="B127" s="747" t="s">
        <v>593</v>
      </c>
      <c r="C127" s="748">
        <v>1.3295999999999999</v>
      </c>
      <c r="D127" s="404"/>
      <c r="E127" s="406"/>
      <c r="F127" s="755">
        <f>ROUND(SUM(F126:F126)*C127,2)</f>
        <v>21.43</v>
      </c>
      <c r="G127" s="430"/>
      <c r="H127" s="406"/>
      <c r="I127" s="837"/>
    </row>
    <row r="128" spans="2:9" x14ac:dyDescent="0.3">
      <c r="B128" s="747" t="s">
        <v>579</v>
      </c>
      <c r="C128" s="748">
        <v>0.22500000000000001</v>
      </c>
      <c r="D128" s="407"/>
      <c r="E128" s="406"/>
      <c r="F128" s="755">
        <f>ROUND(SUM(F126:F127)*C128,2)</f>
        <v>8.4499999999999993</v>
      </c>
      <c r="G128" s="430"/>
      <c r="H128" s="406"/>
      <c r="I128" s="837"/>
    </row>
    <row r="129" spans="2:9" x14ac:dyDescent="0.3">
      <c r="B129" s="749" t="s">
        <v>580</v>
      </c>
      <c r="C129" s="408"/>
      <c r="D129" s="750"/>
      <c r="E129" s="751"/>
      <c r="F129" s="752">
        <f>ROUND(SUM(F126:F128),2)</f>
        <v>46</v>
      </c>
      <c r="G129" s="430"/>
      <c r="H129" s="837"/>
      <c r="I129" s="837"/>
    </row>
    <row r="130" spans="2:9" x14ac:dyDescent="0.3">
      <c r="B130" s="399" t="s">
        <v>581</v>
      </c>
      <c r="C130" s="400" t="s">
        <v>572</v>
      </c>
      <c r="D130" s="400" t="s">
        <v>216</v>
      </c>
      <c r="E130" s="401" t="s">
        <v>573</v>
      </c>
      <c r="F130" s="393" t="s">
        <v>574</v>
      </c>
      <c r="G130" s="430"/>
      <c r="H130" s="401" t="s">
        <v>573</v>
      </c>
      <c r="I130" s="837"/>
    </row>
    <row r="131" spans="2:9" ht="27.6" x14ac:dyDescent="0.3">
      <c r="B131" s="402" t="s">
        <v>606</v>
      </c>
      <c r="C131" s="403">
        <v>1</v>
      </c>
      <c r="D131" s="404" t="s">
        <v>578</v>
      </c>
      <c r="E131" s="405">
        <f>I131</f>
        <v>0.43</v>
      </c>
      <c r="F131" s="394">
        <f t="shared" ref="F131:F133" si="65">ROUND(C131*E131,2)</f>
        <v>0.43</v>
      </c>
      <c r="G131" s="430"/>
      <c r="H131" s="405">
        <v>0.4</v>
      </c>
      <c r="I131" s="839">
        <f t="shared" si="54"/>
        <v>0.43</v>
      </c>
    </row>
    <row r="132" spans="2:9" x14ac:dyDescent="0.3">
      <c r="B132" s="402" t="s">
        <v>577</v>
      </c>
      <c r="C132" s="403">
        <v>2</v>
      </c>
      <c r="D132" s="404" t="s">
        <v>578</v>
      </c>
      <c r="E132" s="405">
        <f t="shared" ref="E132:E133" si="66">I132</f>
        <v>11.86</v>
      </c>
      <c r="F132" s="394">
        <f t="shared" si="65"/>
        <v>23.72</v>
      </c>
      <c r="G132" s="430"/>
      <c r="H132" s="405">
        <v>10.81</v>
      </c>
      <c r="I132" s="839">
        <f t="shared" si="54"/>
        <v>11.86</v>
      </c>
    </row>
    <row r="133" spans="2:9" x14ac:dyDescent="0.3">
      <c r="B133" s="402" t="s">
        <v>607</v>
      </c>
      <c r="C133" s="403">
        <v>1</v>
      </c>
      <c r="D133" s="404" t="s">
        <v>578</v>
      </c>
      <c r="E133" s="405">
        <f t="shared" si="66"/>
        <v>4.4400000000000004</v>
      </c>
      <c r="F133" s="394">
        <f t="shared" si="65"/>
        <v>4.4400000000000004</v>
      </c>
      <c r="G133" s="430"/>
      <c r="H133" s="405">
        <v>4.05</v>
      </c>
      <c r="I133" s="839">
        <f t="shared" si="54"/>
        <v>4.4400000000000004</v>
      </c>
    </row>
    <row r="134" spans="2:9" x14ac:dyDescent="0.3">
      <c r="B134" s="747" t="s">
        <v>579</v>
      </c>
      <c r="C134" s="748">
        <v>0.22500000000000001</v>
      </c>
      <c r="D134" s="404"/>
      <c r="E134" s="406"/>
      <c r="F134" s="755">
        <f>ROUND(SUM(F131:F133)*C134,2)</f>
        <v>6.43</v>
      </c>
      <c r="G134" s="430"/>
      <c r="H134" s="406"/>
      <c r="I134" s="406"/>
    </row>
    <row r="135" spans="2:9" x14ac:dyDescent="0.3">
      <c r="B135" s="749" t="s">
        <v>586</v>
      </c>
      <c r="C135" s="409"/>
      <c r="D135" s="410"/>
      <c r="E135" s="411"/>
      <c r="F135" s="752">
        <f>ROUND(SUM(F131:F134),2)</f>
        <v>35.020000000000003</v>
      </c>
      <c r="G135" s="430"/>
      <c r="H135" s="406"/>
      <c r="I135" s="406"/>
    </row>
    <row r="136" spans="2:9" x14ac:dyDescent="0.3">
      <c r="B136" s="399" t="s">
        <v>587</v>
      </c>
      <c r="C136" s="400" t="s">
        <v>572</v>
      </c>
      <c r="D136" s="400" t="s">
        <v>216</v>
      </c>
      <c r="E136" s="401" t="s">
        <v>573</v>
      </c>
      <c r="F136" s="393" t="s">
        <v>574</v>
      </c>
      <c r="G136" s="430"/>
      <c r="H136" s="401" t="s">
        <v>573</v>
      </c>
      <c r="I136" s="406"/>
    </row>
    <row r="137" spans="2:9" x14ac:dyDescent="0.3">
      <c r="B137" s="402" t="s">
        <v>607</v>
      </c>
      <c r="C137" s="403">
        <v>1</v>
      </c>
      <c r="D137" s="404" t="s">
        <v>578</v>
      </c>
      <c r="E137" s="405">
        <f>I137</f>
        <v>4.4400000000000004</v>
      </c>
      <c r="F137" s="394">
        <f t="shared" ref="F137:F147" si="67">ROUND(C137*E137,2)</f>
        <v>4.4400000000000004</v>
      </c>
      <c r="G137" s="430"/>
      <c r="H137" s="405">
        <v>4.05</v>
      </c>
      <c r="I137" s="839">
        <f t="shared" ref="I137:I198" si="68">TRUNC(H137*$I$66,2)</f>
        <v>4.4400000000000004</v>
      </c>
    </row>
    <row r="138" spans="2:9" ht="27.6" x14ac:dyDescent="0.3">
      <c r="B138" s="402" t="s">
        <v>595</v>
      </c>
      <c r="C138" s="403">
        <v>1</v>
      </c>
      <c r="D138" s="404" t="s">
        <v>570</v>
      </c>
      <c r="E138" s="405">
        <f t="shared" ref="E138:E148" si="69">I138</f>
        <v>2.31</v>
      </c>
      <c r="F138" s="394">
        <f t="shared" si="67"/>
        <v>2.31</v>
      </c>
      <c r="G138" s="430"/>
      <c r="H138" s="405">
        <v>2.11</v>
      </c>
      <c r="I138" s="839">
        <f t="shared" si="68"/>
        <v>2.31</v>
      </c>
    </row>
    <row r="139" spans="2:9" ht="27.6" x14ac:dyDescent="0.3">
      <c r="B139" s="402" t="s">
        <v>605</v>
      </c>
      <c r="C139" s="403">
        <v>0.62123793103448277</v>
      </c>
      <c r="D139" s="404" t="s">
        <v>570</v>
      </c>
      <c r="E139" s="405">
        <f t="shared" si="69"/>
        <v>124.29</v>
      </c>
      <c r="F139" s="394">
        <f t="shared" si="67"/>
        <v>77.209999999999994</v>
      </c>
      <c r="G139" s="430"/>
      <c r="H139" s="405">
        <v>113.26</v>
      </c>
      <c r="I139" s="839">
        <f t="shared" si="68"/>
        <v>124.29</v>
      </c>
    </row>
    <row r="140" spans="2:9" ht="27.6" x14ac:dyDescent="0.3">
      <c r="B140" s="402" t="s">
        <v>604</v>
      </c>
      <c r="C140" s="403">
        <v>0.1</v>
      </c>
      <c r="D140" s="404" t="s">
        <v>570</v>
      </c>
      <c r="E140" s="405">
        <f t="shared" si="69"/>
        <v>125.72</v>
      </c>
      <c r="F140" s="394">
        <f t="shared" si="67"/>
        <v>12.57</v>
      </c>
      <c r="G140" s="430"/>
      <c r="H140" s="405">
        <v>114.57</v>
      </c>
      <c r="I140" s="839">
        <f t="shared" si="68"/>
        <v>125.72</v>
      </c>
    </row>
    <row r="141" spans="2:9" ht="27.6" x14ac:dyDescent="0.3">
      <c r="B141" s="402" t="s">
        <v>603</v>
      </c>
      <c r="C141" s="403">
        <v>7.0000000000000007E-2</v>
      </c>
      <c r="D141" s="404" t="s">
        <v>570</v>
      </c>
      <c r="E141" s="405">
        <f t="shared" si="69"/>
        <v>130</v>
      </c>
      <c r="F141" s="394">
        <f t="shared" si="67"/>
        <v>9.1</v>
      </c>
      <c r="G141" s="430"/>
      <c r="H141" s="405">
        <v>118.47</v>
      </c>
      <c r="I141" s="839">
        <f t="shared" si="68"/>
        <v>130</v>
      </c>
    </row>
    <row r="142" spans="2:9" x14ac:dyDescent="0.3">
      <c r="B142" s="402" t="s">
        <v>596</v>
      </c>
      <c r="C142" s="403">
        <v>0.5</v>
      </c>
      <c r="D142" s="404" t="s">
        <v>570</v>
      </c>
      <c r="E142" s="405">
        <f t="shared" si="69"/>
        <v>5.47</v>
      </c>
      <c r="F142" s="394">
        <f t="shared" si="67"/>
        <v>2.74</v>
      </c>
      <c r="G142" s="430"/>
      <c r="H142" s="405">
        <v>4.99</v>
      </c>
      <c r="I142" s="839">
        <f t="shared" si="68"/>
        <v>5.47</v>
      </c>
    </row>
    <row r="143" spans="2:9" x14ac:dyDescent="0.3">
      <c r="B143" s="402" t="s">
        <v>597</v>
      </c>
      <c r="C143" s="403">
        <v>0.5</v>
      </c>
      <c r="D143" s="404" t="s">
        <v>570</v>
      </c>
      <c r="E143" s="405">
        <f t="shared" si="69"/>
        <v>4.78</v>
      </c>
      <c r="F143" s="394">
        <f t="shared" si="67"/>
        <v>2.39</v>
      </c>
      <c r="G143" s="430"/>
      <c r="H143" s="405">
        <v>4.3600000000000003</v>
      </c>
      <c r="I143" s="839">
        <f t="shared" si="68"/>
        <v>4.78</v>
      </c>
    </row>
    <row r="144" spans="2:9" ht="27.6" x14ac:dyDescent="0.3">
      <c r="B144" s="402" t="s">
        <v>598</v>
      </c>
      <c r="C144" s="403">
        <v>0.5</v>
      </c>
      <c r="D144" s="404" t="s">
        <v>570</v>
      </c>
      <c r="E144" s="405">
        <f t="shared" si="69"/>
        <v>14.2</v>
      </c>
      <c r="F144" s="394">
        <f t="shared" si="67"/>
        <v>7.1</v>
      </c>
      <c r="G144" s="430"/>
      <c r="H144" s="405">
        <v>12.94</v>
      </c>
      <c r="I144" s="839">
        <f t="shared" si="68"/>
        <v>14.2</v>
      </c>
    </row>
    <row r="145" spans="2:9" ht="27.6" x14ac:dyDescent="0.3">
      <c r="B145" s="412" t="s">
        <v>602</v>
      </c>
      <c r="C145" s="403">
        <v>6.9999999999999993E-2</v>
      </c>
      <c r="D145" s="404" t="s">
        <v>570</v>
      </c>
      <c r="E145" s="405">
        <f t="shared" si="69"/>
        <v>30.18</v>
      </c>
      <c r="F145" s="394">
        <f t="shared" si="67"/>
        <v>2.11</v>
      </c>
      <c r="G145" s="430"/>
      <c r="H145" s="405">
        <v>27.51</v>
      </c>
      <c r="I145" s="839">
        <f t="shared" si="68"/>
        <v>30.18</v>
      </c>
    </row>
    <row r="146" spans="2:9" ht="27.6" x14ac:dyDescent="0.3">
      <c r="B146" s="412" t="s">
        <v>601</v>
      </c>
      <c r="C146" s="403">
        <v>1.0000000000000002E-2</v>
      </c>
      <c r="D146" s="404" t="s">
        <v>570</v>
      </c>
      <c r="E146" s="405">
        <f t="shared" si="69"/>
        <v>52.4</v>
      </c>
      <c r="F146" s="394">
        <f t="shared" si="67"/>
        <v>0.52</v>
      </c>
      <c r="G146" s="430"/>
      <c r="H146" s="405">
        <v>47.75</v>
      </c>
      <c r="I146" s="839">
        <f t="shared" si="68"/>
        <v>52.4</v>
      </c>
    </row>
    <row r="147" spans="2:9" ht="27.6" x14ac:dyDescent="0.3">
      <c r="B147" s="412" t="s">
        <v>600</v>
      </c>
      <c r="C147" s="403">
        <v>0.01</v>
      </c>
      <c r="D147" s="404" t="s">
        <v>570</v>
      </c>
      <c r="E147" s="405">
        <f t="shared" si="69"/>
        <v>60.31</v>
      </c>
      <c r="F147" s="394">
        <f t="shared" si="67"/>
        <v>0.6</v>
      </c>
      <c r="G147" s="430"/>
      <c r="H147" s="405">
        <v>54.96</v>
      </c>
      <c r="I147" s="839">
        <f t="shared" si="68"/>
        <v>60.31</v>
      </c>
    </row>
    <row r="148" spans="2:9" ht="27.6" x14ac:dyDescent="0.3">
      <c r="B148" s="402" t="s">
        <v>608</v>
      </c>
      <c r="C148" s="403">
        <v>8</v>
      </c>
      <c r="D148" s="404" t="s">
        <v>126</v>
      </c>
      <c r="E148" s="405">
        <f t="shared" si="69"/>
        <v>3</v>
      </c>
      <c r="F148" s="394">
        <f>ROUND(C148*E148,2)</f>
        <v>24</v>
      </c>
      <c r="G148" s="430"/>
      <c r="H148" s="405">
        <v>2.74</v>
      </c>
      <c r="I148" s="839">
        <f t="shared" si="68"/>
        <v>3</v>
      </c>
    </row>
    <row r="149" spans="2:9" x14ac:dyDescent="0.3">
      <c r="B149" s="747" t="s">
        <v>579</v>
      </c>
      <c r="C149" s="748">
        <v>0.22500000000000001</v>
      </c>
      <c r="D149" s="404"/>
      <c r="E149" s="406"/>
      <c r="F149" s="755">
        <f>ROUND(SUM(F137:F148)*C149,2)</f>
        <v>32.65</v>
      </c>
      <c r="G149" s="430"/>
      <c r="H149" s="406"/>
      <c r="I149" s="406"/>
    </row>
    <row r="150" spans="2:9" ht="15" thickBot="1" x14ac:dyDescent="0.35">
      <c r="B150" s="757" t="s">
        <v>592</v>
      </c>
      <c r="C150" s="758"/>
      <c r="D150" s="395"/>
      <c r="E150" s="396"/>
      <c r="F150" s="759">
        <f>ROUND(SUM(F137:F149),2)</f>
        <v>177.74</v>
      </c>
      <c r="G150" s="430"/>
      <c r="H150" s="406"/>
      <c r="I150" s="406"/>
    </row>
    <row r="151" spans="2:9" ht="15" thickBot="1" x14ac:dyDescent="0.35">
      <c r="B151" s="288"/>
      <c r="C151" s="288"/>
      <c r="D151" s="288"/>
      <c r="E151" s="288"/>
      <c r="F151" s="288"/>
      <c r="G151" s="430"/>
      <c r="H151" s="406"/>
      <c r="I151" s="406"/>
    </row>
    <row r="152" spans="2:9" x14ac:dyDescent="0.3">
      <c r="B152" s="418" t="s">
        <v>618</v>
      </c>
      <c r="C152" s="1124" t="s">
        <v>569</v>
      </c>
      <c r="D152" s="1124"/>
      <c r="E152" s="760" t="s">
        <v>570</v>
      </c>
      <c r="F152" s="761">
        <f>ROUND(F158+F165+F177,2)</f>
        <v>139.06</v>
      </c>
      <c r="G152" s="430"/>
      <c r="H152" s="430"/>
      <c r="I152" s="430"/>
    </row>
    <row r="153" spans="2:9" x14ac:dyDescent="0.3">
      <c r="B153" s="419" t="s">
        <v>571</v>
      </c>
      <c r="C153" s="293" t="s">
        <v>572</v>
      </c>
      <c r="D153" s="293" t="s">
        <v>216</v>
      </c>
      <c r="E153" s="420" t="s">
        <v>573</v>
      </c>
      <c r="F153" s="414" t="s">
        <v>574</v>
      </c>
      <c r="G153" s="430"/>
      <c r="H153" s="420" t="s">
        <v>573</v>
      </c>
      <c r="I153" s="406"/>
    </row>
    <row r="154" spans="2:9" ht="28.8" x14ac:dyDescent="0.3">
      <c r="B154" s="421" t="s">
        <v>610</v>
      </c>
      <c r="C154" s="403">
        <v>0.9</v>
      </c>
      <c r="D154" s="422" t="s">
        <v>575</v>
      </c>
      <c r="E154" s="405">
        <f>I154</f>
        <v>4.43</v>
      </c>
      <c r="F154" s="415">
        <f t="shared" ref="F154:F155" si="70">ROUND(C154*E154,2)</f>
        <v>3.99</v>
      </c>
      <c r="G154" s="430"/>
      <c r="H154" s="405">
        <v>4.04</v>
      </c>
      <c r="I154" s="839">
        <f t="shared" si="68"/>
        <v>4.43</v>
      </c>
    </row>
    <row r="155" spans="2:9" x14ac:dyDescent="0.3">
      <c r="B155" s="421" t="s">
        <v>577</v>
      </c>
      <c r="C155" s="403">
        <v>0.9</v>
      </c>
      <c r="D155" s="422" t="s">
        <v>578</v>
      </c>
      <c r="E155" s="405">
        <f>I155</f>
        <v>8.06</v>
      </c>
      <c r="F155" s="415">
        <f t="shared" si="70"/>
        <v>7.25</v>
      </c>
      <c r="G155" s="430"/>
      <c r="H155" s="405">
        <v>7.35</v>
      </c>
      <c r="I155" s="839">
        <f t="shared" si="68"/>
        <v>8.06</v>
      </c>
    </row>
    <row r="156" spans="2:9" x14ac:dyDescent="0.3">
      <c r="B156" s="762" t="s">
        <v>593</v>
      </c>
      <c r="C156" s="763">
        <v>1.3295999999999999</v>
      </c>
      <c r="D156" s="422"/>
      <c r="E156" s="423"/>
      <c r="F156" s="764">
        <f>ROUND(SUM(F154:F155)*C156,2)</f>
        <v>14.94</v>
      </c>
      <c r="G156" s="430"/>
      <c r="H156" s="423"/>
      <c r="I156" s="423"/>
    </row>
    <row r="157" spans="2:9" x14ac:dyDescent="0.3">
      <c r="B157" s="762" t="s">
        <v>579</v>
      </c>
      <c r="C157" s="763">
        <v>0.22500000000000001</v>
      </c>
      <c r="D157" s="424"/>
      <c r="E157" s="423"/>
      <c r="F157" s="764">
        <f>ROUND(SUM(F154:F156)*C157,2)</f>
        <v>5.89</v>
      </c>
      <c r="G157" s="430"/>
      <c r="H157" s="423"/>
      <c r="I157" s="423"/>
    </row>
    <row r="158" spans="2:9" x14ac:dyDescent="0.3">
      <c r="B158" s="765" t="s">
        <v>580</v>
      </c>
      <c r="C158" s="425"/>
      <c r="D158" s="766"/>
      <c r="E158" s="767"/>
      <c r="F158" s="768">
        <f>ROUND(SUM(F154:F157),2)</f>
        <v>32.07</v>
      </c>
      <c r="G158" s="430"/>
      <c r="H158" s="423"/>
      <c r="I158" s="423"/>
    </row>
    <row r="159" spans="2:9" x14ac:dyDescent="0.3">
      <c r="B159" s="419" t="s">
        <v>581</v>
      </c>
      <c r="C159" s="293" t="s">
        <v>572</v>
      </c>
      <c r="D159" s="293" t="s">
        <v>216</v>
      </c>
      <c r="E159" s="420" t="s">
        <v>573</v>
      </c>
      <c r="F159" s="414" t="s">
        <v>574</v>
      </c>
      <c r="G159" s="430"/>
      <c r="H159" s="420" t="s">
        <v>573</v>
      </c>
      <c r="I159" s="423"/>
    </row>
    <row r="160" spans="2:9" ht="28.8" x14ac:dyDescent="0.3">
      <c r="B160" s="421" t="s">
        <v>610</v>
      </c>
      <c r="C160" s="403">
        <v>0.9</v>
      </c>
      <c r="D160" s="422" t="s">
        <v>575</v>
      </c>
      <c r="E160" s="405">
        <f>I160</f>
        <v>0.76</v>
      </c>
      <c r="F160" s="415">
        <f t="shared" ref="F160:F163" si="71">ROUND(C160*E160,2)</f>
        <v>0.68</v>
      </c>
      <c r="G160" s="430"/>
      <c r="H160" s="405">
        <v>0.7</v>
      </c>
      <c r="I160" s="839">
        <f t="shared" si="68"/>
        <v>0.76</v>
      </c>
    </row>
    <row r="161" spans="2:9" ht="28.8" x14ac:dyDescent="0.3">
      <c r="B161" s="421" t="s">
        <v>606</v>
      </c>
      <c r="C161" s="403">
        <v>0.36</v>
      </c>
      <c r="D161" s="422" t="s">
        <v>578</v>
      </c>
      <c r="E161" s="405">
        <f t="shared" ref="E161:E163" si="72">I161</f>
        <v>18.16</v>
      </c>
      <c r="F161" s="415">
        <f t="shared" si="71"/>
        <v>6.54</v>
      </c>
      <c r="G161" s="430"/>
      <c r="H161" s="405">
        <v>16.55</v>
      </c>
      <c r="I161" s="839">
        <f t="shared" si="68"/>
        <v>18.16</v>
      </c>
    </row>
    <row r="162" spans="2:9" x14ac:dyDescent="0.3">
      <c r="B162" s="421" t="s">
        <v>577</v>
      </c>
      <c r="C162" s="403">
        <v>0.36</v>
      </c>
      <c r="D162" s="422" t="s">
        <v>578</v>
      </c>
      <c r="E162" s="405">
        <f t="shared" si="72"/>
        <v>0.43</v>
      </c>
      <c r="F162" s="415">
        <f t="shared" si="71"/>
        <v>0.15</v>
      </c>
      <c r="G162" s="430"/>
      <c r="H162" s="405">
        <v>0.4</v>
      </c>
      <c r="I162" s="839">
        <f t="shared" si="68"/>
        <v>0.43</v>
      </c>
    </row>
    <row r="163" spans="2:9" x14ac:dyDescent="0.3">
      <c r="B163" s="421" t="s">
        <v>607</v>
      </c>
      <c r="C163" s="403">
        <v>0.36</v>
      </c>
      <c r="D163" s="422" t="s">
        <v>578</v>
      </c>
      <c r="E163" s="405">
        <f t="shared" si="72"/>
        <v>11.86</v>
      </c>
      <c r="F163" s="415">
        <f t="shared" si="71"/>
        <v>4.2699999999999996</v>
      </c>
      <c r="G163" s="430"/>
      <c r="H163" s="405">
        <v>10.81</v>
      </c>
      <c r="I163" s="839">
        <f t="shared" si="68"/>
        <v>11.86</v>
      </c>
    </row>
    <row r="164" spans="2:9" x14ac:dyDescent="0.3">
      <c r="B164" s="762" t="s">
        <v>579</v>
      </c>
      <c r="C164" s="763">
        <v>0.22500000000000001</v>
      </c>
      <c r="D164" s="422"/>
      <c r="E164" s="423"/>
      <c r="F164" s="764">
        <f>ROUND(SUM(F160:F163)*C164,2)</f>
        <v>2.62</v>
      </c>
      <c r="G164" s="430"/>
      <c r="H164" s="423"/>
      <c r="I164" s="423"/>
    </row>
    <row r="165" spans="2:9" x14ac:dyDescent="0.3">
      <c r="B165" s="765" t="s">
        <v>586</v>
      </c>
      <c r="C165" s="426"/>
      <c r="D165" s="427"/>
      <c r="E165" s="428"/>
      <c r="F165" s="768">
        <f>ROUND(SUM(F160:F164),2)</f>
        <v>14.26</v>
      </c>
      <c r="G165" s="430"/>
      <c r="H165" s="423"/>
      <c r="I165" s="423"/>
    </row>
    <row r="166" spans="2:9" x14ac:dyDescent="0.3">
      <c r="B166" s="419" t="s">
        <v>587</v>
      </c>
      <c r="C166" s="293" t="s">
        <v>572</v>
      </c>
      <c r="D166" s="293" t="s">
        <v>216</v>
      </c>
      <c r="E166" s="420" t="s">
        <v>573</v>
      </c>
      <c r="F166" s="414" t="s">
        <v>574</v>
      </c>
      <c r="G166" s="430"/>
      <c r="H166" s="420" t="s">
        <v>573</v>
      </c>
      <c r="I166" s="423"/>
    </row>
    <row r="167" spans="2:9" ht="28.8" x14ac:dyDescent="0.3">
      <c r="B167" s="421" t="s">
        <v>610</v>
      </c>
      <c r="C167" s="403">
        <v>1</v>
      </c>
      <c r="D167" s="422" t="s">
        <v>575</v>
      </c>
      <c r="E167" s="405">
        <f>I167</f>
        <v>16.3</v>
      </c>
      <c r="F167" s="415">
        <f t="shared" ref="F167:F175" si="73">ROUND(C167*E167,2)</f>
        <v>16.3</v>
      </c>
      <c r="G167" s="430"/>
      <c r="H167" s="405">
        <v>14.860912141779799</v>
      </c>
      <c r="I167" s="839">
        <f t="shared" si="68"/>
        <v>16.3</v>
      </c>
    </row>
    <row r="168" spans="2:9" x14ac:dyDescent="0.3">
      <c r="B168" s="421" t="s">
        <v>611</v>
      </c>
      <c r="C168" s="403">
        <v>0.36</v>
      </c>
      <c r="D168" s="422" t="s">
        <v>578</v>
      </c>
      <c r="E168" s="405">
        <f t="shared" ref="E168:E175" si="74">I168</f>
        <v>4.4400000000000004</v>
      </c>
      <c r="F168" s="415">
        <f t="shared" si="73"/>
        <v>1.6</v>
      </c>
      <c r="G168" s="430"/>
      <c r="H168" s="405">
        <v>4.05</v>
      </c>
      <c r="I168" s="839">
        <f t="shared" si="68"/>
        <v>4.4400000000000004</v>
      </c>
    </row>
    <row r="169" spans="2:9" x14ac:dyDescent="0.3">
      <c r="B169" s="421" t="s">
        <v>596</v>
      </c>
      <c r="C169" s="403">
        <v>4</v>
      </c>
      <c r="D169" s="422" t="s">
        <v>570</v>
      </c>
      <c r="E169" s="405">
        <f t="shared" si="74"/>
        <v>5.47</v>
      </c>
      <c r="F169" s="415">
        <f t="shared" si="73"/>
        <v>21.88</v>
      </c>
      <c r="G169" s="430"/>
      <c r="H169" s="405">
        <v>4.99</v>
      </c>
      <c r="I169" s="839">
        <f t="shared" si="68"/>
        <v>5.47</v>
      </c>
    </row>
    <row r="170" spans="2:9" ht="28.8" x14ac:dyDescent="0.3">
      <c r="B170" s="421" t="s">
        <v>612</v>
      </c>
      <c r="C170" s="403">
        <v>1</v>
      </c>
      <c r="D170" s="422" t="s">
        <v>570</v>
      </c>
      <c r="E170" s="405">
        <f t="shared" si="74"/>
        <v>0.92</v>
      </c>
      <c r="F170" s="415">
        <f>ROUND(C170*E170,2)</f>
        <v>0.92</v>
      </c>
      <c r="G170" s="430"/>
      <c r="H170" s="405">
        <v>0.84</v>
      </c>
      <c r="I170" s="839">
        <f t="shared" si="68"/>
        <v>0.92</v>
      </c>
    </row>
    <row r="171" spans="2:9" x14ac:dyDescent="0.3">
      <c r="B171" s="421" t="s">
        <v>613</v>
      </c>
      <c r="C171" s="403">
        <v>4</v>
      </c>
      <c r="D171" s="422" t="s">
        <v>570</v>
      </c>
      <c r="E171" s="405">
        <f t="shared" si="74"/>
        <v>0.21</v>
      </c>
      <c r="F171" s="415">
        <f>ROUND(C171*E171,2)</f>
        <v>0.84</v>
      </c>
      <c r="G171" s="430"/>
      <c r="H171" s="405">
        <v>0.2</v>
      </c>
      <c r="I171" s="839">
        <f t="shared" si="68"/>
        <v>0.21</v>
      </c>
    </row>
    <row r="172" spans="2:9" x14ac:dyDescent="0.3">
      <c r="B172" s="421" t="s">
        <v>614</v>
      </c>
      <c r="C172" s="403">
        <v>2</v>
      </c>
      <c r="D172" s="422" t="s">
        <v>570</v>
      </c>
      <c r="E172" s="405">
        <f t="shared" si="74"/>
        <v>0.88</v>
      </c>
      <c r="F172" s="415">
        <f>ROUND(C172*E172,2)</f>
        <v>1.76</v>
      </c>
      <c r="G172" s="430"/>
      <c r="H172" s="405">
        <v>0.81</v>
      </c>
      <c r="I172" s="839">
        <f t="shared" si="68"/>
        <v>0.88</v>
      </c>
    </row>
    <row r="173" spans="2:9" x14ac:dyDescent="0.3">
      <c r="B173" s="421" t="s">
        <v>615</v>
      </c>
      <c r="C173" s="403">
        <v>1</v>
      </c>
      <c r="D173" s="422" t="s">
        <v>570</v>
      </c>
      <c r="E173" s="405">
        <f t="shared" si="74"/>
        <v>16.71</v>
      </c>
      <c r="F173" s="415">
        <f t="shared" si="73"/>
        <v>16.71</v>
      </c>
      <c r="G173" s="430"/>
      <c r="H173" s="405">
        <v>15.23</v>
      </c>
      <c r="I173" s="839">
        <f t="shared" si="68"/>
        <v>16.71</v>
      </c>
    </row>
    <row r="174" spans="2:9" ht="28.8" x14ac:dyDescent="0.3">
      <c r="B174" s="421" t="s">
        <v>616</v>
      </c>
      <c r="C174" s="403">
        <v>1</v>
      </c>
      <c r="D174" s="422" t="s">
        <v>570</v>
      </c>
      <c r="E174" s="405">
        <f t="shared" si="74"/>
        <v>5.54</v>
      </c>
      <c r="F174" s="415">
        <f t="shared" si="73"/>
        <v>5.54</v>
      </c>
      <c r="G174" s="430"/>
      <c r="H174" s="405">
        <v>5.05</v>
      </c>
      <c r="I174" s="839">
        <f t="shared" si="68"/>
        <v>5.54</v>
      </c>
    </row>
    <row r="175" spans="2:9" ht="28.8" x14ac:dyDescent="0.3">
      <c r="B175" s="421" t="s">
        <v>617</v>
      </c>
      <c r="C175" s="403">
        <v>0.9</v>
      </c>
      <c r="D175" s="422" t="s">
        <v>126</v>
      </c>
      <c r="E175" s="405">
        <f t="shared" si="74"/>
        <v>11.28</v>
      </c>
      <c r="F175" s="415">
        <f t="shared" si="73"/>
        <v>10.15</v>
      </c>
      <c r="G175" s="430"/>
      <c r="H175" s="405">
        <v>10.28</v>
      </c>
      <c r="I175" s="839">
        <f t="shared" si="68"/>
        <v>11.28</v>
      </c>
    </row>
    <row r="176" spans="2:9" x14ac:dyDescent="0.3">
      <c r="B176" s="762" t="s">
        <v>579</v>
      </c>
      <c r="C176" s="769">
        <v>0.22500000000000001</v>
      </c>
      <c r="D176" s="422"/>
      <c r="E176" s="423"/>
      <c r="F176" s="764">
        <f>ROUND(SUM(F167:F175)*C176,2)</f>
        <v>17.03</v>
      </c>
      <c r="G176" s="430"/>
      <c r="H176" s="423"/>
      <c r="I176" s="423"/>
    </row>
    <row r="177" spans="2:9" ht="15" thickBot="1" x14ac:dyDescent="0.35">
      <c r="B177" s="770" t="s">
        <v>592</v>
      </c>
      <c r="C177" s="771"/>
      <c r="D177" s="416"/>
      <c r="E177" s="417"/>
      <c r="F177" s="772">
        <f>ROUND(SUM(F167:F176),2)</f>
        <v>92.73</v>
      </c>
      <c r="G177" s="430"/>
      <c r="H177" s="423"/>
      <c r="I177" s="423"/>
    </row>
    <row r="178" spans="2:9" ht="15" thickBot="1" x14ac:dyDescent="0.35">
      <c r="B178" s="288"/>
      <c r="C178" s="288"/>
      <c r="D178" s="288"/>
      <c r="E178" s="288"/>
      <c r="F178" s="288"/>
      <c r="G178" s="430"/>
      <c r="H178" s="423"/>
      <c r="I178" s="423"/>
    </row>
    <row r="179" spans="2:9" ht="15" customHeight="1" x14ac:dyDescent="0.3">
      <c r="B179" s="418" t="s">
        <v>620</v>
      </c>
      <c r="C179" s="1124" t="s">
        <v>569</v>
      </c>
      <c r="D179" s="1124"/>
      <c r="E179" s="760" t="s">
        <v>398</v>
      </c>
      <c r="F179" s="761">
        <f>ROUND(F186+F195+F202,1)</f>
        <v>103</v>
      </c>
      <c r="G179" s="430"/>
      <c r="H179" s="423"/>
      <c r="I179" s="423"/>
    </row>
    <row r="180" spans="2:9" x14ac:dyDescent="0.3">
      <c r="B180" s="419" t="s">
        <v>571</v>
      </c>
      <c r="C180" s="293" t="s">
        <v>572</v>
      </c>
      <c r="D180" s="293" t="s">
        <v>216</v>
      </c>
      <c r="E180" s="420" t="s">
        <v>573</v>
      </c>
      <c r="F180" s="414" t="s">
        <v>574</v>
      </c>
      <c r="G180" s="430"/>
      <c r="H180" s="420" t="s">
        <v>573</v>
      </c>
      <c r="I180" s="423"/>
    </row>
    <row r="181" spans="2:9" ht="28.8" x14ac:dyDescent="0.3">
      <c r="B181" s="421" t="s">
        <v>619</v>
      </c>
      <c r="C181" s="403">
        <v>1</v>
      </c>
      <c r="D181" s="422" t="s">
        <v>575</v>
      </c>
      <c r="E181" s="405">
        <f>I181</f>
        <v>2.58</v>
      </c>
      <c r="F181" s="415">
        <f t="shared" ref="F181:F183" si="75">ROUND(C181*E181,2)</f>
        <v>2.58</v>
      </c>
      <c r="G181" s="430"/>
      <c r="H181" s="405">
        <v>2.3593999999999986</v>
      </c>
      <c r="I181" s="839">
        <f t="shared" si="68"/>
        <v>2.58</v>
      </c>
    </row>
    <row r="182" spans="2:9" ht="28.8" x14ac:dyDescent="0.3">
      <c r="B182" s="421" t="s">
        <v>576</v>
      </c>
      <c r="C182" s="403">
        <v>1</v>
      </c>
      <c r="D182" s="422" t="s">
        <v>575</v>
      </c>
      <c r="E182" s="405">
        <f t="shared" ref="E182:E183" si="76">I182</f>
        <v>3.41</v>
      </c>
      <c r="F182" s="415">
        <f t="shared" si="75"/>
        <v>3.41</v>
      </c>
      <c r="G182" s="430"/>
      <c r="H182" s="405">
        <v>3.1100000000000003</v>
      </c>
      <c r="I182" s="839">
        <f t="shared" si="68"/>
        <v>3.41</v>
      </c>
    </row>
    <row r="183" spans="2:9" x14ac:dyDescent="0.3">
      <c r="B183" s="421" t="s">
        <v>577</v>
      </c>
      <c r="C183" s="403">
        <v>0.4030863208602074</v>
      </c>
      <c r="D183" s="422" t="s">
        <v>578</v>
      </c>
      <c r="E183" s="405">
        <f t="shared" si="76"/>
        <v>8.06</v>
      </c>
      <c r="F183" s="415">
        <f t="shared" si="75"/>
        <v>3.25</v>
      </c>
      <c r="G183" s="430"/>
      <c r="H183" s="405">
        <v>7.35</v>
      </c>
      <c r="I183" s="839">
        <f t="shared" si="68"/>
        <v>8.06</v>
      </c>
    </row>
    <row r="184" spans="2:9" ht="13.2" customHeight="1" x14ac:dyDescent="0.3">
      <c r="B184" s="762" t="s">
        <v>593</v>
      </c>
      <c r="C184" s="763">
        <v>1.3295999999999999</v>
      </c>
      <c r="D184" s="422"/>
      <c r="E184" s="423"/>
      <c r="F184" s="764">
        <f>ROUND(SUM(F181:F183)*C184,2)</f>
        <v>12.29</v>
      </c>
      <c r="G184" s="430"/>
      <c r="H184" s="423"/>
      <c r="I184" s="423"/>
    </row>
    <row r="185" spans="2:9" x14ac:dyDescent="0.3">
      <c r="B185" s="762" t="s">
        <v>579</v>
      </c>
      <c r="C185" s="763">
        <v>0.22500000000000001</v>
      </c>
      <c r="D185" s="424"/>
      <c r="E185" s="423"/>
      <c r="F185" s="764">
        <f>ROUND(SUM(F181:F184)*C185,2)</f>
        <v>4.84</v>
      </c>
      <c r="G185" s="430"/>
      <c r="H185" s="423"/>
      <c r="I185" s="423"/>
    </row>
    <row r="186" spans="2:9" x14ac:dyDescent="0.3">
      <c r="B186" s="765" t="s">
        <v>580</v>
      </c>
      <c r="C186" s="425"/>
      <c r="D186" s="766"/>
      <c r="E186" s="767"/>
      <c r="F186" s="768">
        <f>ROUND(SUM(F181:F185),2)</f>
        <v>26.37</v>
      </c>
      <c r="G186" s="430"/>
      <c r="H186" s="423"/>
      <c r="I186" s="423"/>
    </row>
    <row r="187" spans="2:9" x14ac:dyDescent="0.3">
      <c r="B187" s="419" t="s">
        <v>581</v>
      </c>
      <c r="C187" s="293" t="s">
        <v>572</v>
      </c>
      <c r="D187" s="293" t="s">
        <v>216</v>
      </c>
      <c r="E187" s="420" t="s">
        <v>573</v>
      </c>
      <c r="F187" s="414" t="s">
        <v>574</v>
      </c>
      <c r="G187" s="430"/>
      <c r="H187" s="420" t="s">
        <v>573</v>
      </c>
      <c r="I187" s="423"/>
    </row>
    <row r="188" spans="2:9" ht="28.8" x14ac:dyDescent="0.3">
      <c r="B188" s="421" t="s">
        <v>619</v>
      </c>
      <c r="C188" s="403">
        <v>1</v>
      </c>
      <c r="D188" s="422" t="s">
        <v>575</v>
      </c>
      <c r="E188" s="405">
        <f>I188</f>
        <v>4.54</v>
      </c>
      <c r="F188" s="415">
        <f>ROUND(C188*E188,2)</f>
        <v>4.54</v>
      </c>
      <c r="G188" s="430"/>
      <c r="H188" s="405">
        <v>4.1400000000000006</v>
      </c>
      <c r="I188" s="839">
        <f t="shared" si="68"/>
        <v>4.54</v>
      </c>
    </row>
    <row r="189" spans="2:9" ht="28.8" x14ac:dyDescent="0.3">
      <c r="B189" s="421" t="s">
        <v>576</v>
      </c>
      <c r="C189" s="403">
        <v>1</v>
      </c>
      <c r="D189" s="422" t="s">
        <v>575</v>
      </c>
      <c r="E189" s="405">
        <f t="shared" ref="E189:E193" si="77">I189</f>
        <v>3.52</v>
      </c>
      <c r="F189" s="415">
        <f t="shared" ref="F189:F193" si="78">ROUND(C189*E189,2)</f>
        <v>3.52</v>
      </c>
      <c r="G189" s="430"/>
      <c r="H189" s="405">
        <v>3.21</v>
      </c>
      <c r="I189" s="839">
        <f t="shared" si="68"/>
        <v>3.52</v>
      </c>
    </row>
    <row r="190" spans="2:9" ht="28.8" x14ac:dyDescent="0.3">
      <c r="B190" s="421" t="s">
        <v>625</v>
      </c>
      <c r="C190" s="403">
        <v>0.4030863208602074</v>
      </c>
      <c r="D190" s="422" t="s">
        <v>578</v>
      </c>
      <c r="E190" s="405">
        <f t="shared" si="77"/>
        <v>18.16</v>
      </c>
      <c r="F190" s="415">
        <f t="shared" si="78"/>
        <v>7.32</v>
      </c>
      <c r="G190" s="430"/>
      <c r="H190" s="405">
        <v>16.55</v>
      </c>
      <c r="I190" s="839">
        <f t="shared" si="68"/>
        <v>18.16</v>
      </c>
    </row>
    <row r="191" spans="2:9" x14ac:dyDescent="0.3">
      <c r="B191" s="421" t="s">
        <v>577</v>
      </c>
      <c r="C191" s="403">
        <v>0.4030863208602074</v>
      </c>
      <c r="D191" s="422" t="s">
        <v>578</v>
      </c>
      <c r="E191" s="405">
        <f t="shared" si="77"/>
        <v>0.43</v>
      </c>
      <c r="F191" s="415">
        <f t="shared" si="78"/>
        <v>0.17</v>
      </c>
      <c r="G191" s="430"/>
      <c r="H191" s="405">
        <v>0.4</v>
      </c>
      <c r="I191" s="839">
        <f t="shared" si="68"/>
        <v>0.43</v>
      </c>
    </row>
    <row r="192" spans="2:9" x14ac:dyDescent="0.3">
      <c r="B192" s="421" t="s">
        <v>607</v>
      </c>
      <c r="C192" s="403">
        <v>0.4030863208602074</v>
      </c>
      <c r="D192" s="422" t="s">
        <v>578</v>
      </c>
      <c r="E192" s="405">
        <f t="shared" si="77"/>
        <v>11.86</v>
      </c>
      <c r="F192" s="415">
        <f t="shared" si="78"/>
        <v>4.78</v>
      </c>
      <c r="G192" s="430"/>
      <c r="H192" s="405">
        <v>10.81</v>
      </c>
      <c r="I192" s="839">
        <f t="shared" si="68"/>
        <v>11.86</v>
      </c>
    </row>
    <row r="193" spans="2:9" x14ac:dyDescent="0.3">
      <c r="B193" s="421" t="s">
        <v>585</v>
      </c>
      <c r="C193" s="403">
        <v>4</v>
      </c>
      <c r="D193" s="422" t="s">
        <v>126</v>
      </c>
      <c r="E193" s="405">
        <f t="shared" si="77"/>
        <v>0.32</v>
      </c>
      <c r="F193" s="415">
        <f t="shared" si="78"/>
        <v>1.28</v>
      </c>
      <c r="G193" s="430"/>
      <c r="H193" s="405">
        <v>0.3</v>
      </c>
      <c r="I193" s="839">
        <f t="shared" si="68"/>
        <v>0.32</v>
      </c>
    </row>
    <row r="194" spans="2:9" x14ac:dyDescent="0.3">
      <c r="B194" s="762" t="s">
        <v>579</v>
      </c>
      <c r="C194" s="763">
        <v>0.22500000000000001</v>
      </c>
      <c r="D194" s="422"/>
      <c r="E194" s="423"/>
      <c r="F194" s="764">
        <f>ROUND(SUM(F188:F193)*C194,2)</f>
        <v>4.8600000000000003</v>
      </c>
      <c r="G194" s="430"/>
      <c r="H194" s="423"/>
      <c r="I194" s="423"/>
    </row>
    <row r="195" spans="2:9" x14ac:dyDescent="0.3">
      <c r="B195" s="765" t="s">
        <v>586</v>
      </c>
      <c r="C195" s="426"/>
      <c r="D195" s="427"/>
      <c r="E195" s="428"/>
      <c r="F195" s="768">
        <f>ROUND(SUM(F188:F194),2)</f>
        <v>26.47</v>
      </c>
      <c r="G195" s="430"/>
      <c r="H195" s="423"/>
      <c r="I195" s="423"/>
    </row>
    <row r="196" spans="2:9" x14ac:dyDescent="0.3">
      <c r="B196" s="419" t="s">
        <v>587</v>
      </c>
      <c r="C196" s="293" t="s">
        <v>572</v>
      </c>
      <c r="D196" s="293" t="s">
        <v>216</v>
      </c>
      <c r="E196" s="420" t="s">
        <v>573</v>
      </c>
      <c r="F196" s="414" t="s">
        <v>574</v>
      </c>
      <c r="G196" s="430"/>
      <c r="H196" s="420" t="s">
        <v>573</v>
      </c>
      <c r="I196" s="423"/>
    </row>
    <row r="197" spans="2:9" ht="28.8" x14ac:dyDescent="0.3">
      <c r="B197" s="421" t="s">
        <v>619</v>
      </c>
      <c r="C197" s="403">
        <v>1</v>
      </c>
      <c r="D197" s="422" t="s">
        <v>575</v>
      </c>
      <c r="E197" s="405">
        <f>I197</f>
        <v>23.39</v>
      </c>
      <c r="F197" s="415">
        <f t="shared" ref="F197:F200" si="79">ROUND(C197*E197,2)</f>
        <v>23.39</v>
      </c>
      <c r="G197" s="430"/>
      <c r="H197" s="405">
        <v>21.32</v>
      </c>
      <c r="I197" s="839">
        <f t="shared" si="68"/>
        <v>23.39</v>
      </c>
    </row>
    <row r="198" spans="2:9" ht="28.8" x14ac:dyDescent="0.3">
      <c r="B198" s="421" t="s">
        <v>576</v>
      </c>
      <c r="C198" s="403">
        <v>1</v>
      </c>
      <c r="D198" s="422" t="s">
        <v>575</v>
      </c>
      <c r="E198" s="405">
        <f t="shared" ref="E198:E200" si="80">I198</f>
        <v>10.58</v>
      </c>
      <c r="F198" s="415">
        <f t="shared" si="79"/>
        <v>10.58</v>
      </c>
      <c r="G198" s="430"/>
      <c r="H198" s="405">
        <v>9.65</v>
      </c>
      <c r="I198" s="839">
        <f t="shared" si="68"/>
        <v>10.58</v>
      </c>
    </row>
    <row r="199" spans="2:9" x14ac:dyDescent="0.3">
      <c r="B199" s="421" t="s">
        <v>607</v>
      </c>
      <c r="C199" s="403">
        <v>0.4030863208602074</v>
      </c>
      <c r="D199" s="422" t="s">
        <v>578</v>
      </c>
      <c r="E199" s="405">
        <f t="shared" si="80"/>
        <v>4.4400000000000004</v>
      </c>
      <c r="F199" s="415">
        <f t="shared" si="79"/>
        <v>1.79</v>
      </c>
      <c r="G199" s="430"/>
      <c r="H199" s="405">
        <v>4.05</v>
      </c>
      <c r="I199" s="839">
        <f t="shared" ref="I199:I262" si="81">TRUNC(H199*$I$66,2)</f>
        <v>4.4400000000000004</v>
      </c>
    </row>
    <row r="200" spans="2:9" x14ac:dyDescent="0.3">
      <c r="B200" s="421" t="s">
        <v>585</v>
      </c>
      <c r="C200" s="403">
        <v>4</v>
      </c>
      <c r="D200" s="422" t="s">
        <v>126</v>
      </c>
      <c r="E200" s="405">
        <f t="shared" si="80"/>
        <v>1.3</v>
      </c>
      <c r="F200" s="415">
        <f t="shared" si="79"/>
        <v>5.2</v>
      </c>
      <c r="G200" s="430"/>
      <c r="H200" s="405">
        <v>1.19</v>
      </c>
      <c r="I200" s="839">
        <f t="shared" si="81"/>
        <v>1.3</v>
      </c>
    </row>
    <row r="201" spans="2:9" x14ac:dyDescent="0.3">
      <c r="B201" s="762" t="s">
        <v>579</v>
      </c>
      <c r="C201" s="769">
        <v>0.22500000000000001</v>
      </c>
      <c r="D201" s="422"/>
      <c r="E201" s="423"/>
      <c r="F201" s="764">
        <f>ROUND(SUM(F197:F200)*C201,2)</f>
        <v>9.2200000000000006</v>
      </c>
      <c r="G201" s="430"/>
      <c r="H201" s="423"/>
      <c r="I201" s="423"/>
    </row>
    <row r="202" spans="2:9" ht="15" thickBot="1" x14ac:dyDescent="0.35">
      <c r="B202" s="770" t="s">
        <v>592</v>
      </c>
      <c r="C202" s="771"/>
      <c r="D202" s="416"/>
      <c r="E202" s="417"/>
      <c r="F202" s="772">
        <f>ROUND(SUM(F197:F201),2)</f>
        <v>50.18</v>
      </c>
      <c r="G202" s="430"/>
      <c r="H202" s="423"/>
      <c r="I202" s="423"/>
    </row>
    <row r="203" spans="2:9" ht="15" thickBot="1" x14ac:dyDescent="0.35">
      <c r="B203" s="288"/>
      <c r="C203" s="288"/>
      <c r="D203" s="288"/>
      <c r="E203" s="288"/>
      <c r="F203" s="288"/>
      <c r="G203" s="430"/>
      <c r="H203" s="423"/>
      <c r="I203" s="423"/>
    </row>
    <row r="204" spans="2:9" x14ac:dyDescent="0.3">
      <c r="B204" s="418" t="s">
        <v>638</v>
      </c>
      <c r="C204" s="1124" t="s">
        <v>569</v>
      </c>
      <c r="D204" s="1124"/>
      <c r="E204" s="760" t="s">
        <v>570</v>
      </c>
      <c r="F204" s="761">
        <f>ROUND(F209+F217+F226,2)</f>
        <v>459.67</v>
      </c>
      <c r="G204" s="430"/>
      <c r="H204" s="423"/>
      <c r="I204" s="423"/>
    </row>
    <row r="205" spans="2:9" x14ac:dyDescent="0.3">
      <c r="B205" s="419" t="s">
        <v>571</v>
      </c>
      <c r="C205" s="293" t="s">
        <v>572</v>
      </c>
      <c r="D205" s="293" t="s">
        <v>216</v>
      </c>
      <c r="E205" s="420" t="s">
        <v>573</v>
      </c>
      <c r="F205" s="414" t="s">
        <v>574</v>
      </c>
      <c r="G205" s="430"/>
      <c r="H205" s="420" t="s">
        <v>573</v>
      </c>
      <c r="I205" s="423"/>
    </row>
    <row r="206" spans="2:9" x14ac:dyDescent="0.3">
      <c r="B206" s="421" t="s">
        <v>577</v>
      </c>
      <c r="C206" s="403">
        <v>3.63</v>
      </c>
      <c r="D206" s="422" t="s">
        <v>578</v>
      </c>
      <c r="E206" s="405">
        <f>I206</f>
        <v>8.06</v>
      </c>
      <c r="F206" s="415">
        <f t="shared" ref="F206" si="82">ROUND(C206*E206,2)</f>
        <v>29.26</v>
      </c>
      <c r="G206" s="430"/>
      <c r="H206" s="405">
        <v>7.35</v>
      </c>
      <c r="I206" s="839">
        <f t="shared" si="81"/>
        <v>8.06</v>
      </c>
    </row>
    <row r="207" spans="2:9" x14ac:dyDescent="0.3">
      <c r="B207" s="762" t="s">
        <v>593</v>
      </c>
      <c r="C207" s="763">
        <v>1.3295999999999999</v>
      </c>
      <c r="D207" s="422"/>
      <c r="E207" s="423"/>
      <c r="F207" s="764">
        <f>ROUND(SUM(F206:F206)*C207,2)</f>
        <v>38.9</v>
      </c>
      <c r="G207" s="430"/>
      <c r="H207" s="423"/>
      <c r="I207" s="423"/>
    </row>
    <row r="208" spans="2:9" x14ac:dyDescent="0.3">
      <c r="B208" s="762" t="s">
        <v>579</v>
      </c>
      <c r="C208" s="763">
        <v>0.22500000000000001</v>
      </c>
      <c r="D208" s="424"/>
      <c r="E208" s="423"/>
      <c r="F208" s="764">
        <f>ROUND(SUM(F206:F207)*C208,2)</f>
        <v>15.34</v>
      </c>
      <c r="G208" s="430"/>
      <c r="H208" s="423"/>
      <c r="I208" s="423"/>
    </row>
    <row r="209" spans="2:9" x14ac:dyDescent="0.3">
      <c r="B209" s="765" t="s">
        <v>580</v>
      </c>
      <c r="C209" s="425"/>
      <c r="D209" s="766"/>
      <c r="E209" s="767"/>
      <c r="F209" s="768">
        <f>ROUND(SUM(F206:F208),2)</f>
        <v>83.5</v>
      </c>
      <c r="G209" s="430"/>
      <c r="H209" s="423"/>
      <c r="I209" s="423"/>
    </row>
    <row r="210" spans="2:9" x14ac:dyDescent="0.3">
      <c r="B210" s="419" t="s">
        <v>581</v>
      </c>
      <c r="C210" s="293" t="s">
        <v>572</v>
      </c>
      <c r="D210" s="293" t="s">
        <v>216</v>
      </c>
      <c r="E210" s="420" t="s">
        <v>573</v>
      </c>
      <c r="F210" s="414" t="s">
        <v>574</v>
      </c>
      <c r="G210" s="430"/>
      <c r="H210" s="420" t="s">
        <v>573</v>
      </c>
      <c r="I210" s="423"/>
    </row>
    <row r="211" spans="2:9" x14ac:dyDescent="0.3">
      <c r="B211" s="421" t="s">
        <v>584</v>
      </c>
      <c r="C211" s="403">
        <v>0.15</v>
      </c>
      <c r="D211" s="422" t="s">
        <v>583</v>
      </c>
      <c r="E211" s="405">
        <f>I211</f>
        <v>76.45</v>
      </c>
      <c r="F211" s="415">
        <f t="shared" ref="F211:F215" si="83">ROUND(C211*E211,2)</f>
        <v>11.47</v>
      </c>
      <c r="G211" s="430"/>
      <c r="H211" s="405">
        <v>69.67</v>
      </c>
      <c r="I211" s="839">
        <f t="shared" si="81"/>
        <v>76.45</v>
      </c>
    </row>
    <row r="212" spans="2:9" ht="28.8" x14ac:dyDescent="0.3">
      <c r="B212" s="421" t="s">
        <v>606</v>
      </c>
      <c r="C212" s="403">
        <v>4.1900000000000004</v>
      </c>
      <c r="D212" s="422" t="s">
        <v>578</v>
      </c>
      <c r="E212" s="405">
        <f t="shared" ref="E212:E215" si="84">I212</f>
        <v>18.16</v>
      </c>
      <c r="F212" s="415">
        <f t="shared" si="83"/>
        <v>76.09</v>
      </c>
      <c r="G212" s="430"/>
      <c r="H212" s="405">
        <v>16.55</v>
      </c>
      <c r="I212" s="839">
        <f t="shared" si="81"/>
        <v>18.16</v>
      </c>
    </row>
    <row r="213" spans="2:9" x14ac:dyDescent="0.3">
      <c r="B213" s="421" t="s">
        <v>577</v>
      </c>
      <c r="C213" s="403">
        <v>3.63</v>
      </c>
      <c r="D213" s="422" t="s">
        <v>578</v>
      </c>
      <c r="E213" s="405">
        <f t="shared" si="84"/>
        <v>0.43</v>
      </c>
      <c r="F213" s="415">
        <f t="shared" si="83"/>
        <v>1.56</v>
      </c>
      <c r="G213" s="430"/>
      <c r="H213" s="405">
        <v>0.4</v>
      </c>
      <c r="I213" s="839">
        <f t="shared" si="81"/>
        <v>0.43</v>
      </c>
    </row>
    <row r="214" spans="2:9" x14ac:dyDescent="0.3">
      <c r="B214" s="421" t="s">
        <v>611</v>
      </c>
      <c r="C214" s="403">
        <v>3.63</v>
      </c>
      <c r="D214" s="422" t="s">
        <v>578</v>
      </c>
      <c r="E214" s="405">
        <f t="shared" si="84"/>
        <v>11.42</v>
      </c>
      <c r="F214" s="415">
        <f t="shared" si="83"/>
        <v>41.45</v>
      </c>
      <c r="G214" s="430"/>
      <c r="H214" s="405">
        <v>10.41</v>
      </c>
      <c r="I214" s="839">
        <f t="shared" si="81"/>
        <v>11.42</v>
      </c>
    </row>
    <row r="215" spans="2:9" x14ac:dyDescent="0.3">
      <c r="B215" s="421" t="s">
        <v>585</v>
      </c>
      <c r="C215" s="403">
        <v>8</v>
      </c>
      <c r="D215" s="422" t="s">
        <v>126</v>
      </c>
      <c r="E215" s="405">
        <f t="shared" si="84"/>
        <v>0.32</v>
      </c>
      <c r="F215" s="415">
        <f t="shared" si="83"/>
        <v>2.56</v>
      </c>
      <c r="G215" s="430"/>
      <c r="H215" s="405">
        <v>0.3</v>
      </c>
      <c r="I215" s="839">
        <f t="shared" si="81"/>
        <v>0.32</v>
      </c>
    </row>
    <row r="216" spans="2:9" x14ac:dyDescent="0.3">
      <c r="B216" s="762" t="s">
        <v>579</v>
      </c>
      <c r="C216" s="763">
        <v>0.22500000000000001</v>
      </c>
      <c r="D216" s="422"/>
      <c r="E216" s="423"/>
      <c r="F216" s="764">
        <f>ROUND(SUM(F211:F215)*C216,2)</f>
        <v>29.95</v>
      </c>
      <c r="G216" s="430"/>
      <c r="H216" s="423"/>
      <c r="I216" s="423"/>
    </row>
    <row r="217" spans="2:9" x14ac:dyDescent="0.3">
      <c r="B217" s="765" t="s">
        <v>586</v>
      </c>
      <c r="C217" s="426"/>
      <c r="D217" s="427"/>
      <c r="E217" s="428"/>
      <c r="F217" s="768">
        <f>ROUND(SUM(F211:F216),2)</f>
        <v>163.08000000000001</v>
      </c>
      <c r="G217" s="430"/>
      <c r="H217" s="423"/>
      <c r="I217" s="423"/>
    </row>
    <row r="218" spans="2:9" x14ac:dyDescent="0.3">
      <c r="B218" s="419" t="s">
        <v>587</v>
      </c>
      <c r="C218" s="293" t="s">
        <v>572</v>
      </c>
      <c r="D218" s="293" t="s">
        <v>216</v>
      </c>
      <c r="E218" s="420" t="s">
        <v>573</v>
      </c>
      <c r="F218" s="414" t="s">
        <v>574</v>
      </c>
      <c r="G218" s="430"/>
      <c r="H218" s="420" t="s">
        <v>573</v>
      </c>
      <c r="I218" s="423"/>
    </row>
    <row r="219" spans="2:9" x14ac:dyDescent="0.3">
      <c r="B219" s="421" t="s">
        <v>607</v>
      </c>
      <c r="C219" s="403">
        <v>3.63</v>
      </c>
      <c r="D219" s="422" t="s">
        <v>578</v>
      </c>
      <c r="E219" s="405">
        <f>I219</f>
        <v>11.86</v>
      </c>
      <c r="F219" s="415">
        <f t="shared" ref="F219:F221" si="85">ROUND(C219*E219,2)</f>
        <v>43.05</v>
      </c>
      <c r="G219" s="430"/>
      <c r="H219" s="405">
        <v>10.81</v>
      </c>
      <c r="I219" s="839">
        <f t="shared" si="81"/>
        <v>11.86</v>
      </c>
    </row>
    <row r="220" spans="2:9" x14ac:dyDescent="0.3">
      <c r="B220" s="421" t="s">
        <v>585</v>
      </c>
      <c r="C220" s="403">
        <v>8</v>
      </c>
      <c r="D220" s="422" t="s">
        <v>126</v>
      </c>
      <c r="E220" s="405">
        <f t="shared" ref="E220:E224" si="86">I220</f>
        <v>0.32</v>
      </c>
      <c r="F220" s="415">
        <f t="shared" si="85"/>
        <v>2.56</v>
      </c>
      <c r="G220" s="430"/>
      <c r="H220" s="405">
        <v>0.3</v>
      </c>
      <c r="I220" s="839">
        <f t="shared" si="81"/>
        <v>0.32</v>
      </c>
    </row>
    <row r="221" spans="2:9" ht="28.8" x14ac:dyDescent="0.3">
      <c r="B221" s="421" t="s">
        <v>626</v>
      </c>
      <c r="C221" s="403">
        <v>1.6</v>
      </c>
      <c r="D221" s="422" t="s">
        <v>570</v>
      </c>
      <c r="E221" s="405">
        <f t="shared" si="86"/>
        <v>27.35</v>
      </c>
      <c r="F221" s="415">
        <f t="shared" si="85"/>
        <v>43.76</v>
      </c>
      <c r="G221" s="430"/>
      <c r="H221" s="405">
        <v>24.93</v>
      </c>
      <c r="I221" s="839">
        <f t="shared" si="81"/>
        <v>27.35</v>
      </c>
    </row>
    <row r="222" spans="2:9" ht="28.8" x14ac:dyDescent="0.3">
      <c r="B222" s="421" t="s">
        <v>627</v>
      </c>
      <c r="C222" s="403">
        <v>1.5</v>
      </c>
      <c r="D222" s="422" t="s">
        <v>126</v>
      </c>
      <c r="E222" s="405">
        <f t="shared" si="86"/>
        <v>32.61</v>
      </c>
      <c r="F222" s="415">
        <f>ROUND(C222*E222,2)</f>
        <v>48.92</v>
      </c>
      <c r="G222" s="430"/>
      <c r="H222" s="405">
        <v>29.72</v>
      </c>
      <c r="I222" s="839">
        <f t="shared" si="81"/>
        <v>32.61</v>
      </c>
    </row>
    <row r="223" spans="2:9" ht="28.8" x14ac:dyDescent="0.3">
      <c r="B223" s="421" t="s">
        <v>636</v>
      </c>
      <c r="C223" s="403">
        <v>0.4</v>
      </c>
      <c r="D223" s="422" t="s">
        <v>570</v>
      </c>
      <c r="E223" s="405">
        <f t="shared" si="86"/>
        <v>70.73</v>
      </c>
      <c r="F223" s="415">
        <f t="shared" ref="F223" si="87">ROUND(C223*E223,2)</f>
        <v>28.29</v>
      </c>
      <c r="G223" s="430"/>
      <c r="H223" s="405">
        <v>64.459999999999994</v>
      </c>
      <c r="I223" s="839">
        <f t="shared" si="81"/>
        <v>70.73</v>
      </c>
    </row>
    <row r="224" spans="2:9" ht="28.8" x14ac:dyDescent="0.3">
      <c r="B224" s="421" t="s">
        <v>637</v>
      </c>
      <c r="C224" s="403">
        <v>0.3</v>
      </c>
      <c r="D224" s="422" t="s">
        <v>126</v>
      </c>
      <c r="E224" s="405">
        <f t="shared" si="86"/>
        <v>51.29</v>
      </c>
      <c r="F224" s="415">
        <f>ROUND(C224*E224,2)</f>
        <v>15.39</v>
      </c>
      <c r="G224" s="430"/>
      <c r="H224" s="405">
        <v>46.74</v>
      </c>
      <c r="I224" s="839">
        <f t="shared" si="81"/>
        <v>51.29</v>
      </c>
    </row>
    <row r="225" spans="2:9" x14ac:dyDescent="0.3">
      <c r="B225" s="762" t="s">
        <v>579</v>
      </c>
      <c r="C225" s="769">
        <v>0.22500000000000001</v>
      </c>
      <c r="D225" s="422"/>
      <c r="E225" s="423"/>
      <c r="F225" s="764">
        <f>ROUND(SUM(F219:F222)*C225,2)</f>
        <v>31.12</v>
      </c>
      <c r="G225" s="430"/>
      <c r="H225" s="423"/>
      <c r="I225" s="423"/>
    </row>
    <row r="226" spans="2:9" ht="15" thickBot="1" x14ac:dyDescent="0.35">
      <c r="B226" s="770" t="s">
        <v>592</v>
      </c>
      <c r="C226" s="771"/>
      <c r="D226" s="416"/>
      <c r="E226" s="417"/>
      <c r="F226" s="772">
        <f>ROUND(SUM(F219:F225),2)</f>
        <v>213.09</v>
      </c>
      <c r="G226" s="430"/>
      <c r="H226" s="423"/>
      <c r="I226" s="423"/>
    </row>
    <row r="227" spans="2:9" ht="15" thickBot="1" x14ac:dyDescent="0.35">
      <c r="B227" s="288"/>
      <c r="C227" s="288"/>
      <c r="D227" s="288"/>
      <c r="E227" s="288"/>
      <c r="F227" s="288"/>
      <c r="H227" s="423"/>
      <c r="I227" s="423"/>
    </row>
    <row r="228" spans="2:9" x14ac:dyDescent="0.3">
      <c r="B228" s="418" t="s">
        <v>635</v>
      </c>
      <c r="C228" s="1124" t="s">
        <v>569</v>
      </c>
      <c r="D228" s="1124"/>
      <c r="E228" s="760" t="s">
        <v>126</v>
      </c>
      <c r="F228" s="761">
        <f>ROUND(F233+F241+F250,2)</f>
        <v>541.1</v>
      </c>
      <c r="G228" s="430"/>
      <c r="H228" s="423"/>
      <c r="I228" s="423"/>
    </row>
    <row r="229" spans="2:9" x14ac:dyDescent="0.3">
      <c r="B229" s="419" t="s">
        <v>571</v>
      </c>
      <c r="C229" s="293" t="s">
        <v>572</v>
      </c>
      <c r="D229" s="293" t="s">
        <v>216</v>
      </c>
      <c r="E229" s="420" t="s">
        <v>573</v>
      </c>
      <c r="F229" s="414" t="s">
        <v>574</v>
      </c>
      <c r="G229" s="430"/>
      <c r="H229" s="420" t="s">
        <v>573</v>
      </c>
      <c r="I229" s="423"/>
    </row>
    <row r="230" spans="2:9" x14ac:dyDescent="0.3">
      <c r="B230" s="421" t="s">
        <v>577</v>
      </c>
      <c r="C230" s="403">
        <v>6.4685938252156934</v>
      </c>
      <c r="D230" s="422" t="s">
        <v>578</v>
      </c>
      <c r="E230" s="405">
        <f>I230</f>
        <v>8.06</v>
      </c>
      <c r="F230" s="415">
        <f t="shared" ref="F230" si="88">ROUND(C230*E230,2)</f>
        <v>52.14</v>
      </c>
      <c r="G230" s="430"/>
      <c r="H230" s="405">
        <v>7.35</v>
      </c>
      <c r="I230" s="839">
        <f t="shared" si="81"/>
        <v>8.06</v>
      </c>
    </row>
    <row r="231" spans="2:9" x14ac:dyDescent="0.3">
      <c r="B231" s="762" t="s">
        <v>593</v>
      </c>
      <c r="C231" s="763">
        <v>1.3295999999999999</v>
      </c>
      <c r="D231" s="422"/>
      <c r="E231" s="423"/>
      <c r="F231" s="764">
        <f>ROUND(SUM(F230:F230)*C231,2)</f>
        <v>69.33</v>
      </c>
      <c r="G231" s="430"/>
      <c r="H231" s="423"/>
      <c r="I231" s="423"/>
    </row>
    <row r="232" spans="2:9" x14ac:dyDescent="0.3">
      <c r="B232" s="762" t="s">
        <v>579</v>
      </c>
      <c r="C232" s="763">
        <v>0.22500000000000001</v>
      </c>
      <c r="D232" s="424"/>
      <c r="E232" s="423"/>
      <c r="F232" s="764">
        <f>ROUND(SUM(F230:F231)*C232,2)</f>
        <v>27.33</v>
      </c>
      <c r="G232" s="430"/>
      <c r="H232" s="423"/>
      <c r="I232" s="423"/>
    </row>
    <row r="233" spans="2:9" x14ac:dyDescent="0.3">
      <c r="B233" s="765" t="s">
        <v>580</v>
      </c>
      <c r="C233" s="425"/>
      <c r="D233" s="766"/>
      <c r="E233" s="767"/>
      <c r="F233" s="768">
        <f>ROUND(SUM(F230:F232),2)</f>
        <v>148.80000000000001</v>
      </c>
      <c r="G233" s="430"/>
      <c r="H233" s="423"/>
      <c r="I233" s="423"/>
    </row>
    <row r="234" spans="2:9" x14ac:dyDescent="0.3">
      <c r="B234" s="419" t="s">
        <v>581</v>
      </c>
      <c r="C234" s="293" t="s">
        <v>572</v>
      </c>
      <c r="D234" s="293" t="s">
        <v>216</v>
      </c>
      <c r="E234" s="420" t="s">
        <v>573</v>
      </c>
      <c r="F234" s="414" t="s">
        <v>574</v>
      </c>
      <c r="G234" s="430"/>
      <c r="H234" s="420" t="s">
        <v>573</v>
      </c>
      <c r="I234" s="423"/>
    </row>
    <row r="235" spans="2:9" x14ac:dyDescent="0.3">
      <c r="B235" s="421" t="s">
        <v>584</v>
      </c>
      <c r="C235" s="403">
        <v>0.15</v>
      </c>
      <c r="D235" s="422" t="s">
        <v>583</v>
      </c>
      <c r="E235" s="405">
        <f>I235</f>
        <v>76.45</v>
      </c>
      <c r="F235" s="415">
        <f t="shared" ref="F235:F239" si="89">ROUND(C235*E235,2)</f>
        <v>11.47</v>
      </c>
      <c r="G235" s="430"/>
      <c r="H235" s="405">
        <v>69.67</v>
      </c>
      <c r="I235" s="839">
        <f t="shared" si="81"/>
        <v>76.45</v>
      </c>
    </row>
    <row r="236" spans="2:9" ht="28.8" x14ac:dyDescent="0.3">
      <c r="B236" s="421" t="s">
        <v>606</v>
      </c>
      <c r="C236" s="403">
        <v>2.79</v>
      </c>
      <c r="D236" s="422" t="s">
        <v>578</v>
      </c>
      <c r="E236" s="405">
        <f t="shared" ref="E236:E239" si="90">I236</f>
        <v>18.16</v>
      </c>
      <c r="F236" s="415">
        <f t="shared" si="89"/>
        <v>50.67</v>
      </c>
      <c r="G236" s="430"/>
      <c r="H236" s="405">
        <v>16.55</v>
      </c>
      <c r="I236" s="839">
        <f t="shared" si="81"/>
        <v>18.16</v>
      </c>
    </row>
    <row r="237" spans="2:9" x14ac:dyDescent="0.3">
      <c r="B237" s="421" t="s">
        <v>577</v>
      </c>
      <c r="C237" s="403">
        <f>C230</f>
        <v>6.4685938252156934</v>
      </c>
      <c r="D237" s="422" t="s">
        <v>578</v>
      </c>
      <c r="E237" s="405">
        <f t="shared" si="90"/>
        <v>0.43</v>
      </c>
      <c r="F237" s="415">
        <f t="shared" si="89"/>
        <v>2.78</v>
      </c>
      <c r="G237" s="430"/>
      <c r="H237" s="405">
        <v>0.4</v>
      </c>
      <c r="I237" s="839">
        <f t="shared" si="81"/>
        <v>0.43</v>
      </c>
    </row>
    <row r="238" spans="2:9" x14ac:dyDescent="0.3">
      <c r="B238" s="421" t="s">
        <v>607</v>
      </c>
      <c r="C238" s="403">
        <f>C237</f>
        <v>6.4685938252156934</v>
      </c>
      <c r="D238" s="422" t="s">
        <v>578</v>
      </c>
      <c r="E238" s="405">
        <f t="shared" si="90"/>
        <v>11.42</v>
      </c>
      <c r="F238" s="415">
        <f t="shared" si="89"/>
        <v>73.87</v>
      </c>
      <c r="G238" s="430"/>
      <c r="H238" s="405">
        <v>10.41</v>
      </c>
      <c r="I238" s="839">
        <f t="shared" si="81"/>
        <v>11.42</v>
      </c>
    </row>
    <row r="239" spans="2:9" x14ac:dyDescent="0.3">
      <c r="B239" s="421" t="s">
        <v>585</v>
      </c>
      <c r="C239" s="403">
        <v>5.33</v>
      </c>
      <c r="D239" s="422" t="s">
        <v>126</v>
      </c>
      <c r="E239" s="405">
        <f t="shared" si="90"/>
        <v>0.32</v>
      </c>
      <c r="F239" s="415">
        <f t="shared" si="89"/>
        <v>1.71</v>
      </c>
      <c r="G239" s="430"/>
      <c r="H239" s="405">
        <v>0.3</v>
      </c>
      <c r="I239" s="839">
        <f t="shared" si="81"/>
        <v>0.32</v>
      </c>
    </row>
    <row r="240" spans="2:9" x14ac:dyDescent="0.3">
      <c r="B240" s="762" t="s">
        <v>579</v>
      </c>
      <c r="C240" s="763">
        <v>0.22500000000000001</v>
      </c>
      <c r="D240" s="422"/>
      <c r="E240" s="423"/>
      <c r="F240" s="764">
        <f>ROUND(SUM(F235:F239)*C240,2)</f>
        <v>31.61</v>
      </c>
      <c r="G240" s="430"/>
      <c r="H240" s="423"/>
      <c r="I240" s="423"/>
    </row>
    <row r="241" spans="2:9" x14ac:dyDescent="0.3">
      <c r="B241" s="765" t="s">
        <v>586</v>
      </c>
      <c r="C241" s="426"/>
      <c r="D241" s="427"/>
      <c r="E241" s="428"/>
      <c r="F241" s="768">
        <f>ROUND(SUM(F235:F240),2)</f>
        <v>172.11</v>
      </c>
      <c r="G241" s="430"/>
      <c r="H241" s="423"/>
      <c r="I241" s="423"/>
    </row>
    <row r="242" spans="2:9" x14ac:dyDescent="0.3">
      <c r="B242" s="419" t="s">
        <v>587</v>
      </c>
      <c r="C242" s="293" t="s">
        <v>572</v>
      </c>
      <c r="D242" s="293" t="s">
        <v>216</v>
      </c>
      <c r="E242" s="420" t="s">
        <v>573</v>
      </c>
      <c r="F242" s="414" t="s">
        <v>574</v>
      </c>
      <c r="G242" s="430"/>
      <c r="H242" s="420" t="s">
        <v>573</v>
      </c>
      <c r="I242" s="423"/>
    </row>
    <row r="243" spans="2:9" x14ac:dyDescent="0.3">
      <c r="B243" s="421" t="s">
        <v>607</v>
      </c>
      <c r="C243" s="403">
        <f>C238</f>
        <v>6.4685938252156934</v>
      </c>
      <c r="D243" s="422" t="s">
        <v>578</v>
      </c>
      <c r="E243" s="405">
        <f>I243</f>
        <v>11.86</v>
      </c>
      <c r="F243" s="415">
        <f t="shared" ref="F243:F245" si="91">ROUND(C243*E243,2)</f>
        <v>76.72</v>
      </c>
      <c r="G243" s="430"/>
      <c r="H243" s="405">
        <v>10.81</v>
      </c>
      <c r="I243" s="839">
        <f t="shared" si="81"/>
        <v>11.86</v>
      </c>
    </row>
    <row r="244" spans="2:9" x14ac:dyDescent="0.3">
      <c r="B244" s="421" t="s">
        <v>585</v>
      </c>
      <c r="C244" s="403">
        <v>5.33</v>
      </c>
      <c r="D244" s="422" t="s">
        <v>126</v>
      </c>
      <c r="E244" s="405">
        <f t="shared" ref="E244:E248" si="92">I244</f>
        <v>0.32</v>
      </c>
      <c r="F244" s="415">
        <f t="shared" si="91"/>
        <v>1.71</v>
      </c>
      <c r="G244" s="430"/>
      <c r="H244" s="405">
        <v>0.3</v>
      </c>
      <c r="I244" s="839">
        <f t="shared" si="81"/>
        <v>0.32</v>
      </c>
    </row>
    <row r="245" spans="2:9" ht="28.8" x14ac:dyDescent="0.3">
      <c r="B245" s="421" t="s">
        <v>626</v>
      </c>
      <c r="C245" s="403">
        <v>1.6</v>
      </c>
      <c r="D245" s="422" t="s">
        <v>570</v>
      </c>
      <c r="E245" s="405">
        <f t="shared" si="92"/>
        <v>27.35</v>
      </c>
      <c r="F245" s="415">
        <f t="shared" si="91"/>
        <v>43.76</v>
      </c>
      <c r="G245" s="430"/>
      <c r="H245" s="405">
        <v>24.93</v>
      </c>
      <c r="I245" s="839">
        <f t="shared" si="81"/>
        <v>27.35</v>
      </c>
    </row>
    <row r="246" spans="2:9" ht="28.8" x14ac:dyDescent="0.3">
      <c r="B246" s="421" t="s">
        <v>627</v>
      </c>
      <c r="C246" s="403">
        <v>0.8</v>
      </c>
      <c r="D246" s="422" t="s">
        <v>126</v>
      </c>
      <c r="E246" s="405">
        <f t="shared" si="92"/>
        <v>32.61</v>
      </c>
      <c r="F246" s="415">
        <f>ROUND(C246*E246,2)</f>
        <v>26.09</v>
      </c>
      <c r="G246" s="430"/>
      <c r="H246" s="405">
        <v>29.72</v>
      </c>
      <c r="I246" s="839">
        <f t="shared" si="81"/>
        <v>32.61</v>
      </c>
    </row>
    <row r="247" spans="2:9" ht="28.8" x14ac:dyDescent="0.3">
      <c r="B247" s="421" t="s">
        <v>636</v>
      </c>
      <c r="C247" s="403">
        <v>0.4</v>
      </c>
      <c r="D247" s="422" t="s">
        <v>570</v>
      </c>
      <c r="E247" s="405">
        <f t="shared" si="92"/>
        <v>70.73</v>
      </c>
      <c r="F247" s="415">
        <f t="shared" ref="F247" si="93">ROUND(C247*E247,2)</f>
        <v>28.29</v>
      </c>
      <c r="G247" s="430"/>
      <c r="H247" s="405">
        <v>64.459999999999994</v>
      </c>
      <c r="I247" s="839">
        <f t="shared" si="81"/>
        <v>70.73</v>
      </c>
    </row>
    <row r="248" spans="2:9" ht="28.8" x14ac:dyDescent="0.3">
      <c r="B248" s="421" t="s">
        <v>637</v>
      </c>
      <c r="C248" s="403">
        <v>0.2</v>
      </c>
      <c r="D248" s="422" t="s">
        <v>126</v>
      </c>
      <c r="E248" s="405">
        <f t="shared" si="92"/>
        <v>51.29</v>
      </c>
      <c r="F248" s="415">
        <f>ROUND(C248*E248,2)</f>
        <v>10.26</v>
      </c>
      <c r="G248" s="430"/>
      <c r="H248" s="405">
        <v>46.74</v>
      </c>
      <c r="I248" s="839">
        <f t="shared" si="81"/>
        <v>51.29</v>
      </c>
    </row>
    <row r="249" spans="2:9" x14ac:dyDescent="0.3">
      <c r="B249" s="762" t="s">
        <v>579</v>
      </c>
      <c r="C249" s="769">
        <v>0.22500000000000001</v>
      </c>
      <c r="D249" s="422"/>
      <c r="E249" s="423"/>
      <c r="F249" s="764">
        <f>ROUND(SUM(F243:F246)*C249,2)</f>
        <v>33.36</v>
      </c>
      <c r="G249" s="430"/>
      <c r="H249" s="423"/>
      <c r="I249" s="423"/>
    </row>
    <row r="250" spans="2:9" ht="15" thickBot="1" x14ac:dyDescent="0.35">
      <c r="B250" s="770" t="s">
        <v>592</v>
      </c>
      <c r="C250" s="771"/>
      <c r="D250" s="416"/>
      <c r="E250" s="417"/>
      <c r="F250" s="772">
        <f>ROUND(SUM(F243:F249),2)</f>
        <v>220.19</v>
      </c>
      <c r="G250" s="430"/>
      <c r="H250" s="423"/>
      <c r="I250" s="423"/>
    </row>
    <row r="251" spans="2:9" ht="15" thickBot="1" x14ac:dyDescent="0.35">
      <c r="B251" s="288"/>
      <c r="C251" s="288"/>
      <c r="D251" s="288"/>
      <c r="E251" s="288"/>
      <c r="F251" s="288"/>
      <c r="G251" s="430"/>
      <c r="H251" s="423"/>
      <c r="I251" s="423"/>
    </row>
    <row r="252" spans="2:9" x14ac:dyDescent="0.3">
      <c r="B252" s="418" t="s">
        <v>639</v>
      </c>
      <c r="C252" s="1124" t="s">
        <v>569</v>
      </c>
      <c r="D252" s="1124"/>
      <c r="E252" s="760" t="s">
        <v>570</v>
      </c>
      <c r="F252" s="761">
        <f>ROUND(F257+F265+F272,2)</f>
        <v>589.04</v>
      </c>
      <c r="G252" s="430"/>
      <c r="H252" s="423"/>
      <c r="I252" s="423"/>
    </row>
    <row r="253" spans="2:9" x14ac:dyDescent="0.3">
      <c r="B253" s="419" t="s">
        <v>571</v>
      </c>
      <c r="C253" s="293" t="s">
        <v>572</v>
      </c>
      <c r="D253" s="293" t="s">
        <v>216</v>
      </c>
      <c r="E253" s="420" t="s">
        <v>573</v>
      </c>
      <c r="F253" s="414" t="s">
        <v>574</v>
      </c>
      <c r="G253" s="430"/>
      <c r="H253" s="420" t="s">
        <v>573</v>
      </c>
      <c r="I253" s="423"/>
    </row>
    <row r="254" spans="2:9" x14ac:dyDescent="0.3">
      <c r="B254" s="421" t="s">
        <v>577</v>
      </c>
      <c r="C254" s="403">
        <v>3.63</v>
      </c>
      <c r="D254" s="422" t="s">
        <v>578</v>
      </c>
      <c r="E254" s="405">
        <f>I254</f>
        <v>8.06</v>
      </c>
      <c r="F254" s="415">
        <f t="shared" ref="F254" si="94">ROUND(C254*E254,2)</f>
        <v>29.26</v>
      </c>
      <c r="G254" s="430"/>
      <c r="H254" s="405">
        <v>7.35</v>
      </c>
      <c r="I254" s="839">
        <f t="shared" si="81"/>
        <v>8.06</v>
      </c>
    </row>
    <row r="255" spans="2:9" x14ac:dyDescent="0.3">
      <c r="B255" s="762" t="s">
        <v>593</v>
      </c>
      <c r="C255" s="763">
        <v>1.3295999999999999</v>
      </c>
      <c r="D255" s="422"/>
      <c r="E255" s="423"/>
      <c r="F255" s="764">
        <f>ROUND(SUM(F254:F254)*C255,2)</f>
        <v>38.9</v>
      </c>
      <c r="G255" s="430"/>
      <c r="H255" s="423"/>
      <c r="I255" s="423"/>
    </row>
    <row r="256" spans="2:9" x14ac:dyDescent="0.3">
      <c r="B256" s="762" t="s">
        <v>579</v>
      </c>
      <c r="C256" s="763">
        <v>0.22500000000000001</v>
      </c>
      <c r="D256" s="424"/>
      <c r="E256" s="423"/>
      <c r="F256" s="764">
        <f>ROUND(SUM(F254:F255)*C256,2)</f>
        <v>15.34</v>
      </c>
      <c r="G256" s="430"/>
      <c r="H256" s="423"/>
      <c r="I256" s="423"/>
    </row>
    <row r="257" spans="2:9" x14ac:dyDescent="0.3">
      <c r="B257" s="765" t="s">
        <v>580</v>
      </c>
      <c r="C257" s="425"/>
      <c r="D257" s="766"/>
      <c r="E257" s="767"/>
      <c r="F257" s="768">
        <f>ROUND(SUM(F254:F256),2)</f>
        <v>83.5</v>
      </c>
      <c r="G257" s="430"/>
      <c r="H257" s="423"/>
      <c r="I257" s="423"/>
    </row>
    <row r="258" spans="2:9" x14ac:dyDescent="0.3">
      <c r="B258" s="419" t="s">
        <v>581</v>
      </c>
      <c r="C258" s="293" t="s">
        <v>572</v>
      </c>
      <c r="D258" s="293" t="s">
        <v>216</v>
      </c>
      <c r="E258" s="420" t="s">
        <v>573</v>
      </c>
      <c r="F258" s="414" t="s">
        <v>574</v>
      </c>
      <c r="G258" s="430"/>
      <c r="H258" s="420" t="s">
        <v>573</v>
      </c>
      <c r="I258" s="423"/>
    </row>
    <row r="259" spans="2:9" x14ac:dyDescent="0.3">
      <c r="B259" s="421" t="s">
        <v>584</v>
      </c>
      <c r="C259" s="403">
        <v>0.15</v>
      </c>
      <c r="D259" s="422" t="s">
        <v>583</v>
      </c>
      <c r="E259" s="405">
        <f>I259</f>
        <v>76.45</v>
      </c>
      <c r="F259" s="415">
        <f t="shared" ref="F259:F263" si="95">ROUND(C259*E259,2)</f>
        <v>11.47</v>
      </c>
      <c r="G259" s="430"/>
      <c r="H259" s="405">
        <v>69.67</v>
      </c>
      <c r="I259" s="839">
        <f t="shared" si="81"/>
        <v>76.45</v>
      </c>
    </row>
    <row r="260" spans="2:9" ht="28.8" x14ac:dyDescent="0.3">
      <c r="B260" s="421" t="s">
        <v>606</v>
      </c>
      <c r="C260" s="403">
        <v>3.63</v>
      </c>
      <c r="D260" s="422" t="s">
        <v>578</v>
      </c>
      <c r="E260" s="405">
        <f t="shared" ref="E260:E263" si="96">I260</f>
        <v>18.16</v>
      </c>
      <c r="F260" s="415">
        <f t="shared" si="95"/>
        <v>65.92</v>
      </c>
      <c r="G260" s="430"/>
      <c r="H260" s="405">
        <v>16.55</v>
      </c>
      <c r="I260" s="839">
        <f t="shared" si="81"/>
        <v>18.16</v>
      </c>
    </row>
    <row r="261" spans="2:9" x14ac:dyDescent="0.3">
      <c r="B261" s="421" t="s">
        <v>577</v>
      </c>
      <c r="C261" s="403">
        <v>3.63</v>
      </c>
      <c r="D261" s="422" t="s">
        <v>578</v>
      </c>
      <c r="E261" s="405">
        <f t="shared" si="96"/>
        <v>0.43</v>
      </c>
      <c r="F261" s="415">
        <f t="shared" si="95"/>
        <v>1.56</v>
      </c>
      <c r="G261" s="430"/>
      <c r="H261" s="405">
        <v>0.4</v>
      </c>
      <c r="I261" s="839">
        <f t="shared" si="81"/>
        <v>0.43</v>
      </c>
    </row>
    <row r="262" spans="2:9" x14ac:dyDescent="0.3">
      <c r="B262" s="421" t="s">
        <v>611</v>
      </c>
      <c r="C262" s="403">
        <v>3.63</v>
      </c>
      <c r="D262" s="422" t="s">
        <v>578</v>
      </c>
      <c r="E262" s="405">
        <f t="shared" si="96"/>
        <v>11.42</v>
      </c>
      <c r="F262" s="415">
        <f t="shared" si="95"/>
        <v>41.45</v>
      </c>
      <c r="G262" s="430"/>
      <c r="H262" s="405">
        <v>10.41</v>
      </c>
      <c r="I262" s="839">
        <f t="shared" si="81"/>
        <v>11.42</v>
      </c>
    </row>
    <row r="263" spans="2:9" x14ac:dyDescent="0.3">
      <c r="B263" s="421" t="s">
        <v>585</v>
      </c>
      <c r="C263" s="431">
        <v>16</v>
      </c>
      <c r="D263" s="422" t="s">
        <v>126</v>
      </c>
      <c r="E263" s="405">
        <f t="shared" si="96"/>
        <v>0.32</v>
      </c>
      <c r="F263" s="415">
        <f t="shared" si="95"/>
        <v>5.12</v>
      </c>
      <c r="G263" s="430"/>
      <c r="H263" s="405">
        <v>0.3</v>
      </c>
      <c r="I263" s="839">
        <f t="shared" ref="I263:I293" si="97">TRUNC(H263*$I$66,2)</f>
        <v>0.32</v>
      </c>
    </row>
    <row r="264" spans="2:9" x14ac:dyDescent="0.3">
      <c r="B264" s="762" t="s">
        <v>579</v>
      </c>
      <c r="C264" s="763">
        <v>0.22500000000000001</v>
      </c>
      <c r="D264" s="422"/>
      <c r="E264" s="423"/>
      <c r="F264" s="764">
        <f>ROUND(SUM(F259:F263)*C264,2)</f>
        <v>28.24</v>
      </c>
      <c r="G264" s="430"/>
      <c r="H264" s="423"/>
      <c r="I264" s="423"/>
    </row>
    <row r="265" spans="2:9" x14ac:dyDescent="0.3">
      <c r="B265" s="765" t="s">
        <v>586</v>
      </c>
      <c r="C265" s="426"/>
      <c r="D265" s="427"/>
      <c r="E265" s="428"/>
      <c r="F265" s="768">
        <f>ROUND(SUM(F259:F264),2)</f>
        <v>153.76</v>
      </c>
      <c r="G265" s="430"/>
      <c r="H265" s="423"/>
      <c r="I265" s="423"/>
    </row>
    <row r="266" spans="2:9" x14ac:dyDescent="0.3">
      <c r="B266" s="419" t="s">
        <v>587</v>
      </c>
      <c r="C266" s="293" t="s">
        <v>572</v>
      </c>
      <c r="D266" s="293" t="s">
        <v>216</v>
      </c>
      <c r="E266" s="420" t="s">
        <v>573</v>
      </c>
      <c r="F266" s="414" t="s">
        <v>574</v>
      </c>
      <c r="G266" s="430"/>
      <c r="H266" s="420" t="s">
        <v>573</v>
      </c>
      <c r="I266" s="423"/>
    </row>
    <row r="267" spans="2:9" x14ac:dyDescent="0.3">
      <c r="B267" s="421" t="s">
        <v>607</v>
      </c>
      <c r="C267" s="403">
        <v>3.63</v>
      </c>
      <c r="D267" s="422" t="s">
        <v>578</v>
      </c>
      <c r="E267" s="405">
        <f>I267</f>
        <v>11.86</v>
      </c>
      <c r="F267" s="415">
        <f t="shared" ref="F267:F269" si="98">ROUND(C267*E267,2)</f>
        <v>43.05</v>
      </c>
      <c r="G267" s="430"/>
      <c r="H267" s="405">
        <v>10.81</v>
      </c>
      <c r="I267" s="839">
        <f t="shared" si="97"/>
        <v>11.86</v>
      </c>
    </row>
    <row r="268" spans="2:9" x14ac:dyDescent="0.3">
      <c r="B268" s="421" t="s">
        <v>585</v>
      </c>
      <c r="C268" s="431">
        <v>15</v>
      </c>
      <c r="D268" s="422" t="s">
        <v>126</v>
      </c>
      <c r="E268" s="405">
        <f t="shared" ref="E268:E270" si="99">I268</f>
        <v>0.32</v>
      </c>
      <c r="F268" s="415">
        <f t="shared" si="98"/>
        <v>4.8</v>
      </c>
      <c r="G268" s="430"/>
      <c r="H268" s="405">
        <v>0.3</v>
      </c>
      <c r="I268" s="839">
        <f t="shared" si="97"/>
        <v>0.32</v>
      </c>
    </row>
    <row r="269" spans="2:9" ht="28.8" x14ac:dyDescent="0.3">
      <c r="B269" s="421" t="s">
        <v>626</v>
      </c>
      <c r="C269" s="403">
        <v>1</v>
      </c>
      <c r="D269" s="422" t="s">
        <v>570</v>
      </c>
      <c r="E269" s="405">
        <f t="shared" si="99"/>
        <v>27.35</v>
      </c>
      <c r="F269" s="415">
        <f t="shared" si="98"/>
        <v>27.35</v>
      </c>
      <c r="G269" s="430"/>
      <c r="H269" s="405">
        <v>24.93</v>
      </c>
      <c r="I269" s="839">
        <f t="shared" si="97"/>
        <v>27.35</v>
      </c>
    </row>
    <row r="270" spans="2:9" ht="28.8" x14ac:dyDescent="0.3">
      <c r="B270" s="421" t="s">
        <v>624</v>
      </c>
      <c r="C270" s="403">
        <v>6.5</v>
      </c>
      <c r="D270" s="422" t="s">
        <v>126</v>
      </c>
      <c r="E270" s="405">
        <f t="shared" si="99"/>
        <v>32.61</v>
      </c>
      <c r="F270" s="415">
        <f>ROUND(C270*E270,2)</f>
        <v>211.97</v>
      </c>
      <c r="G270" s="430"/>
      <c r="H270" s="405">
        <v>29.72</v>
      </c>
      <c r="I270" s="839">
        <f t="shared" si="97"/>
        <v>32.61</v>
      </c>
    </row>
    <row r="271" spans="2:9" x14ac:dyDescent="0.3">
      <c r="B271" s="762" t="s">
        <v>579</v>
      </c>
      <c r="C271" s="769">
        <v>0.22500000000000001</v>
      </c>
      <c r="D271" s="422"/>
      <c r="E271" s="423"/>
      <c r="F271" s="764">
        <f>ROUND(SUM(F267:F270)*C271,2)</f>
        <v>64.61</v>
      </c>
      <c r="G271" s="430"/>
      <c r="H271" s="423"/>
      <c r="I271" s="423"/>
    </row>
    <row r="272" spans="2:9" ht="15" thickBot="1" x14ac:dyDescent="0.35">
      <c r="B272" s="770" t="s">
        <v>592</v>
      </c>
      <c r="C272" s="771"/>
      <c r="D272" s="416"/>
      <c r="E272" s="417"/>
      <c r="F272" s="772">
        <f>ROUND(SUM(F267:F271),2)</f>
        <v>351.78</v>
      </c>
      <c r="G272" s="430"/>
      <c r="H272" s="423"/>
      <c r="I272" s="423"/>
    </row>
    <row r="273" spans="2:9" ht="15" thickBot="1" x14ac:dyDescent="0.35">
      <c r="B273" s="288"/>
      <c r="C273" s="288"/>
      <c r="D273" s="288"/>
      <c r="E273" s="288"/>
      <c r="F273" s="288"/>
      <c r="G273" s="430"/>
      <c r="H273" s="423"/>
      <c r="I273" s="423"/>
    </row>
    <row r="274" spans="2:9" ht="28.8" x14ac:dyDescent="0.3">
      <c r="B274" s="418" t="s">
        <v>628</v>
      </c>
      <c r="C274" s="1124" t="s">
        <v>569</v>
      </c>
      <c r="D274" s="1124"/>
      <c r="E274" s="760" t="s">
        <v>570</v>
      </c>
      <c r="F274" s="761">
        <f>ROUND(F281+F287+F295,2)</f>
        <v>553.21</v>
      </c>
      <c r="G274" s="430"/>
      <c r="H274" s="423"/>
      <c r="I274" s="423"/>
    </row>
    <row r="275" spans="2:9" x14ac:dyDescent="0.3">
      <c r="B275" s="419" t="s">
        <v>571</v>
      </c>
      <c r="C275" s="293" t="s">
        <v>572</v>
      </c>
      <c r="D275" s="293" t="s">
        <v>216</v>
      </c>
      <c r="E275" s="420" t="s">
        <v>573</v>
      </c>
      <c r="F275" s="414" t="s">
        <v>574</v>
      </c>
      <c r="G275" s="430"/>
      <c r="H275" s="420" t="s">
        <v>573</v>
      </c>
      <c r="I275" s="423"/>
    </row>
    <row r="276" spans="2:9" x14ac:dyDescent="0.3">
      <c r="B276" s="421" t="s">
        <v>629</v>
      </c>
      <c r="C276" s="403">
        <f>0.4*16</f>
        <v>6.4</v>
      </c>
      <c r="D276" s="422" t="s">
        <v>609</v>
      </c>
      <c r="E276" s="405">
        <f>I276</f>
        <v>6.21</v>
      </c>
      <c r="F276" s="415">
        <f>ROUND(C276*E276,2)</f>
        <v>39.74</v>
      </c>
      <c r="G276" s="430"/>
      <c r="H276" s="405">
        <v>5.66</v>
      </c>
      <c r="I276" s="839">
        <f t="shared" si="97"/>
        <v>6.21</v>
      </c>
    </row>
    <row r="277" spans="2:9" x14ac:dyDescent="0.3">
      <c r="B277" s="421" t="s">
        <v>630</v>
      </c>
      <c r="C277" s="403">
        <f>0.4*16</f>
        <v>6.4</v>
      </c>
      <c r="D277" s="422" t="s">
        <v>609</v>
      </c>
      <c r="E277" s="405">
        <f t="shared" ref="E277:E278" si="100">I277</f>
        <v>8.5399999999999991</v>
      </c>
      <c r="F277" s="415">
        <f>ROUND(C277*E277,2)</f>
        <v>54.66</v>
      </c>
      <c r="G277" s="430"/>
      <c r="H277" s="405">
        <v>7.79</v>
      </c>
      <c r="I277" s="839">
        <f t="shared" si="97"/>
        <v>8.5399999999999991</v>
      </c>
    </row>
    <row r="278" spans="2:9" x14ac:dyDescent="0.3">
      <c r="B278" s="421" t="s">
        <v>577</v>
      </c>
      <c r="C278" s="403">
        <v>1.5900000000000003</v>
      </c>
      <c r="D278" s="422" t="s">
        <v>578</v>
      </c>
      <c r="E278" s="405">
        <f t="shared" si="100"/>
        <v>8.06</v>
      </c>
      <c r="F278" s="415">
        <f t="shared" ref="F278" si="101">ROUND(C278*E278,2)</f>
        <v>12.82</v>
      </c>
      <c r="G278" s="430"/>
      <c r="H278" s="405">
        <v>7.35</v>
      </c>
      <c r="I278" s="839">
        <f t="shared" si="97"/>
        <v>8.06</v>
      </c>
    </row>
    <row r="279" spans="2:9" x14ac:dyDescent="0.3">
      <c r="B279" s="762" t="s">
        <v>593</v>
      </c>
      <c r="C279" s="763">
        <v>1.3295999999999999</v>
      </c>
      <c r="D279" s="422"/>
      <c r="E279" s="423"/>
      <c r="F279" s="764">
        <f>ROUND(SUM(F276:F278)*C279,2)</f>
        <v>142.56</v>
      </c>
      <c r="G279" s="430"/>
      <c r="H279" s="423"/>
      <c r="I279" s="423"/>
    </row>
    <row r="280" spans="2:9" x14ac:dyDescent="0.3">
      <c r="B280" s="762" t="s">
        <v>579</v>
      </c>
      <c r="C280" s="763">
        <v>0.22500000000000001</v>
      </c>
      <c r="D280" s="424"/>
      <c r="E280" s="423"/>
      <c r="F280" s="764">
        <f>ROUND(SUM(F276:F279)*C280,2)</f>
        <v>56.2</v>
      </c>
      <c r="G280" s="430"/>
      <c r="H280" s="423"/>
      <c r="I280" s="423"/>
    </row>
    <row r="281" spans="2:9" x14ac:dyDescent="0.3">
      <c r="B281" s="765" t="s">
        <v>580</v>
      </c>
      <c r="C281" s="425"/>
      <c r="D281" s="766"/>
      <c r="E281" s="767"/>
      <c r="F281" s="768">
        <f>ROUND(SUM(F276:F280),2)</f>
        <v>305.98</v>
      </c>
      <c r="G281" s="430"/>
      <c r="H281" s="423"/>
      <c r="I281" s="423"/>
    </row>
    <row r="282" spans="2:9" x14ac:dyDescent="0.3">
      <c r="B282" s="419" t="s">
        <v>581</v>
      </c>
      <c r="C282" s="293" t="s">
        <v>572</v>
      </c>
      <c r="D282" s="293" t="s">
        <v>216</v>
      </c>
      <c r="E282" s="420" t="s">
        <v>573</v>
      </c>
      <c r="F282" s="414" t="s">
        <v>574</v>
      </c>
      <c r="G282" s="430"/>
      <c r="H282" s="420" t="s">
        <v>573</v>
      </c>
      <c r="I282" s="423"/>
    </row>
    <row r="283" spans="2:9" ht="28.8" x14ac:dyDescent="0.3">
      <c r="B283" s="421" t="s">
        <v>606</v>
      </c>
      <c r="C283" s="403">
        <v>4</v>
      </c>
      <c r="D283" s="422" t="s">
        <v>578</v>
      </c>
      <c r="E283" s="405">
        <f>I283</f>
        <v>18.16</v>
      </c>
      <c r="F283" s="415">
        <f t="shared" ref="F283:F285" si="102">ROUND(C283*E283,2)</f>
        <v>72.64</v>
      </c>
      <c r="G283" s="430"/>
      <c r="H283" s="405">
        <v>16.55</v>
      </c>
      <c r="I283" s="839">
        <f t="shared" si="97"/>
        <v>18.16</v>
      </c>
    </row>
    <row r="284" spans="2:9" x14ac:dyDescent="0.3">
      <c r="B284" s="421" t="s">
        <v>577</v>
      </c>
      <c r="C284" s="403">
        <v>1.5900000000000003</v>
      </c>
      <c r="D284" s="422" t="s">
        <v>578</v>
      </c>
      <c r="E284" s="405">
        <f t="shared" ref="E284:E285" si="103">I284</f>
        <v>0.43</v>
      </c>
      <c r="F284" s="415">
        <f t="shared" si="102"/>
        <v>0.68</v>
      </c>
      <c r="G284" s="430"/>
      <c r="H284" s="405">
        <v>0.4</v>
      </c>
      <c r="I284" s="839">
        <f t="shared" si="97"/>
        <v>0.43</v>
      </c>
    </row>
    <row r="285" spans="2:9" x14ac:dyDescent="0.3">
      <c r="B285" s="421" t="s">
        <v>607</v>
      </c>
      <c r="C285" s="403">
        <v>1.5900000000000003</v>
      </c>
      <c r="D285" s="422" t="s">
        <v>578</v>
      </c>
      <c r="E285" s="405">
        <f t="shared" si="103"/>
        <v>11.42</v>
      </c>
      <c r="F285" s="415">
        <f t="shared" si="102"/>
        <v>18.16</v>
      </c>
      <c r="G285" s="430"/>
      <c r="H285" s="405">
        <v>10.41</v>
      </c>
      <c r="I285" s="839">
        <f t="shared" si="97"/>
        <v>11.42</v>
      </c>
    </row>
    <row r="286" spans="2:9" x14ac:dyDescent="0.3">
      <c r="B286" s="762" t="s">
        <v>579</v>
      </c>
      <c r="C286" s="763">
        <v>0.22500000000000001</v>
      </c>
      <c r="D286" s="422"/>
      <c r="E286" s="423"/>
      <c r="F286" s="764">
        <f>ROUND(SUM(F283:F285)*C286,2)</f>
        <v>20.58</v>
      </c>
      <c r="G286" s="430"/>
      <c r="H286" s="423"/>
      <c r="I286" s="423"/>
    </row>
    <row r="287" spans="2:9" x14ac:dyDescent="0.3">
      <c r="B287" s="765" t="s">
        <v>586</v>
      </c>
      <c r="C287" s="426"/>
      <c r="D287" s="427"/>
      <c r="E287" s="428"/>
      <c r="F287" s="768">
        <f>ROUND(SUM(F283:F286),2)</f>
        <v>112.06</v>
      </c>
      <c r="G287" s="430"/>
      <c r="H287" s="423"/>
      <c r="I287" s="423"/>
    </row>
    <row r="288" spans="2:9" x14ac:dyDescent="0.3">
      <c r="B288" s="419" t="s">
        <v>587</v>
      </c>
      <c r="C288" s="293" t="s">
        <v>572</v>
      </c>
      <c r="D288" s="293" t="s">
        <v>216</v>
      </c>
      <c r="E288" s="420" t="s">
        <v>573</v>
      </c>
      <c r="F288" s="414" t="s">
        <v>574</v>
      </c>
      <c r="G288" s="430"/>
      <c r="H288" s="420" t="s">
        <v>573</v>
      </c>
      <c r="I288" s="423"/>
    </row>
    <row r="289" spans="2:9" x14ac:dyDescent="0.3">
      <c r="B289" s="421" t="s">
        <v>607</v>
      </c>
      <c r="C289" s="403">
        <v>1.5900000000000003</v>
      </c>
      <c r="D289" s="422" t="s">
        <v>578</v>
      </c>
      <c r="E289" s="405">
        <f>I289</f>
        <v>11.86</v>
      </c>
      <c r="F289" s="415">
        <f t="shared" ref="F289:F293" si="104">ROUND(C289*E289,2)</f>
        <v>18.86</v>
      </c>
      <c r="G289" s="430"/>
      <c r="H289" s="405">
        <v>10.81</v>
      </c>
      <c r="I289" s="839">
        <f t="shared" si="97"/>
        <v>11.86</v>
      </c>
    </row>
    <row r="290" spans="2:9" x14ac:dyDescent="0.3">
      <c r="B290" s="421" t="s">
        <v>631</v>
      </c>
      <c r="C290" s="403">
        <f>5*0.75</f>
        <v>3.75</v>
      </c>
      <c r="D290" s="422" t="s">
        <v>548</v>
      </c>
      <c r="E290" s="405">
        <f t="shared" ref="E290:E293" si="105">I290</f>
        <v>3.46</v>
      </c>
      <c r="F290" s="415">
        <f t="shared" si="104"/>
        <v>12.98</v>
      </c>
      <c r="G290" s="430"/>
      <c r="H290" s="405">
        <v>3.16</v>
      </c>
      <c r="I290" s="839">
        <f t="shared" si="97"/>
        <v>3.46</v>
      </c>
    </row>
    <row r="291" spans="2:9" x14ac:dyDescent="0.3">
      <c r="B291" s="421" t="s">
        <v>632</v>
      </c>
      <c r="C291" s="403">
        <f>(0.03*1.216+0.009255*6.5+0.02432*6.5)*0.4</f>
        <v>0.10188700000000001</v>
      </c>
      <c r="D291" s="422" t="s">
        <v>578</v>
      </c>
      <c r="E291" s="405">
        <f t="shared" si="105"/>
        <v>74.62</v>
      </c>
      <c r="F291" s="415">
        <f t="shared" si="104"/>
        <v>7.6</v>
      </c>
      <c r="G291" s="430"/>
      <c r="H291" s="405">
        <v>68</v>
      </c>
      <c r="I291" s="839">
        <f t="shared" si="97"/>
        <v>74.62</v>
      </c>
    </row>
    <row r="292" spans="2:9" x14ac:dyDescent="0.3">
      <c r="B292" s="421" t="s">
        <v>633</v>
      </c>
      <c r="C292" s="432">
        <f>(0.03*486+0.83*6.5+9.72*6.5)*0.4</f>
        <v>33.262</v>
      </c>
      <c r="D292" s="422" t="s">
        <v>548</v>
      </c>
      <c r="E292" s="405">
        <f t="shared" si="105"/>
        <v>0.49</v>
      </c>
      <c r="F292" s="415">
        <f t="shared" si="104"/>
        <v>16.3</v>
      </c>
      <c r="G292" s="430"/>
      <c r="H292" s="405">
        <v>0.45</v>
      </c>
      <c r="I292" s="839">
        <f t="shared" si="97"/>
        <v>0.49</v>
      </c>
    </row>
    <row r="293" spans="2:9" x14ac:dyDescent="0.3">
      <c r="B293" s="421" t="s">
        <v>634</v>
      </c>
      <c r="C293" s="432">
        <f>6.5*84*0.4</f>
        <v>218.4</v>
      </c>
      <c r="D293" s="422" t="s">
        <v>570</v>
      </c>
      <c r="E293" s="405">
        <f t="shared" si="105"/>
        <v>0.25</v>
      </c>
      <c r="F293" s="415">
        <f t="shared" si="104"/>
        <v>54.6</v>
      </c>
      <c r="G293" s="430"/>
      <c r="H293" s="405">
        <v>0.23</v>
      </c>
      <c r="I293" s="839">
        <f t="shared" si="97"/>
        <v>0.25</v>
      </c>
    </row>
    <row r="294" spans="2:9" x14ac:dyDescent="0.3">
      <c r="B294" s="762" t="s">
        <v>579</v>
      </c>
      <c r="C294" s="769">
        <v>0.22500000000000001</v>
      </c>
      <c r="D294" s="422"/>
      <c r="E294" s="423"/>
      <c r="F294" s="764">
        <f>ROUND(SUM(F289:F293)*C294,2)</f>
        <v>24.83</v>
      </c>
      <c r="G294" s="430"/>
      <c r="H294" s="423"/>
    </row>
    <row r="295" spans="2:9" ht="15" thickBot="1" x14ac:dyDescent="0.35">
      <c r="B295" s="770" t="s">
        <v>592</v>
      </c>
      <c r="C295" s="771"/>
      <c r="D295" s="416"/>
      <c r="E295" s="417"/>
      <c r="F295" s="772">
        <f>ROUND(SUM(F289:F294),2)</f>
        <v>135.16999999999999</v>
      </c>
      <c r="G295" s="430"/>
      <c r="H295" s="430"/>
    </row>
    <row r="296" spans="2:9" x14ac:dyDescent="0.3">
      <c r="G296" s="430"/>
    </row>
  </sheetData>
  <mergeCells count="11">
    <mergeCell ref="C204:D204"/>
    <mergeCell ref="C274:D274"/>
    <mergeCell ref="C228:D228"/>
    <mergeCell ref="C252:D252"/>
    <mergeCell ref="C152:D152"/>
    <mergeCell ref="C179:D179"/>
    <mergeCell ref="C124:D124"/>
    <mergeCell ref="B3:B4"/>
    <mergeCell ref="C3:C4"/>
    <mergeCell ref="C68:D68"/>
    <mergeCell ref="C98:D98"/>
  </mergeCells>
  <pageMargins left="0.511811024" right="0.511811024" top="0.78740157499999996" bottom="0.78740157499999996" header="0.31496062000000002" footer="0.31496062000000002"/>
  <pageSetup paperSize="8" scale="33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66438-41A4-4866-A116-99D7B720D82F}">
  <dimension ref="A1:AM97"/>
  <sheetViews>
    <sheetView workbookViewId="0">
      <selection activeCell="L22" sqref="L22"/>
    </sheetView>
  </sheetViews>
  <sheetFormatPr defaultRowHeight="14.4" x14ac:dyDescent="0.3"/>
  <cols>
    <col min="1" max="1" width="14.88671875" bestFit="1" customWidth="1"/>
    <col min="2" max="2" width="53" customWidth="1"/>
    <col min="3" max="3" width="8" customWidth="1"/>
    <col min="4" max="4" width="17.6640625" customWidth="1"/>
    <col min="5" max="38" width="16.6640625" customWidth="1"/>
    <col min="39" max="39" width="15.88671875" bestFit="1" customWidth="1"/>
  </cols>
  <sheetData>
    <row r="1" spans="1:39" x14ac:dyDescent="0.3">
      <c r="A1" s="318" t="s">
        <v>522</v>
      </c>
    </row>
    <row r="2" spans="1:39" x14ac:dyDescent="0.3">
      <c r="A2" s="147" t="s">
        <v>528</v>
      </c>
    </row>
    <row r="3" spans="1:39" x14ac:dyDescent="0.3">
      <c r="A3" s="222" t="s">
        <v>524</v>
      </c>
      <c r="B3" s="1120" t="s">
        <v>537</v>
      </c>
      <c r="C3" s="1120" t="s">
        <v>216</v>
      </c>
      <c r="D3" s="138">
        <f>'FCD PROJETO'!F23</f>
        <v>1</v>
      </c>
      <c r="E3" s="138">
        <f>'FCD PROJETO'!G23</f>
        <v>2</v>
      </c>
      <c r="F3" s="138">
        <f>'FCD PROJETO'!H23</f>
        <v>3</v>
      </c>
      <c r="G3" s="138">
        <f>'FCD PROJETO'!I23</f>
        <v>4</v>
      </c>
      <c r="H3" s="138">
        <f>'FCD PROJETO'!J23</f>
        <v>5</v>
      </c>
      <c r="I3" s="138">
        <f>'FCD PROJETO'!K23</f>
        <v>6</v>
      </c>
      <c r="J3" s="138">
        <f>'FCD PROJETO'!L23</f>
        <v>7</v>
      </c>
      <c r="K3" s="138">
        <f>'FCD PROJETO'!M23</f>
        <v>8</v>
      </c>
      <c r="L3" s="138">
        <f>'FCD PROJETO'!N23</f>
        <v>9</v>
      </c>
      <c r="M3" s="138">
        <f>'FCD PROJETO'!O23</f>
        <v>10</v>
      </c>
      <c r="N3" s="138">
        <f>'FCD PROJETO'!P23</f>
        <v>11</v>
      </c>
      <c r="O3" s="138">
        <f>'FCD PROJETO'!Q23</f>
        <v>12</v>
      </c>
      <c r="P3" s="138">
        <f>'FCD PROJETO'!R23</f>
        <v>13</v>
      </c>
      <c r="Q3" s="138">
        <f>'FCD PROJETO'!S23</f>
        <v>14</v>
      </c>
      <c r="R3" s="138">
        <f>'FCD PROJETO'!T23</f>
        <v>15</v>
      </c>
      <c r="S3" s="138">
        <f>'FCD PROJETO'!U23</f>
        <v>16</v>
      </c>
      <c r="T3" s="138">
        <f>'FCD PROJETO'!V23</f>
        <v>17</v>
      </c>
      <c r="U3" s="138">
        <f>'FCD PROJETO'!W23</f>
        <v>18</v>
      </c>
      <c r="V3" s="138">
        <f>'FCD PROJETO'!X23</f>
        <v>19</v>
      </c>
      <c r="W3" s="138">
        <f>'FCD PROJETO'!Y23</f>
        <v>20</v>
      </c>
      <c r="X3" s="138">
        <f>'FCD PROJETO'!Z23</f>
        <v>21</v>
      </c>
      <c r="Y3" s="138">
        <f>'FCD PROJETO'!AA23</f>
        <v>22</v>
      </c>
      <c r="Z3" s="138">
        <f>'FCD PROJETO'!AB23</f>
        <v>23</v>
      </c>
      <c r="AA3" s="138">
        <f>'FCD PROJETO'!AC23</f>
        <v>24</v>
      </c>
      <c r="AB3" s="138">
        <f>'FCD PROJETO'!AD23</f>
        <v>25</v>
      </c>
      <c r="AC3" s="138">
        <f>'FCD PROJETO'!AE23</f>
        <v>26</v>
      </c>
      <c r="AD3" s="138">
        <f>'FCD PROJETO'!AF23</f>
        <v>27</v>
      </c>
      <c r="AE3" s="138">
        <f>'FCD PROJETO'!AG23</f>
        <v>28</v>
      </c>
      <c r="AF3" s="138">
        <f>'FCD PROJETO'!AH23</f>
        <v>29</v>
      </c>
      <c r="AG3" s="138">
        <f>'FCD PROJETO'!AI23</f>
        <v>30</v>
      </c>
      <c r="AH3" s="138">
        <f>'FCD PROJETO'!AJ23</f>
        <v>31</v>
      </c>
      <c r="AI3" s="138">
        <f>'FCD PROJETO'!AK23</f>
        <v>32</v>
      </c>
      <c r="AJ3" s="138">
        <f>'FCD PROJETO'!AL23</f>
        <v>33</v>
      </c>
      <c r="AK3" s="138">
        <f>'FCD PROJETO'!AM23</f>
        <v>34</v>
      </c>
      <c r="AL3" s="138">
        <f>'FCD PROJETO'!AN23</f>
        <v>35</v>
      </c>
    </row>
    <row r="4" spans="1:39" x14ac:dyDescent="0.3">
      <c r="B4" s="1120"/>
      <c r="C4" s="1120"/>
      <c r="D4" s="138">
        <f>Cronograma!C4</f>
        <v>2027</v>
      </c>
      <c r="E4" s="138">
        <f>Cronograma!D4</f>
        <v>2028</v>
      </c>
      <c r="F4" s="138">
        <f>Cronograma!E4</f>
        <v>2029</v>
      </c>
      <c r="G4" s="138">
        <f>Cronograma!F4</f>
        <v>2030</v>
      </c>
      <c r="H4" s="138">
        <f>Cronograma!G4</f>
        <v>2031</v>
      </c>
      <c r="I4" s="138">
        <f>Cronograma!H4</f>
        <v>2032</v>
      </c>
      <c r="J4" s="138">
        <f>Cronograma!I4</f>
        <v>2033</v>
      </c>
      <c r="K4" s="138">
        <f>Cronograma!J4</f>
        <v>2034</v>
      </c>
      <c r="L4" s="138">
        <f>Cronograma!K4</f>
        <v>2035</v>
      </c>
      <c r="M4" s="138">
        <f>Cronograma!L4</f>
        <v>2036</v>
      </c>
      <c r="N4" s="138">
        <f>Cronograma!M4</f>
        <v>2037</v>
      </c>
      <c r="O4" s="138">
        <f>Cronograma!N4</f>
        <v>2038</v>
      </c>
      <c r="P4" s="138">
        <f>Cronograma!O4</f>
        <v>2039</v>
      </c>
      <c r="Q4" s="138">
        <f>Cronograma!P4</f>
        <v>2040</v>
      </c>
      <c r="R4" s="138">
        <f>Cronograma!Q4</f>
        <v>2041</v>
      </c>
      <c r="S4" s="138">
        <f>Cronograma!R4</f>
        <v>2042</v>
      </c>
      <c r="T4" s="138">
        <f>Cronograma!S4</f>
        <v>2043</v>
      </c>
      <c r="U4" s="138">
        <f>Cronograma!T4</f>
        <v>2044</v>
      </c>
      <c r="V4" s="138">
        <f>Cronograma!U4</f>
        <v>2045</v>
      </c>
      <c r="W4" s="138">
        <f>Cronograma!V4</f>
        <v>2046</v>
      </c>
      <c r="X4" s="138">
        <f>Cronograma!W4</f>
        <v>2047</v>
      </c>
      <c r="Y4" s="138">
        <f>Cronograma!X4</f>
        <v>2048</v>
      </c>
      <c r="Z4" s="138">
        <f>Cronograma!Y4</f>
        <v>2049</v>
      </c>
      <c r="AA4" s="138">
        <f>Cronograma!Z4</f>
        <v>2050</v>
      </c>
      <c r="AB4" s="138">
        <f>Cronograma!AA4</f>
        <v>2051</v>
      </c>
      <c r="AC4" s="138">
        <f>Cronograma!AB4</f>
        <v>2052</v>
      </c>
      <c r="AD4" s="138">
        <f>Cronograma!AC4</f>
        <v>2053</v>
      </c>
      <c r="AE4" s="138">
        <f>Cronograma!AD4</f>
        <v>2054</v>
      </c>
      <c r="AF4" s="138">
        <f>Cronograma!AE4</f>
        <v>2055</v>
      </c>
      <c r="AG4" s="138">
        <f>Cronograma!AF4</f>
        <v>2056</v>
      </c>
      <c r="AH4" s="138">
        <f>Cronograma!AG4</f>
        <v>2057</v>
      </c>
      <c r="AI4" s="138">
        <f>Cronograma!AH4</f>
        <v>2058</v>
      </c>
      <c r="AJ4" s="138">
        <f>Cronograma!AI4</f>
        <v>2059</v>
      </c>
      <c r="AK4" s="138">
        <f>Cronograma!AJ4</f>
        <v>2060</v>
      </c>
      <c r="AL4" s="138">
        <f>Cronograma!AK4</f>
        <v>2061</v>
      </c>
    </row>
    <row r="5" spans="1:39" x14ac:dyDescent="0.3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9" x14ac:dyDescent="0.3">
      <c r="B6" s="389" t="s">
        <v>540</v>
      </c>
      <c r="C6" s="390" t="s">
        <v>216</v>
      </c>
      <c r="D6" s="253">
        <f>'Manut Rede'!D46</f>
        <v>1</v>
      </c>
      <c r="E6" s="253">
        <f>'Manut Rede'!E46</f>
        <v>1</v>
      </c>
      <c r="F6" s="253">
        <f>'Manut Rede'!F46</f>
        <v>1</v>
      </c>
      <c r="G6" s="253">
        <f>'Manut Rede'!G46</f>
        <v>1</v>
      </c>
      <c r="H6" s="253">
        <f>'Manut Rede'!H46</f>
        <v>1</v>
      </c>
      <c r="I6" s="253">
        <f>'Manut Rede'!I46</f>
        <v>1</v>
      </c>
      <c r="J6" s="253">
        <f>'Manut Rede'!J46</f>
        <v>1</v>
      </c>
      <c r="K6" s="253">
        <f>'Manut Rede'!K46</f>
        <v>1</v>
      </c>
      <c r="L6" s="253">
        <f>'Manut Rede'!L46</f>
        <v>1</v>
      </c>
      <c r="M6" s="253">
        <f>'Manut Rede'!M46</f>
        <v>1</v>
      </c>
      <c r="N6" s="253">
        <f>'Manut Rede'!N46</f>
        <v>1</v>
      </c>
      <c r="O6" s="253">
        <f>'Manut Rede'!O46</f>
        <v>1</v>
      </c>
      <c r="P6" s="253">
        <f>'Manut Rede'!P46</f>
        <v>1</v>
      </c>
      <c r="Q6" s="253">
        <f>'Manut Rede'!Q46</f>
        <v>1</v>
      </c>
      <c r="R6" s="253">
        <f>'Manut Rede'!R46</f>
        <v>1</v>
      </c>
      <c r="S6" s="253">
        <f>'Manut Rede'!S46</f>
        <v>1</v>
      </c>
      <c r="T6" s="253">
        <f>'Manut Rede'!T46</f>
        <v>1</v>
      </c>
      <c r="U6" s="253">
        <f>'Manut Rede'!U46</f>
        <v>1</v>
      </c>
      <c r="V6" s="253">
        <f>'Manut Rede'!V46</f>
        <v>1</v>
      </c>
      <c r="W6" s="253">
        <f>'Manut Rede'!W46</f>
        <v>1</v>
      </c>
      <c r="X6" s="253">
        <f>'Manut Rede'!X46</f>
        <v>1</v>
      </c>
      <c r="Y6" s="253">
        <f>'Manut Rede'!Y46</f>
        <v>1</v>
      </c>
      <c r="Z6" s="253">
        <f>'Manut Rede'!Z46</f>
        <v>1</v>
      </c>
      <c r="AA6" s="253">
        <f>'Manut Rede'!AA46</f>
        <v>1</v>
      </c>
      <c r="AB6" s="253">
        <f>'Manut Rede'!AB46</f>
        <v>1</v>
      </c>
      <c r="AC6" s="253">
        <f>'Manut Rede'!AC46</f>
        <v>1</v>
      </c>
      <c r="AD6" s="253">
        <f>'Manut Rede'!AD46</f>
        <v>1</v>
      </c>
      <c r="AE6" s="253">
        <f>'Manut Rede'!AE46</f>
        <v>1</v>
      </c>
      <c r="AF6" s="253">
        <f>'Manut Rede'!AF46</f>
        <v>1</v>
      </c>
      <c r="AG6" s="253">
        <f>'Manut Rede'!AG46</f>
        <v>1</v>
      </c>
      <c r="AH6" s="253">
        <f>'Manut Rede'!AH46</f>
        <v>1</v>
      </c>
      <c r="AI6" s="253">
        <f>'Manut Rede'!AI46</f>
        <v>1</v>
      </c>
      <c r="AJ6" s="253">
        <f>'Manut Rede'!AJ46</f>
        <v>1</v>
      </c>
      <c r="AK6" s="253">
        <f>'Manut Rede'!AK46</f>
        <v>1</v>
      </c>
      <c r="AL6" s="253">
        <f>'Manut Rede'!AL46</f>
        <v>1</v>
      </c>
    </row>
    <row r="7" spans="1:39" x14ac:dyDescent="0.3">
      <c r="A7" s="86"/>
      <c r="B7" s="389" t="s">
        <v>442</v>
      </c>
      <c r="C7" s="390" t="s">
        <v>216</v>
      </c>
      <c r="D7" s="253">
        <f>'Manut Rede'!D47</f>
        <v>1</v>
      </c>
      <c r="E7" s="253">
        <f>'Manut Rede'!E47</f>
        <v>1</v>
      </c>
      <c r="F7" s="253">
        <f>'Manut Rede'!F47</f>
        <v>1</v>
      </c>
      <c r="G7" s="253">
        <f>'Manut Rede'!G47</f>
        <v>1</v>
      </c>
      <c r="H7" s="253">
        <f>'Manut Rede'!H47</f>
        <v>2</v>
      </c>
      <c r="I7" s="253">
        <f>'Manut Rede'!I47</f>
        <v>2</v>
      </c>
      <c r="J7" s="253">
        <f>'Manut Rede'!J47</f>
        <v>2</v>
      </c>
      <c r="K7" s="253">
        <f>'Manut Rede'!K47</f>
        <v>2</v>
      </c>
      <c r="L7" s="253">
        <f>'Manut Rede'!L47</f>
        <v>2</v>
      </c>
      <c r="M7" s="253">
        <f>'Manut Rede'!M47</f>
        <v>3</v>
      </c>
      <c r="N7" s="253">
        <f>'Manut Rede'!N47</f>
        <v>3</v>
      </c>
      <c r="O7" s="253">
        <f>'Manut Rede'!O47</f>
        <v>3</v>
      </c>
      <c r="P7" s="253">
        <f>'Manut Rede'!P47</f>
        <v>3</v>
      </c>
      <c r="Q7" s="253">
        <f>'Manut Rede'!Q47</f>
        <v>3</v>
      </c>
      <c r="R7" s="253">
        <f>'Manut Rede'!R47</f>
        <v>3</v>
      </c>
      <c r="S7" s="253">
        <f>'Manut Rede'!S47</f>
        <v>3</v>
      </c>
      <c r="T7" s="253">
        <f>'Manut Rede'!T47</f>
        <v>3</v>
      </c>
      <c r="U7" s="253">
        <f>'Manut Rede'!U47</f>
        <v>3</v>
      </c>
      <c r="V7" s="253">
        <f>'Manut Rede'!V47</f>
        <v>3</v>
      </c>
      <c r="W7" s="253">
        <f>'Manut Rede'!W47</f>
        <v>3</v>
      </c>
      <c r="X7" s="253">
        <f>'Manut Rede'!X47</f>
        <v>3</v>
      </c>
      <c r="Y7" s="253">
        <f>'Manut Rede'!Y47</f>
        <v>3</v>
      </c>
      <c r="Z7" s="253">
        <f>'Manut Rede'!Z47</f>
        <v>3</v>
      </c>
      <c r="AA7" s="253">
        <f>'Manut Rede'!AA47</f>
        <v>3</v>
      </c>
      <c r="AB7" s="253">
        <f>'Manut Rede'!AB47</f>
        <v>3</v>
      </c>
      <c r="AC7" s="253">
        <f>'Manut Rede'!AC47</f>
        <v>3</v>
      </c>
      <c r="AD7" s="253">
        <f>'Manut Rede'!AD47</f>
        <v>4</v>
      </c>
      <c r="AE7" s="253">
        <f>'Manut Rede'!AE47</f>
        <v>4</v>
      </c>
      <c r="AF7" s="253">
        <f>'Manut Rede'!AF47</f>
        <v>4</v>
      </c>
      <c r="AG7" s="253">
        <f>'Manut Rede'!AG47</f>
        <v>4</v>
      </c>
      <c r="AH7" s="253">
        <f>'Manut Rede'!AH47</f>
        <v>4</v>
      </c>
      <c r="AI7" s="253">
        <f>'Manut Rede'!AI47</f>
        <v>4</v>
      </c>
      <c r="AJ7" s="253">
        <f>'Manut Rede'!AJ47</f>
        <v>4</v>
      </c>
      <c r="AK7" s="253">
        <f>'Manut Rede'!AK47</f>
        <v>4</v>
      </c>
      <c r="AL7" s="253">
        <f>'Manut Rede'!AL47</f>
        <v>4</v>
      </c>
    </row>
    <row r="8" spans="1:39" x14ac:dyDescent="0.3">
      <c r="A8" s="86"/>
      <c r="B8" s="389" t="s">
        <v>441</v>
      </c>
      <c r="C8" s="390" t="s">
        <v>216</v>
      </c>
      <c r="D8" s="253">
        <f>'Manut Rede'!D48</f>
        <v>2</v>
      </c>
      <c r="E8" s="253">
        <f>'Manut Rede'!E48</f>
        <v>2</v>
      </c>
      <c r="F8" s="253">
        <f>'Manut Rede'!F48</f>
        <v>2</v>
      </c>
      <c r="G8" s="253">
        <f>'Manut Rede'!G48</f>
        <v>2</v>
      </c>
      <c r="H8" s="253">
        <f>'Manut Rede'!H48</f>
        <v>2</v>
      </c>
      <c r="I8" s="253">
        <f>'Manut Rede'!I48</f>
        <v>2</v>
      </c>
      <c r="J8" s="253">
        <f>'Manut Rede'!J48</f>
        <v>2</v>
      </c>
      <c r="K8" s="253">
        <f>'Manut Rede'!K48</f>
        <v>2</v>
      </c>
      <c r="L8" s="253">
        <f>'Manut Rede'!L48</f>
        <v>2</v>
      </c>
      <c r="M8" s="253">
        <f>'Manut Rede'!M48</f>
        <v>2</v>
      </c>
      <c r="N8" s="253">
        <f>'Manut Rede'!N48</f>
        <v>2</v>
      </c>
      <c r="O8" s="253">
        <f>'Manut Rede'!O48</f>
        <v>2</v>
      </c>
      <c r="P8" s="253">
        <f>'Manut Rede'!P48</f>
        <v>2</v>
      </c>
      <c r="Q8" s="253">
        <f>'Manut Rede'!Q48</f>
        <v>2</v>
      </c>
      <c r="R8" s="253">
        <f>'Manut Rede'!R48</f>
        <v>2</v>
      </c>
      <c r="S8" s="253">
        <f>'Manut Rede'!S48</f>
        <v>2</v>
      </c>
      <c r="T8" s="253">
        <f>'Manut Rede'!T48</f>
        <v>2</v>
      </c>
      <c r="U8" s="253">
        <f>'Manut Rede'!U48</f>
        <v>3</v>
      </c>
      <c r="V8" s="253">
        <f>'Manut Rede'!V48</f>
        <v>3</v>
      </c>
      <c r="W8" s="253">
        <f>'Manut Rede'!W48</f>
        <v>3</v>
      </c>
      <c r="X8" s="253">
        <f>'Manut Rede'!X48</f>
        <v>3</v>
      </c>
      <c r="Y8" s="253">
        <f>'Manut Rede'!Y48</f>
        <v>3</v>
      </c>
      <c r="Z8" s="253">
        <f>'Manut Rede'!Z48</f>
        <v>3</v>
      </c>
      <c r="AA8" s="253">
        <f>'Manut Rede'!AA48</f>
        <v>3</v>
      </c>
      <c r="AB8" s="253">
        <f>'Manut Rede'!AB48</f>
        <v>3</v>
      </c>
      <c r="AC8" s="253">
        <f>'Manut Rede'!AC48</f>
        <v>3</v>
      </c>
      <c r="AD8" s="253">
        <f>'Manut Rede'!AD48</f>
        <v>3</v>
      </c>
      <c r="AE8" s="253">
        <f>'Manut Rede'!AE48</f>
        <v>3</v>
      </c>
      <c r="AF8" s="253">
        <f>'Manut Rede'!AF48</f>
        <v>3</v>
      </c>
      <c r="AG8" s="253">
        <f>'Manut Rede'!AG48</f>
        <v>3</v>
      </c>
      <c r="AH8" s="253">
        <f>'Manut Rede'!AH48</f>
        <v>3</v>
      </c>
      <c r="AI8" s="253">
        <f>'Manut Rede'!AI48</f>
        <v>3</v>
      </c>
      <c r="AJ8" s="253">
        <f>'Manut Rede'!AJ48</f>
        <v>3</v>
      </c>
      <c r="AK8" s="253">
        <f>'Manut Rede'!AK48</f>
        <v>3</v>
      </c>
      <c r="AL8" s="253">
        <f>'Manut Rede'!AL48</f>
        <v>3</v>
      </c>
    </row>
    <row r="9" spans="1:39" x14ac:dyDescent="0.3">
      <c r="A9" s="86"/>
      <c r="B9" s="389" t="s">
        <v>439</v>
      </c>
      <c r="C9" s="390" t="s">
        <v>216</v>
      </c>
      <c r="D9" s="253">
        <f>'Manut Rede'!D49</f>
        <v>1</v>
      </c>
      <c r="E9" s="253">
        <f>'Manut Rede'!E49</f>
        <v>1</v>
      </c>
      <c r="F9" s="253">
        <f>'Manut Rede'!F49</f>
        <v>1</v>
      </c>
      <c r="G9" s="253">
        <f>'Manut Rede'!G49</f>
        <v>1</v>
      </c>
      <c r="H9" s="253">
        <f>'Manut Rede'!H49</f>
        <v>1</v>
      </c>
      <c r="I9" s="253">
        <f>'Manut Rede'!I49</f>
        <v>1</v>
      </c>
      <c r="J9" s="253">
        <f>'Manut Rede'!J49</f>
        <v>1</v>
      </c>
      <c r="K9" s="253">
        <f>'Manut Rede'!K49</f>
        <v>1</v>
      </c>
      <c r="L9" s="253">
        <f>'Manut Rede'!L49</f>
        <v>1</v>
      </c>
      <c r="M9" s="253">
        <f>'Manut Rede'!M49</f>
        <v>1</v>
      </c>
      <c r="N9" s="253">
        <f>'Manut Rede'!N49</f>
        <v>1</v>
      </c>
      <c r="O9" s="253">
        <f>'Manut Rede'!O49</f>
        <v>1</v>
      </c>
      <c r="P9" s="253">
        <f>'Manut Rede'!P49</f>
        <v>1</v>
      </c>
      <c r="Q9" s="253">
        <f>'Manut Rede'!Q49</f>
        <v>1</v>
      </c>
      <c r="R9" s="253">
        <f>'Manut Rede'!R49</f>
        <v>1</v>
      </c>
      <c r="S9" s="253">
        <f>'Manut Rede'!S49</f>
        <v>1</v>
      </c>
      <c r="T9" s="253">
        <f>'Manut Rede'!T49</f>
        <v>1</v>
      </c>
      <c r="U9" s="253">
        <f>'Manut Rede'!U49</f>
        <v>1</v>
      </c>
      <c r="V9" s="253">
        <f>'Manut Rede'!V49</f>
        <v>1</v>
      </c>
      <c r="W9" s="253">
        <f>'Manut Rede'!W49</f>
        <v>1</v>
      </c>
      <c r="X9" s="253">
        <f>'Manut Rede'!X49</f>
        <v>1</v>
      </c>
      <c r="Y9" s="253">
        <f>'Manut Rede'!Y49</f>
        <v>1</v>
      </c>
      <c r="Z9" s="253">
        <f>'Manut Rede'!Z49</f>
        <v>1</v>
      </c>
      <c r="AA9" s="253">
        <f>'Manut Rede'!AA49</f>
        <v>1</v>
      </c>
      <c r="AB9" s="253">
        <f>'Manut Rede'!AB49</f>
        <v>1</v>
      </c>
      <c r="AC9" s="253">
        <f>'Manut Rede'!AC49</f>
        <v>1</v>
      </c>
      <c r="AD9" s="253">
        <f>'Manut Rede'!AD49</f>
        <v>1</v>
      </c>
      <c r="AE9" s="253">
        <f>'Manut Rede'!AE49</f>
        <v>1</v>
      </c>
      <c r="AF9" s="253">
        <f>'Manut Rede'!AF49</f>
        <v>1</v>
      </c>
      <c r="AG9" s="253">
        <f>'Manut Rede'!AG49</f>
        <v>1</v>
      </c>
      <c r="AH9" s="253">
        <f>'Manut Rede'!AH49</f>
        <v>1</v>
      </c>
      <c r="AI9" s="253">
        <f>'Manut Rede'!AI49</f>
        <v>1</v>
      </c>
      <c r="AJ9" s="253">
        <f>'Manut Rede'!AJ49</f>
        <v>1</v>
      </c>
      <c r="AK9" s="253">
        <f>'Manut Rede'!AK49</f>
        <v>1</v>
      </c>
      <c r="AL9" s="253">
        <f>'Manut Rede'!AL49</f>
        <v>1</v>
      </c>
    </row>
    <row r="10" spans="1:39" x14ac:dyDescent="0.3">
      <c r="A10" s="86"/>
      <c r="B10" s="389" t="s">
        <v>440</v>
      </c>
      <c r="C10" s="390" t="s">
        <v>216</v>
      </c>
      <c r="D10" s="253">
        <f>'Manut Rede'!D50</f>
        <v>1</v>
      </c>
      <c r="E10" s="253">
        <f>'Manut Rede'!E50</f>
        <v>1</v>
      </c>
      <c r="F10" s="253">
        <f>'Manut Rede'!F50</f>
        <v>1</v>
      </c>
      <c r="G10" s="253">
        <f>'Manut Rede'!G50</f>
        <v>1</v>
      </c>
      <c r="H10" s="253">
        <f>'Manut Rede'!H50</f>
        <v>1</v>
      </c>
      <c r="I10" s="253">
        <f>'Manut Rede'!I50</f>
        <v>1</v>
      </c>
      <c r="J10" s="253">
        <f>'Manut Rede'!J50</f>
        <v>1</v>
      </c>
      <c r="K10" s="253">
        <f>'Manut Rede'!K50</f>
        <v>1</v>
      </c>
      <c r="L10" s="253">
        <f>'Manut Rede'!L50</f>
        <v>1</v>
      </c>
      <c r="M10" s="253">
        <f>'Manut Rede'!M50</f>
        <v>1</v>
      </c>
      <c r="N10" s="253">
        <f>'Manut Rede'!N50</f>
        <v>1</v>
      </c>
      <c r="O10" s="253">
        <f>'Manut Rede'!O50</f>
        <v>1</v>
      </c>
      <c r="P10" s="253">
        <f>'Manut Rede'!P50</f>
        <v>1</v>
      </c>
      <c r="Q10" s="253">
        <f>'Manut Rede'!Q50</f>
        <v>1</v>
      </c>
      <c r="R10" s="253">
        <f>'Manut Rede'!R50</f>
        <v>1</v>
      </c>
      <c r="S10" s="253">
        <f>'Manut Rede'!S50</f>
        <v>1</v>
      </c>
      <c r="T10" s="253">
        <f>'Manut Rede'!T50</f>
        <v>1</v>
      </c>
      <c r="U10" s="253">
        <f>'Manut Rede'!U50</f>
        <v>1</v>
      </c>
      <c r="V10" s="253">
        <f>'Manut Rede'!V50</f>
        <v>1</v>
      </c>
      <c r="W10" s="253">
        <f>'Manut Rede'!W50</f>
        <v>1</v>
      </c>
      <c r="X10" s="253">
        <f>'Manut Rede'!X50</f>
        <v>1</v>
      </c>
      <c r="Y10" s="253">
        <f>'Manut Rede'!Y50</f>
        <v>1</v>
      </c>
      <c r="Z10" s="253">
        <f>'Manut Rede'!Z50</f>
        <v>1</v>
      </c>
      <c r="AA10" s="253">
        <f>'Manut Rede'!AA50</f>
        <v>1</v>
      </c>
      <c r="AB10" s="253">
        <f>'Manut Rede'!AB50</f>
        <v>1</v>
      </c>
      <c r="AC10" s="253">
        <f>'Manut Rede'!AC50</f>
        <v>1</v>
      </c>
      <c r="AD10" s="253">
        <f>'Manut Rede'!AD50</f>
        <v>1</v>
      </c>
      <c r="AE10" s="253">
        <f>'Manut Rede'!AE50</f>
        <v>1</v>
      </c>
      <c r="AF10" s="253">
        <f>'Manut Rede'!AF50</f>
        <v>1</v>
      </c>
      <c r="AG10" s="253">
        <f>'Manut Rede'!AG50</f>
        <v>1</v>
      </c>
      <c r="AH10" s="253">
        <f>'Manut Rede'!AH50</f>
        <v>1</v>
      </c>
      <c r="AI10" s="253">
        <f>'Manut Rede'!AI50</f>
        <v>1</v>
      </c>
      <c r="AJ10" s="253">
        <f>'Manut Rede'!AJ50</f>
        <v>1</v>
      </c>
      <c r="AK10" s="253">
        <f>'Manut Rede'!AK50</f>
        <v>1</v>
      </c>
      <c r="AL10" s="253">
        <f>'Manut Rede'!AL50</f>
        <v>1</v>
      </c>
    </row>
    <row r="11" spans="1:39" x14ac:dyDescent="0.3">
      <c r="A11" s="86"/>
      <c r="B11" s="389" t="s">
        <v>438</v>
      </c>
      <c r="C11" s="390" t="s">
        <v>216</v>
      </c>
      <c r="D11" s="253">
        <f>'Manut Rede'!D51</f>
        <v>1</v>
      </c>
      <c r="E11" s="253">
        <f>'Manut Rede'!E51</f>
        <v>1</v>
      </c>
      <c r="F11" s="253">
        <f>'Manut Rede'!F51</f>
        <v>1</v>
      </c>
      <c r="G11" s="253">
        <f>'Manut Rede'!G51</f>
        <v>1</v>
      </c>
      <c r="H11" s="253">
        <f>'Manut Rede'!H51</f>
        <v>1</v>
      </c>
      <c r="I11" s="253">
        <f>'Manut Rede'!I51</f>
        <v>2</v>
      </c>
      <c r="J11" s="253">
        <f>'Manut Rede'!J51</f>
        <v>2</v>
      </c>
      <c r="K11" s="253">
        <f>'Manut Rede'!K51</f>
        <v>2</v>
      </c>
      <c r="L11" s="253">
        <f>'Manut Rede'!L51</f>
        <v>2</v>
      </c>
      <c r="M11" s="253">
        <f>'Manut Rede'!M51</f>
        <v>3</v>
      </c>
      <c r="N11" s="253">
        <f>'Manut Rede'!N51</f>
        <v>3</v>
      </c>
      <c r="O11" s="253">
        <f>'Manut Rede'!O51</f>
        <v>3</v>
      </c>
      <c r="P11" s="253">
        <f>'Manut Rede'!P51</f>
        <v>3</v>
      </c>
      <c r="Q11" s="253">
        <f>'Manut Rede'!Q51</f>
        <v>3</v>
      </c>
      <c r="R11" s="253">
        <f>'Manut Rede'!R51</f>
        <v>3</v>
      </c>
      <c r="S11" s="253">
        <f>'Manut Rede'!S51</f>
        <v>3</v>
      </c>
      <c r="T11" s="253">
        <f>'Manut Rede'!T51</f>
        <v>3</v>
      </c>
      <c r="U11" s="253">
        <f>'Manut Rede'!U51</f>
        <v>4</v>
      </c>
      <c r="V11" s="253">
        <f>'Manut Rede'!V51</f>
        <v>4</v>
      </c>
      <c r="W11" s="253">
        <f>'Manut Rede'!W51</f>
        <v>4</v>
      </c>
      <c r="X11" s="253">
        <f>'Manut Rede'!X51</f>
        <v>4</v>
      </c>
      <c r="Y11" s="253">
        <f>'Manut Rede'!Y51</f>
        <v>4</v>
      </c>
      <c r="Z11" s="253">
        <f>'Manut Rede'!Z51</f>
        <v>4</v>
      </c>
      <c r="AA11" s="253">
        <f>'Manut Rede'!AA51</f>
        <v>4</v>
      </c>
      <c r="AB11" s="253">
        <f>'Manut Rede'!AB51</f>
        <v>4</v>
      </c>
      <c r="AC11" s="253">
        <f>'Manut Rede'!AC51</f>
        <v>4</v>
      </c>
      <c r="AD11" s="253">
        <f>'Manut Rede'!AD51</f>
        <v>4</v>
      </c>
      <c r="AE11" s="253">
        <f>'Manut Rede'!AE51</f>
        <v>4</v>
      </c>
      <c r="AF11" s="253">
        <f>'Manut Rede'!AF51</f>
        <v>4</v>
      </c>
      <c r="AG11" s="253">
        <f>'Manut Rede'!AG51</f>
        <v>4</v>
      </c>
      <c r="AH11" s="253">
        <f>'Manut Rede'!AH51</f>
        <v>4</v>
      </c>
      <c r="AI11" s="253">
        <f>'Manut Rede'!AI51</f>
        <v>4</v>
      </c>
      <c r="AJ11" s="253">
        <f>'Manut Rede'!AJ51</f>
        <v>4</v>
      </c>
      <c r="AK11" s="253">
        <f>'Manut Rede'!AK51</f>
        <v>4</v>
      </c>
      <c r="AL11" s="253">
        <f>'Manut Rede'!AL51</f>
        <v>4</v>
      </c>
    </row>
    <row r="12" spans="1:39" x14ac:dyDescent="0.3">
      <c r="A12" s="86"/>
      <c r="B12" s="389" t="s">
        <v>541</v>
      </c>
      <c r="C12" s="390" t="s">
        <v>216</v>
      </c>
      <c r="D12" s="253">
        <f>D6</f>
        <v>1</v>
      </c>
      <c r="E12" s="253">
        <f t="shared" ref="E12:AL12" si="0">E6</f>
        <v>1</v>
      </c>
      <c r="F12" s="253">
        <f t="shared" si="0"/>
        <v>1</v>
      </c>
      <c r="G12" s="253">
        <f t="shared" si="0"/>
        <v>1</v>
      </c>
      <c r="H12" s="253">
        <f t="shared" si="0"/>
        <v>1</v>
      </c>
      <c r="I12" s="253">
        <f t="shared" si="0"/>
        <v>1</v>
      </c>
      <c r="J12" s="253">
        <f t="shared" si="0"/>
        <v>1</v>
      </c>
      <c r="K12" s="253">
        <f t="shared" si="0"/>
        <v>1</v>
      </c>
      <c r="L12" s="253">
        <f t="shared" si="0"/>
        <v>1</v>
      </c>
      <c r="M12" s="253">
        <f t="shared" si="0"/>
        <v>1</v>
      </c>
      <c r="N12" s="253">
        <f t="shared" si="0"/>
        <v>1</v>
      </c>
      <c r="O12" s="253">
        <f t="shared" si="0"/>
        <v>1</v>
      </c>
      <c r="P12" s="253">
        <f t="shared" si="0"/>
        <v>1</v>
      </c>
      <c r="Q12" s="253">
        <f t="shared" si="0"/>
        <v>1</v>
      </c>
      <c r="R12" s="253">
        <f t="shared" si="0"/>
        <v>1</v>
      </c>
      <c r="S12" s="253">
        <f t="shared" si="0"/>
        <v>1</v>
      </c>
      <c r="T12" s="253">
        <f t="shared" si="0"/>
        <v>1</v>
      </c>
      <c r="U12" s="253">
        <f t="shared" si="0"/>
        <v>1</v>
      </c>
      <c r="V12" s="253">
        <f t="shared" si="0"/>
        <v>1</v>
      </c>
      <c r="W12" s="253">
        <f t="shared" si="0"/>
        <v>1</v>
      </c>
      <c r="X12" s="253">
        <f t="shared" si="0"/>
        <v>1</v>
      </c>
      <c r="Y12" s="253">
        <f t="shared" si="0"/>
        <v>1</v>
      </c>
      <c r="Z12" s="253">
        <f t="shared" si="0"/>
        <v>1</v>
      </c>
      <c r="AA12" s="253">
        <f t="shared" si="0"/>
        <v>1</v>
      </c>
      <c r="AB12" s="253">
        <f t="shared" si="0"/>
        <v>1</v>
      </c>
      <c r="AC12" s="253">
        <f t="shared" si="0"/>
        <v>1</v>
      </c>
      <c r="AD12" s="253">
        <f t="shared" si="0"/>
        <v>1</v>
      </c>
      <c r="AE12" s="253">
        <f t="shared" si="0"/>
        <v>1</v>
      </c>
      <c r="AF12" s="253">
        <f t="shared" si="0"/>
        <v>1</v>
      </c>
      <c r="AG12" s="253">
        <f t="shared" si="0"/>
        <v>1</v>
      </c>
      <c r="AH12" s="253">
        <f t="shared" si="0"/>
        <v>1</v>
      </c>
      <c r="AI12" s="253">
        <f t="shared" si="0"/>
        <v>1</v>
      </c>
      <c r="AJ12" s="253">
        <f t="shared" si="0"/>
        <v>1</v>
      </c>
      <c r="AK12" s="253">
        <f t="shared" si="0"/>
        <v>1</v>
      </c>
      <c r="AL12" s="253">
        <f t="shared" si="0"/>
        <v>1</v>
      </c>
    </row>
    <row r="13" spans="1:39" x14ac:dyDescent="0.3">
      <c r="A13" s="86"/>
      <c r="B13" s="389" t="s">
        <v>538</v>
      </c>
      <c r="C13" s="390" t="s">
        <v>216</v>
      </c>
      <c r="D13" s="253">
        <f>D6</f>
        <v>1</v>
      </c>
      <c r="E13" s="253">
        <f t="shared" ref="E13:AL13" si="1">E6</f>
        <v>1</v>
      </c>
      <c r="F13" s="253">
        <f t="shared" si="1"/>
        <v>1</v>
      </c>
      <c r="G13" s="253">
        <f t="shared" si="1"/>
        <v>1</v>
      </c>
      <c r="H13" s="253">
        <f t="shared" si="1"/>
        <v>1</v>
      </c>
      <c r="I13" s="253">
        <f t="shared" si="1"/>
        <v>1</v>
      </c>
      <c r="J13" s="253">
        <f t="shared" si="1"/>
        <v>1</v>
      </c>
      <c r="K13" s="253">
        <f t="shared" si="1"/>
        <v>1</v>
      </c>
      <c r="L13" s="253">
        <f t="shared" si="1"/>
        <v>1</v>
      </c>
      <c r="M13" s="253">
        <f t="shared" si="1"/>
        <v>1</v>
      </c>
      <c r="N13" s="253">
        <f t="shared" si="1"/>
        <v>1</v>
      </c>
      <c r="O13" s="253">
        <f t="shared" si="1"/>
        <v>1</v>
      </c>
      <c r="P13" s="253">
        <f t="shared" si="1"/>
        <v>1</v>
      </c>
      <c r="Q13" s="253">
        <f t="shared" si="1"/>
        <v>1</v>
      </c>
      <c r="R13" s="253">
        <f t="shared" si="1"/>
        <v>1</v>
      </c>
      <c r="S13" s="253">
        <f t="shared" si="1"/>
        <v>1</v>
      </c>
      <c r="T13" s="253">
        <f t="shared" si="1"/>
        <v>1</v>
      </c>
      <c r="U13" s="253">
        <f t="shared" si="1"/>
        <v>1</v>
      </c>
      <c r="V13" s="253">
        <f t="shared" si="1"/>
        <v>1</v>
      </c>
      <c r="W13" s="253">
        <f t="shared" si="1"/>
        <v>1</v>
      </c>
      <c r="X13" s="253">
        <f t="shared" si="1"/>
        <v>1</v>
      </c>
      <c r="Y13" s="253">
        <f t="shared" si="1"/>
        <v>1</v>
      </c>
      <c r="Z13" s="253">
        <f t="shared" si="1"/>
        <v>1</v>
      </c>
      <c r="AA13" s="253">
        <f t="shared" si="1"/>
        <v>1</v>
      </c>
      <c r="AB13" s="253">
        <f t="shared" si="1"/>
        <v>1</v>
      </c>
      <c r="AC13" s="253">
        <f t="shared" si="1"/>
        <v>1</v>
      </c>
      <c r="AD13" s="253">
        <f t="shared" si="1"/>
        <v>1</v>
      </c>
      <c r="AE13" s="253">
        <f t="shared" si="1"/>
        <v>1</v>
      </c>
      <c r="AF13" s="253">
        <f t="shared" si="1"/>
        <v>1</v>
      </c>
      <c r="AG13" s="253">
        <f t="shared" si="1"/>
        <v>1</v>
      </c>
      <c r="AH13" s="253">
        <f t="shared" si="1"/>
        <v>1</v>
      </c>
      <c r="AI13" s="253">
        <f t="shared" si="1"/>
        <v>1</v>
      </c>
      <c r="AJ13" s="253">
        <f t="shared" si="1"/>
        <v>1</v>
      </c>
      <c r="AK13" s="253">
        <f t="shared" si="1"/>
        <v>1</v>
      </c>
      <c r="AL13" s="253">
        <f t="shared" si="1"/>
        <v>1</v>
      </c>
    </row>
    <row r="14" spans="1:39" x14ac:dyDescent="0.3">
      <c r="A14" s="86"/>
      <c r="B14" s="389" t="s">
        <v>539</v>
      </c>
      <c r="C14" s="390" t="s">
        <v>216</v>
      </c>
      <c r="D14" s="253">
        <f>D6</f>
        <v>1</v>
      </c>
      <c r="E14" s="253">
        <f t="shared" ref="E14:AL14" si="2">E6</f>
        <v>1</v>
      </c>
      <c r="F14" s="253">
        <f t="shared" si="2"/>
        <v>1</v>
      </c>
      <c r="G14" s="253">
        <f t="shared" si="2"/>
        <v>1</v>
      </c>
      <c r="H14" s="253">
        <f t="shared" si="2"/>
        <v>1</v>
      </c>
      <c r="I14" s="253">
        <f t="shared" si="2"/>
        <v>1</v>
      </c>
      <c r="J14" s="253">
        <f t="shared" si="2"/>
        <v>1</v>
      </c>
      <c r="K14" s="253">
        <f t="shared" si="2"/>
        <v>1</v>
      </c>
      <c r="L14" s="253">
        <f t="shared" si="2"/>
        <v>1</v>
      </c>
      <c r="M14" s="253">
        <f t="shared" si="2"/>
        <v>1</v>
      </c>
      <c r="N14" s="253">
        <f t="shared" si="2"/>
        <v>1</v>
      </c>
      <c r="O14" s="253">
        <f t="shared" si="2"/>
        <v>1</v>
      </c>
      <c r="P14" s="253">
        <f t="shared" si="2"/>
        <v>1</v>
      </c>
      <c r="Q14" s="253">
        <f t="shared" si="2"/>
        <v>1</v>
      </c>
      <c r="R14" s="253">
        <f t="shared" si="2"/>
        <v>1</v>
      </c>
      <c r="S14" s="253">
        <f t="shared" si="2"/>
        <v>1</v>
      </c>
      <c r="T14" s="253">
        <f t="shared" si="2"/>
        <v>1</v>
      </c>
      <c r="U14" s="253">
        <f t="shared" si="2"/>
        <v>1</v>
      </c>
      <c r="V14" s="253">
        <f t="shared" si="2"/>
        <v>1</v>
      </c>
      <c r="W14" s="253">
        <f t="shared" si="2"/>
        <v>1</v>
      </c>
      <c r="X14" s="253">
        <f t="shared" si="2"/>
        <v>1</v>
      </c>
      <c r="Y14" s="253">
        <f t="shared" si="2"/>
        <v>1</v>
      </c>
      <c r="Z14" s="253">
        <f t="shared" si="2"/>
        <v>1</v>
      </c>
      <c r="AA14" s="253">
        <f t="shared" si="2"/>
        <v>1</v>
      </c>
      <c r="AB14" s="253">
        <f t="shared" si="2"/>
        <v>1</v>
      </c>
      <c r="AC14" s="253">
        <f t="shared" si="2"/>
        <v>1</v>
      </c>
      <c r="AD14" s="253">
        <f t="shared" si="2"/>
        <v>1</v>
      </c>
      <c r="AE14" s="253">
        <f t="shared" si="2"/>
        <v>1</v>
      </c>
      <c r="AF14" s="253">
        <f t="shared" si="2"/>
        <v>1</v>
      </c>
      <c r="AG14" s="253">
        <f t="shared" si="2"/>
        <v>1</v>
      </c>
      <c r="AH14" s="253">
        <f t="shared" si="2"/>
        <v>1</v>
      </c>
      <c r="AI14" s="253">
        <f t="shared" si="2"/>
        <v>1</v>
      </c>
      <c r="AJ14" s="253">
        <f t="shared" si="2"/>
        <v>1</v>
      </c>
      <c r="AK14" s="253">
        <f t="shared" si="2"/>
        <v>1</v>
      </c>
      <c r="AL14" s="253">
        <f t="shared" si="2"/>
        <v>1</v>
      </c>
    </row>
    <row r="15" spans="1:39" x14ac:dyDescent="0.3">
      <c r="A15" s="86"/>
      <c r="B15" s="389" t="s">
        <v>560</v>
      </c>
      <c r="C15" s="390" t="s">
        <v>216</v>
      </c>
      <c r="D15" s="253">
        <v>2</v>
      </c>
      <c r="E15" s="253">
        <v>2</v>
      </c>
      <c r="F15" s="253">
        <v>2</v>
      </c>
      <c r="G15" s="253">
        <v>2</v>
      </c>
      <c r="H15" s="253">
        <v>2</v>
      </c>
      <c r="I15" s="253">
        <v>2</v>
      </c>
      <c r="J15" s="253">
        <v>2</v>
      </c>
      <c r="K15" s="253">
        <v>2</v>
      </c>
      <c r="L15" s="253">
        <v>2</v>
      </c>
      <c r="M15" s="253">
        <v>2</v>
      </c>
      <c r="N15" s="253">
        <v>2</v>
      </c>
      <c r="O15" s="253">
        <v>2</v>
      </c>
      <c r="P15" s="253">
        <v>2</v>
      </c>
      <c r="Q15" s="253">
        <v>2</v>
      </c>
      <c r="R15" s="253">
        <v>2</v>
      </c>
      <c r="S15" s="253">
        <v>2</v>
      </c>
      <c r="T15" s="253">
        <v>2</v>
      </c>
      <c r="U15" s="253">
        <v>2</v>
      </c>
      <c r="V15" s="253">
        <v>2</v>
      </c>
      <c r="W15" s="253">
        <v>2</v>
      </c>
      <c r="X15" s="253">
        <v>2</v>
      </c>
      <c r="Y15" s="253">
        <v>2</v>
      </c>
      <c r="Z15" s="253">
        <v>2</v>
      </c>
      <c r="AA15" s="253">
        <v>2</v>
      </c>
      <c r="AB15" s="253">
        <v>2</v>
      </c>
      <c r="AC15" s="253">
        <v>2</v>
      </c>
      <c r="AD15" s="253">
        <v>2</v>
      </c>
      <c r="AE15" s="253">
        <v>2</v>
      </c>
      <c r="AF15" s="253">
        <v>2</v>
      </c>
      <c r="AG15" s="253">
        <v>2</v>
      </c>
      <c r="AH15" s="253">
        <v>2</v>
      </c>
      <c r="AI15" s="253">
        <v>2</v>
      </c>
      <c r="AJ15" s="253">
        <v>2</v>
      </c>
      <c r="AK15" s="253">
        <v>2</v>
      </c>
      <c r="AL15" s="253">
        <v>2</v>
      </c>
    </row>
    <row r="16" spans="1:39" x14ac:dyDescent="0.3">
      <c r="A16" s="46"/>
      <c r="B16" s="248" t="s">
        <v>561</v>
      </c>
      <c r="C16" s="249"/>
      <c r="D16" s="255">
        <f t="shared" ref="D16:AL16" si="3">(D6*$H$31+D7*$H$42+D8*$H$53+D9*$H$64+D10*$H$75+D11*$H$86+D12*$H$31+D13*$H$31+D14*$H$31+D15*$H$97)*12</f>
        <v>335617.06676505599</v>
      </c>
      <c r="E16" s="255">
        <f t="shared" si="3"/>
        <v>335617.06676505599</v>
      </c>
      <c r="F16" s="255">
        <f t="shared" si="3"/>
        <v>335617.06676505599</v>
      </c>
      <c r="G16" s="255">
        <f t="shared" si="3"/>
        <v>335617.06676505599</v>
      </c>
      <c r="H16" s="255">
        <f t="shared" si="3"/>
        <v>342527.45527816797</v>
      </c>
      <c r="I16" s="255">
        <f t="shared" si="3"/>
        <v>378089.83790985594</v>
      </c>
      <c r="J16" s="255">
        <f t="shared" si="3"/>
        <v>378089.83790985594</v>
      </c>
      <c r="K16" s="255">
        <f t="shared" si="3"/>
        <v>378089.83790985594</v>
      </c>
      <c r="L16" s="255">
        <f t="shared" si="3"/>
        <v>378089.83790985594</v>
      </c>
      <c r="M16" s="255">
        <f t="shared" si="3"/>
        <v>420562.609054656</v>
      </c>
      <c r="N16" s="255">
        <f t="shared" si="3"/>
        <v>420562.609054656</v>
      </c>
      <c r="O16" s="255">
        <f t="shared" si="3"/>
        <v>420562.609054656</v>
      </c>
      <c r="P16" s="255">
        <f t="shared" si="3"/>
        <v>420562.609054656</v>
      </c>
      <c r="Q16" s="255">
        <f t="shared" si="3"/>
        <v>420562.609054656</v>
      </c>
      <c r="R16" s="255">
        <f t="shared" si="3"/>
        <v>420562.609054656</v>
      </c>
      <c r="S16" s="255">
        <f t="shared" si="3"/>
        <v>420562.609054656</v>
      </c>
      <c r="T16" s="255">
        <f t="shared" si="3"/>
        <v>420562.609054656</v>
      </c>
      <c r="U16" s="255">
        <f t="shared" si="3"/>
        <v>486590.56972257601</v>
      </c>
      <c r="V16" s="255">
        <f t="shared" si="3"/>
        <v>486590.56972257601</v>
      </c>
      <c r="W16" s="255">
        <f t="shared" si="3"/>
        <v>486590.56972257601</v>
      </c>
      <c r="X16" s="255">
        <f t="shared" si="3"/>
        <v>486590.56972257601</v>
      </c>
      <c r="Y16" s="255">
        <f t="shared" si="3"/>
        <v>486590.56972257601</v>
      </c>
      <c r="Z16" s="255">
        <f t="shared" si="3"/>
        <v>486590.56972257601</v>
      </c>
      <c r="AA16" s="255">
        <f t="shared" si="3"/>
        <v>486590.56972257601</v>
      </c>
      <c r="AB16" s="255">
        <f t="shared" si="3"/>
        <v>486590.56972257601</v>
      </c>
      <c r="AC16" s="255">
        <f t="shared" si="3"/>
        <v>486590.56972257601</v>
      </c>
      <c r="AD16" s="255">
        <f t="shared" si="3"/>
        <v>493500.95823568798</v>
      </c>
      <c r="AE16" s="255">
        <f t="shared" si="3"/>
        <v>493500.95823568798</v>
      </c>
      <c r="AF16" s="255">
        <f t="shared" si="3"/>
        <v>493500.95823568798</v>
      </c>
      <c r="AG16" s="255">
        <f t="shared" si="3"/>
        <v>493500.95823568798</v>
      </c>
      <c r="AH16" s="255">
        <f t="shared" si="3"/>
        <v>493500.95823568798</v>
      </c>
      <c r="AI16" s="255">
        <f t="shared" si="3"/>
        <v>493500.95823568798</v>
      </c>
      <c r="AJ16" s="255">
        <f t="shared" si="3"/>
        <v>493500.95823568798</v>
      </c>
      <c r="AK16" s="255">
        <f t="shared" si="3"/>
        <v>493500.95823568798</v>
      </c>
      <c r="AL16" s="255">
        <f t="shared" si="3"/>
        <v>493500.95823568798</v>
      </c>
      <c r="AM16" s="71">
        <f t="shared" ref="AM16:AM17" si="4">SUM(D16:AL16)</f>
        <v>15382679.698039442</v>
      </c>
    </row>
    <row r="17" spans="1:39" x14ac:dyDescent="0.3">
      <c r="A17" s="46"/>
      <c r="B17" s="248" t="s">
        <v>562</v>
      </c>
      <c r="C17" s="249"/>
      <c r="D17" s="255">
        <f t="shared" ref="D17:AL17" si="5">(D6*$I$31+D7*$I$42+D8*$I$53+D9*$I$64+D10*$I$75+D11*$I$86+D12*$I$31+D13*$I$31+D14*$I$31+D15*$I$97)*12</f>
        <v>783095.00661120005</v>
      </c>
      <c r="E17" s="255">
        <f t="shared" si="5"/>
        <v>783095.00661120005</v>
      </c>
      <c r="F17" s="255">
        <f t="shared" si="5"/>
        <v>783095.00661120005</v>
      </c>
      <c r="G17" s="255">
        <f t="shared" si="5"/>
        <v>783095.00661120005</v>
      </c>
      <c r="H17" s="255">
        <f t="shared" si="5"/>
        <v>846302.97588480008</v>
      </c>
      <c r="I17" s="255">
        <f t="shared" si="5"/>
        <v>926416.272</v>
      </c>
      <c r="J17" s="255">
        <f t="shared" si="5"/>
        <v>926416.272</v>
      </c>
      <c r="K17" s="255">
        <f t="shared" si="5"/>
        <v>926416.272</v>
      </c>
      <c r="L17" s="255">
        <f t="shared" si="5"/>
        <v>926416.272</v>
      </c>
      <c r="M17" s="255">
        <f t="shared" si="5"/>
        <v>1069737.5373887997</v>
      </c>
      <c r="N17" s="255">
        <f t="shared" si="5"/>
        <v>1069737.5373887997</v>
      </c>
      <c r="O17" s="255">
        <f t="shared" si="5"/>
        <v>1069737.5373887997</v>
      </c>
      <c r="P17" s="255">
        <f t="shared" si="5"/>
        <v>1069737.5373887997</v>
      </c>
      <c r="Q17" s="255">
        <f t="shared" si="5"/>
        <v>1069737.5373887997</v>
      </c>
      <c r="R17" s="255">
        <f t="shared" si="5"/>
        <v>1069737.5373887997</v>
      </c>
      <c r="S17" s="255">
        <f t="shared" si="5"/>
        <v>1069737.5373887997</v>
      </c>
      <c r="T17" s="255">
        <f t="shared" si="5"/>
        <v>1069737.5373887997</v>
      </c>
      <c r="U17" s="255">
        <f t="shared" si="5"/>
        <v>1215594.8712384</v>
      </c>
      <c r="V17" s="255">
        <f t="shared" si="5"/>
        <v>1215594.8712384</v>
      </c>
      <c r="W17" s="255">
        <f t="shared" si="5"/>
        <v>1215594.8712384</v>
      </c>
      <c r="X17" s="255">
        <f t="shared" si="5"/>
        <v>1215594.8712384</v>
      </c>
      <c r="Y17" s="255">
        <f t="shared" si="5"/>
        <v>1215594.8712384</v>
      </c>
      <c r="Z17" s="255">
        <f t="shared" si="5"/>
        <v>1215594.8712384</v>
      </c>
      <c r="AA17" s="255">
        <f t="shared" si="5"/>
        <v>1215594.8712384</v>
      </c>
      <c r="AB17" s="255">
        <f t="shared" si="5"/>
        <v>1215594.8712384</v>
      </c>
      <c r="AC17" s="255">
        <f t="shared" si="5"/>
        <v>1215594.8712384</v>
      </c>
      <c r="AD17" s="255">
        <f t="shared" si="5"/>
        <v>1278802.8405119998</v>
      </c>
      <c r="AE17" s="255">
        <f t="shared" si="5"/>
        <v>1278802.8405119998</v>
      </c>
      <c r="AF17" s="255">
        <f t="shared" si="5"/>
        <v>1278802.8405119998</v>
      </c>
      <c r="AG17" s="255">
        <f t="shared" si="5"/>
        <v>1278802.8405119998</v>
      </c>
      <c r="AH17" s="255">
        <f t="shared" si="5"/>
        <v>1278802.8405119998</v>
      </c>
      <c r="AI17" s="255">
        <f t="shared" si="5"/>
        <v>1278802.8405119998</v>
      </c>
      <c r="AJ17" s="255">
        <f t="shared" si="5"/>
        <v>1278802.8405119998</v>
      </c>
      <c r="AK17" s="255">
        <f t="shared" si="5"/>
        <v>1278802.8405119998</v>
      </c>
      <c r="AL17" s="255">
        <f t="shared" si="5"/>
        <v>1278802.8405119998</v>
      </c>
      <c r="AM17" s="71">
        <f t="shared" si="4"/>
        <v>38691827.79519359</v>
      </c>
    </row>
    <row r="18" spans="1:39" x14ac:dyDescent="0.3">
      <c r="A18" s="46"/>
      <c r="B18" s="312"/>
      <c r="C18" s="312"/>
      <c r="D18" s="312"/>
      <c r="E18" s="312"/>
      <c r="F18" s="312"/>
      <c r="G18" s="312"/>
      <c r="H18" s="312"/>
      <c r="I18" s="312"/>
      <c r="J18" s="312"/>
      <c r="K18" s="312"/>
      <c r="L18" s="312"/>
      <c r="M18" s="312"/>
      <c r="N18" s="312"/>
      <c r="O18" s="312"/>
      <c r="P18" s="312"/>
      <c r="Q18" s="312"/>
      <c r="R18" s="312"/>
      <c r="S18" s="312"/>
      <c r="T18" s="312"/>
      <c r="U18" s="312"/>
      <c r="V18" s="312"/>
      <c r="W18" s="312"/>
      <c r="X18" s="312"/>
      <c r="Y18" s="312"/>
      <c r="Z18" s="312"/>
      <c r="AA18" s="312"/>
      <c r="AB18" s="312"/>
      <c r="AC18" s="312"/>
      <c r="AD18" s="312"/>
      <c r="AE18" s="312"/>
      <c r="AF18" s="312"/>
      <c r="AG18" s="312"/>
      <c r="AH18" s="312"/>
      <c r="AI18" s="312"/>
      <c r="AJ18" s="312"/>
      <c r="AK18" s="312"/>
      <c r="AL18" s="312"/>
      <c r="AM18" s="71"/>
    </row>
    <row r="19" spans="1:39" x14ac:dyDescent="0.3">
      <c r="B19" s="788" t="s">
        <v>675</v>
      </c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F19" s="134"/>
      <c r="AG19" s="134"/>
      <c r="AH19" s="134"/>
      <c r="AI19" s="134"/>
      <c r="AJ19" s="134"/>
      <c r="AK19" s="134"/>
      <c r="AL19" s="134"/>
    </row>
    <row r="20" spans="1:39" x14ac:dyDescent="0.3">
      <c r="B20" s="788" t="s">
        <v>674</v>
      </c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E20" s="134"/>
      <c r="AF20" s="134"/>
      <c r="AG20" s="134"/>
      <c r="AH20" s="134"/>
      <c r="AI20" s="134"/>
      <c r="AJ20" s="134"/>
      <c r="AK20" s="134"/>
      <c r="AL20" s="134"/>
    </row>
    <row r="21" spans="1:39" x14ac:dyDescent="0.3">
      <c r="B21" s="788" t="s">
        <v>883</v>
      </c>
      <c r="D21" s="134"/>
      <c r="E21" s="134"/>
      <c r="F21" s="134"/>
      <c r="G21" s="134"/>
      <c r="H21" s="134"/>
      <c r="I21" s="134"/>
      <c r="J21" s="134"/>
      <c r="K21" s="833" t="s">
        <v>932</v>
      </c>
      <c r="L21" s="834">
        <v>1.0973999999999999</v>
      </c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  <c r="AA21" s="134"/>
      <c r="AB21" s="134"/>
      <c r="AC21" s="134"/>
      <c r="AD21" s="134"/>
      <c r="AE21" s="134"/>
      <c r="AF21" s="134"/>
      <c r="AG21" s="134"/>
      <c r="AH21" s="134"/>
      <c r="AI21" s="134"/>
      <c r="AJ21" s="134"/>
      <c r="AK21" s="134"/>
      <c r="AL21" s="134"/>
    </row>
    <row r="22" spans="1:39" x14ac:dyDescent="0.3">
      <c r="B22" s="1126" t="s">
        <v>437</v>
      </c>
      <c r="C22" s="1127"/>
      <c r="D22" s="387" t="s">
        <v>564</v>
      </c>
      <c r="E22" s="383" t="s">
        <v>623</v>
      </c>
      <c r="F22" s="383" t="s">
        <v>565</v>
      </c>
      <c r="G22" s="388" t="s">
        <v>566</v>
      </c>
      <c r="H22" s="388" t="s">
        <v>563</v>
      </c>
      <c r="I22" s="383" t="s">
        <v>555</v>
      </c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  <c r="Z22" s="134"/>
      <c r="AA22" s="134"/>
      <c r="AB22" s="134"/>
      <c r="AC22" s="134"/>
      <c r="AD22" s="134"/>
      <c r="AE22" s="134"/>
      <c r="AF22" s="134"/>
      <c r="AG22" s="134"/>
      <c r="AH22" s="134"/>
      <c r="AI22" s="134"/>
      <c r="AJ22" s="134"/>
      <c r="AK22" s="134"/>
      <c r="AL22" s="134"/>
    </row>
    <row r="23" spans="1:39" x14ac:dyDescent="0.3">
      <c r="B23" s="1128"/>
      <c r="C23" s="1129"/>
      <c r="D23" s="790">
        <f>365/12</f>
        <v>30.416666666666668</v>
      </c>
      <c r="E23" s="790">
        <f>4.33*2</f>
        <v>8.66</v>
      </c>
      <c r="F23" s="790">
        <f>D23-E23</f>
        <v>21.756666666666668</v>
      </c>
      <c r="G23" s="790">
        <f>F23*8</f>
        <v>174.05333333333334</v>
      </c>
      <c r="H23" s="386">
        <v>0.3</v>
      </c>
      <c r="I23" s="791">
        <f>G23*H23</f>
        <v>52.216000000000001</v>
      </c>
    </row>
    <row r="24" spans="1:39" x14ac:dyDescent="0.3">
      <c r="B24" s="382" t="s">
        <v>89</v>
      </c>
      <c r="C24" s="382" t="s">
        <v>294</v>
      </c>
      <c r="D24" s="382" t="s">
        <v>551</v>
      </c>
      <c r="E24" s="382" t="s">
        <v>552</v>
      </c>
      <c r="F24" s="382" t="s">
        <v>553</v>
      </c>
      <c r="G24" s="382" t="s">
        <v>554</v>
      </c>
      <c r="H24" s="382" t="s">
        <v>558</v>
      </c>
      <c r="I24" s="382" t="s">
        <v>559</v>
      </c>
      <c r="K24" s="385">
        <v>6.16</v>
      </c>
      <c r="L24" s="839">
        <f>TRUNC(K24*$L$21,2)</f>
        <v>6.75</v>
      </c>
    </row>
    <row r="25" spans="1:39" x14ac:dyDescent="0.3">
      <c r="B25" s="391" t="s">
        <v>546</v>
      </c>
      <c r="C25" s="392" t="s">
        <v>547</v>
      </c>
      <c r="D25" s="391">
        <v>13.7</v>
      </c>
      <c r="E25" s="385">
        <f>L24</f>
        <v>6.75</v>
      </c>
      <c r="F25" s="272">
        <f t="shared" ref="F25:F30" si="6">D25*E25</f>
        <v>92.474999999999994</v>
      </c>
      <c r="G25" s="272">
        <f t="shared" ref="G25:G30" si="7">$I$23*F25</f>
        <v>4828.6745999999994</v>
      </c>
      <c r="H25" s="4"/>
      <c r="I25" s="272">
        <f>G25</f>
        <v>4828.6745999999994</v>
      </c>
      <c r="K25" s="385">
        <v>40.4</v>
      </c>
      <c r="L25" s="839">
        <f t="shared" ref="L25:L29" si="8">TRUNC(K25*$L$21,2)</f>
        <v>44.33</v>
      </c>
    </row>
    <row r="26" spans="1:39" x14ac:dyDescent="0.3">
      <c r="B26" s="391" t="s">
        <v>543</v>
      </c>
      <c r="C26" s="392" t="s">
        <v>547</v>
      </c>
      <c r="D26" s="391">
        <v>0.16</v>
      </c>
      <c r="E26" s="385">
        <f t="shared" ref="E26:E30" si="9">L25</f>
        <v>44.33</v>
      </c>
      <c r="F26" s="272">
        <f t="shared" si="6"/>
        <v>7.0927999999999995</v>
      </c>
      <c r="G26" s="272">
        <f t="shared" si="7"/>
        <v>370.3576448</v>
      </c>
      <c r="H26" s="4"/>
      <c r="I26" s="272">
        <f>G26</f>
        <v>370.3576448</v>
      </c>
      <c r="K26" s="385">
        <v>14.9</v>
      </c>
      <c r="L26" s="839">
        <f t="shared" si="8"/>
        <v>16.350000000000001</v>
      </c>
    </row>
    <row r="27" spans="1:39" x14ac:dyDescent="0.3">
      <c r="B27" s="391" t="s">
        <v>544</v>
      </c>
      <c r="C27" s="392" t="s">
        <v>548</v>
      </c>
      <c r="D27" s="391">
        <v>8.5000000000000006E-2</v>
      </c>
      <c r="E27" s="385">
        <f t="shared" si="9"/>
        <v>16.350000000000001</v>
      </c>
      <c r="F27" s="272">
        <f t="shared" si="6"/>
        <v>1.3897500000000003</v>
      </c>
      <c r="G27" s="272">
        <f t="shared" si="7"/>
        <v>72.567186000000021</v>
      </c>
      <c r="H27" s="4"/>
      <c r="I27" s="272">
        <f>G27</f>
        <v>72.567186000000021</v>
      </c>
      <c r="K27" s="385">
        <v>45.16</v>
      </c>
      <c r="L27" s="839">
        <f t="shared" si="8"/>
        <v>49.55</v>
      </c>
    </row>
    <row r="28" spans="1:39" x14ac:dyDescent="0.3">
      <c r="B28" s="391" t="s">
        <v>545</v>
      </c>
      <c r="C28" s="392" t="s">
        <v>549</v>
      </c>
      <c r="D28" s="391">
        <v>0.02</v>
      </c>
      <c r="E28" s="385">
        <f t="shared" si="9"/>
        <v>49.55</v>
      </c>
      <c r="F28" s="272">
        <f t="shared" si="6"/>
        <v>0.99099999999999999</v>
      </c>
      <c r="G28" s="272">
        <f t="shared" si="7"/>
        <v>51.746056000000003</v>
      </c>
      <c r="H28" s="272">
        <f>G28</f>
        <v>51.746056000000003</v>
      </c>
      <c r="I28" s="4"/>
      <c r="K28" s="385">
        <f>319*4</f>
        <v>1276</v>
      </c>
      <c r="L28" s="839">
        <f t="shared" si="8"/>
        <v>1400.28</v>
      </c>
    </row>
    <row r="29" spans="1:39" x14ac:dyDescent="0.3">
      <c r="B29" s="391" t="s">
        <v>550</v>
      </c>
      <c r="C29" s="392" t="s">
        <v>549</v>
      </c>
      <c r="D29" s="391">
        <v>1.6000000000000001E-3</v>
      </c>
      <c r="E29" s="385">
        <f t="shared" si="9"/>
        <v>1400.28</v>
      </c>
      <c r="F29" s="272">
        <f t="shared" si="6"/>
        <v>2.2404480000000002</v>
      </c>
      <c r="G29" s="272">
        <f t="shared" si="7"/>
        <v>116.98723276800001</v>
      </c>
      <c r="H29" s="272">
        <f t="shared" ref="H29:H30" si="10">G29</f>
        <v>116.98723276800001</v>
      </c>
      <c r="I29" s="4"/>
      <c r="K29" s="385">
        <v>84734</v>
      </c>
      <c r="L29" s="839">
        <f t="shared" si="8"/>
        <v>92987.09</v>
      </c>
    </row>
    <row r="30" spans="1:39" x14ac:dyDescent="0.3">
      <c r="B30" s="391" t="s">
        <v>884</v>
      </c>
      <c r="C30" s="392" t="s">
        <v>556</v>
      </c>
      <c r="D30" s="789">
        <v>7.4999999999999993E-5</v>
      </c>
      <c r="E30" s="385">
        <f t="shared" si="9"/>
        <v>92987.09</v>
      </c>
      <c r="F30" s="272">
        <f t="shared" si="6"/>
        <v>6.9740317499999991</v>
      </c>
      <c r="G30" s="272">
        <f t="shared" si="7"/>
        <v>364.15604185799998</v>
      </c>
      <c r="H30" s="272">
        <f t="shared" si="10"/>
        <v>364.15604185799998</v>
      </c>
      <c r="I30" s="4"/>
    </row>
    <row r="31" spans="1:39" x14ac:dyDescent="0.3">
      <c r="B31" s="1125" t="s">
        <v>5</v>
      </c>
      <c r="C31" s="1125"/>
      <c r="D31" s="1125"/>
      <c r="E31" s="1125"/>
      <c r="F31" s="1125"/>
      <c r="G31" s="272">
        <f>SUM(G25:G30)</f>
        <v>5804.4887614259997</v>
      </c>
      <c r="H31" s="272">
        <f>SUM(H25:H30)</f>
        <v>532.88933062599995</v>
      </c>
      <c r="I31" s="272">
        <f>SUM(I25:I30)</f>
        <v>5271.5994307999999</v>
      </c>
    </row>
    <row r="32" spans="1:39" x14ac:dyDescent="0.3">
      <c r="G32" s="3"/>
    </row>
    <row r="33" spans="2:12" x14ac:dyDescent="0.3">
      <c r="B33" s="1126" t="s">
        <v>442</v>
      </c>
      <c r="C33" s="1127"/>
      <c r="D33" s="387" t="s">
        <v>564</v>
      </c>
      <c r="E33" s="383" t="s">
        <v>623</v>
      </c>
      <c r="F33" s="383" t="s">
        <v>565</v>
      </c>
      <c r="G33" s="388" t="s">
        <v>566</v>
      </c>
      <c r="H33" s="388" t="s">
        <v>563</v>
      </c>
      <c r="I33" s="383" t="s">
        <v>555</v>
      </c>
    </row>
    <row r="34" spans="2:12" x14ac:dyDescent="0.3">
      <c r="B34" s="1128"/>
      <c r="C34" s="1129"/>
      <c r="D34" s="790">
        <f>365/12</f>
        <v>30.416666666666668</v>
      </c>
      <c r="E34" s="790">
        <f>4.33*2</f>
        <v>8.66</v>
      </c>
      <c r="F34" s="790">
        <f>D34-E34</f>
        <v>21.756666666666668</v>
      </c>
      <c r="G34" s="790">
        <f>F34*8</f>
        <v>174.05333333333334</v>
      </c>
      <c r="H34" s="386">
        <v>0.3</v>
      </c>
      <c r="I34" s="791">
        <f>G34*H34</f>
        <v>52.216000000000001</v>
      </c>
    </row>
    <row r="35" spans="2:12" x14ac:dyDescent="0.3">
      <c r="B35" s="382" t="s">
        <v>89</v>
      </c>
      <c r="C35" s="382" t="s">
        <v>294</v>
      </c>
      <c r="D35" s="382" t="s">
        <v>551</v>
      </c>
      <c r="E35" s="382" t="s">
        <v>552</v>
      </c>
      <c r="F35" s="382" t="s">
        <v>553</v>
      </c>
      <c r="G35" s="382" t="s">
        <v>554</v>
      </c>
      <c r="H35" s="382" t="s">
        <v>558</v>
      </c>
      <c r="I35" s="382" t="s">
        <v>559</v>
      </c>
    </row>
    <row r="36" spans="2:12" x14ac:dyDescent="0.3">
      <c r="B36" s="391" t="s">
        <v>546</v>
      </c>
      <c r="C36" s="392" t="s">
        <v>547</v>
      </c>
      <c r="D36" s="391">
        <v>13.7</v>
      </c>
      <c r="E36" s="385">
        <f>L36</f>
        <v>6.75</v>
      </c>
      <c r="F36" s="272">
        <f t="shared" ref="F36:F41" si="11">D36*E36</f>
        <v>92.474999999999994</v>
      </c>
      <c r="G36" s="272">
        <f t="shared" ref="G36:G41" si="12">$I$34*F36</f>
        <v>4828.6745999999994</v>
      </c>
      <c r="H36" s="4"/>
      <c r="I36" s="272">
        <f>G36</f>
        <v>4828.6745999999994</v>
      </c>
      <c r="K36" s="385">
        <v>6.16</v>
      </c>
      <c r="L36" s="839">
        <f t="shared" ref="L36:L41" si="13">TRUNC(K36*$L$21,2)</f>
        <v>6.75</v>
      </c>
    </row>
    <row r="37" spans="2:12" x14ac:dyDescent="0.3">
      <c r="B37" s="391" t="s">
        <v>543</v>
      </c>
      <c r="C37" s="392" t="s">
        <v>547</v>
      </c>
      <c r="D37" s="391">
        <v>0.16</v>
      </c>
      <c r="E37" s="385">
        <f t="shared" ref="E37:E41" si="14">L37</f>
        <v>44.33</v>
      </c>
      <c r="F37" s="272">
        <f t="shared" si="11"/>
        <v>7.0927999999999995</v>
      </c>
      <c r="G37" s="272">
        <f t="shared" si="12"/>
        <v>370.3576448</v>
      </c>
      <c r="H37" s="4"/>
      <c r="I37" s="272">
        <f>G37</f>
        <v>370.3576448</v>
      </c>
      <c r="K37" s="385">
        <v>40.4</v>
      </c>
      <c r="L37" s="839">
        <f t="shared" si="13"/>
        <v>44.33</v>
      </c>
    </row>
    <row r="38" spans="2:12" x14ac:dyDescent="0.3">
      <c r="B38" s="391" t="s">
        <v>544</v>
      </c>
      <c r="C38" s="392" t="s">
        <v>548</v>
      </c>
      <c r="D38" s="391">
        <v>0.08</v>
      </c>
      <c r="E38" s="385">
        <f t="shared" si="14"/>
        <v>16.350000000000001</v>
      </c>
      <c r="F38" s="272">
        <f t="shared" si="11"/>
        <v>1.3080000000000001</v>
      </c>
      <c r="G38" s="272">
        <f t="shared" si="12"/>
        <v>68.298528000000005</v>
      </c>
      <c r="H38" s="4"/>
      <c r="I38" s="272">
        <f>G38</f>
        <v>68.298528000000005</v>
      </c>
      <c r="K38" s="385">
        <v>14.9</v>
      </c>
      <c r="L38" s="839">
        <f t="shared" si="13"/>
        <v>16.350000000000001</v>
      </c>
    </row>
    <row r="39" spans="2:12" x14ac:dyDescent="0.3">
      <c r="B39" s="391" t="s">
        <v>545</v>
      </c>
      <c r="C39" s="392" t="s">
        <v>549</v>
      </c>
      <c r="D39" s="391">
        <v>0.02</v>
      </c>
      <c r="E39" s="385">
        <f t="shared" si="14"/>
        <v>49.55</v>
      </c>
      <c r="F39" s="272">
        <f t="shared" si="11"/>
        <v>0.99099999999999999</v>
      </c>
      <c r="G39" s="272">
        <f t="shared" si="12"/>
        <v>51.746056000000003</v>
      </c>
      <c r="H39" s="272">
        <f>G39</f>
        <v>51.746056000000003</v>
      </c>
      <c r="I39" s="4"/>
      <c r="K39" s="385">
        <v>45.16</v>
      </c>
      <c r="L39" s="839">
        <f t="shared" si="13"/>
        <v>49.55</v>
      </c>
    </row>
    <row r="40" spans="2:12" x14ac:dyDescent="0.3">
      <c r="B40" s="391" t="s">
        <v>550</v>
      </c>
      <c r="C40" s="392" t="s">
        <v>549</v>
      </c>
      <c r="D40" s="391">
        <v>1.6000000000000001E-3</v>
      </c>
      <c r="E40" s="385">
        <f t="shared" si="14"/>
        <v>1400.28</v>
      </c>
      <c r="F40" s="272">
        <f t="shared" si="11"/>
        <v>2.2404480000000002</v>
      </c>
      <c r="G40" s="272">
        <f t="shared" si="12"/>
        <v>116.98723276800001</v>
      </c>
      <c r="H40" s="272">
        <f t="shared" ref="H40:H41" si="15">G40</f>
        <v>116.98723276800001</v>
      </c>
      <c r="I40" s="4"/>
      <c r="K40" s="385">
        <f>319*4</f>
        <v>1276</v>
      </c>
      <c r="L40" s="839">
        <f t="shared" si="13"/>
        <v>1400.28</v>
      </c>
    </row>
    <row r="41" spans="2:12" x14ac:dyDescent="0.3">
      <c r="B41" s="391" t="s">
        <v>884</v>
      </c>
      <c r="C41" s="392" t="s">
        <v>556</v>
      </c>
      <c r="D41" s="789">
        <v>7.4999999999999993E-5</v>
      </c>
      <c r="E41" s="385">
        <f t="shared" si="14"/>
        <v>103961.09</v>
      </c>
      <c r="F41" s="272">
        <f t="shared" si="11"/>
        <v>7.7970817499999994</v>
      </c>
      <c r="G41" s="272">
        <f t="shared" si="12"/>
        <v>407.132420658</v>
      </c>
      <c r="H41" s="272">
        <f t="shared" si="15"/>
        <v>407.132420658</v>
      </c>
      <c r="I41" s="4"/>
      <c r="K41" s="385">
        <v>94734</v>
      </c>
      <c r="L41" s="839">
        <f t="shared" si="13"/>
        <v>103961.09</v>
      </c>
    </row>
    <row r="42" spans="2:12" x14ac:dyDescent="0.3">
      <c r="B42" s="1125" t="s">
        <v>5</v>
      </c>
      <c r="C42" s="1125"/>
      <c r="D42" s="1125"/>
      <c r="E42" s="1125"/>
      <c r="F42" s="1125"/>
      <c r="G42" s="272">
        <f>SUM(G36:G41)</f>
        <v>5843.1964822260006</v>
      </c>
      <c r="H42" s="272">
        <f>SUM(H36:H41)</f>
        <v>575.86570942599997</v>
      </c>
      <c r="I42" s="272">
        <f>SUM(I36:I41)</f>
        <v>5267.3307728</v>
      </c>
    </row>
    <row r="43" spans="2:12" x14ac:dyDescent="0.3">
      <c r="B43" s="66"/>
      <c r="C43" s="66"/>
      <c r="D43" s="66"/>
      <c r="E43" s="66"/>
      <c r="F43" s="66"/>
      <c r="G43" s="3"/>
      <c r="H43" s="3"/>
      <c r="I43" s="3"/>
    </row>
    <row r="44" spans="2:12" x14ac:dyDescent="0.3">
      <c r="B44" s="1126" t="s">
        <v>441</v>
      </c>
      <c r="C44" s="1127"/>
      <c r="D44" s="383" t="s">
        <v>564</v>
      </c>
      <c r="E44" s="383" t="s">
        <v>623</v>
      </c>
      <c r="F44" s="383" t="s">
        <v>565</v>
      </c>
      <c r="G44" s="383" t="s">
        <v>566</v>
      </c>
      <c r="H44" s="383" t="s">
        <v>563</v>
      </c>
      <c r="I44" s="383" t="s">
        <v>555</v>
      </c>
    </row>
    <row r="45" spans="2:12" x14ac:dyDescent="0.3">
      <c r="B45" s="1128"/>
      <c r="C45" s="1129"/>
      <c r="D45" s="790">
        <f>365/12</f>
        <v>30.416666666666668</v>
      </c>
      <c r="E45" s="790">
        <f>4.33*2</f>
        <v>8.66</v>
      </c>
      <c r="F45" s="790">
        <f>D45-E45</f>
        <v>21.756666666666668</v>
      </c>
      <c r="G45" s="790">
        <f>F45*8</f>
        <v>174.05333333333334</v>
      </c>
      <c r="H45" s="386">
        <v>0.3</v>
      </c>
      <c r="I45" s="791">
        <f>G45*H45</f>
        <v>52.216000000000001</v>
      </c>
    </row>
    <row r="46" spans="2:12" x14ac:dyDescent="0.3">
      <c r="B46" s="382" t="s">
        <v>89</v>
      </c>
      <c r="C46" s="382" t="s">
        <v>294</v>
      </c>
      <c r="D46" s="382" t="s">
        <v>551</v>
      </c>
      <c r="E46" s="382" t="s">
        <v>552</v>
      </c>
      <c r="F46" s="382" t="s">
        <v>553</v>
      </c>
      <c r="G46" s="382" t="s">
        <v>554</v>
      </c>
      <c r="H46" s="382" t="s">
        <v>558</v>
      </c>
      <c r="I46" s="382" t="s">
        <v>559</v>
      </c>
    </row>
    <row r="47" spans="2:12" x14ac:dyDescent="0.3">
      <c r="B47" s="391" t="s">
        <v>542</v>
      </c>
      <c r="C47" s="392" t="s">
        <v>547</v>
      </c>
      <c r="D47" s="391">
        <v>13.8</v>
      </c>
      <c r="E47" s="385">
        <f>L47</f>
        <v>6.69</v>
      </c>
      <c r="F47" s="272">
        <f t="shared" ref="F47:F52" si="16">D47*E47</f>
        <v>92.322000000000017</v>
      </c>
      <c r="G47" s="272">
        <f t="shared" ref="G47:G52" si="17">$I$34*F47</f>
        <v>4820.6855520000008</v>
      </c>
      <c r="H47" s="4"/>
      <c r="I47" s="272">
        <f>G47</f>
        <v>4820.6855520000008</v>
      </c>
      <c r="K47" s="385">
        <v>6.1</v>
      </c>
      <c r="L47" s="839">
        <f t="shared" ref="L47:L52" si="18">TRUNC(K47*$L$21,2)</f>
        <v>6.69</v>
      </c>
    </row>
    <row r="48" spans="2:12" x14ac:dyDescent="0.3">
      <c r="B48" s="391" t="s">
        <v>543</v>
      </c>
      <c r="C48" s="392" t="s">
        <v>547</v>
      </c>
      <c r="D48" s="391">
        <v>0.24</v>
      </c>
      <c r="E48" s="385">
        <f t="shared" ref="E48:E52" si="19">L48</f>
        <v>44.33</v>
      </c>
      <c r="F48" s="272">
        <f t="shared" si="16"/>
        <v>10.639199999999999</v>
      </c>
      <c r="G48" s="272">
        <f t="shared" si="17"/>
        <v>555.53646719999995</v>
      </c>
      <c r="H48" s="4"/>
      <c r="I48" s="272">
        <f>G48</f>
        <v>555.53646719999995</v>
      </c>
      <c r="K48" s="385">
        <v>40.4</v>
      </c>
      <c r="L48" s="839">
        <f t="shared" si="18"/>
        <v>44.33</v>
      </c>
    </row>
    <row r="49" spans="2:12" x14ac:dyDescent="0.3">
      <c r="B49" s="391" t="s">
        <v>544</v>
      </c>
      <c r="C49" s="392" t="s">
        <v>548</v>
      </c>
      <c r="D49" s="391">
        <v>0.12</v>
      </c>
      <c r="E49" s="385">
        <f t="shared" si="19"/>
        <v>16.350000000000001</v>
      </c>
      <c r="F49" s="272">
        <f t="shared" si="16"/>
        <v>1.9620000000000002</v>
      </c>
      <c r="G49" s="272">
        <f t="shared" si="17"/>
        <v>102.44779200000001</v>
      </c>
      <c r="H49" s="4"/>
      <c r="I49" s="272">
        <f>G49</f>
        <v>102.44779200000001</v>
      </c>
      <c r="K49" s="385">
        <v>14.9</v>
      </c>
      <c r="L49" s="839">
        <f t="shared" si="18"/>
        <v>16.350000000000001</v>
      </c>
    </row>
    <row r="50" spans="2:12" x14ac:dyDescent="0.3">
      <c r="B50" s="391" t="s">
        <v>545</v>
      </c>
      <c r="C50" s="392" t="s">
        <v>549</v>
      </c>
      <c r="D50" s="391">
        <v>2.4E-2</v>
      </c>
      <c r="E50" s="385">
        <f t="shared" si="19"/>
        <v>210.39</v>
      </c>
      <c r="F50" s="272">
        <f t="shared" si="16"/>
        <v>5.0493600000000001</v>
      </c>
      <c r="G50" s="272">
        <f t="shared" si="17"/>
        <v>263.65738176000002</v>
      </c>
      <c r="H50" s="272">
        <f>G50</f>
        <v>263.65738176000002</v>
      </c>
      <c r="I50" s="4"/>
      <c r="K50" s="385">
        <v>191.72</v>
      </c>
      <c r="L50" s="839">
        <f t="shared" si="18"/>
        <v>210.39</v>
      </c>
    </row>
    <row r="51" spans="2:12" x14ac:dyDescent="0.3">
      <c r="B51" s="391" t="s">
        <v>550</v>
      </c>
      <c r="C51" s="392" t="s">
        <v>549</v>
      </c>
      <c r="D51" s="391">
        <v>2.3999999999999998E-3</v>
      </c>
      <c r="E51" s="385">
        <f t="shared" si="19"/>
        <v>5262.25</v>
      </c>
      <c r="F51" s="272">
        <f t="shared" si="16"/>
        <v>12.629399999999999</v>
      </c>
      <c r="G51" s="272">
        <f t="shared" si="17"/>
        <v>659.45675039999992</v>
      </c>
      <c r="H51" s="272">
        <f t="shared" ref="H51:H52" si="20">G51</f>
        <v>659.45675039999992</v>
      </c>
      <c r="I51" s="4"/>
      <c r="K51" s="385">
        <f>799.2*6</f>
        <v>4795.2000000000007</v>
      </c>
      <c r="L51" s="839">
        <f t="shared" si="18"/>
        <v>5262.25</v>
      </c>
    </row>
    <row r="52" spans="2:12" x14ac:dyDescent="0.3">
      <c r="B52" s="391" t="s">
        <v>884</v>
      </c>
      <c r="C52" s="392" t="s">
        <v>556</v>
      </c>
      <c r="D52" s="789">
        <v>7.4999999999999993E-5</v>
      </c>
      <c r="E52" s="385">
        <f t="shared" si="19"/>
        <v>412564.23</v>
      </c>
      <c r="F52" s="272">
        <f t="shared" si="16"/>
        <v>30.942317249999995</v>
      </c>
      <c r="G52" s="272">
        <f t="shared" si="17"/>
        <v>1615.6840375259999</v>
      </c>
      <c r="H52" s="272">
        <f t="shared" si="20"/>
        <v>1615.6840375259999</v>
      </c>
      <c r="I52" s="4"/>
      <c r="K52" s="385">
        <v>375947</v>
      </c>
      <c r="L52" s="839">
        <f t="shared" si="18"/>
        <v>412564.23</v>
      </c>
    </row>
    <row r="53" spans="2:12" x14ac:dyDescent="0.3">
      <c r="B53" s="1125" t="s">
        <v>5</v>
      </c>
      <c r="C53" s="1125"/>
      <c r="D53" s="1125"/>
      <c r="E53" s="1125"/>
      <c r="F53" s="1125"/>
      <c r="G53" s="272">
        <f>SUM(G47:G52)</f>
        <v>8017.4679808860001</v>
      </c>
      <c r="H53" s="272">
        <f>SUM(H47:H52)</f>
        <v>2538.7981696859997</v>
      </c>
      <c r="I53" s="272">
        <f>SUM(I47:I52)</f>
        <v>5478.6698112000004</v>
      </c>
    </row>
    <row r="54" spans="2:12" x14ac:dyDescent="0.3">
      <c r="B54" s="66"/>
      <c r="C54" s="66"/>
      <c r="D54" s="66"/>
      <c r="E54" s="66"/>
      <c r="F54" s="66"/>
      <c r="G54" s="3"/>
      <c r="H54" s="3"/>
      <c r="I54" s="3"/>
    </row>
    <row r="55" spans="2:12" x14ac:dyDescent="0.3">
      <c r="B55" s="1126" t="s">
        <v>439</v>
      </c>
      <c r="C55" s="1127"/>
      <c r="D55" s="387" t="s">
        <v>564</v>
      </c>
      <c r="E55" s="383" t="s">
        <v>623</v>
      </c>
      <c r="F55" s="383" t="s">
        <v>565</v>
      </c>
      <c r="G55" s="388" t="s">
        <v>566</v>
      </c>
      <c r="H55" s="388" t="s">
        <v>563</v>
      </c>
      <c r="I55" s="383" t="s">
        <v>555</v>
      </c>
    </row>
    <row r="56" spans="2:12" x14ac:dyDescent="0.3">
      <c r="B56" s="1128"/>
      <c r="C56" s="1129"/>
      <c r="D56" s="790">
        <f>365/12</f>
        <v>30.416666666666668</v>
      </c>
      <c r="E56" s="790">
        <f>4.33*2</f>
        <v>8.66</v>
      </c>
      <c r="F56" s="790">
        <f>D56-E56</f>
        <v>21.756666666666668</v>
      </c>
      <c r="G56" s="790">
        <f>F56*8</f>
        <v>174.05333333333334</v>
      </c>
      <c r="H56" s="386">
        <v>0.3</v>
      </c>
      <c r="I56" s="791">
        <f>G56*H56</f>
        <v>52.216000000000001</v>
      </c>
    </row>
    <row r="57" spans="2:12" x14ac:dyDescent="0.3">
      <c r="B57" s="382" t="s">
        <v>89</v>
      </c>
      <c r="C57" s="382" t="s">
        <v>294</v>
      </c>
      <c r="D57" s="382" t="s">
        <v>551</v>
      </c>
      <c r="E57" s="382" t="s">
        <v>552</v>
      </c>
      <c r="F57" s="382" t="s">
        <v>553</v>
      </c>
      <c r="G57" s="382" t="s">
        <v>554</v>
      </c>
      <c r="H57" s="382" t="s">
        <v>558</v>
      </c>
      <c r="I57" s="382" t="s">
        <v>559</v>
      </c>
    </row>
    <row r="58" spans="2:12" x14ac:dyDescent="0.3">
      <c r="B58" s="391" t="s">
        <v>542</v>
      </c>
      <c r="C58" s="392" t="s">
        <v>547</v>
      </c>
      <c r="D58" s="391">
        <v>22.1</v>
      </c>
      <c r="E58" s="385">
        <f>L58</f>
        <v>6.69</v>
      </c>
      <c r="F58" s="272">
        <f t="shared" ref="F58:F63" si="21">D58*E58</f>
        <v>147.84900000000002</v>
      </c>
      <c r="G58" s="272">
        <f t="shared" ref="G58:G63" si="22">$I$34*F58</f>
        <v>7720.0833840000014</v>
      </c>
      <c r="H58" s="4"/>
      <c r="I58" s="272">
        <f>G58</f>
        <v>7720.0833840000014</v>
      </c>
      <c r="K58" s="385">
        <v>6.1</v>
      </c>
      <c r="L58" s="839">
        <f t="shared" ref="L58:L63" si="23">TRUNC(K58*$L$21,2)</f>
        <v>6.69</v>
      </c>
    </row>
    <row r="59" spans="2:12" x14ac:dyDescent="0.3">
      <c r="B59" s="391" t="s">
        <v>543</v>
      </c>
      <c r="C59" s="392" t="s">
        <v>547</v>
      </c>
      <c r="D59" s="391">
        <v>0.39</v>
      </c>
      <c r="E59" s="385">
        <f t="shared" ref="E59:E63" si="24">L59</f>
        <v>44.33</v>
      </c>
      <c r="F59" s="272">
        <f t="shared" si="21"/>
        <v>17.288699999999999</v>
      </c>
      <c r="G59" s="272">
        <f t="shared" si="22"/>
        <v>902.74675919999993</v>
      </c>
      <c r="H59" s="4"/>
      <c r="I59" s="272">
        <f>G59</f>
        <v>902.74675919999993</v>
      </c>
      <c r="K59" s="385">
        <v>40.4</v>
      </c>
      <c r="L59" s="839">
        <f t="shared" si="23"/>
        <v>44.33</v>
      </c>
    </row>
    <row r="60" spans="2:12" x14ac:dyDescent="0.3">
      <c r="B60" s="391" t="s">
        <v>544</v>
      </c>
      <c r="C60" s="392" t="s">
        <v>548</v>
      </c>
      <c r="D60" s="391">
        <v>0.189</v>
      </c>
      <c r="E60" s="385">
        <f t="shared" si="24"/>
        <v>16.350000000000001</v>
      </c>
      <c r="F60" s="272">
        <f t="shared" si="21"/>
        <v>3.0901500000000004</v>
      </c>
      <c r="G60" s="272">
        <f t="shared" si="22"/>
        <v>161.35527240000002</v>
      </c>
      <c r="H60" s="4"/>
      <c r="I60" s="272">
        <f>G60</f>
        <v>161.35527240000002</v>
      </c>
      <c r="K60" s="385">
        <v>14.9</v>
      </c>
      <c r="L60" s="839">
        <f t="shared" si="23"/>
        <v>16.350000000000001</v>
      </c>
    </row>
    <row r="61" spans="2:12" x14ac:dyDescent="0.3">
      <c r="B61" s="391" t="s">
        <v>545</v>
      </c>
      <c r="C61" s="392" t="s">
        <v>549</v>
      </c>
      <c r="D61" s="391">
        <v>3.6999999999999998E-2</v>
      </c>
      <c r="E61" s="385">
        <f t="shared" si="24"/>
        <v>279.31</v>
      </c>
      <c r="F61" s="272">
        <f t="shared" si="21"/>
        <v>10.33447</v>
      </c>
      <c r="G61" s="272">
        <f t="shared" si="22"/>
        <v>539.62468551999996</v>
      </c>
      <c r="H61" s="272">
        <f>G61</f>
        <v>539.62468551999996</v>
      </c>
      <c r="I61" s="4"/>
      <c r="K61" s="385">
        <f>191.72+62.8</f>
        <v>254.51999999999998</v>
      </c>
      <c r="L61" s="839">
        <f t="shared" si="23"/>
        <v>279.31</v>
      </c>
    </row>
    <row r="62" spans="2:12" x14ac:dyDescent="0.3">
      <c r="B62" s="391" t="s">
        <v>550</v>
      </c>
      <c r="C62" s="392" t="s">
        <v>549</v>
      </c>
      <c r="D62" s="391">
        <v>2.3999999999999998E-3</v>
      </c>
      <c r="E62" s="385">
        <f t="shared" si="24"/>
        <v>34140.11</v>
      </c>
      <c r="F62" s="272">
        <f t="shared" si="21"/>
        <v>81.936263999999994</v>
      </c>
      <c r="G62" s="272">
        <f t="shared" si="22"/>
        <v>4278.3839610240002</v>
      </c>
      <c r="H62" s="272">
        <f t="shared" ref="H62:H63" si="25">G62</f>
        <v>4278.3839610240002</v>
      </c>
      <c r="I62" s="4"/>
      <c r="K62" s="385">
        <f>3111*10</f>
        <v>31110</v>
      </c>
      <c r="L62" s="839">
        <f t="shared" si="23"/>
        <v>34140.11</v>
      </c>
    </row>
    <row r="63" spans="2:12" x14ac:dyDescent="0.3">
      <c r="B63" s="391" t="s">
        <v>884</v>
      </c>
      <c r="C63" s="392" t="s">
        <v>556</v>
      </c>
      <c r="D63" s="789">
        <v>7.4999999999999993E-5</v>
      </c>
      <c r="E63" s="385">
        <f t="shared" si="24"/>
        <v>578426.37</v>
      </c>
      <c r="F63" s="272">
        <f t="shared" si="21"/>
        <v>43.381977749999997</v>
      </c>
      <c r="G63" s="272">
        <f t="shared" si="22"/>
        <v>2265.2333501939997</v>
      </c>
      <c r="H63" s="272">
        <f t="shared" si="25"/>
        <v>2265.2333501939997</v>
      </c>
      <c r="I63" s="4"/>
      <c r="K63" s="385">
        <v>527088</v>
      </c>
      <c r="L63" s="839">
        <f t="shared" si="23"/>
        <v>578426.37</v>
      </c>
    </row>
    <row r="64" spans="2:12" x14ac:dyDescent="0.3">
      <c r="B64" s="1125" t="s">
        <v>5</v>
      </c>
      <c r="C64" s="1125"/>
      <c r="D64" s="1125"/>
      <c r="E64" s="1125"/>
      <c r="F64" s="1125"/>
      <c r="G64" s="272">
        <f>SUM(G58:G63)</f>
        <v>15867.427412338</v>
      </c>
      <c r="H64" s="272">
        <f>SUM(H58:H63)</f>
        <v>7083.2419967379992</v>
      </c>
      <c r="I64" s="272">
        <f>SUM(I58:I63)</f>
        <v>8784.1854156000009</v>
      </c>
    </row>
    <row r="65" spans="2:12" x14ac:dyDescent="0.3">
      <c r="B65" s="66"/>
      <c r="C65" s="66"/>
      <c r="D65" s="66"/>
      <c r="E65" s="66"/>
      <c r="F65" s="66"/>
      <c r="G65" s="3"/>
      <c r="H65" s="3"/>
      <c r="I65" s="3"/>
    </row>
    <row r="66" spans="2:12" x14ac:dyDescent="0.3">
      <c r="B66" s="1126" t="s">
        <v>440</v>
      </c>
      <c r="C66" s="1127"/>
      <c r="D66" s="387" t="s">
        <v>564</v>
      </c>
      <c r="E66" s="383" t="s">
        <v>623</v>
      </c>
      <c r="F66" s="383" t="s">
        <v>565</v>
      </c>
      <c r="G66" s="388" t="s">
        <v>566</v>
      </c>
      <c r="H66" s="388" t="s">
        <v>563</v>
      </c>
      <c r="I66" s="383" t="s">
        <v>555</v>
      </c>
    </row>
    <row r="67" spans="2:12" x14ac:dyDescent="0.3">
      <c r="B67" s="1128"/>
      <c r="C67" s="1129"/>
      <c r="D67" s="790">
        <f>365/12</f>
        <v>30.416666666666668</v>
      </c>
      <c r="E67" s="790">
        <f>4.33*2</f>
        <v>8.66</v>
      </c>
      <c r="F67" s="790">
        <f>D67-E67</f>
        <v>21.756666666666668</v>
      </c>
      <c r="G67" s="790">
        <f>F67*8</f>
        <v>174.05333333333334</v>
      </c>
      <c r="H67" s="386">
        <v>0.3</v>
      </c>
      <c r="I67" s="791">
        <f>G67*H67</f>
        <v>52.216000000000001</v>
      </c>
    </row>
    <row r="68" spans="2:12" x14ac:dyDescent="0.3">
      <c r="B68" s="382" t="s">
        <v>89</v>
      </c>
      <c r="C68" s="382" t="s">
        <v>294</v>
      </c>
      <c r="D68" s="382" t="s">
        <v>551</v>
      </c>
      <c r="E68" s="382" t="s">
        <v>552</v>
      </c>
      <c r="F68" s="382" t="s">
        <v>553</v>
      </c>
      <c r="G68" s="382" t="s">
        <v>554</v>
      </c>
      <c r="H68" s="382" t="s">
        <v>558</v>
      </c>
      <c r="I68" s="382" t="s">
        <v>559</v>
      </c>
    </row>
    <row r="69" spans="2:12" x14ac:dyDescent="0.3">
      <c r="B69" s="391" t="s">
        <v>542</v>
      </c>
      <c r="C69" s="392" t="s">
        <v>547</v>
      </c>
      <c r="D69" s="391">
        <v>21.4</v>
      </c>
      <c r="E69" s="385">
        <f>L69</f>
        <v>6.69</v>
      </c>
      <c r="F69" s="272">
        <f t="shared" ref="F69:F74" si="26">D69*E69</f>
        <v>143.166</v>
      </c>
      <c r="G69" s="272">
        <f t="shared" ref="G69:G74" si="27">$I$34*F69</f>
        <v>7475.5558559999999</v>
      </c>
      <c r="H69" s="4"/>
      <c r="I69" s="272">
        <f>G69</f>
        <v>7475.5558559999999</v>
      </c>
      <c r="K69" s="385">
        <v>6.1</v>
      </c>
      <c r="L69" s="839">
        <f t="shared" ref="L69:L74" si="28">TRUNC(K69*$L$21,2)</f>
        <v>6.69</v>
      </c>
    </row>
    <row r="70" spans="2:12" x14ac:dyDescent="0.3">
      <c r="B70" s="391" t="s">
        <v>543</v>
      </c>
      <c r="C70" s="392" t="s">
        <v>547</v>
      </c>
      <c r="D70" s="391">
        <v>0.35</v>
      </c>
      <c r="E70" s="385">
        <f t="shared" ref="E70:E74" si="29">L70</f>
        <v>44.33</v>
      </c>
      <c r="F70" s="272">
        <f t="shared" si="26"/>
        <v>15.515499999999998</v>
      </c>
      <c r="G70" s="272">
        <f t="shared" si="27"/>
        <v>810.15734799999984</v>
      </c>
      <c r="H70" s="4"/>
      <c r="I70" s="272">
        <f>G70</f>
        <v>810.15734799999984</v>
      </c>
      <c r="K70" s="385">
        <v>40.4</v>
      </c>
      <c r="L70" s="839">
        <f t="shared" si="28"/>
        <v>44.33</v>
      </c>
    </row>
    <row r="71" spans="2:12" x14ac:dyDescent="0.3">
      <c r="B71" s="391" t="s">
        <v>544</v>
      </c>
      <c r="C71" s="392" t="s">
        <v>548</v>
      </c>
      <c r="D71" s="391">
        <v>0.189</v>
      </c>
      <c r="E71" s="385">
        <f t="shared" si="29"/>
        <v>16.350000000000001</v>
      </c>
      <c r="F71" s="272">
        <f t="shared" si="26"/>
        <v>3.0901500000000004</v>
      </c>
      <c r="G71" s="272">
        <f t="shared" si="27"/>
        <v>161.35527240000002</v>
      </c>
      <c r="H71" s="4"/>
      <c r="I71" s="272">
        <f>G71</f>
        <v>161.35527240000002</v>
      </c>
      <c r="K71" s="385">
        <v>14.9</v>
      </c>
      <c r="L71" s="839">
        <f t="shared" si="28"/>
        <v>16.350000000000001</v>
      </c>
    </row>
    <row r="72" spans="2:12" x14ac:dyDescent="0.3">
      <c r="B72" s="391" t="s">
        <v>545</v>
      </c>
      <c r="C72" s="392" t="s">
        <v>549</v>
      </c>
      <c r="D72" s="391">
        <v>0.37</v>
      </c>
      <c r="E72" s="385">
        <f t="shared" si="29"/>
        <v>279.31</v>
      </c>
      <c r="F72" s="272">
        <f t="shared" si="26"/>
        <v>103.3447</v>
      </c>
      <c r="G72" s="272">
        <f t="shared" si="27"/>
        <v>5396.2468552</v>
      </c>
      <c r="H72" s="272">
        <f>G72</f>
        <v>5396.2468552</v>
      </c>
      <c r="I72" s="4"/>
      <c r="K72" s="385">
        <v>254.51999999999998</v>
      </c>
      <c r="L72" s="839">
        <f t="shared" si="28"/>
        <v>279.31</v>
      </c>
    </row>
    <row r="73" spans="2:12" x14ac:dyDescent="0.3">
      <c r="B73" s="391" t="s">
        <v>550</v>
      </c>
      <c r="C73" s="392" t="s">
        <v>549</v>
      </c>
      <c r="D73" s="391">
        <v>2.3999999999999998E-3</v>
      </c>
      <c r="E73" s="385">
        <f t="shared" si="29"/>
        <v>20484.060000000001</v>
      </c>
      <c r="F73" s="272">
        <f t="shared" si="26"/>
        <v>49.161743999999999</v>
      </c>
      <c r="G73" s="272">
        <f t="shared" si="27"/>
        <v>2567.0296247040001</v>
      </c>
      <c r="H73" s="272">
        <f t="shared" ref="H73:H74" si="30">G73</f>
        <v>2567.0296247040001</v>
      </c>
      <c r="I73" s="4"/>
      <c r="K73" s="385">
        <f>3111*6</f>
        <v>18666</v>
      </c>
      <c r="L73" s="839">
        <f t="shared" si="28"/>
        <v>20484.060000000001</v>
      </c>
    </row>
    <row r="74" spans="2:12" x14ac:dyDescent="0.3">
      <c r="B74" s="391" t="s">
        <v>884</v>
      </c>
      <c r="C74" s="392" t="s">
        <v>556</v>
      </c>
      <c r="D74" s="789">
        <v>7.4999999999999993E-5</v>
      </c>
      <c r="E74" s="385">
        <f t="shared" si="29"/>
        <v>467434.23</v>
      </c>
      <c r="F74" s="272">
        <f t="shared" si="26"/>
        <v>35.057567249999998</v>
      </c>
      <c r="G74" s="272">
        <f t="shared" si="27"/>
        <v>1830.565931526</v>
      </c>
      <c r="H74" s="272">
        <f t="shared" si="30"/>
        <v>1830.565931526</v>
      </c>
      <c r="I74" s="4"/>
      <c r="K74" s="385">
        <v>425947</v>
      </c>
      <c r="L74" s="839">
        <f t="shared" si="28"/>
        <v>467434.23</v>
      </c>
    </row>
    <row r="75" spans="2:12" x14ac:dyDescent="0.3">
      <c r="B75" s="1125" t="s">
        <v>5</v>
      </c>
      <c r="C75" s="1125"/>
      <c r="D75" s="1125"/>
      <c r="E75" s="1125"/>
      <c r="F75" s="1125"/>
      <c r="G75" s="272">
        <f>SUM(G69:G74)</f>
        <v>18240.910887829996</v>
      </c>
      <c r="H75" s="272">
        <f>SUM(H69:H74)</f>
        <v>9793.8424114299996</v>
      </c>
      <c r="I75" s="272">
        <f>SUM(I69:I74)</f>
        <v>8447.0684763999998</v>
      </c>
    </row>
    <row r="76" spans="2:12" x14ac:dyDescent="0.3">
      <c r="B76" s="66"/>
      <c r="C76" s="66"/>
      <c r="D76" s="66"/>
      <c r="E76" s="66"/>
      <c r="F76" s="66"/>
      <c r="G76" s="3"/>
      <c r="H76" s="3"/>
      <c r="I76" s="3"/>
    </row>
    <row r="77" spans="2:12" x14ac:dyDescent="0.3">
      <c r="B77" s="1126" t="s">
        <v>438</v>
      </c>
      <c r="C77" s="1127"/>
      <c r="D77" s="387" t="s">
        <v>564</v>
      </c>
      <c r="E77" s="383" t="s">
        <v>623</v>
      </c>
      <c r="F77" s="383" t="s">
        <v>565</v>
      </c>
      <c r="G77" s="388" t="s">
        <v>566</v>
      </c>
      <c r="H77" s="388" t="s">
        <v>563</v>
      </c>
      <c r="I77" s="383" t="s">
        <v>555</v>
      </c>
    </row>
    <row r="78" spans="2:12" x14ac:dyDescent="0.3">
      <c r="B78" s="1128"/>
      <c r="C78" s="1129"/>
      <c r="D78" s="790">
        <f>365/12</f>
        <v>30.416666666666668</v>
      </c>
      <c r="E78" s="790">
        <f>4.33*2</f>
        <v>8.66</v>
      </c>
      <c r="F78" s="790">
        <f>D78-E78</f>
        <v>21.756666666666668</v>
      </c>
      <c r="G78" s="790">
        <f>F78*8</f>
        <v>174.05333333333334</v>
      </c>
      <c r="H78" s="386">
        <v>0.3</v>
      </c>
      <c r="I78" s="791">
        <f>G78*H78</f>
        <v>52.216000000000001</v>
      </c>
    </row>
    <row r="79" spans="2:12" x14ac:dyDescent="0.3">
      <c r="B79" s="382" t="s">
        <v>89</v>
      </c>
      <c r="C79" s="382" t="s">
        <v>294</v>
      </c>
      <c r="D79" s="382" t="s">
        <v>551</v>
      </c>
      <c r="E79" s="382" t="s">
        <v>552</v>
      </c>
      <c r="F79" s="382" t="s">
        <v>553</v>
      </c>
      <c r="G79" s="382" t="s">
        <v>554</v>
      </c>
      <c r="H79" s="382" t="s">
        <v>558</v>
      </c>
      <c r="I79" s="382" t="s">
        <v>559</v>
      </c>
    </row>
    <row r="80" spans="2:12" x14ac:dyDescent="0.3">
      <c r="B80" s="391" t="s">
        <v>542</v>
      </c>
      <c r="C80" s="392" t="s">
        <v>547</v>
      </c>
      <c r="D80" s="391">
        <v>16.600000000000001</v>
      </c>
      <c r="E80" s="385">
        <f>L80</f>
        <v>6.69</v>
      </c>
      <c r="F80" s="272">
        <f t="shared" ref="F80:F85" si="31">D80*E80</f>
        <v>111.05400000000002</v>
      </c>
      <c r="G80" s="272">
        <f t="shared" ref="G80:G85" si="32">$I$34*F80</f>
        <v>5798.7956640000011</v>
      </c>
      <c r="H80" s="4"/>
      <c r="I80" s="272">
        <f>G80</f>
        <v>5798.7956640000011</v>
      </c>
      <c r="K80" s="385">
        <v>6.1</v>
      </c>
      <c r="L80" s="839">
        <f t="shared" ref="L80:L85" si="33">TRUNC(K80*$L$21,2)</f>
        <v>6.69</v>
      </c>
    </row>
    <row r="81" spans="2:12" x14ac:dyDescent="0.3">
      <c r="B81" s="391" t="s">
        <v>543</v>
      </c>
      <c r="C81" s="392" t="s">
        <v>547</v>
      </c>
      <c r="D81" s="391">
        <v>0.32</v>
      </c>
      <c r="E81" s="385">
        <f t="shared" ref="E81:E85" si="34">L81</f>
        <v>44.33</v>
      </c>
      <c r="F81" s="272">
        <f t="shared" si="31"/>
        <v>14.185599999999999</v>
      </c>
      <c r="G81" s="272">
        <f t="shared" si="32"/>
        <v>740.71528960000001</v>
      </c>
      <c r="H81" s="4"/>
      <c r="I81" s="272">
        <f>G81</f>
        <v>740.71528960000001</v>
      </c>
      <c r="K81" s="385">
        <v>40.4</v>
      </c>
      <c r="L81" s="839">
        <f t="shared" si="33"/>
        <v>44.33</v>
      </c>
    </row>
    <row r="82" spans="2:12" x14ac:dyDescent="0.3">
      <c r="B82" s="391" t="s">
        <v>544</v>
      </c>
      <c r="C82" s="392" t="s">
        <v>548</v>
      </c>
      <c r="D82" s="391">
        <v>0.16</v>
      </c>
      <c r="E82" s="385">
        <f t="shared" si="34"/>
        <v>16.350000000000001</v>
      </c>
      <c r="F82" s="272">
        <f t="shared" si="31"/>
        <v>2.6160000000000001</v>
      </c>
      <c r="G82" s="272">
        <f t="shared" si="32"/>
        <v>136.59705600000001</v>
      </c>
      <c r="H82" s="4"/>
      <c r="I82" s="272">
        <f>G82</f>
        <v>136.59705600000001</v>
      </c>
      <c r="K82" s="385">
        <v>14.9</v>
      </c>
      <c r="L82" s="839">
        <f t="shared" si="33"/>
        <v>16.350000000000001</v>
      </c>
    </row>
    <row r="83" spans="2:12" x14ac:dyDescent="0.3">
      <c r="B83" s="391" t="s">
        <v>545</v>
      </c>
      <c r="C83" s="392" t="s">
        <v>549</v>
      </c>
      <c r="D83" s="391">
        <v>0.03</v>
      </c>
      <c r="E83" s="385">
        <f t="shared" si="34"/>
        <v>210.39</v>
      </c>
      <c r="F83" s="272">
        <f t="shared" si="31"/>
        <v>6.3116999999999992</v>
      </c>
      <c r="G83" s="272">
        <f t="shared" si="32"/>
        <v>329.57172719999994</v>
      </c>
      <c r="H83" s="272">
        <f>G83</f>
        <v>329.57172719999994</v>
      </c>
      <c r="I83" s="4"/>
      <c r="K83" s="385">
        <v>191.72</v>
      </c>
      <c r="L83" s="839">
        <f t="shared" si="33"/>
        <v>210.39</v>
      </c>
    </row>
    <row r="84" spans="2:12" x14ac:dyDescent="0.3">
      <c r="B84" s="391" t="s">
        <v>550</v>
      </c>
      <c r="C84" s="392" t="s">
        <v>549</v>
      </c>
      <c r="D84" s="391">
        <v>1.6000000000000001E-3</v>
      </c>
      <c r="E84" s="385">
        <f t="shared" si="34"/>
        <v>17332.330000000002</v>
      </c>
      <c r="F84" s="272">
        <f t="shared" si="31"/>
        <v>27.731728000000004</v>
      </c>
      <c r="G84" s="272">
        <f t="shared" si="32"/>
        <v>1448.0399092480002</v>
      </c>
      <c r="H84" s="272">
        <f t="shared" ref="H84:H85" si="35">G84</f>
        <v>1448.0399092480002</v>
      </c>
      <c r="I84" s="4"/>
      <c r="K84" s="385">
        <f>3948.5*4</f>
        <v>15794</v>
      </c>
      <c r="L84" s="839">
        <f t="shared" si="33"/>
        <v>17332.330000000002</v>
      </c>
    </row>
    <row r="85" spans="2:12" x14ac:dyDescent="0.3">
      <c r="B85" s="391" t="s">
        <v>884</v>
      </c>
      <c r="C85" s="392" t="s">
        <v>556</v>
      </c>
      <c r="D85" s="789">
        <v>7.4999999999999993E-5</v>
      </c>
      <c r="E85" s="385">
        <f t="shared" si="34"/>
        <v>302824.23</v>
      </c>
      <c r="F85" s="272">
        <f t="shared" si="31"/>
        <v>22.711817249999996</v>
      </c>
      <c r="G85" s="272">
        <f t="shared" si="32"/>
        <v>1185.9202495259999</v>
      </c>
      <c r="H85" s="272">
        <f t="shared" si="35"/>
        <v>1185.9202495259999</v>
      </c>
      <c r="I85" s="4"/>
      <c r="K85" s="385">
        <v>275947</v>
      </c>
      <c r="L85" s="839">
        <f t="shared" si="33"/>
        <v>302824.23</v>
      </c>
    </row>
    <row r="86" spans="2:12" x14ac:dyDescent="0.3">
      <c r="B86" s="1125" t="s">
        <v>5</v>
      </c>
      <c r="C86" s="1125"/>
      <c r="D86" s="1125"/>
      <c r="E86" s="1125"/>
      <c r="F86" s="1125"/>
      <c r="G86" s="272">
        <f>SUM(G80:G85)</f>
        <v>9639.6398955740005</v>
      </c>
      <c r="H86" s="272">
        <f>SUM(H80:H85)</f>
        <v>2963.531885974</v>
      </c>
      <c r="I86" s="272">
        <f>SUM(I80:I85)</f>
        <v>6676.1080096000005</v>
      </c>
    </row>
    <row r="87" spans="2:12" x14ac:dyDescent="0.3">
      <c r="B87" s="66"/>
      <c r="C87" s="66"/>
      <c r="D87" s="66"/>
      <c r="E87" s="66"/>
      <c r="F87" s="66"/>
      <c r="G87" s="3"/>
      <c r="H87" s="3"/>
      <c r="I87" s="3"/>
    </row>
    <row r="88" spans="2:12" x14ac:dyDescent="0.3">
      <c r="B88" s="1126" t="s">
        <v>557</v>
      </c>
      <c r="C88" s="1127"/>
      <c r="D88" s="387" t="s">
        <v>564</v>
      </c>
      <c r="E88" s="383" t="s">
        <v>623</v>
      </c>
      <c r="F88" s="383" t="s">
        <v>565</v>
      </c>
      <c r="G88" s="388" t="s">
        <v>566</v>
      </c>
      <c r="H88" s="388" t="s">
        <v>563</v>
      </c>
      <c r="I88" s="383" t="s">
        <v>555</v>
      </c>
    </row>
    <row r="89" spans="2:12" x14ac:dyDescent="0.3">
      <c r="B89" s="1128"/>
      <c r="C89" s="1129"/>
      <c r="D89" s="790">
        <f>365/12</f>
        <v>30.416666666666668</v>
      </c>
      <c r="E89" s="790">
        <f>4.33*2</f>
        <v>8.66</v>
      </c>
      <c r="F89" s="790">
        <f>D89-E89</f>
        <v>21.756666666666668</v>
      </c>
      <c r="G89" s="790">
        <f>F89*8</f>
        <v>174.05333333333334</v>
      </c>
      <c r="H89" s="386">
        <v>0.4</v>
      </c>
      <c r="I89" s="791">
        <f>G89*H89</f>
        <v>69.62133333333334</v>
      </c>
    </row>
    <row r="90" spans="2:12" x14ac:dyDescent="0.3">
      <c r="B90" s="382" t="s">
        <v>89</v>
      </c>
      <c r="C90" s="382" t="s">
        <v>294</v>
      </c>
      <c r="D90" s="382" t="s">
        <v>551</v>
      </c>
      <c r="E90" s="382" t="s">
        <v>552</v>
      </c>
      <c r="F90" s="382" t="s">
        <v>553</v>
      </c>
      <c r="G90" s="382" t="s">
        <v>554</v>
      </c>
      <c r="H90" s="382" t="s">
        <v>558</v>
      </c>
      <c r="I90" s="382" t="s">
        <v>559</v>
      </c>
    </row>
    <row r="91" spans="2:12" x14ac:dyDescent="0.3">
      <c r="B91" s="391" t="s">
        <v>567</v>
      </c>
      <c r="C91" s="392" t="s">
        <v>547</v>
      </c>
      <c r="D91" s="391">
        <v>4.2</v>
      </c>
      <c r="E91" s="385">
        <f>L91</f>
        <v>7.19</v>
      </c>
      <c r="F91" s="272">
        <f t="shared" ref="F91:F96" si="36">D91*E91</f>
        <v>30.198000000000004</v>
      </c>
      <c r="G91" s="272">
        <f t="shared" ref="G91:G96" si="37">$I$34*F91</f>
        <v>1576.8187680000003</v>
      </c>
      <c r="H91" s="4"/>
      <c r="I91" s="272">
        <f>G91</f>
        <v>1576.8187680000003</v>
      </c>
      <c r="K91" s="385">
        <v>6.56</v>
      </c>
      <c r="L91" s="839">
        <f t="shared" ref="L91:L96" si="38">TRUNC(K91*$L$21,2)</f>
        <v>7.19</v>
      </c>
    </row>
    <row r="92" spans="2:12" x14ac:dyDescent="0.3">
      <c r="B92" s="391" t="s">
        <v>543</v>
      </c>
      <c r="C92" s="392" t="s">
        <v>547</v>
      </c>
      <c r="D92" s="391">
        <v>0.16</v>
      </c>
      <c r="E92" s="385">
        <f t="shared" ref="E92:E96" si="39">L92</f>
        <v>44.33</v>
      </c>
      <c r="F92" s="272">
        <f t="shared" si="36"/>
        <v>7.0927999999999995</v>
      </c>
      <c r="G92" s="272">
        <f t="shared" si="37"/>
        <v>370.3576448</v>
      </c>
      <c r="H92" s="4"/>
      <c r="I92" s="272">
        <f>G92</f>
        <v>370.3576448</v>
      </c>
      <c r="K92" s="385">
        <v>40.4</v>
      </c>
      <c r="L92" s="839">
        <f t="shared" si="38"/>
        <v>44.33</v>
      </c>
    </row>
    <row r="93" spans="2:12" x14ac:dyDescent="0.3">
      <c r="B93" s="391" t="s">
        <v>544</v>
      </c>
      <c r="C93" s="392" t="s">
        <v>548</v>
      </c>
      <c r="D93" s="391">
        <v>8.5000000000000006E-2</v>
      </c>
      <c r="E93" s="385">
        <f t="shared" si="39"/>
        <v>16.350000000000001</v>
      </c>
      <c r="F93" s="272">
        <f t="shared" si="36"/>
        <v>1.3897500000000003</v>
      </c>
      <c r="G93" s="272">
        <f t="shared" si="37"/>
        <v>72.567186000000021</v>
      </c>
      <c r="H93" s="4"/>
      <c r="I93" s="272">
        <f>G93</f>
        <v>72.567186000000021</v>
      </c>
      <c r="K93" s="385">
        <v>14.9</v>
      </c>
      <c r="L93" s="839">
        <f t="shared" si="38"/>
        <v>16.350000000000001</v>
      </c>
    </row>
    <row r="94" spans="2:12" x14ac:dyDescent="0.3">
      <c r="B94" s="391" t="s">
        <v>545</v>
      </c>
      <c r="C94" s="392" t="s">
        <v>549</v>
      </c>
      <c r="D94" s="391">
        <v>0.02</v>
      </c>
      <c r="E94" s="385">
        <f t="shared" si="39"/>
        <v>49.55</v>
      </c>
      <c r="F94" s="272">
        <f t="shared" si="36"/>
        <v>0.99099999999999999</v>
      </c>
      <c r="G94" s="272">
        <f t="shared" si="37"/>
        <v>51.746056000000003</v>
      </c>
      <c r="H94" s="272">
        <f>G94</f>
        <v>51.746056000000003</v>
      </c>
      <c r="I94" s="4"/>
      <c r="K94" s="385">
        <v>45.16</v>
      </c>
      <c r="L94" s="839">
        <f t="shared" si="38"/>
        <v>49.55</v>
      </c>
    </row>
    <row r="95" spans="2:12" x14ac:dyDescent="0.3">
      <c r="B95" s="391" t="s">
        <v>550</v>
      </c>
      <c r="C95" s="392" t="s">
        <v>549</v>
      </c>
      <c r="D95" s="391">
        <v>1.6000000000000001E-3</v>
      </c>
      <c r="E95" s="385">
        <f t="shared" si="39"/>
        <v>285.20999999999998</v>
      </c>
      <c r="F95" s="272">
        <f t="shared" si="36"/>
        <v>0.45633599999999996</v>
      </c>
      <c r="G95" s="272">
        <f t="shared" si="37"/>
        <v>23.828040575999999</v>
      </c>
      <c r="H95" s="272">
        <f t="shared" ref="H95:H96" si="40">G95</f>
        <v>23.828040575999999</v>
      </c>
      <c r="I95" s="4"/>
      <c r="K95" s="385">
        <v>259.89999999999998</v>
      </c>
      <c r="L95" s="839">
        <f t="shared" si="38"/>
        <v>285.20999999999998</v>
      </c>
    </row>
    <row r="96" spans="2:12" x14ac:dyDescent="0.3">
      <c r="B96" s="391" t="s">
        <v>884</v>
      </c>
      <c r="C96" s="392" t="s">
        <v>556</v>
      </c>
      <c r="D96" s="789">
        <v>7.4999999999999993E-5</v>
      </c>
      <c r="E96" s="385">
        <f t="shared" si="39"/>
        <v>24424.83</v>
      </c>
      <c r="F96" s="272">
        <f t="shared" si="36"/>
        <v>1.8318622499999999</v>
      </c>
      <c r="G96" s="272">
        <f t="shared" si="37"/>
        <v>95.652519245999997</v>
      </c>
      <c r="H96" s="272">
        <f t="shared" si="40"/>
        <v>95.652519245999997</v>
      </c>
      <c r="I96" s="4"/>
      <c r="K96" s="385">
        <v>22257</v>
      </c>
      <c r="L96" s="839">
        <f t="shared" si="38"/>
        <v>24424.83</v>
      </c>
    </row>
    <row r="97" spans="2:9" x14ac:dyDescent="0.3">
      <c r="B97" s="1125" t="s">
        <v>5</v>
      </c>
      <c r="C97" s="1125"/>
      <c r="D97" s="1125"/>
      <c r="E97" s="1125"/>
      <c r="F97" s="1125"/>
      <c r="G97" s="272">
        <f>SUM(G91:G96)</f>
        <v>2190.9702146220006</v>
      </c>
      <c r="H97" s="272">
        <f>SUM(H91:H96)</f>
        <v>171.22661582199999</v>
      </c>
      <c r="I97" s="272">
        <f>SUM(I91:I96)</f>
        <v>2019.7435988000004</v>
      </c>
    </row>
  </sheetData>
  <mergeCells count="16">
    <mergeCell ref="B97:F97"/>
    <mergeCell ref="B3:B4"/>
    <mergeCell ref="C3:C4"/>
    <mergeCell ref="B31:F31"/>
    <mergeCell ref="B42:F42"/>
    <mergeCell ref="B22:C23"/>
    <mergeCell ref="B33:C34"/>
    <mergeCell ref="B44:C45"/>
    <mergeCell ref="B55:C56"/>
    <mergeCell ref="B66:C67"/>
    <mergeCell ref="B77:C78"/>
    <mergeCell ref="B88:C89"/>
    <mergeCell ref="B53:F53"/>
    <mergeCell ref="B64:F64"/>
    <mergeCell ref="B75:F75"/>
    <mergeCell ref="B86:F86"/>
  </mergeCells>
  <phoneticPr fontId="2" type="noConversion"/>
  <pageMargins left="0.511811024" right="0.511811024" top="0.78740157499999996" bottom="0.78740157499999996" header="0.31496062000000002" footer="0.3149606200000000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M33"/>
  <sheetViews>
    <sheetView showGridLines="0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D1" sqref="D1"/>
    </sheetView>
  </sheetViews>
  <sheetFormatPr defaultRowHeight="14.4" x14ac:dyDescent="0.3"/>
  <cols>
    <col min="1" max="1" width="14.88671875" bestFit="1" customWidth="1"/>
    <col min="2" max="2" width="53" customWidth="1"/>
    <col min="3" max="3" width="8" customWidth="1"/>
    <col min="4" max="38" width="16.6640625" customWidth="1"/>
    <col min="39" max="39" width="17" bestFit="1" customWidth="1"/>
  </cols>
  <sheetData>
    <row r="1" spans="1:39" x14ac:dyDescent="0.3">
      <c r="A1" s="318" t="s">
        <v>522</v>
      </c>
      <c r="B1" s="138" t="s">
        <v>418</v>
      </c>
      <c r="C1" s="138" t="s">
        <v>222</v>
      </c>
      <c r="D1" s="852">
        <f>ROUND((CAPEX!F51/'Base Física'!AN52+CAPEX!F52/'Base Física'!AN53)*A18*0.435909424454581,2)</f>
        <v>1792.91</v>
      </c>
    </row>
    <row r="2" spans="1:39" x14ac:dyDescent="0.3">
      <c r="A2" s="147" t="s">
        <v>528</v>
      </c>
      <c r="B2" s="138" t="s">
        <v>419</v>
      </c>
      <c r="C2" s="138" t="s">
        <v>15</v>
      </c>
      <c r="D2" s="355">
        <v>1.6360809195114935E-2</v>
      </c>
      <c r="E2" s="355">
        <v>1.6696917569885374E-2</v>
      </c>
      <c r="F2" s="355">
        <v>1.6784021572986235E-2</v>
      </c>
      <c r="G2" s="355">
        <v>3.0697626596779059E-2</v>
      </c>
      <c r="H2" s="355">
        <v>2.649961538847502E-2</v>
      </c>
      <c r="I2" s="355">
        <v>4.0430269713249846E-2</v>
      </c>
      <c r="J2" s="355">
        <v>4.9975419219560932E-2</v>
      </c>
      <c r="K2" s="355">
        <v>5.0098153841043574E-2</v>
      </c>
      <c r="L2" s="355">
        <v>4.9649683258951499E-2</v>
      </c>
      <c r="M2" s="355">
        <v>5.9020811623446093E-2</v>
      </c>
      <c r="N2" s="355">
        <v>5.4092301418907307E-2</v>
      </c>
      <c r="O2" s="355">
        <v>4.9368850382412351E-2</v>
      </c>
      <c r="P2" s="355">
        <v>4.4640955964705825E-2</v>
      </c>
      <c r="Q2" s="355">
        <v>4.4422476100856097E-2</v>
      </c>
      <c r="R2" s="355">
        <v>4.4200917313168137E-2</v>
      </c>
      <c r="S2" s="355">
        <v>3.4905607755719395E-2</v>
      </c>
      <c r="T2" s="355">
        <v>3.4738624097274143E-2</v>
      </c>
      <c r="U2" s="355">
        <v>2.5738836644569128E-2</v>
      </c>
      <c r="V2" s="355">
        <v>2.5624914107971547E-2</v>
      </c>
      <c r="W2" s="355">
        <v>2.5507303718924124E-2</v>
      </c>
      <c r="X2" s="355">
        <v>2.1159199659546449E-2</v>
      </c>
      <c r="Y2" s="355">
        <v>2.107211829468033E-2</v>
      </c>
      <c r="Z2" s="355">
        <v>1.6793693039319456E-2</v>
      </c>
      <c r="AA2" s="355">
        <v>1.6729689359311541E-2</v>
      </c>
      <c r="AB2" s="355">
        <v>1.6001565650542154E-2</v>
      </c>
      <c r="AC2" s="355">
        <v>1.181920087950443E-2</v>
      </c>
      <c r="AD2" s="355">
        <v>1.1784486701535667E-2</v>
      </c>
      <c r="AE2" s="355">
        <v>7.6274239994756441E-3</v>
      </c>
      <c r="AF2" s="355">
        <v>7.6274239994756441E-3</v>
      </c>
      <c r="AG2" s="355">
        <v>7.6274239994756441E-3</v>
      </c>
      <c r="AH2" s="355">
        <v>7.6274239994756441E-3</v>
      </c>
      <c r="AI2" s="355">
        <v>7.6274239994756441E-3</v>
      </c>
      <c r="AJ2" s="355">
        <v>7.6274239994756441E-3</v>
      </c>
      <c r="AK2" s="355">
        <v>7.6274239994756441E-3</v>
      </c>
      <c r="AL2" s="355">
        <v>7.6274239994756441E-3</v>
      </c>
      <c r="AM2" s="159">
        <f>SUM(D2:AG2)</f>
        <v>0.87769634106686767</v>
      </c>
    </row>
    <row r="3" spans="1:39" x14ac:dyDescent="0.3">
      <c r="A3" s="222" t="s">
        <v>524</v>
      </c>
    </row>
    <row r="4" spans="1:39" x14ac:dyDescent="0.3">
      <c r="B4" s="1120" t="s">
        <v>420</v>
      </c>
      <c r="C4" s="1120" t="s">
        <v>216</v>
      </c>
      <c r="D4" s="138">
        <f>'FCD PROJETO'!F23</f>
        <v>1</v>
      </c>
      <c r="E4" s="138">
        <f>'FCD PROJETO'!G23</f>
        <v>2</v>
      </c>
      <c r="F4" s="138">
        <f>'FCD PROJETO'!H23</f>
        <v>3</v>
      </c>
      <c r="G4" s="138">
        <f>'FCD PROJETO'!I23</f>
        <v>4</v>
      </c>
      <c r="H4" s="138">
        <f>'FCD PROJETO'!J23</f>
        <v>5</v>
      </c>
      <c r="I4" s="138">
        <f>'FCD PROJETO'!K23</f>
        <v>6</v>
      </c>
      <c r="J4" s="138">
        <f>'FCD PROJETO'!L23</f>
        <v>7</v>
      </c>
      <c r="K4" s="138">
        <f>'FCD PROJETO'!M23</f>
        <v>8</v>
      </c>
      <c r="L4" s="138">
        <f>'FCD PROJETO'!N23</f>
        <v>9</v>
      </c>
      <c r="M4" s="138">
        <f>'FCD PROJETO'!O23</f>
        <v>10</v>
      </c>
      <c r="N4" s="138">
        <f>'FCD PROJETO'!P23</f>
        <v>11</v>
      </c>
      <c r="O4" s="138">
        <f>'FCD PROJETO'!Q23</f>
        <v>12</v>
      </c>
      <c r="P4" s="138">
        <f>'FCD PROJETO'!R23</f>
        <v>13</v>
      </c>
      <c r="Q4" s="138">
        <f>'FCD PROJETO'!S23</f>
        <v>14</v>
      </c>
      <c r="R4" s="138">
        <f>'FCD PROJETO'!T23</f>
        <v>15</v>
      </c>
      <c r="S4" s="138">
        <f>'FCD PROJETO'!U23</f>
        <v>16</v>
      </c>
      <c r="T4" s="138">
        <f>'FCD PROJETO'!V23</f>
        <v>17</v>
      </c>
      <c r="U4" s="138">
        <f>'FCD PROJETO'!W23</f>
        <v>18</v>
      </c>
      <c r="V4" s="138">
        <f>'FCD PROJETO'!X23</f>
        <v>19</v>
      </c>
      <c r="W4" s="138">
        <f>'FCD PROJETO'!Y23</f>
        <v>20</v>
      </c>
      <c r="X4" s="138">
        <f>'FCD PROJETO'!Z23</f>
        <v>21</v>
      </c>
      <c r="Y4" s="138">
        <f>'FCD PROJETO'!AA23</f>
        <v>22</v>
      </c>
      <c r="Z4" s="138">
        <f>'FCD PROJETO'!AB23</f>
        <v>23</v>
      </c>
      <c r="AA4" s="138">
        <f>'FCD PROJETO'!AC23</f>
        <v>24</v>
      </c>
      <c r="AB4" s="138">
        <f>'FCD PROJETO'!AD23</f>
        <v>25</v>
      </c>
      <c r="AC4" s="138">
        <f>'FCD PROJETO'!AE23</f>
        <v>26</v>
      </c>
      <c r="AD4" s="138">
        <f>'FCD PROJETO'!AF23</f>
        <v>27</v>
      </c>
      <c r="AE4" s="138">
        <f>'FCD PROJETO'!AG23</f>
        <v>28</v>
      </c>
      <c r="AF4" s="138">
        <f>'FCD PROJETO'!AH23</f>
        <v>29</v>
      </c>
      <c r="AG4" s="138">
        <f>'FCD PROJETO'!AI23</f>
        <v>30</v>
      </c>
      <c r="AH4" s="138">
        <f>'FCD PROJETO'!AJ23</f>
        <v>31</v>
      </c>
      <c r="AI4" s="138">
        <f>'FCD PROJETO'!AK23</f>
        <v>32</v>
      </c>
      <c r="AJ4" s="138">
        <f>'FCD PROJETO'!AL23</f>
        <v>33</v>
      </c>
      <c r="AK4" s="138">
        <f>'FCD PROJETO'!AM23</f>
        <v>34</v>
      </c>
      <c r="AL4" s="138">
        <f>'FCD PROJETO'!AN23</f>
        <v>35</v>
      </c>
      <c r="AM4" s="1120" t="s">
        <v>428</v>
      </c>
    </row>
    <row r="5" spans="1:39" x14ac:dyDescent="0.3">
      <c r="B5" s="1120"/>
      <c r="C5" s="1120"/>
      <c r="D5" s="138">
        <f>Cronograma!C4</f>
        <v>2027</v>
      </c>
      <c r="E5" s="138">
        <f>Cronograma!D4</f>
        <v>2028</v>
      </c>
      <c r="F5" s="138">
        <f>Cronograma!E4</f>
        <v>2029</v>
      </c>
      <c r="G5" s="138">
        <f>Cronograma!F4</f>
        <v>2030</v>
      </c>
      <c r="H5" s="138">
        <f>Cronograma!G4</f>
        <v>2031</v>
      </c>
      <c r="I5" s="138">
        <f>Cronograma!H4</f>
        <v>2032</v>
      </c>
      <c r="J5" s="138">
        <f>Cronograma!I4</f>
        <v>2033</v>
      </c>
      <c r="K5" s="138">
        <f>Cronograma!J4</f>
        <v>2034</v>
      </c>
      <c r="L5" s="138">
        <f>Cronograma!K4</f>
        <v>2035</v>
      </c>
      <c r="M5" s="138">
        <f>Cronograma!L4</f>
        <v>2036</v>
      </c>
      <c r="N5" s="138">
        <f>Cronograma!M4</f>
        <v>2037</v>
      </c>
      <c r="O5" s="138">
        <f>Cronograma!N4</f>
        <v>2038</v>
      </c>
      <c r="P5" s="138">
        <f>Cronograma!O4</f>
        <v>2039</v>
      </c>
      <c r="Q5" s="138">
        <f>Cronograma!P4</f>
        <v>2040</v>
      </c>
      <c r="R5" s="138">
        <f>Cronograma!Q4</f>
        <v>2041</v>
      </c>
      <c r="S5" s="138">
        <f>Cronograma!R4</f>
        <v>2042</v>
      </c>
      <c r="T5" s="138">
        <f>Cronograma!S4</f>
        <v>2043</v>
      </c>
      <c r="U5" s="138">
        <f>Cronograma!T4</f>
        <v>2044</v>
      </c>
      <c r="V5" s="138">
        <f>Cronograma!U4</f>
        <v>2045</v>
      </c>
      <c r="W5" s="138">
        <f>Cronograma!V4</f>
        <v>2046</v>
      </c>
      <c r="X5" s="138">
        <f>Cronograma!W4</f>
        <v>2047</v>
      </c>
      <c r="Y5" s="138">
        <f>Cronograma!X4</f>
        <v>2048</v>
      </c>
      <c r="Z5" s="138">
        <f>Cronograma!Y4</f>
        <v>2049</v>
      </c>
      <c r="AA5" s="138">
        <f>Cronograma!Z4</f>
        <v>2050</v>
      </c>
      <c r="AB5" s="138">
        <f>Cronograma!AA4</f>
        <v>2051</v>
      </c>
      <c r="AC5" s="138">
        <f>Cronograma!AB4</f>
        <v>2052</v>
      </c>
      <c r="AD5" s="138">
        <f>Cronograma!AC4</f>
        <v>2053</v>
      </c>
      <c r="AE5" s="138">
        <f>Cronograma!AD4</f>
        <v>2054</v>
      </c>
      <c r="AF5" s="138">
        <f>Cronograma!AE4</f>
        <v>2055</v>
      </c>
      <c r="AG5" s="138">
        <f>Cronograma!AF4</f>
        <v>2056</v>
      </c>
      <c r="AH5" s="138">
        <f>Cronograma!AG4</f>
        <v>2057</v>
      </c>
      <c r="AI5" s="138">
        <f>Cronograma!AH4</f>
        <v>2058</v>
      </c>
      <c r="AJ5" s="138">
        <f>Cronograma!AI4</f>
        <v>2059</v>
      </c>
      <c r="AK5" s="138">
        <f>Cronograma!AJ4</f>
        <v>2060</v>
      </c>
      <c r="AL5" s="138">
        <f>Cronograma!AK4</f>
        <v>2061</v>
      </c>
      <c r="AM5" s="1120"/>
    </row>
    <row r="6" spans="1:39" x14ac:dyDescent="0.3">
      <c r="B6" s="243" t="s">
        <v>390</v>
      </c>
      <c r="C6" s="244" t="s">
        <v>126</v>
      </c>
      <c r="D6" s="250">
        <f>'Base Física'!F10</f>
        <v>302518.86680173344</v>
      </c>
      <c r="E6" s="250">
        <f>'Base Física'!G10</f>
        <v>318551.17354761629</v>
      </c>
      <c r="F6" s="250">
        <f>'Base Física'!H10</f>
        <v>327097.87063211534</v>
      </c>
      <c r="G6" s="250">
        <f>'Base Física'!I10</f>
        <v>333639.12266374228</v>
      </c>
      <c r="H6" s="250">
        <f>'Base Física'!J10</f>
        <v>340099.34664209257</v>
      </c>
      <c r="I6" s="250">
        <f>'Base Física'!K10</f>
        <v>346479.7314649531</v>
      </c>
      <c r="J6" s="250">
        <f>'Base Física'!L10</f>
        <v>352761.82310199778</v>
      </c>
      <c r="K6" s="250">
        <f>'Base Física'!M10</f>
        <v>358918.46611744148</v>
      </c>
      <c r="L6" s="250">
        <f>'Base Física'!N10</f>
        <v>365023.64472305629</v>
      </c>
      <c r="M6" s="250">
        <f>'Base Física'!O10</f>
        <v>370993.1778710793</v>
      </c>
      <c r="N6" s="250">
        <f>'Base Física'!P10</f>
        <v>376838.24111314496</v>
      </c>
      <c r="O6" s="250">
        <f>'Base Física'!Q10</f>
        <v>382596.94473612087</v>
      </c>
      <c r="P6" s="250">
        <f>'Base Física'!R10</f>
        <v>388185.58164948464</v>
      </c>
      <c r="Q6" s="250">
        <f>'Base Física'!S10</f>
        <v>393663.88682391745</v>
      </c>
      <c r="R6" s="250">
        <f>'Base Física'!T10</f>
        <v>399024.27041877067</v>
      </c>
      <c r="S6" s="250">
        <f>'Base Física'!U10</f>
        <v>404264.35789962229</v>
      </c>
      <c r="T6" s="250">
        <f>'Base Física'!V10</f>
        <v>409360.82356184412</v>
      </c>
      <c r="U6" s="250">
        <f>'Base Física'!W10</f>
        <v>414337.09972150292</v>
      </c>
      <c r="V6" s="250">
        <f>'Base Física'!X10</f>
        <v>419150.12073369807</v>
      </c>
      <c r="W6" s="250">
        <f>'Base Física'!Y10</f>
        <v>423873.70373100205</v>
      </c>
      <c r="X6" s="250">
        <f>'Base Física'!Z10</f>
        <v>428432.40590154397</v>
      </c>
      <c r="Y6" s="250">
        <f>'Base Física'!AA10</f>
        <v>432863.63968485338</v>
      </c>
      <c r="Z6" s="250">
        <f>'Base Física'!AB10</f>
        <v>437150.46269474534</v>
      </c>
      <c r="AA6" s="250">
        <f>'Base Física'!AC10</f>
        <v>441310.22942385013</v>
      </c>
      <c r="AB6" s="250">
        <f>'Base Física'!AD10</f>
        <v>445321.81052758021</v>
      </c>
      <c r="AC6" s="250">
        <f>'Base Física'!AE10</f>
        <v>449249.82655700151</v>
      </c>
      <c r="AD6" s="250">
        <f>'Base Física'!AF10</f>
        <v>452995.15065138065</v>
      </c>
      <c r="AE6" s="250">
        <f>'Base Física'!AG10</f>
        <v>456637.77750159503</v>
      </c>
      <c r="AF6" s="250">
        <f>'Base Física'!AH10</f>
        <v>460138.37061472703</v>
      </c>
      <c r="AG6" s="250">
        <f>'Base Física'!AI10</f>
        <v>463523.5011180467</v>
      </c>
      <c r="AH6" s="250">
        <f>'Base Física'!AJ10</f>
        <v>466786.36528739153</v>
      </c>
      <c r="AI6" s="250">
        <f>'Base Física'!AK10</f>
        <v>469917.40558616113</v>
      </c>
      <c r="AJ6" s="250">
        <f>'Base Física'!AL10</f>
        <v>472934.577831809</v>
      </c>
      <c r="AK6" s="250">
        <f>'Base Física'!AM10</f>
        <v>473314.16391981387</v>
      </c>
      <c r="AL6" s="250">
        <f>'Base Física'!AN10</f>
        <v>475657.81352704653</v>
      </c>
      <c r="AM6" s="1120"/>
    </row>
    <row r="7" spans="1:39" x14ac:dyDescent="0.3">
      <c r="B7" s="243" t="s">
        <v>391</v>
      </c>
      <c r="C7" s="244" t="s">
        <v>294</v>
      </c>
      <c r="D7" s="251">
        <f>'Base Física'!F52</f>
        <v>14263.030023655514</v>
      </c>
      <c r="E7" s="251">
        <f>'Base Física'!G52</f>
        <v>15018.914358680637</v>
      </c>
      <c r="F7" s="251">
        <f>'Base Física'!H52</f>
        <v>15421.87037397998</v>
      </c>
      <c r="G7" s="251">
        <f>'Base Física'!I52</f>
        <v>15730.27452445744</v>
      </c>
      <c r="H7" s="251">
        <f>'Base Física'!J52</f>
        <v>16034.858398967119</v>
      </c>
      <c r="I7" s="251">
        <f>'Base Física'!K52</f>
        <v>16335.678051152905</v>
      </c>
      <c r="J7" s="251">
        <f>'Base Física'!L52</f>
        <v>16631.863418293153</v>
      </c>
      <c r="K7" s="251">
        <f>'Base Física'!M52</f>
        <v>16922.134187526706</v>
      </c>
      <c r="L7" s="251">
        <f>'Base Física'!N52</f>
        <v>17209.978534797559</v>
      </c>
      <c r="M7" s="251">
        <f>'Base Física'!O52</f>
        <v>17491.42752810369</v>
      </c>
      <c r="N7" s="251">
        <f>'Base Física'!P52</f>
        <v>17767.008067569303</v>
      </c>
      <c r="O7" s="251">
        <f>'Base Física'!Q52</f>
        <v>18038.516960684621</v>
      </c>
      <c r="P7" s="251">
        <f>'Base Física'!R52</f>
        <v>18302.007621380697</v>
      </c>
      <c r="Q7" s="251">
        <f>'Base Física'!S52</f>
        <v>18560.296408482667</v>
      </c>
      <c r="R7" s="251">
        <f>'Base Física'!T52</f>
        <v>18813.025479432843</v>
      </c>
      <c r="S7" s="251">
        <f>'Base Física'!U52</f>
        <v>19060.082880698832</v>
      </c>
      <c r="T7" s="251">
        <f>'Base Física'!V52</f>
        <v>19300.368861944557</v>
      </c>
      <c r="U7" s="251">
        <f>'Base Física'!W52</f>
        <v>19534.98819997656</v>
      </c>
      <c r="V7" s="251">
        <f>'Base Física'!X52</f>
        <v>19761.91045420547</v>
      </c>
      <c r="W7" s="251">
        <f>'Base Física'!Y52</f>
        <v>19984.615923196699</v>
      </c>
      <c r="X7" s="251">
        <f>'Base Física'!Z52</f>
        <v>20199.547661553224</v>
      </c>
      <c r="Y7" s="251">
        <f>'Base Física'!AA52</f>
        <v>20408.469574957722</v>
      </c>
      <c r="Z7" s="251">
        <f>'Base Física'!AB52</f>
        <v>20610.58287103938</v>
      </c>
      <c r="AA7" s="251">
        <f>'Base Física'!AC52</f>
        <v>20806.705771987272</v>
      </c>
      <c r="AB7" s="251">
        <f>'Base Física'!AD52</f>
        <v>20995.842080508257</v>
      </c>
      <c r="AC7" s="251">
        <f>'Base Física'!AE52</f>
        <v>21181.038498679936</v>
      </c>
      <c r="AD7" s="251">
        <f>'Base Física'!AF52</f>
        <v>21357.621435708657</v>
      </c>
      <c r="AE7" s="251">
        <f>'Base Física'!AG52</f>
        <v>21529.362447034182</v>
      </c>
      <c r="AF7" s="251">
        <f>'Base Física'!AH52</f>
        <v>21694.406912528382</v>
      </c>
      <c r="AG7" s="251">
        <f>'Base Física'!AI52</f>
        <v>21854.007596324689</v>
      </c>
      <c r="AH7" s="251">
        <f>'Base Física'!AJ52</f>
        <v>22007.843719348963</v>
      </c>
      <c r="AI7" s="251">
        <f>'Base Física'!AK52</f>
        <v>22155.464666957148</v>
      </c>
      <c r="AJ7" s="251">
        <f>'Base Física'!AL52</f>
        <v>22297.717012343659</v>
      </c>
      <c r="AK7" s="251">
        <f>'Base Física'!AM52</f>
        <v>22315.613574720126</v>
      </c>
      <c r="AL7" s="251">
        <f>'Base Física'!AN52</f>
        <v>22426.110963085644</v>
      </c>
      <c r="AM7" s="1120"/>
    </row>
    <row r="8" spans="1:39" x14ac:dyDescent="0.3">
      <c r="B8" s="243" t="s">
        <v>392</v>
      </c>
      <c r="C8" s="244" t="s">
        <v>126</v>
      </c>
      <c r="D8" s="250">
        <f>'Base Física'!F13</f>
        <v>0</v>
      </c>
      <c r="E8" s="250">
        <f>'Base Física'!G13</f>
        <v>64094.803530707497</v>
      </c>
      <c r="F8" s="250">
        <f>'Base Física'!H13</f>
        <v>130839.14825284615</v>
      </c>
      <c r="G8" s="250">
        <f>'Base Física'!I13</f>
        <v>200183.47359824541</v>
      </c>
      <c r="H8" s="250">
        <f>'Base Física'!J13</f>
        <v>272079.47731367406</v>
      </c>
      <c r="I8" s="250">
        <f>'Base Física'!K13</f>
        <v>294507.77174521016</v>
      </c>
      <c r="J8" s="250">
        <f>'Base Física'!L13</f>
        <v>317485.64079179801</v>
      </c>
      <c r="K8" s="250">
        <f>'Base Física'!M13</f>
        <v>330204.98882804613</v>
      </c>
      <c r="L8" s="250">
        <f>'Base Física'!N13</f>
        <v>343122.22603967268</v>
      </c>
      <c r="M8" s="250">
        <f>'Base Física'!O13</f>
        <v>356153.45075623621</v>
      </c>
      <c r="N8" s="250">
        <f>'Base Física'!P13</f>
        <v>369301.47629088204</v>
      </c>
      <c r="O8" s="250">
        <f>'Base Física'!Q13</f>
        <v>382596.94473612081</v>
      </c>
      <c r="P8" s="250">
        <f>'Base Física'!R13</f>
        <v>388185.58164948458</v>
      </c>
      <c r="Q8" s="250">
        <f>'Base Física'!S13</f>
        <v>393663.88682391739</v>
      </c>
      <c r="R8" s="250">
        <f>'Base Física'!T13</f>
        <v>399024.27041877061</v>
      </c>
      <c r="S8" s="250">
        <f>'Base Física'!U13</f>
        <v>404264.35789962223</v>
      </c>
      <c r="T8" s="250">
        <f>'Base Física'!V13</f>
        <v>409360.82356184407</v>
      </c>
      <c r="U8" s="250">
        <f>'Base Física'!W13</f>
        <v>414337.09972150286</v>
      </c>
      <c r="V8" s="250">
        <f>'Base Física'!X13</f>
        <v>419150.12073369802</v>
      </c>
      <c r="W8" s="250">
        <f>'Base Física'!Y13</f>
        <v>423873.703731002</v>
      </c>
      <c r="X8" s="250">
        <f>'Base Física'!Z13</f>
        <v>428432.40590154391</v>
      </c>
      <c r="Y8" s="250">
        <f>'Base Física'!AA13</f>
        <v>432863.63968485332</v>
      </c>
      <c r="Z8" s="250">
        <f>'Base Física'!AB13</f>
        <v>437150.46269474528</v>
      </c>
      <c r="AA8" s="250">
        <f>'Base Física'!AC13</f>
        <v>441310.22942385008</v>
      </c>
      <c r="AB8" s="250">
        <f>'Base Física'!AD13</f>
        <v>445321.81052758015</v>
      </c>
      <c r="AC8" s="250">
        <f>'Base Física'!AE13</f>
        <v>449249.82655700145</v>
      </c>
      <c r="AD8" s="250">
        <f>'Base Física'!AF13</f>
        <v>452995.15065138065</v>
      </c>
      <c r="AE8" s="250">
        <f>'Base Física'!AG13</f>
        <v>456637.77750159503</v>
      </c>
      <c r="AF8" s="250">
        <f>'Base Física'!AH13</f>
        <v>460138.37061472703</v>
      </c>
      <c r="AG8" s="250">
        <f>'Base Física'!AI13</f>
        <v>463523.5011180467</v>
      </c>
      <c r="AH8" s="250">
        <f>'Base Física'!AJ13</f>
        <v>466786.36528739153</v>
      </c>
      <c r="AI8" s="250">
        <f>'Base Física'!AK13</f>
        <v>469917.40558616113</v>
      </c>
      <c r="AJ8" s="250">
        <f>'Base Física'!AL13</f>
        <v>472934.577831809</v>
      </c>
      <c r="AK8" s="250">
        <f>'Base Física'!AM13</f>
        <v>473314.16391981387</v>
      </c>
      <c r="AL8" s="250">
        <f>'Base Física'!AN13</f>
        <v>475657.81352704653</v>
      </c>
      <c r="AM8" s="1120"/>
    </row>
    <row r="9" spans="1:39" x14ac:dyDescent="0.3">
      <c r="B9" s="243" t="s">
        <v>393</v>
      </c>
      <c r="C9" s="244" t="s">
        <v>294</v>
      </c>
      <c r="D9" s="251">
        <f>'Base Física'!F53</f>
        <v>0</v>
      </c>
      <c r="E9" s="251">
        <f>'Base Física'!G53</f>
        <v>3021.9143578834273</v>
      </c>
      <c r="F9" s="251">
        <f>'Base Física'!H53</f>
        <v>6168.7481495919919</v>
      </c>
      <c r="G9" s="251">
        <f>'Base Física'!I53</f>
        <v>9438.1647146744654</v>
      </c>
      <c r="H9" s="251">
        <f>'Base Física'!J53</f>
        <v>12827.886719173694</v>
      </c>
      <c r="I9" s="251">
        <f>'Base Física'!K53</f>
        <v>13885.326343479968</v>
      </c>
      <c r="J9" s="251">
        <f>'Base Física'!L53</f>
        <v>14968.677076463839</v>
      </c>
      <c r="K9" s="251">
        <f>'Base Física'!M53</f>
        <v>15568.363452524569</v>
      </c>
      <c r="L9" s="251">
        <f>'Base Física'!N53</f>
        <v>16177.3798227097</v>
      </c>
      <c r="M9" s="251">
        <f>'Base Física'!O53</f>
        <v>16791.770426979547</v>
      </c>
      <c r="N9" s="251">
        <f>'Base Física'!P53</f>
        <v>17411.667906217917</v>
      </c>
      <c r="O9" s="251">
        <f>'Base Física'!Q53</f>
        <v>18038.516960684621</v>
      </c>
      <c r="P9" s="251">
        <f>'Base Física'!R53</f>
        <v>18302.007621380697</v>
      </c>
      <c r="Q9" s="251">
        <f>'Base Física'!S53</f>
        <v>18560.296408482667</v>
      </c>
      <c r="R9" s="251">
        <f>'Base Física'!T53</f>
        <v>18813.025479432843</v>
      </c>
      <c r="S9" s="251">
        <f>'Base Física'!U53</f>
        <v>19060.082880698832</v>
      </c>
      <c r="T9" s="251">
        <f>'Base Física'!V53</f>
        <v>19300.368861944557</v>
      </c>
      <c r="U9" s="251">
        <f>'Base Física'!W53</f>
        <v>19534.98819997656</v>
      </c>
      <c r="V9" s="251">
        <f>'Base Física'!X53</f>
        <v>19761.91045420547</v>
      </c>
      <c r="W9" s="251">
        <f>'Base Física'!Y53</f>
        <v>19984.615923196699</v>
      </c>
      <c r="X9" s="251">
        <f>'Base Física'!Z53</f>
        <v>20199.547661553224</v>
      </c>
      <c r="Y9" s="251">
        <f>'Base Física'!AA53</f>
        <v>20408.469574957722</v>
      </c>
      <c r="Z9" s="251">
        <f>'Base Física'!AB53</f>
        <v>20610.58287103938</v>
      </c>
      <c r="AA9" s="251">
        <f>'Base Física'!AC53</f>
        <v>20806.705771987272</v>
      </c>
      <c r="AB9" s="251">
        <f>'Base Física'!AD53</f>
        <v>20995.842080508257</v>
      </c>
      <c r="AC9" s="251">
        <f>'Base Física'!AE53</f>
        <v>21181.038498679936</v>
      </c>
      <c r="AD9" s="251">
        <f>'Base Física'!AF53</f>
        <v>21357.621435708657</v>
      </c>
      <c r="AE9" s="251">
        <f>'Base Física'!AG53</f>
        <v>21529.362447034182</v>
      </c>
      <c r="AF9" s="251">
        <f>'Base Física'!AH53</f>
        <v>21694.406912528382</v>
      </c>
      <c r="AG9" s="251">
        <f>'Base Física'!AI53</f>
        <v>21854.007596324689</v>
      </c>
      <c r="AH9" s="251">
        <f>'Base Física'!AJ53</f>
        <v>22007.843719348963</v>
      </c>
      <c r="AI9" s="251">
        <f>'Base Física'!AK53</f>
        <v>22155.464666957148</v>
      </c>
      <c r="AJ9" s="251">
        <f>'Base Física'!AL53</f>
        <v>22297.717012343659</v>
      </c>
      <c r="AK9" s="251">
        <f>'Base Física'!AM53</f>
        <v>22315.613574720126</v>
      </c>
      <c r="AL9" s="251">
        <f>'Base Física'!AN53</f>
        <v>22426.110963085644</v>
      </c>
      <c r="AM9" s="1120"/>
    </row>
    <row r="11" spans="1:39" x14ac:dyDescent="0.3">
      <c r="A11" s="76" t="s">
        <v>429</v>
      </c>
    </row>
    <row r="12" spans="1:39" x14ac:dyDescent="0.3">
      <c r="A12" s="355">
        <v>0.5</v>
      </c>
      <c r="B12" s="243" t="s">
        <v>413</v>
      </c>
      <c r="C12" s="244" t="s">
        <v>222</v>
      </c>
      <c r="D12" s="250">
        <f t="shared" ref="D12:AL12" si="0">$A$12*$D$1*(D$7+D$9)*D$2</f>
        <v>209191.99902836265</v>
      </c>
      <c r="E12" s="250">
        <f t="shared" si="0"/>
        <v>270035.75999034813</v>
      </c>
      <c r="F12" s="250">
        <f t="shared" si="0"/>
        <v>324855.03845829691</v>
      </c>
      <c r="G12" s="250">
        <f t="shared" si="0"/>
        <v>692611.30757294048</v>
      </c>
      <c r="H12" s="250">
        <f t="shared" si="0"/>
        <v>685655.08113727195</v>
      </c>
      <c r="I12" s="250">
        <f t="shared" si="0"/>
        <v>1095327.5881057626</v>
      </c>
      <c r="J12" s="250">
        <f t="shared" si="0"/>
        <v>1415726.7907437617</v>
      </c>
      <c r="K12" s="250">
        <f t="shared" si="0"/>
        <v>1459172.3082793036</v>
      </c>
      <c r="L12" s="250">
        <f t="shared" si="0"/>
        <v>1486028.1441579177</v>
      </c>
      <c r="M12" s="250">
        <f t="shared" si="0"/>
        <v>1813906.919933829</v>
      </c>
      <c r="N12" s="250">
        <f t="shared" si="0"/>
        <v>1705860.2251584381</v>
      </c>
      <c r="O12" s="250">
        <f t="shared" si="0"/>
        <v>1596659.5863240499</v>
      </c>
      <c r="P12" s="250">
        <f t="shared" si="0"/>
        <v>1464841.7437906703</v>
      </c>
      <c r="Q12" s="250">
        <f t="shared" si="0"/>
        <v>1478244.1177805867</v>
      </c>
      <c r="R12" s="250">
        <f t="shared" si="0"/>
        <v>1490899.6598745708</v>
      </c>
      <c r="S12" s="250">
        <f t="shared" si="0"/>
        <v>1192829.7945076257</v>
      </c>
      <c r="T12" s="250">
        <f t="shared" si="0"/>
        <v>1202089.2459457561</v>
      </c>
      <c r="U12" s="250">
        <f t="shared" si="0"/>
        <v>901489.25843976648</v>
      </c>
      <c r="V12" s="250">
        <f t="shared" si="0"/>
        <v>907924.70783798338</v>
      </c>
      <c r="W12" s="250">
        <f t="shared" si="0"/>
        <v>913942.44899970724</v>
      </c>
      <c r="X12" s="250">
        <f t="shared" si="0"/>
        <v>766300.96120838902</v>
      </c>
      <c r="Y12" s="250">
        <f t="shared" si="0"/>
        <v>771040.38090707141</v>
      </c>
      <c r="Z12" s="250">
        <f t="shared" si="0"/>
        <v>620575.99765897088</v>
      </c>
      <c r="AA12" s="250">
        <f t="shared" si="0"/>
        <v>624093.54733642901</v>
      </c>
      <c r="AB12" s="250">
        <f t="shared" si="0"/>
        <v>602357.42040223593</v>
      </c>
      <c r="AC12" s="250">
        <f t="shared" si="0"/>
        <v>448842.37642698357</v>
      </c>
      <c r="AD12" s="250">
        <f t="shared" si="0"/>
        <v>451255.01819895575</v>
      </c>
      <c r="AE12" s="250">
        <f t="shared" si="0"/>
        <v>294420.16222687537</v>
      </c>
      <c r="AF12" s="250">
        <f t="shared" si="0"/>
        <v>296677.19229104917</v>
      </c>
      <c r="AG12" s="250">
        <f t="shared" si="0"/>
        <v>298859.77709031716</v>
      </c>
      <c r="AH12" s="250">
        <f t="shared" si="0"/>
        <v>300963.52987949463</v>
      </c>
      <c r="AI12" s="250">
        <f t="shared" si="0"/>
        <v>302982.28837500571</v>
      </c>
      <c r="AJ12" s="250">
        <f t="shared" si="0"/>
        <v>304927.62970635662</v>
      </c>
      <c r="AK12" s="250">
        <f t="shared" si="0"/>
        <v>305172.3702931318</v>
      </c>
      <c r="AL12" s="250">
        <f t="shared" si="0"/>
        <v>306683.45354458701</v>
      </c>
      <c r="AM12" s="250">
        <f t="shared" ref="AM12:AM17" si="1">SUM(D12:AL12)</f>
        <v>29002443.831612803</v>
      </c>
    </row>
    <row r="13" spans="1:39" x14ac:dyDescent="0.3">
      <c r="A13" s="355">
        <v>0.215</v>
      </c>
      <c r="B13" s="243" t="s">
        <v>414</v>
      </c>
      <c r="C13" s="244" t="s">
        <v>222</v>
      </c>
      <c r="D13" s="250">
        <f t="shared" ref="D13:AL13" si="2">$A$13*$D$1*(D$7+D$9)*D$2</f>
        <v>89952.559582195943</v>
      </c>
      <c r="E13" s="250">
        <f t="shared" si="2"/>
        <v>116115.3767958497</v>
      </c>
      <c r="F13" s="250">
        <f t="shared" si="2"/>
        <v>139687.66653706768</v>
      </c>
      <c r="G13" s="250">
        <f t="shared" si="2"/>
        <v>297822.86225636443</v>
      </c>
      <c r="H13" s="250">
        <f t="shared" si="2"/>
        <v>294831.68488902692</v>
      </c>
      <c r="I13" s="250">
        <f t="shared" si="2"/>
        <v>470990.86288547795</v>
      </c>
      <c r="J13" s="250">
        <f t="shared" si="2"/>
        <v>608762.52001981752</v>
      </c>
      <c r="K13" s="250">
        <f t="shared" si="2"/>
        <v>627444.0925601006</v>
      </c>
      <c r="L13" s="250">
        <f t="shared" si="2"/>
        <v>638992.10198790464</v>
      </c>
      <c r="M13" s="250">
        <f t="shared" si="2"/>
        <v>779979.97557154647</v>
      </c>
      <c r="N13" s="250">
        <f t="shared" si="2"/>
        <v>733519.8968181283</v>
      </c>
      <c r="O13" s="250">
        <f t="shared" si="2"/>
        <v>686563.62211934139</v>
      </c>
      <c r="P13" s="250">
        <f t="shared" si="2"/>
        <v>629881.9498299883</v>
      </c>
      <c r="Q13" s="250">
        <f t="shared" si="2"/>
        <v>635644.97064565227</v>
      </c>
      <c r="R13" s="250">
        <f t="shared" si="2"/>
        <v>641086.8537460654</v>
      </c>
      <c r="S13" s="250">
        <f t="shared" si="2"/>
        <v>512916.81163827906</v>
      </c>
      <c r="T13" s="250">
        <f t="shared" si="2"/>
        <v>516898.3757566752</v>
      </c>
      <c r="U13" s="250">
        <f t="shared" si="2"/>
        <v>387640.38112909964</v>
      </c>
      <c r="V13" s="250">
        <f t="shared" si="2"/>
        <v>390407.62437033287</v>
      </c>
      <c r="W13" s="250">
        <f t="shared" si="2"/>
        <v>392995.25306987419</v>
      </c>
      <c r="X13" s="250">
        <f t="shared" si="2"/>
        <v>329509.41331960732</v>
      </c>
      <c r="Y13" s="250">
        <f t="shared" si="2"/>
        <v>331547.36379004072</v>
      </c>
      <c r="Z13" s="250">
        <f t="shared" si="2"/>
        <v>266847.67899335752</v>
      </c>
      <c r="AA13" s="250">
        <f t="shared" si="2"/>
        <v>268360.22535466449</v>
      </c>
      <c r="AB13" s="250">
        <f t="shared" si="2"/>
        <v>259013.69077296148</v>
      </c>
      <c r="AC13" s="250">
        <f t="shared" si="2"/>
        <v>193002.22186360293</v>
      </c>
      <c r="AD13" s="250">
        <f t="shared" si="2"/>
        <v>194039.65782555097</v>
      </c>
      <c r="AE13" s="250">
        <f t="shared" si="2"/>
        <v>126600.6697575564</v>
      </c>
      <c r="AF13" s="250">
        <f t="shared" si="2"/>
        <v>127571.19268515114</v>
      </c>
      <c r="AG13" s="250">
        <f t="shared" si="2"/>
        <v>128509.7041488364</v>
      </c>
      <c r="AH13" s="250">
        <f t="shared" si="2"/>
        <v>129414.31784818271</v>
      </c>
      <c r="AI13" s="250">
        <f t="shared" si="2"/>
        <v>130282.38400125246</v>
      </c>
      <c r="AJ13" s="250">
        <f t="shared" si="2"/>
        <v>131118.88077373334</v>
      </c>
      <c r="AK13" s="250">
        <f t="shared" si="2"/>
        <v>131224.11922604666</v>
      </c>
      <c r="AL13" s="250">
        <f t="shared" si="2"/>
        <v>131873.88502417243</v>
      </c>
      <c r="AM13" s="250">
        <f t="shared" si="1"/>
        <v>12471050.847593505</v>
      </c>
    </row>
    <row r="14" spans="1:39" x14ac:dyDescent="0.3">
      <c r="A14" s="355">
        <v>0.14000000000000001</v>
      </c>
      <c r="B14" s="243" t="s">
        <v>415</v>
      </c>
      <c r="C14" s="244" t="s">
        <v>222</v>
      </c>
      <c r="D14" s="250">
        <f t="shared" ref="D14:AL14" si="3">$A$14*$D$1*(D$7+D$9)*D$2</f>
        <v>58573.759727941549</v>
      </c>
      <c r="E14" s="250">
        <f t="shared" si="3"/>
        <v>75610.012797297488</v>
      </c>
      <c r="F14" s="250">
        <f t="shared" si="3"/>
        <v>90959.410768323156</v>
      </c>
      <c r="G14" s="250">
        <f t="shared" si="3"/>
        <v>193931.16612042335</v>
      </c>
      <c r="H14" s="250">
        <f t="shared" si="3"/>
        <v>191983.42271843617</v>
      </c>
      <c r="I14" s="250">
        <f t="shared" si="3"/>
        <v>306691.72466961358</v>
      </c>
      <c r="J14" s="250">
        <f t="shared" si="3"/>
        <v>396403.50140825333</v>
      </c>
      <c r="K14" s="250">
        <f t="shared" si="3"/>
        <v>408568.24631820509</v>
      </c>
      <c r="L14" s="250">
        <f t="shared" si="3"/>
        <v>416087.88036421704</v>
      </c>
      <c r="M14" s="250">
        <f t="shared" si="3"/>
        <v>507893.9375814721</v>
      </c>
      <c r="N14" s="250">
        <f t="shared" si="3"/>
        <v>477640.86304436275</v>
      </c>
      <c r="O14" s="250">
        <f t="shared" si="3"/>
        <v>447064.68417073396</v>
      </c>
      <c r="P14" s="250">
        <f t="shared" si="3"/>
        <v>410155.68826138775</v>
      </c>
      <c r="Q14" s="250">
        <f t="shared" si="3"/>
        <v>413908.35297856433</v>
      </c>
      <c r="R14" s="250">
        <f t="shared" si="3"/>
        <v>417451.90476487979</v>
      </c>
      <c r="S14" s="250">
        <f t="shared" si="3"/>
        <v>333992.34246213525</v>
      </c>
      <c r="T14" s="250">
        <f t="shared" si="3"/>
        <v>336584.98886481178</v>
      </c>
      <c r="U14" s="250">
        <f t="shared" si="3"/>
        <v>252416.99236313469</v>
      </c>
      <c r="V14" s="250">
        <f t="shared" si="3"/>
        <v>254218.91819463536</v>
      </c>
      <c r="W14" s="250">
        <f t="shared" si="3"/>
        <v>255903.88571991809</v>
      </c>
      <c r="X14" s="250">
        <f t="shared" si="3"/>
        <v>214564.26913834896</v>
      </c>
      <c r="Y14" s="250">
        <f t="shared" si="3"/>
        <v>215891.30665398002</v>
      </c>
      <c r="Z14" s="250">
        <f t="shared" si="3"/>
        <v>173761.27934451189</v>
      </c>
      <c r="AA14" s="250">
        <f t="shared" si="3"/>
        <v>174746.19325420016</v>
      </c>
      <c r="AB14" s="250">
        <f t="shared" si="3"/>
        <v>168660.07771262608</v>
      </c>
      <c r="AC14" s="250">
        <f t="shared" si="3"/>
        <v>125675.86539955541</v>
      </c>
      <c r="AD14" s="250">
        <f t="shared" si="3"/>
        <v>126351.40509570761</v>
      </c>
      <c r="AE14" s="250">
        <f t="shared" si="3"/>
        <v>82437.645423525129</v>
      </c>
      <c r="AF14" s="250">
        <f t="shared" si="3"/>
        <v>83069.613841493774</v>
      </c>
      <c r="AG14" s="250">
        <f t="shared" si="3"/>
        <v>83680.737585288822</v>
      </c>
      <c r="AH14" s="250">
        <f t="shared" si="3"/>
        <v>84269.788366258508</v>
      </c>
      <c r="AI14" s="250">
        <f t="shared" si="3"/>
        <v>84835.040745001606</v>
      </c>
      <c r="AJ14" s="250">
        <f t="shared" si="3"/>
        <v>85379.736317779869</v>
      </c>
      <c r="AK14" s="250">
        <f t="shared" si="3"/>
        <v>85448.263682076926</v>
      </c>
      <c r="AL14" s="250">
        <f t="shared" si="3"/>
        <v>85871.366992484385</v>
      </c>
      <c r="AM14" s="250">
        <f t="shared" si="1"/>
        <v>8120684.2728515845</v>
      </c>
    </row>
    <row r="15" spans="1:39" x14ac:dyDescent="0.3">
      <c r="A15" s="355">
        <v>0.11</v>
      </c>
      <c r="B15" s="243" t="s">
        <v>416</v>
      </c>
      <c r="C15" s="244" t="s">
        <v>222</v>
      </c>
      <c r="D15" s="250">
        <f t="shared" ref="D15:AL15" si="4">$A$15*$D$1*(D$7+D$9)*D$2</f>
        <v>46022.239786239777</v>
      </c>
      <c r="E15" s="250">
        <f t="shared" si="4"/>
        <v>59407.867197876585</v>
      </c>
      <c r="F15" s="250">
        <f t="shared" si="4"/>
        <v>71468.10846082533</v>
      </c>
      <c r="G15" s="250">
        <f t="shared" si="4"/>
        <v>152374.48766604689</v>
      </c>
      <c r="H15" s="250">
        <f t="shared" si="4"/>
        <v>150844.11785019981</v>
      </c>
      <c r="I15" s="250">
        <f t="shared" si="4"/>
        <v>240972.06938326778</v>
      </c>
      <c r="J15" s="250">
        <f t="shared" si="4"/>
        <v>311459.89396362758</v>
      </c>
      <c r="K15" s="250">
        <f t="shared" si="4"/>
        <v>321017.90782144677</v>
      </c>
      <c r="L15" s="250">
        <f t="shared" si="4"/>
        <v>326926.19171474193</v>
      </c>
      <c r="M15" s="250">
        <f t="shared" si="4"/>
        <v>399059.52238544234</v>
      </c>
      <c r="N15" s="250">
        <f t="shared" si="4"/>
        <v>375289.24953485635</v>
      </c>
      <c r="O15" s="250">
        <f t="shared" si="4"/>
        <v>351265.10899129097</v>
      </c>
      <c r="P15" s="250">
        <f t="shared" si="4"/>
        <v>322265.18363394745</v>
      </c>
      <c r="Q15" s="250">
        <f t="shared" si="4"/>
        <v>325213.70591172908</v>
      </c>
      <c r="R15" s="250">
        <f t="shared" si="4"/>
        <v>327997.92517240549</v>
      </c>
      <c r="S15" s="250">
        <f t="shared" si="4"/>
        <v>262422.55479167763</v>
      </c>
      <c r="T15" s="250">
        <f t="shared" si="4"/>
        <v>264459.63410806638</v>
      </c>
      <c r="U15" s="250">
        <f t="shared" si="4"/>
        <v>198327.63685674864</v>
      </c>
      <c r="V15" s="250">
        <f t="shared" si="4"/>
        <v>199743.43572435633</v>
      </c>
      <c r="W15" s="250">
        <f t="shared" si="4"/>
        <v>201067.33877993561</v>
      </c>
      <c r="X15" s="250">
        <f t="shared" si="4"/>
        <v>168586.21146584558</v>
      </c>
      <c r="Y15" s="250">
        <f t="shared" si="4"/>
        <v>169628.88379955568</v>
      </c>
      <c r="Z15" s="250">
        <f t="shared" si="4"/>
        <v>136526.71948497361</v>
      </c>
      <c r="AA15" s="250">
        <f t="shared" si="4"/>
        <v>137300.5804140144</v>
      </c>
      <c r="AB15" s="250">
        <f t="shared" si="4"/>
        <v>132518.63248849189</v>
      </c>
      <c r="AC15" s="250">
        <f t="shared" si="4"/>
        <v>98745.322813936378</v>
      </c>
      <c r="AD15" s="250">
        <f t="shared" si="4"/>
        <v>99276.104003770262</v>
      </c>
      <c r="AE15" s="250">
        <f t="shared" si="4"/>
        <v>64772.435689912585</v>
      </c>
      <c r="AF15" s="250">
        <f t="shared" si="4"/>
        <v>65268.982304030818</v>
      </c>
      <c r="AG15" s="250">
        <f t="shared" si="4"/>
        <v>65749.150959869788</v>
      </c>
      <c r="AH15" s="250">
        <f t="shared" si="4"/>
        <v>66211.976573488821</v>
      </c>
      <c r="AI15" s="250">
        <f t="shared" si="4"/>
        <v>66656.103442501262</v>
      </c>
      <c r="AJ15" s="250">
        <f t="shared" si="4"/>
        <v>67084.078535398454</v>
      </c>
      <c r="AK15" s="250">
        <f t="shared" si="4"/>
        <v>67137.921464488987</v>
      </c>
      <c r="AL15" s="250">
        <f t="shared" si="4"/>
        <v>67470.359779809136</v>
      </c>
      <c r="AM15" s="250">
        <f t="shared" si="1"/>
        <v>6380537.642954817</v>
      </c>
    </row>
    <row r="16" spans="1:39" x14ac:dyDescent="0.3">
      <c r="A16" s="355">
        <v>3.5000000000000003E-2</v>
      </c>
      <c r="B16" s="243" t="s">
        <v>417</v>
      </c>
      <c r="C16" s="244" t="s">
        <v>222</v>
      </c>
      <c r="D16" s="250">
        <f t="shared" ref="D16:AL16" si="5">$A$16*$D$1*(D$7+D$9)*D$2</f>
        <v>14643.439931985387</v>
      </c>
      <c r="E16" s="250">
        <f t="shared" si="5"/>
        <v>18902.503199324372</v>
      </c>
      <c r="F16" s="250">
        <f t="shared" si="5"/>
        <v>22739.852692080789</v>
      </c>
      <c r="G16" s="250">
        <f t="shared" si="5"/>
        <v>48482.791530105838</v>
      </c>
      <c r="H16" s="250">
        <f t="shared" si="5"/>
        <v>47995.855679609042</v>
      </c>
      <c r="I16" s="250">
        <f t="shared" si="5"/>
        <v>76672.931167403396</v>
      </c>
      <c r="J16" s="250">
        <f t="shared" si="5"/>
        <v>99100.875352063333</v>
      </c>
      <c r="K16" s="250">
        <f t="shared" si="5"/>
        <v>102142.06157955127</v>
      </c>
      <c r="L16" s="250">
        <f t="shared" si="5"/>
        <v>104021.97009105426</v>
      </c>
      <c r="M16" s="250">
        <f t="shared" si="5"/>
        <v>126973.48439536802</v>
      </c>
      <c r="N16" s="250">
        <f t="shared" si="5"/>
        <v>119410.21576109069</v>
      </c>
      <c r="O16" s="250">
        <f t="shared" si="5"/>
        <v>111766.17104268349</v>
      </c>
      <c r="P16" s="250">
        <f t="shared" si="5"/>
        <v>102538.92206534694</v>
      </c>
      <c r="Q16" s="250">
        <f t="shared" si="5"/>
        <v>103477.08824464108</v>
      </c>
      <c r="R16" s="250">
        <f t="shared" si="5"/>
        <v>104362.97619121995</v>
      </c>
      <c r="S16" s="250">
        <f t="shared" si="5"/>
        <v>83498.085615533812</v>
      </c>
      <c r="T16" s="250">
        <f t="shared" si="5"/>
        <v>84146.247216202944</v>
      </c>
      <c r="U16" s="250">
        <f t="shared" si="5"/>
        <v>63104.248090783673</v>
      </c>
      <c r="V16" s="250">
        <f t="shared" si="5"/>
        <v>63554.729548658841</v>
      </c>
      <c r="W16" s="250">
        <f t="shared" si="5"/>
        <v>63975.971429979523</v>
      </c>
      <c r="X16" s="250">
        <f t="shared" si="5"/>
        <v>53641.06728458724</v>
      </c>
      <c r="Y16" s="250">
        <f t="shared" si="5"/>
        <v>53972.826663495005</v>
      </c>
      <c r="Z16" s="250">
        <f t="shared" si="5"/>
        <v>43440.319836127972</v>
      </c>
      <c r="AA16" s="250">
        <f t="shared" si="5"/>
        <v>43686.54831355004</v>
      </c>
      <c r="AB16" s="250">
        <f t="shared" si="5"/>
        <v>42165.01942815652</v>
      </c>
      <c r="AC16" s="250">
        <f t="shared" si="5"/>
        <v>31418.966349888851</v>
      </c>
      <c r="AD16" s="250">
        <f t="shared" si="5"/>
        <v>31587.851273926903</v>
      </c>
      <c r="AE16" s="250">
        <f t="shared" si="5"/>
        <v>20609.411355881282</v>
      </c>
      <c r="AF16" s="250">
        <f t="shared" si="5"/>
        <v>20767.403460373444</v>
      </c>
      <c r="AG16" s="250">
        <f t="shared" si="5"/>
        <v>20920.184396322205</v>
      </c>
      <c r="AH16" s="250">
        <f t="shared" si="5"/>
        <v>21067.447091564627</v>
      </c>
      <c r="AI16" s="250">
        <f t="shared" si="5"/>
        <v>21208.760186250402</v>
      </c>
      <c r="AJ16" s="250">
        <f t="shared" si="5"/>
        <v>21344.934079444967</v>
      </c>
      <c r="AK16" s="250">
        <f t="shared" si="5"/>
        <v>21362.065920519231</v>
      </c>
      <c r="AL16" s="250">
        <f t="shared" si="5"/>
        <v>21467.841748121096</v>
      </c>
      <c r="AM16" s="250">
        <f t="shared" si="1"/>
        <v>2030171.0682128961</v>
      </c>
    </row>
    <row r="17" spans="1:39" x14ac:dyDescent="0.3">
      <c r="A17" s="319">
        <f>SUM(A12:A16)</f>
        <v>1</v>
      </c>
      <c r="B17" s="243" t="s">
        <v>5</v>
      </c>
      <c r="C17" s="244" t="s">
        <v>222</v>
      </c>
      <c r="D17" s="250">
        <f t="shared" ref="D17:AL17" si="6">SUM(D12:D16)</f>
        <v>418383.99805672531</v>
      </c>
      <c r="E17" s="250">
        <f t="shared" si="6"/>
        <v>540071.51998069626</v>
      </c>
      <c r="F17" s="250">
        <f t="shared" si="6"/>
        <v>649710.07691659383</v>
      </c>
      <c r="G17" s="250">
        <f t="shared" si="6"/>
        <v>1385222.615145881</v>
      </c>
      <c r="H17" s="250">
        <f t="shared" si="6"/>
        <v>1371310.1622745439</v>
      </c>
      <c r="I17" s="250">
        <f t="shared" si="6"/>
        <v>2190655.1762115252</v>
      </c>
      <c r="J17" s="250">
        <f t="shared" si="6"/>
        <v>2831453.5814875234</v>
      </c>
      <c r="K17" s="250">
        <f t="shared" si="6"/>
        <v>2918344.6165586072</v>
      </c>
      <c r="L17" s="250">
        <f t="shared" si="6"/>
        <v>2972056.2883158349</v>
      </c>
      <c r="M17" s="250">
        <f t="shared" si="6"/>
        <v>3627813.8398676575</v>
      </c>
      <c r="N17" s="250">
        <f t="shared" si="6"/>
        <v>3411720.4503168762</v>
      </c>
      <c r="O17" s="250">
        <f t="shared" si="6"/>
        <v>3193319.1726480997</v>
      </c>
      <c r="P17" s="250">
        <f t="shared" si="6"/>
        <v>2929683.4875813406</v>
      </c>
      <c r="Q17" s="250">
        <f t="shared" si="6"/>
        <v>2956488.2355611734</v>
      </c>
      <c r="R17" s="250">
        <f t="shared" si="6"/>
        <v>2981799.3197491416</v>
      </c>
      <c r="S17" s="250">
        <f t="shared" si="6"/>
        <v>2385659.5890152515</v>
      </c>
      <c r="T17" s="250">
        <f t="shared" si="6"/>
        <v>2404178.4918915122</v>
      </c>
      <c r="U17" s="250">
        <f t="shared" si="6"/>
        <v>1802978.5168795332</v>
      </c>
      <c r="V17" s="250">
        <f t="shared" si="6"/>
        <v>1815849.4156759668</v>
      </c>
      <c r="W17" s="250">
        <f t="shared" si="6"/>
        <v>1827884.8979994147</v>
      </c>
      <c r="X17" s="250">
        <f t="shared" si="6"/>
        <v>1532601.9224167783</v>
      </c>
      <c r="Y17" s="250">
        <f t="shared" si="6"/>
        <v>1542080.7618141428</v>
      </c>
      <c r="Z17" s="250">
        <f t="shared" si="6"/>
        <v>1241151.995317942</v>
      </c>
      <c r="AA17" s="250">
        <f t="shared" si="6"/>
        <v>1248187.094672858</v>
      </c>
      <c r="AB17" s="250">
        <f t="shared" si="6"/>
        <v>1204714.8408044719</v>
      </c>
      <c r="AC17" s="250">
        <f t="shared" si="6"/>
        <v>897684.75285396713</v>
      </c>
      <c r="AD17" s="250">
        <f t="shared" si="6"/>
        <v>902510.03639791149</v>
      </c>
      <c r="AE17" s="250">
        <f t="shared" si="6"/>
        <v>588840.32445375074</v>
      </c>
      <c r="AF17" s="250">
        <f t="shared" si="6"/>
        <v>593354.38458209834</v>
      </c>
      <c r="AG17" s="250">
        <f t="shared" si="6"/>
        <v>597719.55418063432</v>
      </c>
      <c r="AH17" s="250">
        <f t="shared" si="6"/>
        <v>601927.05975898926</v>
      </c>
      <c r="AI17" s="250">
        <f t="shared" si="6"/>
        <v>605964.57675001153</v>
      </c>
      <c r="AJ17" s="250">
        <f t="shared" si="6"/>
        <v>609855.25941271323</v>
      </c>
      <c r="AK17" s="250">
        <f t="shared" si="6"/>
        <v>610344.74058626359</v>
      </c>
      <c r="AL17" s="250">
        <f t="shared" si="6"/>
        <v>613366.90708917403</v>
      </c>
      <c r="AM17" s="250">
        <f t="shared" si="1"/>
        <v>58004887.663225606</v>
      </c>
    </row>
    <row r="18" spans="1:39" x14ac:dyDescent="0.3">
      <c r="A18" s="842">
        <f>(A12*5+A13*10+A14*15+A15*25+A16*30)/35</f>
        <v>0.30142857142857143</v>
      </c>
      <c r="AM18" s="67"/>
    </row>
    <row r="19" spans="1:39" x14ac:dyDescent="0.3">
      <c r="A19" s="18" t="s">
        <v>886</v>
      </c>
      <c r="B19" s="18"/>
      <c r="C19" s="18"/>
      <c r="D19" s="42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</row>
    <row r="20" spans="1:39" s="18" customFormat="1" x14ac:dyDescent="0.3"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89"/>
    </row>
    <row r="21" spans="1:39" s="46" customFormat="1" x14ac:dyDescent="0.3">
      <c r="A21" s="597" t="s">
        <v>677</v>
      </c>
      <c r="B21" s="96" t="str">
        <f>B12</f>
        <v>Ativos com depreciação de 5 Anos</v>
      </c>
      <c r="C21" s="96"/>
      <c r="D21" s="150">
        <f t="shared" ref="D21:AL21" si="7">D22+D26+D28+D30+D32</f>
        <v>209191.99902836265</v>
      </c>
      <c r="E21" s="150">
        <f t="shared" si="7"/>
        <v>270035.75999034813</v>
      </c>
      <c r="F21" s="150">
        <f t="shared" si="7"/>
        <v>324855.03845829685</v>
      </c>
      <c r="G21" s="150">
        <f t="shared" si="7"/>
        <v>692611.30757294048</v>
      </c>
      <c r="H21" s="150">
        <f t="shared" si="7"/>
        <v>685655.08113727195</v>
      </c>
      <c r="I21" s="150">
        <f t="shared" si="7"/>
        <v>1095327.5881057626</v>
      </c>
      <c r="J21" s="150">
        <f t="shared" si="7"/>
        <v>1415726.7907437617</v>
      </c>
      <c r="K21" s="150">
        <f t="shared" si="7"/>
        <v>1459172.3082793036</v>
      </c>
      <c r="L21" s="150">
        <f t="shared" si="7"/>
        <v>1486028.1441579177</v>
      </c>
      <c r="M21" s="150">
        <f t="shared" si="7"/>
        <v>1813906.919933829</v>
      </c>
      <c r="N21" s="150">
        <f t="shared" si="7"/>
        <v>1705860.2251584381</v>
      </c>
      <c r="O21" s="150">
        <f t="shared" si="7"/>
        <v>1596659.5863240501</v>
      </c>
      <c r="P21" s="150">
        <f t="shared" si="7"/>
        <v>1464841.7437906705</v>
      </c>
      <c r="Q21" s="150">
        <f t="shared" si="7"/>
        <v>1478244.1177805867</v>
      </c>
      <c r="R21" s="150">
        <f t="shared" si="7"/>
        <v>1490899.6598745708</v>
      </c>
      <c r="S21" s="150">
        <f t="shared" si="7"/>
        <v>1192829.7945076257</v>
      </c>
      <c r="T21" s="150">
        <f t="shared" si="7"/>
        <v>1202089.2459457559</v>
      </c>
      <c r="U21" s="150">
        <f t="shared" si="7"/>
        <v>901489.25843976636</v>
      </c>
      <c r="V21" s="150">
        <f t="shared" si="7"/>
        <v>907924.7078379835</v>
      </c>
      <c r="W21" s="150">
        <f t="shared" si="7"/>
        <v>913942.44899970735</v>
      </c>
      <c r="X21" s="150">
        <f t="shared" si="7"/>
        <v>766300.96120838902</v>
      </c>
      <c r="Y21" s="150">
        <f t="shared" si="7"/>
        <v>771040.38090707141</v>
      </c>
      <c r="Z21" s="150">
        <f t="shared" si="7"/>
        <v>620575.997658971</v>
      </c>
      <c r="AA21" s="150">
        <f t="shared" si="7"/>
        <v>624093.54733642901</v>
      </c>
      <c r="AB21" s="150">
        <f t="shared" si="7"/>
        <v>602357.42040223593</v>
      </c>
      <c r="AC21" s="150">
        <f t="shared" si="7"/>
        <v>448842.37642698362</v>
      </c>
      <c r="AD21" s="150">
        <f t="shared" si="7"/>
        <v>451255.01819895575</v>
      </c>
      <c r="AE21" s="150">
        <f t="shared" si="7"/>
        <v>294420.16222687537</v>
      </c>
      <c r="AF21" s="150">
        <f t="shared" si="7"/>
        <v>296677.19229104923</v>
      </c>
      <c r="AG21" s="150">
        <f t="shared" si="7"/>
        <v>298859.77709031716</v>
      </c>
      <c r="AH21" s="150">
        <f t="shared" si="7"/>
        <v>300963.52987949463</v>
      </c>
      <c r="AI21" s="150">
        <f t="shared" si="7"/>
        <v>302982.28837500571</v>
      </c>
      <c r="AJ21" s="150">
        <f t="shared" si="7"/>
        <v>304927.62970635662</v>
      </c>
      <c r="AK21" s="150">
        <f t="shared" si="7"/>
        <v>305172.3702931318</v>
      </c>
      <c r="AL21" s="150">
        <f t="shared" si="7"/>
        <v>306683.45354458701</v>
      </c>
      <c r="AM21" s="150">
        <f>SUM(D21:AL21)</f>
        <v>29002443.831612807</v>
      </c>
    </row>
    <row r="22" spans="1:39" x14ac:dyDescent="0.3">
      <c r="A22" s="368">
        <v>95.37</v>
      </c>
      <c r="B22" s="1130" t="s">
        <v>421</v>
      </c>
      <c r="C22" s="247" t="s">
        <v>63</v>
      </c>
      <c r="D22" s="148">
        <f>D24*0.45*$A$22</f>
        <v>137633.21550000002</v>
      </c>
      <c r="E22" s="148">
        <f t="shared" ref="E22:AG22" si="8">E24*0.45*$A$22</f>
        <v>137633.21550000002</v>
      </c>
      <c r="F22" s="148">
        <f t="shared" si="8"/>
        <v>137633.21550000002</v>
      </c>
      <c r="G22" s="148">
        <f t="shared" si="8"/>
        <v>137633.21550000002</v>
      </c>
      <c r="H22" s="148">
        <f t="shared" si="8"/>
        <v>137633.21550000002</v>
      </c>
      <c r="I22" s="148">
        <f t="shared" si="8"/>
        <v>150121.91700000002</v>
      </c>
      <c r="J22" s="148">
        <f t="shared" si="8"/>
        <v>150121.91700000002</v>
      </c>
      <c r="K22" s="148">
        <f t="shared" si="8"/>
        <v>150121.91700000002</v>
      </c>
      <c r="L22" s="148">
        <f t="shared" si="8"/>
        <v>150121.91700000002</v>
      </c>
      <c r="M22" s="148">
        <f t="shared" si="8"/>
        <v>150121.91700000002</v>
      </c>
      <c r="N22" s="148">
        <f t="shared" si="8"/>
        <v>161494.78950000001</v>
      </c>
      <c r="O22" s="148">
        <f t="shared" si="8"/>
        <v>161494.78950000001</v>
      </c>
      <c r="P22" s="148">
        <f t="shared" si="8"/>
        <v>161494.78950000001</v>
      </c>
      <c r="Q22" s="148">
        <f t="shared" si="8"/>
        <v>161494.78950000001</v>
      </c>
      <c r="R22" s="148">
        <f t="shared" si="8"/>
        <v>161494.78950000001</v>
      </c>
      <c r="S22" s="148">
        <f t="shared" si="8"/>
        <v>171537.25050000002</v>
      </c>
      <c r="T22" s="148">
        <f t="shared" si="8"/>
        <v>171537.25050000002</v>
      </c>
      <c r="U22" s="148">
        <f t="shared" si="8"/>
        <v>171537.25050000002</v>
      </c>
      <c r="V22" s="148">
        <f t="shared" si="8"/>
        <v>171537.25050000002</v>
      </c>
      <c r="W22" s="148">
        <f t="shared" si="8"/>
        <v>171537.25050000002</v>
      </c>
      <c r="X22" s="148">
        <f t="shared" si="8"/>
        <v>180206.3835</v>
      </c>
      <c r="Y22" s="148">
        <f t="shared" si="8"/>
        <v>180206.3835</v>
      </c>
      <c r="Z22" s="148">
        <f t="shared" si="8"/>
        <v>180206.3835</v>
      </c>
      <c r="AA22" s="148">
        <f t="shared" si="8"/>
        <v>180206.3835</v>
      </c>
      <c r="AB22" s="148">
        <f t="shared" si="8"/>
        <v>180206.3835</v>
      </c>
      <c r="AC22" s="148">
        <f t="shared" si="8"/>
        <v>187588.0215</v>
      </c>
      <c r="AD22" s="148">
        <f t="shared" si="8"/>
        <v>187588.0215</v>
      </c>
      <c r="AE22" s="148">
        <f t="shared" si="8"/>
        <v>187588.0215</v>
      </c>
      <c r="AF22" s="148">
        <f t="shared" si="8"/>
        <v>187588.0215</v>
      </c>
      <c r="AG22" s="148">
        <f t="shared" si="8"/>
        <v>187588.0215</v>
      </c>
      <c r="AH22" s="148">
        <f t="shared" ref="AH22:AL22" si="9">AH24*0.45*$A$22</f>
        <v>187588.0215</v>
      </c>
      <c r="AI22" s="148">
        <f t="shared" si="9"/>
        <v>187588.0215</v>
      </c>
      <c r="AJ22" s="148">
        <f t="shared" si="9"/>
        <v>187588.0215</v>
      </c>
      <c r="AK22" s="148">
        <f t="shared" si="9"/>
        <v>187588.0215</v>
      </c>
      <c r="AL22" s="148">
        <f t="shared" si="9"/>
        <v>187588.0215</v>
      </c>
      <c r="AM22" s="148">
        <f>SUM(D22:AL22)</f>
        <v>5880847.9949999982</v>
      </c>
    </row>
    <row r="23" spans="1:39" x14ac:dyDescent="0.3">
      <c r="B23" s="1131"/>
      <c r="C23" s="247" t="s">
        <v>423</v>
      </c>
      <c r="D23" s="148">
        <f>D22</f>
        <v>137633.21550000002</v>
      </c>
      <c r="E23" s="148">
        <f>D23+E22</f>
        <v>275266.43100000004</v>
      </c>
      <c r="F23" s="148">
        <f t="shared" ref="F23:H23" si="10">E23+F22</f>
        <v>412899.64650000003</v>
      </c>
      <c r="G23" s="148">
        <f t="shared" si="10"/>
        <v>550532.86200000008</v>
      </c>
      <c r="H23" s="148">
        <f t="shared" si="10"/>
        <v>688166.07750000013</v>
      </c>
      <c r="I23" s="148">
        <f>I22</f>
        <v>150121.91700000002</v>
      </c>
      <c r="J23" s="148">
        <f>I23+J22</f>
        <v>300243.83400000003</v>
      </c>
      <c r="K23" s="148">
        <f t="shared" ref="K23" si="11">J23+K22</f>
        <v>450365.75100000005</v>
      </c>
      <c r="L23" s="148">
        <f t="shared" ref="L23" si="12">K23+L22</f>
        <v>600487.66800000006</v>
      </c>
      <c r="M23" s="256">
        <f t="shared" ref="M23" si="13">L23+M22</f>
        <v>750609.58500000008</v>
      </c>
      <c r="N23" s="148">
        <f>N22</f>
        <v>161494.78950000001</v>
      </c>
      <c r="O23" s="148">
        <f>N23+O22</f>
        <v>322989.57900000003</v>
      </c>
      <c r="P23" s="148">
        <f t="shared" ref="P23" si="14">O23+P22</f>
        <v>484484.36850000004</v>
      </c>
      <c r="Q23" s="148">
        <f t="shared" ref="Q23" si="15">P23+Q22</f>
        <v>645979.15800000005</v>
      </c>
      <c r="R23" s="256">
        <f t="shared" ref="R23" si="16">Q23+R22</f>
        <v>807473.94750000001</v>
      </c>
      <c r="S23" s="148">
        <f>S22</f>
        <v>171537.25050000002</v>
      </c>
      <c r="T23" s="148">
        <f>S23+T22</f>
        <v>343074.50100000005</v>
      </c>
      <c r="U23" s="148">
        <f t="shared" ref="U23" si="17">T23+U22</f>
        <v>514611.75150000007</v>
      </c>
      <c r="V23" s="148">
        <f t="shared" ref="V23" si="18">U23+V22</f>
        <v>686149.00200000009</v>
      </c>
      <c r="W23" s="256">
        <f t="shared" ref="W23" si="19">V23+W22</f>
        <v>857686.25250000018</v>
      </c>
      <c r="X23" s="148">
        <f>X22</f>
        <v>180206.3835</v>
      </c>
      <c r="Y23" s="148">
        <f>X23+Y22</f>
        <v>360412.76699999999</v>
      </c>
      <c r="Z23" s="148">
        <f t="shared" ref="Z23" si="20">Y23+Z22</f>
        <v>540619.15049999999</v>
      </c>
      <c r="AA23" s="148">
        <f t="shared" ref="AA23" si="21">Z23+AA22</f>
        <v>720825.53399999999</v>
      </c>
      <c r="AB23" s="256">
        <f t="shared" ref="AB23" si="22">AA23+AB22</f>
        <v>901031.91749999998</v>
      </c>
      <c r="AC23" s="148">
        <f>AC22</f>
        <v>187588.0215</v>
      </c>
      <c r="AD23" s="148">
        <f>AC23+AD22</f>
        <v>375176.04300000001</v>
      </c>
      <c r="AE23" s="148">
        <f t="shared" ref="AE23" si="23">AD23+AE22</f>
        <v>562764.06449999998</v>
      </c>
      <c r="AF23" s="148">
        <f t="shared" ref="AF23" si="24">AE23+AF22</f>
        <v>750352.08600000001</v>
      </c>
      <c r="AG23" s="256">
        <f t="shared" ref="AG23" si="25">AF23+AG22</f>
        <v>937940.10750000004</v>
      </c>
      <c r="AH23" s="148">
        <f>AH22</f>
        <v>187588.0215</v>
      </c>
      <c r="AI23" s="148">
        <f>AH23+AI22</f>
        <v>375176.04300000001</v>
      </c>
      <c r="AJ23" s="148">
        <f t="shared" ref="AJ23" si="26">AI23+AJ22</f>
        <v>562764.06449999998</v>
      </c>
      <c r="AK23" s="148">
        <f t="shared" ref="AK23" si="27">AJ23+AK22</f>
        <v>750352.08600000001</v>
      </c>
      <c r="AL23" s="256">
        <f t="shared" ref="AL23" si="28">AK23+AL22</f>
        <v>937940.10750000004</v>
      </c>
      <c r="AM23" s="148">
        <f>H23+M23+R23+W23+AB23+AG23+AL23</f>
        <v>5880847.995000001</v>
      </c>
    </row>
    <row r="24" spans="1:39" x14ac:dyDescent="0.3">
      <c r="B24" s="1131"/>
      <c r="C24" s="247" t="s">
        <v>422</v>
      </c>
      <c r="D24" s="152">
        <f>ROUND($H$7/5,0)</f>
        <v>3207</v>
      </c>
      <c r="E24" s="152">
        <f t="shared" ref="E24:H24" si="29">ROUND($H$7/5,0)</f>
        <v>3207</v>
      </c>
      <c r="F24" s="152">
        <f t="shared" si="29"/>
        <v>3207</v>
      </c>
      <c r="G24" s="152">
        <f t="shared" si="29"/>
        <v>3207</v>
      </c>
      <c r="H24" s="152">
        <f t="shared" si="29"/>
        <v>3207</v>
      </c>
      <c r="I24" s="152">
        <f>ROUND($M$7/5,0)</f>
        <v>3498</v>
      </c>
      <c r="J24" s="152">
        <f t="shared" ref="J24:M24" si="30">ROUND($M$7/5,0)</f>
        <v>3498</v>
      </c>
      <c r="K24" s="152">
        <f t="shared" si="30"/>
        <v>3498</v>
      </c>
      <c r="L24" s="152">
        <f t="shared" si="30"/>
        <v>3498</v>
      </c>
      <c r="M24" s="152">
        <f t="shared" si="30"/>
        <v>3498</v>
      </c>
      <c r="N24" s="152">
        <f>ROUND($R$7/5,0)</f>
        <v>3763</v>
      </c>
      <c r="O24" s="152">
        <f t="shared" ref="O24:R24" si="31">ROUND($R$7/5,0)</f>
        <v>3763</v>
      </c>
      <c r="P24" s="152">
        <f t="shared" si="31"/>
        <v>3763</v>
      </c>
      <c r="Q24" s="152">
        <f t="shared" si="31"/>
        <v>3763</v>
      </c>
      <c r="R24" s="152">
        <f t="shared" si="31"/>
        <v>3763</v>
      </c>
      <c r="S24" s="152">
        <f>ROUND($W$7/5,0)</f>
        <v>3997</v>
      </c>
      <c r="T24" s="152">
        <f t="shared" ref="T24:W24" si="32">ROUND($W$7/5,0)</f>
        <v>3997</v>
      </c>
      <c r="U24" s="152">
        <f t="shared" si="32"/>
        <v>3997</v>
      </c>
      <c r="V24" s="152">
        <f t="shared" si="32"/>
        <v>3997</v>
      </c>
      <c r="W24" s="152">
        <f t="shared" si="32"/>
        <v>3997</v>
      </c>
      <c r="X24" s="152">
        <f>ROUND($AB$7/5,0)</f>
        <v>4199</v>
      </c>
      <c r="Y24" s="152">
        <f t="shared" ref="Y24:AB24" si="33">ROUND($AB$7/5,0)</f>
        <v>4199</v>
      </c>
      <c r="Z24" s="152">
        <f t="shared" si="33"/>
        <v>4199</v>
      </c>
      <c r="AA24" s="152">
        <f t="shared" si="33"/>
        <v>4199</v>
      </c>
      <c r="AB24" s="152">
        <f t="shared" si="33"/>
        <v>4199</v>
      </c>
      <c r="AC24" s="152">
        <f>ROUND($AG$7/5,0)</f>
        <v>4371</v>
      </c>
      <c r="AD24" s="152">
        <f t="shared" ref="AD24:AL24" si="34">ROUND($AG$7/5,0)</f>
        <v>4371</v>
      </c>
      <c r="AE24" s="152">
        <f t="shared" si="34"/>
        <v>4371</v>
      </c>
      <c r="AF24" s="152">
        <f t="shared" si="34"/>
        <v>4371</v>
      </c>
      <c r="AG24" s="152">
        <f t="shared" si="34"/>
        <v>4371</v>
      </c>
      <c r="AH24" s="152">
        <f t="shared" si="34"/>
        <v>4371</v>
      </c>
      <c r="AI24" s="152">
        <f t="shared" si="34"/>
        <v>4371</v>
      </c>
      <c r="AJ24" s="152">
        <f t="shared" si="34"/>
        <v>4371</v>
      </c>
      <c r="AK24" s="152">
        <f t="shared" si="34"/>
        <v>4371</v>
      </c>
      <c r="AL24" s="152">
        <f t="shared" si="34"/>
        <v>4371</v>
      </c>
      <c r="AM24" s="253">
        <f>SUM(D24:AL24)</f>
        <v>137030</v>
      </c>
    </row>
    <row r="25" spans="1:39" x14ac:dyDescent="0.3">
      <c r="B25" s="1132"/>
      <c r="C25" s="247" t="s">
        <v>423</v>
      </c>
      <c r="D25" s="152">
        <f>D24</f>
        <v>3207</v>
      </c>
      <c r="E25" s="152">
        <f>D25+E24</f>
        <v>6414</v>
      </c>
      <c r="F25" s="152">
        <f t="shared" ref="F25:H25" si="35">E25+F24</f>
        <v>9621</v>
      </c>
      <c r="G25" s="152">
        <f t="shared" si="35"/>
        <v>12828</v>
      </c>
      <c r="H25" s="152">
        <f t="shared" si="35"/>
        <v>16035</v>
      </c>
      <c r="I25" s="152">
        <f>I24</f>
        <v>3498</v>
      </c>
      <c r="J25" s="152">
        <f>I25+J24</f>
        <v>6996</v>
      </c>
      <c r="K25" s="152">
        <f t="shared" ref="K25" si="36">J25+K24</f>
        <v>10494</v>
      </c>
      <c r="L25" s="152">
        <f t="shared" ref="L25" si="37">K25+L24</f>
        <v>13992</v>
      </c>
      <c r="M25" s="257">
        <f t="shared" ref="M25" si="38">L25+M24</f>
        <v>17490</v>
      </c>
      <c r="N25" s="152">
        <f>N24</f>
        <v>3763</v>
      </c>
      <c r="O25" s="152">
        <f>N25+O24</f>
        <v>7526</v>
      </c>
      <c r="P25" s="152">
        <f t="shared" ref="P25" si="39">O25+P24</f>
        <v>11289</v>
      </c>
      <c r="Q25" s="152">
        <f t="shared" ref="Q25" si="40">P25+Q24</f>
        <v>15052</v>
      </c>
      <c r="R25" s="257">
        <f t="shared" ref="R25" si="41">Q25+R24</f>
        <v>18815</v>
      </c>
      <c r="S25" s="152">
        <f>S24</f>
        <v>3997</v>
      </c>
      <c r="T25" s="152">
        <f>S25+T24</f>
        <v>7994</v>
      </c>
      <c r="U25" s="152">
        <f t="shared" ref="U25" si="42">T25+U24</f>
        <v>11991</v>
      </c>
      <c r="V25" s="152">
        <f t="shared" ref="V25" si="43">U25+V24</f>
        <v>15988</v>
      </c>
      <c r="W25" s="257">
        <f t="shared" ref="W25" si="44">V25+W24</f>
        <v>19985</v>
      </c>
      <c r="X25" s="152">
        <f>X24</f>
        <v>4199</v>
      </c>
      <c r="Y25" s="152">
        <f>X25+Y24</f>
        <v>8398</v>
      </c>
      <c r="Z25" s="152">
        <f t="shared" ref="Z25" si="45">Y25+Z24</f>
        <v>12597</v>
      </c>
      <c r="AA25" s="152">
        <f t="shared" ref="AA25" si="46">Z25+AA24</f>
        <v>16796</v>
      </c>
      <c r="AB25" s="257">
        <f t="shared" ref="AB25" si="47">AA25+AB24</f>
        <v>20995</v>
      </c>
      <c r="AC25" s="152">
        <f>AC24</f>
        <v>4371</v>
      </c>
      <c r="AD25" s="152">
        <f>AC25+AD24</f>
        <v>8742</v>
      </c>
      <c r="AE25" s="152">
        <f t="shared" ref="AE25" si="48">AD25+AE24</f>
        <v>13113</v>
      </c>
      <c r="AF25" s="152">
        <f t="shared" ref="AF25" si="49">AE25+AF24</f>
        <v>17484</v>
      </c>
      <c r="AG25" s="257">
        <f t="shared" ref="AG25" si="50">AF25+AG24</f>
        <v>21855</v>
      </c>
      <c r="AH25" s="152">
        <f>AH24</f>
        <v>4371</v>
      </c>
      <c r="AI25" s="152">
        <f>AH25+AI24</f>
        <v>8742</v>
      </c>
      <c r="AJ25" s="152">
        <f t="shared" ref="AJ25" si="51">AI25+AJ24</f>
        <v>13113</v>
      </c>
      <c r="AK25" s="152">
        <f t="shared" ref="AK25" si="52">AJ25+AK24</f>
        <v>17484</v>
      </c>
      <c r="AL25" s="257">
        <f t="shared" ref="AL25" si="53">AK25+AL24</f>
        <v>21855</v>
      </c>
      <c r="AM25" s="253">
        <f>H25+M25+R25+W25+AB25+AG25</f>
        <v>115175</v>
      </c>
    </row>
    <row r="26" spans="1:39" x14ac:dyDescent="0.3">
      <c r="B26" s="1133" t="s">
        <v>426</v>
      </c>
      <c r="C26" s="247" t="s">
        <v>222</v>
      </c>
      <c r="D26" s="148">
        <f t="shared" ref="D26:AL26" si="54">(D12-D22)*0.45</f>
        <v>32201.452587763186</v>
      </c>
      <c r="E26" s="148">
        <f t="shared" si="54"/>
        <v>59581.145020656651</v>
      </c>
      <c r="F26" s="148">
        <f t="shared" si="54"/>
        <v>84249.820331233597</v>
      </c>
      <c r="G26" s="148">
        <f t="shared" si="54"/>
        <v>249740.14143282321</v>
      </c>
      <c r="H26" s="148">
        <f t="shared" si="54"/>
        <v>246609.83953677237</v>
      </c>
      <c r="I26" s="148">
        <f t="shared" si="54"/>
        <v>425342.5519975932</v>
      </c>
      <c r="J26" s="148">
        <f t="shared" si="54"/>
        <v>569522.19318469288</v>
      </c>
      <c r="K26" s="148">
        <f t="shared" si="54"/>
        <v>589072.67607568658</v>
      </c>
      <c r="L26" s="148">
        <f t="shared" si="54"/>
        <v>601157.80222106306</v>
      </c>
      <c r="M26" s="148">
        <f t="shared" si="54"/>
        <v>748703.25132022309</v>
      </c>
      <c r="N26" s="148">
        <f t="shared" si="54"/>
        <v>694964.44604629721</v>
      </c>
      <c r="O26" s="148">
        <f t="shared" si="54"/>
        <v>645824.15857082244</v>
      </c>
      <c r="P26" s="148">
        <f t="shared" si="54"/>
        <v>586506.12943080172</v>
      </c>
      <c r="Q26" s="148">
        <f t="shared" si="54"/>
        <v>592537.19772626401</v>
      </c>
      <c r="R26" s="148">
        <f t="shared" si="54"/>
        <v>598232.19166855689</v>
      </c>
      <c r="S26" s="148">
        <f t="shared" si="54"/>
        <v>459581.64480343158</v>
      </c>
      <c r="T26" s="148">
        <f t="shared" si="54"/>
        <v>463748.39795059024</v>
      </c>
      <c r="U26" s="148">
        <f t="shared" si="54"/>
        <v>328478.40357289487</v>
      </c>
      <c r="V26" s="148">
        <f t="shared" si="54"/>
        <v>331374.35580209253</v>
      </c>
      <c r="W26" s="148">
        <f t="shared" si="54"/>
        <v>334082.33932486828</v>
      </c>
      <c r="X26" s="148">
        <f t="shared" si="54"/>
        <v>263742.55996877508</v>
      </c>
      <c r="Y26" s="148">
        <f t="shared" si="54"/>
        <v>265875.29883318214</v>
      </c>
      <c r="Z26" s="148">
        <f t="shared" si="54"/>
        <v>198166.32637153691</v>
      </c>
      <c r="AA26" s="148">
        <f t="shared" si="54"/>
        <v>199749.22372639307</v>
      </c>
      <c r="AB26" s="148">
        <f t="shared" si="54"/>
        <v>189967.96660600617</v>
      </c>
      <c r="AC26" s="148">
        <f t="shared" si="54"/>
        <v>117564.4597171426</v>
      </c>
      <c r="AD26" s="148">
        <f t="shared" si="54"/>
        <v>118650.1485145301</v>
      </c>
      <c r="AE26" s="148">
        <f t="shared" si="54"/>
        <v>48074.463327093916</v>
      </c>
      <c r="AF26" s="148">
        <f t="shared" si="54"/>
        <v>49090.126855972128</v>
      </c>
      <c r="AG26" s="148">
        <f t="shared" si="54"/>
        <v>50072.29001564272</v>
      </c>
      <c r="AH26" s="148">
        <f t="shared" si="54"/>
        <v>51018.978770772585</v>
      </c>
      <c r="AI26" s="148">
        <f t="shared" si="54"/>
        <v>51927.420093752567</v>
      </c>
      <c r="AJ26" s="148">
        <f t="shared" si="54"/>
        <v>52802.823692860475</v>
      </c>
      <c r="AK26" s="148">
        <f t="shared" si="54"/>
        <v>52912.956956909307</v>
      </c>
      <c r="AL26" s="148">
        <f t="shared" si="54"/>
        <v>53592.944420064159</v>
      </c>
      <c r="AM26" s="148">
        <f>SUM(D26:AL26)</f>
        <v>10404718.126475763</v>
      </c>
    </row>
    <row r="27" spans="1:39" x14ac:dyDescent="0.3">
      <c r="B27" s="1133"/>
      <c r="C27" s="247" t="s">
        <v>423</v>
      </c>
      <c r="D27" s="148">
        <f>D26</f>
        <v>32201.452587763186</v>
      </c>
      <c r="E27" s="148">
        <f>D27+E26</f>
        <v>91782.597608419834</v>
      </c>
      <c r="F27" s="148">
        <f t="shared" ref="F27" si="55">E27+F26</f>
        <v>176032.41793965345</v>
      </c>
      <c r="G27" s="148">
        <f t="shared" ref="G27" si="56">F27+G26</f>
        <v>425772.55937247665</v>
      </c>
      <c r="H27" s="148">
        <f t="shared" ref="H27" si="57">G27+H26</f>
        <v>672382.39890924899</v>
      </c>
      <c r="I27" s="148">
        <f>I26</f>
        <v>425342.5519975932</v>
      </c>
      <c r="J27" s="148">
        <f>I27+J26</f>
        <v>994864.74518228602</v>
      </c>
      <c r="K27" s="148">
        <f t="shared" ref="K27" si="58">J27+K26</f>
        <v>1583937.4212579727</v>
      </c>
      <c r="L27" s="148">
        <f t="shared" ref="L27" si="59">K27+L26</f>
        <v>2185095.2234790358</v>
      </c>
      <c r="M27" s="256">
        <f t="shared" ref="M27" si="60">L27+M26</f>
        <v>2933798.4747992586</v>
      </c>
      <c r="N27" s="148">
        <f>N26</f>
        <v>694964.44604629721</v>
      </c>
      <c r="O27" s="148">
        <f>N27+O26</f>
        <v>1340788.6046171198</v>
      </c>
      <c r="P27" s="148">
        <f t="shared" ref="P27" si="61">O27+P26</f>
        <v>1927294.7340479214</v>
      </c>
      <c r="Q27" s="148">
        <f t="shared" ref="Q27" si="62">P27+Q26</f>
        <v>2519831.9317741855</v>
      </c>
      <c r="R27" s="256">
        <f t="shared" ref="R27" si="63">Q27+R26</f>
        <v>3118064.1234427425</v>
      </c>
      <c r="S27" s="148">
        <f>S26</f>
        <v>459581.64480343158</v>
      </c>
      <c r="T27" s="148">
        <f>S27+T26</f>
        <v>923330.04275402182</v>
      </c>
      <c r="U27" s="148">
        <f t="shared" ref="U27" si="64">T27+U26</f>
        <v>1251808.4463269166</v>
      </c>
      <c r="V27" s="148">
        <f t="shared" ref="V27" si="65">U27+V26</f>
        <v>1583182.802129009</v>
      </c>
      <c r="W27" s="256">
        <f t="shared" ref="W27" si="66">V27+W26</f>
        <v>1917265.1414538773</v>
      </c>
      <c r="X27" s="148">
        <f>X26</f>
        <v>263742.55996877508</v>
      </c>
      <c r="Y27" s="148">
        <f>X27+Y26</f>
        <v>529617.85880195722</v>
      </c>
      <c r="Z27" s="148">
        <f t="shared" ref="Z27" si="67">Y27+Z26</f>
        <v>727784.18517349416</v>
      </c>
      <c r="AA27" s="148">
        <f t="shared" ref="AA27" si="68">Z27+AA26</f>
        <v>927533.40889988723</v>
      </c>
      <c r="AB27" s="256">
        <f t="shared" ref="AB27" si="69">AA27+AB26</f>
        <v>1117501.3755058935</v>
      </c>
      <c r="AC27" s="148">
        <f>AC26</f>
        <v>117564.4597171426</v>
      </c>
      <c r="AD27" s="148">
        <f>AC27+AD26</f>
        <v>236214.6082316727</v>
      </c>
      <c r="AE27" s="148">
        <f t="shared" ref="AE27" si="70">AD27+AE26</f>
        <v>284289.07155876659</v>
      </c>
      <c r="AF27" s="148">
        <f t="shared" ref="AF27" si="71">AE27+AF26</f>
        <v>333379.1984147387</v>
      </c>
      <c r="AG27" s="256">
        <f t="shared" ref="AG27" si="72">AF27+AG26</f>
        <v>383451.4884303814</v>
      </c>
      <c r="AH27" s="258">
        <f>AH26</f>
        <v>51018.978770772585</v>
      </c>
      <c r="AI27" s="258">
        <f>AH27+AI26</f>
        <v>102946.39886452515</v>
      </c>
      <c r="AJ27" s="258">
        <f t="shared" ref="AJ27" si="73">AI27+AJ26</f>
        <v>155749.22255738563</v>
      </c>
      <c r="AK27" s="258">
        <f t="shared" ref="AK27" si="74">AJ27+AK26</f>
        <v>208662.17951429493</v>
      </c>
      <c r="AL27" s="256">
        <f t="shared" ref="AL27" si="75">AK27+AL26</f>
        <v>262255.12393435906</v>
      </c>
      <c r="AM27" s="148">
        <f>H27+M27+R27+W27+AB27+AG27+AL27</f>
        <v>10404718.126475759</v>
      </c>
    </row>
    <row r="28" spans="1:39" x14ac:dyDescent="0.3">
      <c r="B28" s="1133" t="s">
        <v>424</v>
      </c>
      <c r="C28" s="247" t="s">
        <v>222</v>
      </c>
      <c r="D28" s="148">
        <f t="shared" ref="D28:AL28" si="76">(D12-D22)*0.15</f>
        <v>10733.817529254395</v>
      </c>
      <c r="E28" s="148">
        <f t="shared" si="76"/>
        <v>19860.381673552216</v>
      </c>
      <c r="F28" s="148">
        <f t="shared" si="76"/>
        <v>28083.273443744532</v>
      </c>
      <c r="G28" s="148">
        <f t="shared" si="76"/>
        <v>83246.713810941059</v>
      </c>
      <c r="H28" s="148">
        <f t="shared" si="76"/>
        <v>82203.279845590776</v>
      </c>
      <c r="I28" s="148">
        <f t="shared" si="76"/>
        <v>141780.85066586439</v>
      </c>
      <c r="J28" s="148">
        <f t="shared" si="76"/>
        <v>189840.73106156426</v>
      </c>
      <c r="K28" s="148">
        <f t="shared" si="76"/>
        <v>196357.55869189551</v>
      </c>
      <c r="L28" s="148">
        <f t="shared" si="76"/>
        <v>200385.93407368768</v>
      </c>
      <c r="M28" s="148">
        <f t="shared" si="76"/>
        <v>249567.75044007436</v>
      </c>
      <c r="N28" s="148">
        <f t="shared" si="76"/>
        <v>231654.81534876573</v>
      </c>
      <c r="O28" s="148">
        <f t="shared" si="76"/>
        <v>215274.71952360749</v>
      </c>
      <c r="P28" s="148">
        <f t="shared" si="76"/>
        <v>195502.04314360055</v>
      </c>
      <c r="Q28" s="148">
        <f t="shared" si="76"/>
        <v>197512.39924208799</v>
      </c>
      <c r="R28" s="148">
        <f t="shared" si="76"/>
        <v>199410.73055618562</v>
      </c>
      <c r="S28" s="148">
        <f t="shared" si="76"/>
        <v>153193.88160114383</v>
      </c>
      <c r="T28" s="148">
        <f t="shared" si="76"/>
        <v>154582.79931686338</v>
      </c>
      <c r="U28" s="148">
        <f t="shared" si="76"/>
        <v>109492.80119096495</v>
      </c>
      <c r="V28" s="148">
        <f t="shared" si="76"/>
        <v>110458.1186006975</v>
      </c>
      <c r="W28" s="148">
        <f t="shared" si="76"/>
        <v>111360.77977495609</v>
      </c>
      <c r="X28" s="148">
        <f t="shared" si="76"/>
        <v>87914.186656258345</v>
      </c>
      <c r="Y28" s="148">
        <f t="shared" si="76"/>
        <v>88625.099611060708</v>
      </c>
      <c r="Z28" s="148">
        <f t="shared" si="76"/>
        <v>66055.442123845627</v>
      </c>
      <c r="AA28" s="148">
        <f t="shared" si="76"/>
        <v>66583.074575464343</v>
      </c>
      <c r="AB28" s="148">
        <f t="shared" si="76"/>
        <v>63322.655535335391</v>
      </c>
      <c r="AC28" s="148">
        <f t="shared" si="76"/>
        <v>39188.153239047533</v>
      </c>
      <c r="AD28" s="148">
        <f t="shared" si="76"/>
        <v>39550.049504843366</v>
      </c>
      <c r="AE28" s="148">
        <f t="shared" si="76"/>
        <v>16024.821109031305</v>
      </c>
      <c r="AF28" s="148">
        <f t="shared" si="76"/>
        <v>16363.375618657374</v>
      </c>
      <c r="AG28" s="148">
        <f t="shared" si="76"/>
        <v>16690.763338547575</v>
      </c>
      <c r="AH28" s="148">
        <f t="shared" si="76"/>
        <v>17006.326256924192</v>
      </c>
      <c r="AI28" s="148">
        <f t="shared" si="76"/>
        <v>17309.140031250856</v>
      </c>
      <c r="AJ28" s="148">
        <f t="shared" si="76"/>
        <v>17600.941230953493</v>
      </c>
      <c r="AK28" s="148">
        <f t="shared" si="76"/>
        <v>17637.652318969769</v>
      </c>
      <c r="AL28" s="148">
        <f t="shared" si="76"/>
        <v>17864.314806688049</v>
      </c>
      <c r="AM28" s="148">
        <f>SUM(D28:AL28)</f>
        <v>3468239.3754919209</v>
      </c>
    </row>
    <row r="29" spans="1:39" x14ac:dyDescent="0.3">
      <c r="B29" s="1133"/>
      <c r="C29" s="247" t="s">
        <v>423</v>
      </c>
      <c r="D29" s="148">
        <f>D28</f>
        <v>10733.817529254395</v>
      </c>
      <c r="E29" s="148">
        <f>D29+E28</f>
        <v>30594.199202806609</v>
      </c>
      <c r="F29" s="148">
        <f t="shared" ref="F29" si="77">E29+F28</f>
        <v>58677.472646551141</v>
      </c>
      <c r="G29" s="148">
        <f t="shared" ref="G29" si="78">F29+G28</f>
        <v>141924.18645749221</v>
      </c>
      <c r="H29" s="148">
        <f t="shared" ref="H29" si="79">G29+H28</f>
        <v>224127.466303083</v>
      </c>
      <c r="I29" s="148">
        <f>I28</f>
        <v>141780.85066586439</v>
      </c>
      <c r="J29" s="148">
        <f>I29+J28</f>
        <v>331621.58172742865</v>
      </c>
      <c r="K29" s="148">
        <f t="shared" ref="K29" si="80">J29+K28</f>
        <v>527979.14041932416</v>
      </c>
      <c r="L29" s="148">
        <f t="shared" ref="L29" si="81">K29+L28</f>
        <v>728365.07449301181</v>
      </c>
      <c r="M29" s="256">
        <f t="shared" ref="M29" si="82">L29+M28</f>
        <v>977932.82493308617</v>
      </c>
      <c r="N29" s="148">
        <f>N28</f>
        <v>231654.81534876573</v>
      </c>
      <c r="O29" s="148">
        <f>N29+O28</f>
        <v>446929.53487237322</v>
      </c>
      <c r="P29" s="148">
        <f t="shared" ref="P29" si="83">O29+P28</f>
        <v>642431.57801597379</v>
      </c>
      <c r="Q29" s="148">
        <f t="shared" ref="Q29" si="84">P29+Q28</f>
        <v>839943.97725806176</v>
      </c>
      <c r="R29" s="256">
        <f t="shared" ref="R29" si="85">Q29+R28</f>
        <v>1039354.7078142473</v>
      </c>
      <c r="S29" s="148">
        <f>S28</f>
        <v>153193.88160114383</v>
      </c>
      <c r="T29" s="148">
        <f>S29+T28</f>
        <v>307776.68091800722</v>
      </c>
      <c r="U29" s="148">
        <f t="shared" ref="U29" si="86">T29+U28</f>
        <v>417269.48210897215</v>
      </c>
      <c r="V29" s="148">
        <f t="shared" ref="V29" si="87">U29+V28</f>
        <v>527727.60070966964</v>
      </c>
      <c r="W29" s="256">
        <f t="shared" ref="W29" si="88">V29+W28</f>
        <v>639088.3804846257</v>
      </c>
      <c r="X29" s="148">
        <f>X28</f>
        <v>87914.186656258345</v>
      </c>
      <c r="Y29" s="148">
        <f>X29+Y28</f>
        <v>176539.28626731905</v>
      </c>
      <c r="Z29" s="148">
        <f t="shared" ref="Z29" si="89">Y29+Z28</f>
        <v>242594.72839116468</v>
      </c>
      <c r="AA29" s="148">
        <f t="shared" ref="AA29" si="90">Z29+AA28</f>
        <v>309177.80296662904</v>
      </c>
      <c r="AB29" s="256">
        <f t="shared" ref="AB29" si="91">AA29+AB28</f>
        <v>372500.45850196446</v>
      </c>
      <c r="AC29" s="148">
        <f>AC28</f>
        <v>39188.153239047533</v>
      </c>
      <c r="AD29" s="148">
        <f>AC29+AD28</f>
        <v>78738.202743890899</v>
      </c>
      <c r="AE29" s="148">
        <f t="shared" ref="AE29" si="92">AD29+AE28</f>
        <v>94763.023852922197</v>
      </c>
      <c r="AF29" s="148">
        <f t="shared" ref="AF29" si="93">AE29+AF28</f>
        <v>111126.39947157957</v>
      </c>
      <c r="AG29" s="256">
        <f t="shared" ref="AG29" si="94">AF29+AG28</f>
        <v>127817.16281012715</v>
      </c>
      <c r="AH29" s="148">
        <f>AH28</f>
        <v>17006.326256924192</v>
      </c>
      <c r="AI29" s="148">
        <f>AH29+AI28</f>
        <v>34315.466288175048</v>
      </c>
      <c r="AJ29" s="148">
        <f t="shared" ref="AJ29" si="95">AI29+AJ28</f>
        <v>51916.407519128537</v>
      </c>
      <c r="AK29" s="148">
        <f t="shared" ref="AK29" si="96">AJ29+AK28</f>
        <v>69554.059838098299</v>
      </c>
      <c r="AL29" s="256">
        <f t="shared" ref="AL29" si="97">AK29+AL28</f>
        <v>87418.374644786352</v>
      </c>
      <c r="AM29" s="148">
        <f>H29+M29+R29+W29+AB29+AG29+AL29</f>
        <v>3468239.3754919199</v>
      </c>
    </row>
    <row r="30" spans="1:39" x14ac:dyDescent="0.3">
      <c r="B30" s="1133" t="s">
        <v>425</v>
      </c>
      <c r="C30" s="247" t="s">
        <v>222</v>
      </c>
      <c r="D30" s="148">
        <f t="shared" ref="D30:AL30" si="98">(D12-D22)*0.25</f>
        <v>17889.695882090658</v>
      </c>
      <c r="E30" s="148">
        <f t="shared" si="98"/>
        <v>33100.636122587028</v>
      </c>
      <c r="F30" s="148">
        <f t="shared" si="98"/>
        <v>46805.455739574223</v>
      </c>
      <c r="G30" s="148">
        <f t="shared" si="98"/>
        <v>138744.52301823511</v>
      </c>
      <c r="H30" s="148">
        <f t="shared" si="98"/>
        <v>137005.46640931797</v>
      </c>
      <c r="I30" s="148">
        <f t="shared" si="98"/>
        <v>236301.41777644065</v>
      </c>
      <c r="J30" s="148">
        <f t="shared" si="98"/>
        <v>316401.21843594045</v>
      </c>
      <c r="K30" s="148">
        <f t="shared" si="98"/>
        <v>327262.59781982587</v>
      </c>
      <c r="L30" s="148">
        <f t="shared" si="98"/>
        <v>333976.55678947945</v>
      </c>
      <c r="M30" s="148">
        <f t="shared" si="98"/>
        <v>415946.25073345727</v>
      </c>
      <c r="N30" s="148">
        <f t="shared" si="98"/>
        <v>386091.35891460953</v>
      </c>
      <c r="O30" s="148">
        <f t="shared" si="98"/>
        <v>358791.19920601248</v>
      </c>
      <c r="P30" s="148">
        <f t="shared" si="98"/>
        <v>325836.73857266759</v>
      </c>
      <c r="Q30" s="148">
        <f t="shared" si="98"/>
        <v>329187.33207014669</v>
      </c>
      <c r="R30" s="148">
        <f t="shared" si="98"/>
        <v>332351.21759364271</v>
      </c>
      <c r="S30" s="148">
        <f t="shared" si="98"/>
        <v>255323.13600190642</v>
      </c>
      <c r="T30" s="148">
        <f t="shared" si="98"/>
        <v>257637.998861439</v>
      </c>
      <c r="U30" s="148">
        <f t="shared" si="98"/>
        <v>182488.0019849416</v>
      </c>
      <c r="V30" s="148">
        <f t="shared" si="98"/>
        <v>184096.86433449585</v>
      </c>
      <c r="W30" s="148">
        <f t="shared" si="98"/>
        <v>185601.29962492682</v>
      </c>
      <c r="X30" s="148">
        <f t="shared" si="98"/>
        <v>146523.64442709726</v>
      </c>
      <c r="Y30" s="148">
        <f t="shared" si="98"/>
        <v>147708.49935176785</v>
      </c>
      <c r="Z30" s="148">
        <f t="shared" si="98"/>
        <v>110092.40353974272</v>
      </c>
      <c r="AA30" s="148">
        <f t="shared" si="98"/>
        <v>110971.79095910725</v>
      </c>
      <c r="AB30" s="148">
        <f t="shared" si="98"/>
        <v>105537.75922555898</v>
      </c>
      <c r="AC30" s="148">
        <f t="shared" si="98"/>
        <v>65313.588731745891</v>
      </c>
      <c r="AD30" s="148">
        <f t="shared" si="98"/>
        <v>65916.749174738943</v>
      </c>
      <c r="AE30" s="148">
        <f t="shared" si="98"/>
        <v>26708.035181718842</v>
      </c>
      <c r="AF30" s="148">
        <f t="shared" si="98"/>
        <v>27272.292697762292</v>
      </c>
      <c r="AG30" s="148">
        <f t="shared" si="98"/>
        <v>27817.93889757929</v>
      </c>
      <c r="AH30" s="148">
        <f t="shared" si="98"/>
        <v>28343.877094873656</v>
      </c>
      <c r="AI30" s="148">
        <f t="shared" si="98"/>
        <v>28848.566718751426</v>
      </c>
      <c r="AJ30" s="148">
        <f t="shared" si="98"/>
        <v>29334.902051589153</v>
      </c>
      <c r="AK30" s="148">
        <f t="shared" si="98"/>
        <v>29396.087198282949</v>
      </c>
      <c r="AL30" s="148">
        <f t="shared" si="98"/>
        <v>29773.858011146753</v>
      </c>
      <c r="AM30" s="148">
        <f>SUM(D30:AL30)</f>
        <v>5780398.9591532005</v>
      </c>
    </row>
    <row r="31" spans="1:39" x14ac:dyDescent="0.3">
      <c r="B31" s="1133"/>
      <c r="C31" s="247" t="s">
        <v>423</v>
      </c>
      <c r="D31" s="148">
        <f>D30</f>
        <v>17889.695882090658</v>
      </c>
      <c r="E31" s="148">
        <f>D31+E30</f>
        <v>50990.332004677686</v>
      </c>
      <c r="F31" s="148">
        <f t="shared" ref="F31" si="99">E31+F30</f>
        <v>97795.787744251909</v>
      </c>
      <c r="G31" s="148">
        <f t="shared" ref="G31" si="100">F31+G30</f>
        <v>236540.310762487</v>
      </c>
      <c r="H31" s="148">
        <f t="shared" ref="H31" si="101">G31+H30</f>
        <v>373545.77717180498</v>
      </c>
      <c r="I31" s="148">
        <f>I30</f>
        <v>236301.41777644065</v>
      </c>
      <c r="J31" s="148">
        <f>I31+J30</f>
        <v>552702.63621238107</v>
      </c>
      <c r="K31" s="148">
        <f t="shared" ref="K31" si="102">J31+K30</f>
        <v>879965.23403220694</v>
      </c>
      <c r="L31" s="148">
        <f t="shared" ref="L31" si="103">K31+L30</f>
        <v>1213941.7908216864</v>
      </c>
      <c r="M31" s="256">
        <f t="shared" ref="M31" si="104">L31+M30</f>
        <v>1629888.0415551437</v>
      </c>
      <c r="N31" s="148">
        <f>N30</f>
        <v>386091.35891460953</v>
      </c>
      <c r="O31" s="148">
        <f>N31+O30</f>
        <v>744882.55812062207</v>
      </c>
      <c r="P31" s="148">
        <f t="shared" ref="P31" si="105">O31+P30</f>
        <v>1070719.2966932897</v>
      </c>
      <c r="Q31" s="148">
        <f t="shared" ref="Q31" si="106">P31+Q30</f>
        <v>1399906.6287634363</v>
      </c>
      <c r="R31" s="256">
        <f t="shared" ref="R31" si="107">Q31+R30</f>
        <v>1732257.846357079</v>
      </c>
      <c r="S31" s="148">
        <f>S30</f>
        <v>255323.13600190642</v>
      </c>
      <c r="T31" s="148">
        <f>S31+T30</f>
        <v>512961.13486334542</v>
      </c>
      <c r="U31" s="148">
        <f t="shared" ref="U31" si="108">T31+U30</f>
        <v>695449.13684828696</v>
      </c>
      <c r="V31" s="148">
        <f t="shared" ref="V31" si="109">U31+V30</f>
        <v>879546.00118278281</v>
      </c>
      <c r="W31" s="256">
        <f t="shared" ref="W31" si="110">V31+W30</f>
        <v>1065147.3008077096</v>
      </c>
      <c r="X31" s="148">
        <f>X30</f>
        <v>146523.64442709726</v>
      </c>
      <c r="Y31" s="148">
        <f>X31+Y30</f>
        <v>294232.14377886511</v>
      </c>
      <c r="Z31" s="148">
        <f t="shared" ref="Z31" si="111">Y31+Z30</f>
        <v>404324.5473186078</v>
      </c>
      <c r="AA31" s="148">
        <f t="shared" ref="AA31" si="112">Z31+AA30</f>
        <v>515296.33827771503</v>
      </c>
      <c r="AB31" s="256">
        <f t="shared" ref="AB31" si="113">AA31+AB30</f>
        <v>620834.09750327398</v>
      </c>
      <c r="AC31" s="148">
        <f>AC30</f>
        <v>65313.588731745891</v>
      </c>
      <c r="AD31" s="148">
        <f>AC31+AD30</f>
        <v>131230.33790648484</v>
      </c>
      <c r="AE31" s="148">
        <f t="shared" ref="AE31" si="114">AD31+AE30</f>
        <v>157938.37308820369</v>
      </c>
      <c r="AF31" s="148">
        <f t="shared" ref="AF31" si="115">AE31+AF30</f>
        <v>185210.66578596598</v>
      </c>
      <c r="AG31" s="256">
        <f t="shared" ref="AG31" si="116">AF31+AG30</f>
        <v>213028.60468354527</v>
      </c>
      <c r="AH31" s="148">
        <f>AH30</f>
        <v>28343.877094873656</v>
      </c>
      <c r="AI31" s="148">
        <f>AH31+AI30</f>
        <v>57192.443813625083</v>
      </c>
      <c r="AJ31" s="148">
        <f t="shared" ref="AJ31" si="117">AI31+AJ30</f>
        <v>86527.345865214244</v>
      </c>
      <c r="AK31" s="148">
        <f t="shared" ref="AK31" si="118">AJ31+AK30</f>
        <v>115923.43306349718</v>
      </c>
      <c r="AL31" s="256">
        <f t="shared" ref="AL31" si="119">AK31+AL30</f>
        <v>145697.29107464393</v>
      </c>
      <c r="AM31" s="148">
        <f>H31+M31+R31+W31+AB31+AG31+AL31</f>
        <v>5780398.9591532005</v>
      </c>
    </row>
    <row r="32" spans="1:39" x14ac:dyDescent="0.3">
      <c r="B32" s="1133" t="s">
        <v>427</v>
      </c>
      <c r="C32" s="247" t="s">
        <v>222</v>
      </c>
      <c r="D32" s="148">
        <f t="shared" ref="D32:AL32" si="120">D12-D22-D26-D28-D30</f>
        <v>10733.817529254397</v>
      </c>
      <c r="E32" s="148">
        <f t="shared" si="120"/>
        <v>19860.38167355222</v>
      </c>
      <c r="F32" s="148">
        <f t="shared" si="120"/>
        <v>28083.27344374454</v>
      </c>
      <c r="G32" s="148">
        <f t="shared" si="120"/>
        <v>83246.713810941059</v>
      </c>
      <c r="H32" s="148">
        <f t="shared" si="120"/>
        <v>82203.27984559082</v>
      </c>
      <c r="I32" s="148">
        <f t="shared" si="120"/>
        <v>141780.85066586439</v>
      </c>
      <c r="J32" s="148">
        <f t="shared" si="120"/>
        <v>189840.73106156418</v>
      </c>
      <c r="K32" s="148">
        <f t="shared" si="120"/>
        <v>196357.55869189551</v>
      </c>
      <c r="L32" s="148">
        <f t="shared" si="120"/>
        <v>200385.93407368765</v>
      </c>
      <c r="M32" s="148">
        <f t="shared" si="120"/>
        <v>249567.75044007436</v>
      </c>
      <c r="N32" s="148">
        <f t="shared" si="120"/>
        <v>231654.8153487657</v>
      </c>
      <c r="O32" s="148">
        <f t="shared" si="120"/>
        <v>215274.71952360746</v>
      </c>
      <c r="P32" s="148">
        <f t="shared" si="120"/>
        <v>195502.04314360046</v>
      </c>
      <c r="Q32" s="148">
        <f t="shared" si="120"/>
        <v>197512.39924208808</v>
      </c>
      <c r="R32" s="148">
        <f t="shared" si="120"/>
        <v>199410.73055618565</v>
      </c>
      <c r="S32" s="148">
        <f t="shared" si="120"/>
        <v>153193.8816011438</v>
      </c>
      <c r="T32" s="148">
        <f t="shared" si="120"/>
        <v>154582.79931686335</v>
      </c>
      <c r="U32" s="148">
        <f t="shared" si="120"/>
        <v>109492.80119096499</v>
      </c>
      <c r="V32" s="148">
        <f t="shared" si="120"/>
        <v>110458.11860069755</v>
      </c>
      <c r="W32" s="148">
        <f t="shared" si="120"/>
        <v>111360.77977495611</v>
      </c>
      <c r="X32" s="148">
        <f t="shared" si="120"/>
        <v>87914.186656258331</v>
      </c>
      <c r="Y32" s="148">
        <f t="shared" si="120"/>
        <v>88625.099611060723</v>
      </c>
      <c r="Z32" s="148">
        <f t="shared" si="120"/>
        <v>66055.442123845627</v>
      </c>
      <c r="AA32" s="148">
        <f t="shared" si="120"/>
        <v>66583.074575464329</v>
      </c>
      <c r="AB32" s="148">
        <f t="shared" si="120"/>
        <v>63322.655535335391</v>
      </c>
      <c r="AC32" s="148">
        <f t="shared" si="120"/>
        <v>39188.15323904754</v>
      </c>
      <c r="AD32" s="148">
        <f t="shared" si="120"/>
        <v>39550.049504843366</v>
      </c>
      <c r="AE32" s="148">
        <f t="shared" si="120"/>
        <v>16024.821109031305</v>
      </c>
      <c r="AF32" s="148">
        <f t="shared" si="120"/>
        <v>16363.375618657374</v>
      </c>
      <c r="AG32" s="148">
        <f t="shared" si="120"/>
        <v>16690.763338547571</v>
      </c>
      <c r="AH32" s="148">
        <f t="shared" si="120"/>
        <v>17006.326256924192</v>
      </c>
      <c r="AI32" s="148">
        <f t="shared" si="120"/>
        <v>17309.140031250856</v>
      </c>
      <c r="AJ32" s="148">
        <f t="shared" si="120"/>
        <v>17600.941230953489</v>
      </c>
      <c r="AK32" s="148">
        <f t="shared" si="120"/>
        <v>17637.652318969769</v>
      </c>
      <c r="AL32" s="148">
        <f t="shared" si="120"/>
        <v>17864.314806688046</v>
      </c>
      <c r="AM32" s="148">
        <f>SUM(D32:AL32)</f>
        <v>3468239.3754919213</v>
      </c>
    </row>
    <row r="33" spans="2:39" x14ac:dyDescent="0.3">
      <c r="B33" s="1133"/>
      <c r="C33" s="247" t="s">
        <v>423</v>
      </c>
      <c r="D33" s="148">
        <f>D32</f>
        <v>10733.817529254397</v>
      </c>
      <c r="E33" s="148">
        <f>D33+E32</f>
        <v>30594.199202806616</v>
      </c>
      <c r="F33" s="148">
        <f t="shared" ref="F33" si="121">E33+F32</f>
        <v>58677.472646551156</v>
      </c>
      <c r="G33" s="148">
        <f t="shared" ref="G33" si="122">F33+G32</f>
        <v>141924.18645749221</v>
      </c>
      <c r="H33" s="148">
        <f t="shared" ref="H33" si="123">G33+H32</f>
        <v>224127.46630308303</v>
      </c>
      <c r="I33" s="148">
        <f>I32</f>
        <v>141780.85066586439</v>
      </c>
      <c r="J33" s="148">
        <f>I33+J32</f>
        <v>331621.58172742859</v>
      </c>
      <c r="K33" s="148">
        <f t="shared" ref="K33" si="124">J33+K32</f>
        <v>527979.14041932416</v>
      </c>
      <c r="L33" s="148">
        <f t="shared" ref="L33" si="125">K33+L32</f>
        <v>728365.07449301181</v>
      </c>
      <c r="M33" s="256">
        <f t="shared" ref="M33" si="126">L33+M32</f>
        <v>977932.82493308617</v>
      </c>
      <c r="N33" s="148">
        <f>N32</f>
        <v>231654.8153487657</v>
      </c>
      <c r="O33" s="148">
        <f>N33+O32</f>
        <v>446929.53487237316</v>
      </c>
      <c r="P33" s="148">
        <f t="shared" ref="P33" si="127">O33+P32</f>
        <v>642431.57801597356</v>
      </c>
      <c r="Q33" s="148">
        <f t="shared" ref="Q33" si="128">P33+Q32</f>
        <v>839943.97725806164</v>
      </c>
      <c r="R33" s="256">
        <f t="shared" ref="R33" si="129">Q33+R32</f>
        <v>1039354.7078142473</v>
      </c>
      <c r="S33" s="148">
        <f>S32</f>
        <v>153193.8816011438</v>
      </c>
      <c r="T33" s="148">
        <f>S33+T32</f>
        <v>307776.68091800716</v>
      </c>
      <c r="U33" s="148">
        <f t="shared" ref="U33" si="130">T33+U32</f>
        <v>417269.48210897215</v>
      </c>
      <c r="V33" s="148">
        <f t="shared" ref="V33" si="131">U33+V32</f>
        <v>527727.60070966976</v>
      </c>
      <c r="W33" s="256">
        <f t="shared" ref="W33" si="132">V33+W32</f>
        <v>639088.38048462593</v>
      </c>
      <c r="X33" s="148">
        <f>X32</f>
        <v>87914.186656258331</v>
      </c>
      <c r="Y33" s="148">
        <f>X33+Y32</f>
        <v>176539.28626731905</v>
      </c>
      <c r="Z33" s="148">
        <f t="shared" ref="Z33" si="133">Y33+Z32</f>
        <v>242594.72839116468</v>
      </c>
      <c r="AA33" s="148">
        <f t="shared" ref="AA33" si="134">Z33+AA32</f>
        <v>309177.80296662904</v>
      </c>
      <c r="AB33" s="256">
        <f t="shared" ref="AB33" si="135">AA33+AB32</f>
        <v>372500.45850196446</v>
      </c>
      <c r="AC33" s="148">
        <f>AC32</f>
        <v>39188.15323904754</v>
      </c>
      <c r="AD33" s="148">
        <f>AC33+AD32</f>
        <v>78738.202743890899</v>
      </c>
      <c r="AE33" s="148">
        <f t="shared" ref="AE33" si="136">AD33+AE32</f>
        <v>94763.023852922197</v>
      </c>
      <c r="AF33" s="148">
        <f t="shared" ref="AF33" si="137">AE33+AF32</f>
        <v>111126.39947157957</v>
      </c>
      <c r="AG33" s="256">
        <f t="shared" ref="AG33" si="138">AF33+AG32</f>
        <v>127817.16281012713</v>
      </c>
      <c r="AH33" s="148">
        <f>AH32</f>
        <v>17006.326256924192</v>
      </c>
      <c r="AI33" s="148">
        <f>AH33+AI32</f>
        <v>34315.466288175048</v>
      </c>
      <c r="AJ33" s="148">
        <f t="shared" ref="AJ33" si="139">AI33+AJ32</f>
        <v>51916.407519128537</v>
      </c>
      <c r="AK33" s="148">
        <f t="shared" ref="AK33" si="140">AJ33+AK32</f>
        <v>69554.059838098299</v>
      </c>
      <c r="AL33" s="256">
        <f t="shared" ref="AL33" si="141">AK33+AL32</f>
        <v>87418.374644786352</v>
      </c>
      <c r="AM33" s="148">
        <f>H33+M33+R33+W33+AB33+AG33+AL33</f>
        <v>3468239.3754919209</v>
      </c>
    </row>
  </sheetData>
  <mergeCells count="8">
    <mergeCell ref="B4:B5"/>
    <mergeCell ref="C4:C5"/>
    <mergeCell ref="AM4:AM9"/>
    <mergeCell ref="B22:B25"/>
    <mergeCell ref="B32:B33"/>
    <mergeCell ref="B30:B31"/>
    <mergeCell ref="B28:B29"/>
    <mergeCell ref="B26:B27"/>
  </mergeCells>
  <pageMargins left="0.511811024" right="0.511811024" top="0.78740157499999996" bottom="0.78740157499999996" header="0.31496062000000002" footer="0.31496062000000002"/>
  <pageSetup paperSize="8" scale="70" fitToWidth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42"/>
  <sheetViews>
    <sheetView showGridLines="0" topLeftCell="J1" workbookViewId="0">
      <selection activeCell="S2" sqref="S2:T2"/>
    </sheetView>
  </sheetViews>
  <sheetFormatPr defaultRowHeight="14.4" x14ac:dyDescent="0.3"/>
  <cols>
    <col min="1" max="1" width="14.88671875" bestFit="1" customWidth="1"/>
    <col min="3" max="3" width="21.5546875" customWidth="1"/>
    <col min="4" max="4" width="12.109375" customWidth="1"/>
    <col min="5" max="34" width="15.6640625" customWidth="1"/>
    <col min="35" max="35" width="14.6640625" customWidth="1"/>
    <col min="36" max="39" width="14.44140625" bestFit="1" customWidth="1"/>
    <col min="40" max="40" width="16.6640625" bestFit="1" customWidth="1"/>
    <col min="41" max="41" width="15.44140625" bestFit="1" customWidth="1"/>
  </cols>
  <sheetData>
    <row r="1" spans="1:39" x14ac:dyDescent="0.3">
      <c r="A1" s="318" t="s">
        <v>522</v>
      </c>
      <c r="B1" s="1134" t="s">
        <v>369</v>
      </c>
      <c r="C1" s="1135"/>
      <c r="D1" s="1135"/>
      <c r="E1" s="1135"/>
      <c r="F1" s="1136"/>
      <c r="G1" s="138" t="s">
        <v>492</v>
      </c>
      <c r="H1" s="138" t="s">
        <v>313</v>
      </c>
      <c r="I1" s="138" t="s">
        <v>314</v>
      </c>
      <c r="J1" s="138" t="s">
        <v>315</v>
      </c>
      <c r="K1" s="138" t="s">
        <v>490</v>
      </c>
      <c r="L1" s="138" t="s">
        <v>485</v>
      </c>
      <c r="M1" s="138" t="s">
        <v>486</v>
      </c>
      <c r="N1" s="138" t="s">
        <v>316</v>
      </c>
      <c r="O1" s="138" t="s">
        <v>516</v>
      </c>
      <c r="P1" s="358">
        <v>0.2</v>
      </c>
      <c r="Q1" s="20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</row>
    <row r="2" spans="1:39" x14ac:dyDescent="0.3">
      <c r="A2" s="147" t="s">
        <v>528</v>
      </c>
      <c r="B2" s="598" t="s">
        <v>320</v>
      </c>
      <c r="C2" s="599"/>
      <c r="D2" s="599"/>
      <c r="E2" s="599"/>
      <c r="F2" s="600"/>
      <c r="G2" s="356">
        <f>0.59296*T2</f>
        <v>0.65071430399999997</v>
      </c>
      <c r="H2" s="4"/>
      <c r="I2" s="4"/>
      <c r="J2" s="4"/>
      <c r="K2" s="357">
        <v>0.17</v>
      </c>
      <c r="L2" s="357">
        <v>3.7900000000000003E-2</v>
      </c>
      <c r="M2" s="357">
        <v>8.2000000000000007E-3</v>
      </c>
      <c r="N2" s="259">
        <f>G2*(1+K2+L2+M2)</f>
        <v>0.79133366509439995</v>
      </c>
      <c r="O2" s="20" t="s">
        <v>491</v>
      </c>
      <c r="P2" s="259">
        <f>N2*(1-P1)</f>
        <v>0.63306693207552001</v>
      </c>
      <c r="Q2" s="20" t="s">
        <v>491</v>
      </c>
      <c r="R2" s="18"/>
      <c r="S2" s="833" t="s">
        <v>932</v>
      </c>
      <c r="T2" s="834">
        <v>1.0973999999999999</v>
      </c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</row>
    <row r="3" spans="1:39" x14ac:dyDescent="0.3">
      <c r="A3" s="222" t="s">
        <v>524</v>
      </c>
      <c r="B3" s="601" t="s">
        <v>319</v>
      </c>
      <c r="C3" s="602"/>
      <c r="D3" s="602"/>
      <c r="E3" s="602"/>
      <c r="F3" s="603"/>
      <c r="G3" s="20"/>
      <c r="H3" s="356">
        <f>1.411844*T2</f>
        <v>1.5493576056</v>
      </c>
      <c r="I3" s="356">
        <f>0.37832*T2</f>
        <v>0.41516836799999995</v>
      </c>
      <c r="J3" s="356">
        <f>0.37832*T2</f>
        <v>0.41516836799999995</v>
      </c>
      <c r="K3" s="357">
        <f>K2</f>
        <v>0.17</v>
      </c>
      <c r="L3" s="357">
        <f t="shared" ref="L3:M3" si="0">L2</f>
        <v>3.7900000000000003E-2</v>
      </c>
      <c r="M3" s="357">
        <f t="shared" si="0"/>
        <v>8.2000000000000007E-3</v>
      </c>
      <c r="N3" s="259">
        <f>(H3*4+I3*8+J3*12)/24*(1+K2+L2+M2)</f>
        <v>0.73476750763235998</v>
      </c>
      <c r="O3" s="20" t="s">
        <v>491</v>
      </c>
      <c r="P3" s="259">
        <f>N3*(1-P1)</f>
        <v>0.58781400610588797</v>
      </c>
      <c r="Q3" s="20" t="s">
        <v>491</v>
      </c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</row>
    <row r="4" spans="1:39" x14ac:dyDescent="0.3">
      <c r="A4" s="18"/>
      <c r="B4" s="18" t="s">
        <v>885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</row>
    <row r="5" spans="1:39" x14ac:dyDescent="0.3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</row>
    <row r="6" spans="1:39" x14ac:dyDescent="0.3">
      <c r="A6" s="18"/>
      <c r="B6" s="1139" t="s">
        <v>215</v>
      </c>
      <c r="C6" s="1139"/>
      <c r="D6" s="1139" t="s">
        <v>216</v>
      </c>
      <c r="E6" s="138">
        <f>Cronograma!C3</f>
        <v>1</v>
      </c>
      <c r="F6" s="138">
        <f>Cronograma!D3</f>
        <v>2</v>
      </c>
      <c r="G6" s="138">
        <f>Cronograma!E3</f>
        <v>3</v>
      </c>
      <c r="H6" s="138">
        <f>Cronograma!F3</f>
        <v>4</v>
      </c>
      <c r="I6" s="138">
        <f>Cronograma!G3</f>
        <v>5</v>
      </c>
      <c r="J6" s="138">
        <f>Cronograma!H3</f>
        <v>6</v>
      </c>
      <c r="K6" s="138">
        <f>Cronograma!I3</f>
        <v>7</v>
      </c>
      <c r="L6" s="138">
        <f>Cronograma!J3</f>
        <v>8</v>
      </c>
      <c r="M6" s="138">
        <f>Cronograma!K3</f>
        <v>9</v>
      </c>
      <c r="N6" s="138">
        <f>Cronograma!L3</f>
        <v>10</v>
      </c>
      <c r="O6" s="138">
        <f>Cronograma!M3</f>
        <v>11</v>
      </c>
      <c r="P6" s="138">
        <f>Cronograma!N3</f>
        <v>12</v>
      </c>
      <c r="Q6" s="138">
        <f>Cronograma!O3</f>
        <v>13</v>
      </c>
      <c r="R6" s="138">
        <f>Cronograma!P3</f>
        <v>14</v>
      </c>
      <c r="S6" s="138">
        <f>Cronograma!Q3</f>
        <v>15</v>
      </c>
      <c r="T6" s="138">
        <f>Cronograma!R3</f>
        <v>16</v>
      </c>
      <c r="U6" s="138">
        <f>Cronograma!S3</f>
        <v>17</v>
      </c>
      <c r="V6" s="138">
        <f>Cronograma!T3</f>
        <v>18</v>
      </c>
      <c r="W6" s="138">
        <f>Cronograma!U3</f>
        <v>19</v>
      </c>
      <c r="X6" s="138">
        <f>Cronograma!V3</f>
        <v>20</v>
      </c>
      <c r="Y6" s="138">
        <f>Cronograma!W3</f>
        <v>21</v>
      </c>
      <c r="Z6" s="138">
        <f>Cronograma!X3</f>
        <v>22</v>
      </c>
      <c r="AA6" s="138">
        <f>Cronograma!Y3</f>
        <v>23</v>
      </c>
      <c r="AB6" s="138">
        <f>Cronograma!Z3</f>
        <v>24</v>
      </c>
      <c r="AC6" s="138">
        <f>Cronograma!AA3</f>
        <v>25</v>
      </c>
      <c r="AD6" s="138">
        <f>Cronograma!AB3</f>
        <v>26</v>
      </c>
      <c r="AE6" s="138">
        <f>Cronograma!AC3</f>
        <v>27</v>
      </c>
      <c r="AF6" s="138">
        <f>Cronograma!AD3</f>
        <v>28</v>
      </c>
      <c r="AG6" s="138">
        <f>Cronograma!AE3</f>
        <v>29</v>
      </c>
      <c r="AH6" s="138">
        <f>Cronograma!AF3</f>
        <v>30</v>
      </c>
      <c r="AI6" s="138">
        <f>Cronograma!AG3</f>
        <v>31</v>
      </c>
      <c r="AJ6" s="138">
        <f>Cronograma!AH3</f>
        <v>32</v>
      </c>
      <c r="AK6" s="138">
        <f>Cronograma!AI3</f>
        <v>33</v>
      </c>
      <c r="AL6" s="138">
        <f>Cronograma!AJ3</f>
        <v>34</v>
      </c>
      <c r="AM6" s="138">
        <f>Cronograma!AK3</f>
        <v>35</v>
      </c>
    </row>
    <row r="7" spans="1:39" x14ac:dyDescent="0.3">
      <c r="A7" s="18"/>
      <c r="B7" s="1139"/>
      <c r="C7" s="1139"/>
      <c r="D7" s="1139"/>
      <c r="E7" s="138">
        <f>Cronograma!C4</f>
        <v>2027</v>
      </c>
      <c r="F7" s="138">
        <f>Cronograma!D4</f>
        <v>2028</v>
      </c>
      <c r="G7" s="138">
        <f>Cronograma!E4</f>
        <v>2029</v>
      </c>
      <c r="H7" s="138">
        <f>Cronograma!F4</f>
        <v>2030</v>
      </c>
      <c r="I7" s="138">
        <f>Cronograma!G4</f>
        <v>2031</v>
      </c>
      <c r="J7" s="138">
        <f>Cronograma!H4</f>
        <v>2032</v>
      </c>
      <c r="K7" s="138">
        <f>Cronograma!I4</f>
        <v>2033</v>
      </c>
      <c r="L7" s="138">
        <f>Cronograma!J4</f>
        <v>2034</v>
      </c>
      <c r="M7" s="138">
        <f>Cronograma!K4</f>
        <v>2035</v>
      </c>
      <c r="N7" s="138">
        <f>Cronograma!L4</f>
        <v>2036</v>
      </c>
      <c r="O7" s="138">
        <f>Cronograma!M4</f>
        <v>2037</v>
      </c>
      <c r="P7" s="138">
        <f>Cronograma!N4</f>
        <v>2038</v>
      </c>
      <c r="Q7" s="138">
        <f>Cronograma!O4</f>
        <v>2039</v>
      </c>
      <c r="R7" s="138">
        <f>Cronograma!P4</f>
        <v>2040</v>
      </c>
      <c r="S7" s="138">
        <f>Cronograma!Q4</f>
        <v>2041</v>
      </c>
      <c r="T7" s="138">
        <f>Cronograma!R4</f>
        <v>2042</v>
      </c>
      <c r="U7" s="138">
        <f>Cronograma!S4</f>
        <v>2043</v>
      </c>
      <c r="V7" s="138">
        <f>Cronograma!T4</f>
        <v>2044</v>
      </c>
      <c r="W7" s="138">
        <f>Cronograma!U4</f>
        <v>2045</v>
      </c>
      <c r="X7" s="138">
        <f>Cronograma!V4</f>
        <v>2046</v>
      </c>
      <c r="Y7" s="138">
        <f>Cronograma!W4</f>
        <v>2047</v>
      </c>
      <c r="Z7" s="138">
        <f>Cronograma!X4</f>
        <v>2048</v>
      </c>
      <c r="AA7" s="138">
        <f>Cronograma!Y4</f>
        <v>2049</v>
      </c>
      <c r="AB7" s="138">
        <f>Cronograma!Z4</f>
        <v>2050</v>
      </c>
      <c r="AC7" s="138">
        <f>Cronograma!AA4</f>
        <v>2051</v>
      </c>
      <c r="AD7" s="138">
        <f>Cronograma!AB4</f>
        <v>2052</v>
      </c>
      <c r="AE7" s="138">
        <f>Cronograma!AC4</f>
        <v>2053</v>
      </c>
      <c r="AF7" s="138">
        <f>Cronograma!AD4</f>
        <v>2054</v>
      </c>
      <c r="AG7" s="138">
        <f>Cronograma!AE4</f>
        <v>2055</v>
      </c>
      <c r="AH7" s="138">
        <f>Cronograma!AF4</f>
        <v>2056</v>
      </c>
      <c r="AI7" s="138">
        <f>Cronograma!AG4</f>
        <v>2057</v>
      </c>
      <c r="AJ7" s="138">
        <f>Cronograma!AH4</f>
        <v>2058</v>
      </c>
      <c r="AK7" s="138">
        <f>Cronograma!AI4</f>
        <v>2059</v>
      </c>
      <c r="AL7" s="138">
        <f>Cronograma!AJ4</f>
        <v>2060</v>
      </c>
      <c r="AM7" s="138">
        <f>Cronograma!AK4</f>
        <v>2061</v>
      </c>
    </row>
    <row r="8" spans="1:39" ht="15" customHeight="1" x14ac:dyDescent="0.3">
      <c r="A8" s="18"/>
      <c r="B8" s="1137" t="s">
        <v>3</v>
      </c>
      <c r="C8" s="20" t="s">
        <v>333</v>
      </c>
      <c r="D8" s="20" t="s">
        <v>308</v>
      </c>
      <c r="E8" s="260">
        <f>'Base Física'!F59</f>
        <v>4405538</v>
      </c>
      <c r="F8" s="260">
        <f>'Base Física'!G59</f>
        <v>4371270</v>
      </c>
      <c r="G8" s="260">
        <f>'Base Física'!H59</f>
        <v>4313218</v>
      </c>
      <c r="H8" s="260">
        <f>'Base Física'!I59</f>
        <v>4208509</v>
      </c>
      <c r="I8" s="260">
        <f>'Base Física'!J59</f>
        <v>4124800</v>
      </c>
      <c r="J8" s="260">
        <f>'Base Física'!K59</f>
        <v>4055727</v>
      </c>
      <c r="K8" s="260">
        <f>'Base Física'!L59</f>
        <v>3973603</v>
      </c>
      <c r="L8" s="260">
        <f>'Base Física'!M59</f>
        <v>3983034</v>
      </c>
      <c r="M8" s="260">
        <f>'Base Física'!N59</f>
        <v>3993054</v>
      </c>
      <c r="N8" s="260">
        <f>'Base Física'!O59</f>
        <v>4000961</v>
      </c>
      <c r="O8" s="260">
        <f>'Base Física'!P59</f>
        <v>4008210</v>
      </c>
      <c r="P8" s="260">
        <f>'Base Física'!Q59</f>
        <v>4014843</v>
      </c>
      <c r="Q8" s="260">
        <f>'Base Física'!R59</f>
        <v>4019601</v>
      </c>
      <c r="R8" s="260">
        <f>'Base Física'!S59</f>
        <v>4024281</v>
      </c>
      <c r="S8" s="260">
        <f>'Base Física'!T59</f>
        <v>4028529</v>
      </c>
      <c r="T8" s="260">
        <f>'Base Física'!U59</f>
        <v>4031530</v>
      </c>
      <c r="U8" s="260">
        <f>'Base Física'!V59</f>
        <v>4033829</v>
      </c>
      <c r="V8" s="260">
        <f>'Base Física'!W59</f>
        <v>4036341</v>
      </c>
      <c r="W8" s="260">
        <f>'Base Física'!X59</f>
        <v>4056535</v>
      </c>
      <c r="X8" s="260">
        <f>'Base Física'!Y59</f>
        <v>4076975</v>
      </c>
      <c r="Y8" s="260">
        <f>'Base Física'!Z59</f>
        <v>4095487</v>
      </c>
      <c r="Z8" s="260">
        <f>'Base Física'!AA59</f>
        <v>4113166</v>
      </c>
      <c r="AA8" s="260">
        <f>'Base Física'!AB59</f>
        <v>4130089</v>
      </c>
      <c r="AB8" s="260">
        <f>'Base Física'!AC59</f>
        <v>4146314</v>
      </c>
      <c r="AC8" s="260">
        <f>'Base Física'!AD59</f>
        <v>4161650</v>
      </c>
      <c r="AD8" s="260">
        <f>'Base Física'!AE59</f>
        <v>4177701</v>
      </c>
      <c r="AE8" s="260">
        <f>'Base Física'!AF59</f>
        <v>4190762</v>
      </c>
      <c r="AF8" s="260">
        <f>'Base Física'!AG59</f>
        <v>4205040</v>
      </c>
      <c r="AG8" s="260">
        <f>'Base Física'!AH59</f>
        <v>4217159</v>
      </c>
      <c r="AH8" s="260">
        <f>'Base Física'!AI59</f>
        <v>4229523</v>
      </c>
      <c r="AI8" s="260">
        <f>'Base Física'!AJ59</f>
        <v>4241358</v>
      </c>
      <c r="AJ8" s="260">
        <f>'Base Física'!AK59</f>
        <v>4251736</v>
      </c>
      <c r="AK8" s="260">
        <f>'Base Física'!AL59</f>
        <v>4262364</v>
      </c>
      <c r="AL8" s="260">
        <f>'Base Física'!AM59</f>
        <v>4272767</v>
      </c>
      <c r="AM8" s="260">
        <f>'Base Física'!AN59</f>
        <v>4262515</v>
      </c>
    </row>
    <row r="9" spans="1:39" x14ac:dyDescent="0.3">
      <c r="A9" s="18"/>
      <c r="B9" s="1137"/>
      <c r="C9" s="20" t="s">
        <v>335</v>
      </c>
      <c r="D9" s="20" t="s">
        <v>310</v>
      </c>
      <c r="E9" s="359">
        <v>0.42</v>
      </c>
      <c r="F9" s="359">
        <v>0.43</v>
      </c>
      <c r="G9" s="359">
        <v>0.44</v>
      </c>
      <c r="H9" s="359">
        <v>0.45</v>
      </c>
      <c r="I9" s="359">
        <v>0.46</v>
      </c>
      <c r="J9" s="359">
        <v>0.46</v>
      </c>
      <c r="K9" s="359">
        <v>0.46</v>
      </c>
      <c r="L9" s="359">
        <v>0.46</v>
      </c>
      <c r="M9" s="359">
        <v>0.46</v>
      </c>
      <c r="N9" s="359">
        <v>0.46</v>
      </c>
      <c r="O9" s="359">
        <v>0.46</v>
      </c>
      <c r="P9" s="359">
        <v>0.46</v>
      </c>
      <c r="Q9" s="359">
        <v>0.46</v>
      </c>
      <c r="R9" s="359">
        <v>0.46</v>
      </c>
      <c r="S9" s="359">
        <v>0.46</v>
      </c>
      <c r="T9" s="359">
        <v>0.46</v>
      </c>
      <c r="U9" s="359">
        <v>0.46</v>
      </c>
      <c r="V9" s="359">
        <v>0.46</v>
      </c>
      <c r="W9" s="359">
        <v>0.46</v>
      </c>
      <c r="X9" s="359">
        <v>0.46</v>
      </c>
      <c r="Y9" s="359">
        <v>0.46</v>
      </c>
      <c r="Z9" s="359">
        <v>0.46</v>
      </c>
      <c r="AA9" s="359">
        <v>0.46</v>
      </c>
      <c r="AB9" s="359">
        <v>0.46</v>
      </c>
      <c r="AC9" s="359">
        <v>0.46</v>
      </c>
      <c r="AD9" s="359">
        <v>0.46</v>
      </c>
      <c r="AE9" s="359">
        <v>0.46</v>
      </c>
      <c r="AF9" s="359">
        <v>0.46</v>
      </c>
      <c r="AG9" s="359">
        <v>0.46</v>
      </c>
      <c r="AH9" s="359">
        <v>0.46</v>
      </c>
      <c r="AI9" s="359">
        <v>0.46</v>
      </c>
      <c r="AJ9" s="359">
        <v>0.46</v>
      </c>
      <c r="AK9" s="359">
        <v>0.46</v>
      </c>
      <c r="AL9" s="359">
        <v>0.46</v>
      </c>
      <c r="AM9" s="359">
        <v>0.46</v>
      </c>
    </row>
    <row r="10" spans="1:39" x14ac:dyDescent="0.3">
      <c r="A10" s="18"/>
      <c r="B10" s="1137"/>
      <c r="C10" s="20" t="s">
        <v>334</v>
      </c>
      <c r="D10" s="20" t="s">
        <v>309</v>
      </c>
      <c r="E10" s="260">
        <f>E8*E9</f>
        <v>1850325.96</v>
      </c>
      <c r="F10" s="260">
        <f t="shared" ref="F10:AH10" si="1">F8*F9</f>
        <v>1879646.0999999999</v>
      </c>
      <c r="G10" s="260">
        <f t="shared" si="1"/>
        <v>1897815.92</v>
      </c>
      <c r="H10" s="260">
        <f t="shared" si="1"/>
        <v>1893829.05</v>
      </c>
      <c r="I10" s="260">
        <f t="shared" si="1"/>
        <v>1897408</v>
      </c>
      <c r="J10" s="260">
        <f t="shared" si="1"/>
        <v>1865634.4200000002</v>
      </c>
      <c r="K10" s="260">
        <f t="shared" si="1"/>
        <v>1827857.3800000001</v>
      </c>
      <c r="L10" s="260">
        <f t="shared" si="1"/>
        <v>1832195.6400000001</v>
      </c>
      <c r="M10" s="260">
        <f t="shared" si="1"/>
        <v>1836804.84</v>
      </c>
      <c r="N10" s="260">
        <f t="shared" si="1"/>
        <v>1840442.06</v>
      </c>
      <c r="O10" s="260">
        <f t="shared" si="1"/>
        <v>1843776.6</v>
      </c>
      <c r="P10" s="260">
        <f t="shared" si="1"/>
        <v>1846827.78</v>
      </c>
      <c r="Q10" s="260">
        <f t="shared" si="1"/>
        <v>1849016.4600000002</v>
      </c>
      <c r="R10" s="260">
        <f t="shared" si="1"/>
        <v>1851169.26</v>
      </c>
      <c r="S10" s="260">
        <f t="shared" si="1"/>
        <v>1853123.34</v>
      </c>
      <c r="T10" s="260">
        <f t="shared" si="1"/>
        <v>1854503.8</v>
      </c>
      <c r="U10" s="260">
        <f t="shared" si="1"/>
        <v>1855561.34</v>
      </c>
      <c r="V10" s="260">
        <f t="shared" si="1"/>
        <v>1856716.86</v>
      </c>
      <c r="W10" s="260">
        <f t="shared" si="1"/>
        <v>1866006.1</v>
      </c>
      <c r="X10" s="260">
        <f t="shared" si="1"/>
        <v>1875408.5</v>
      </c>
      <c r="Y10" s="260">
        <f t="shared" si="1"/>
        <v>1883924.02</v>
      </c>
      <c r="Z10" s="260">
        <f t="shared" si="1"/>
        <v>1892056.36</v>
      </c>
      <c r="AA10" s="260">
        <f t="shared" si="1"/>
        <v>1899840.9400000002</v>
      </c>
      <c r="AB10" s="260">
        <f t="shared" si="1"/>
        <v>1907304.4400000002</v>
      </c>
      <c r="AC10" s="260">
        <f t="shared" si="1"/>
        <v>1914359</v>
      </c>
      <c r="AD10" s="260">
        <f t="shared" si="1"/>
        <v>1921742.4600000002</v>
      </c>
      <c r="AE10" s="260">
        <f t="shared" si="1"/>
        <v>1927750.52</v>
      </c>
      <c r="AF10" s="260">
        <f t="shared" si="1"/>
        <v>1934318.4000000001</v>
      </c>
      <c r="AG10" s="260">
        <f t="shared" si="1"/>
        <v>1939893.1400000001</v>
      </c>
      <c r="AH10" s="260">
        <f t="shared" si="1"/>
        <v>1945580.58</v>
      </c>
      <c r="AI10" s="260">
        <f t="shared" ref="AI10:AM10" si="2">AI8*AI9</f>
        <v>1951024.6800000002</v>
      </c>
      <c r="AJ10" s="260">
        <f t="shared" si="2"/>
        <v>1955798.56</v>
      </c>
      <c r="AK10" s="260">
        <f t="shared" si="2"/>
        <v>1960687.4400000002</v>
      </c>
      <c r="AL10" s="260">
        <f t="shared" si="2"/>
        <v>1965472.82</v>
      </c>
      <c r="AM10" s="260">
        <f t="shared" si="2"/>
        <v>1960756.9000000001</v>
      </c>
    </row>
    <row r="11" spans="1:39" x14ac:dyDescent="0.3">
      <c r="A11" s="18"/>
      <c r="B11" s="1137"/>
      <c r="C11" s="20"/>
      <c r="D11" s="20" t="s">
        <v>317</v>
      </c>
      <c r="E11" s="360">
        <v>0.5</v>
      </c>
      <c r="F11" s="360">
        <v>0.5</v>
      </c>
      <c r="G11" s="360">
        <v>0.5</v>
      </c>
      <c r="H11" s="360">
        <v>0.5</v>
      </c>
      <c r="I11" s="360">
        <v>0.5</v>
      </c>
      <c r="J11" s="360">
        <v>0.5</v>
      </c>
      <c r="K11" s="360">
        <v>0.5</v>
      </c>
      <c r="L11" s="360">
        <v>0.5</v>
      </c>
      <c r="M11" s="360">
        <v>0.5</v>
      </c>
      <c r="N11" s="360">
        <v>0.5</v>
      </c>
      <c r="O11" s="360">
        <v>0.5</v>
      </c>
      <c r="P11" s="360">
        <v>0.5</v>
      </c>
      <c r="Q11" s="360">
        <v>0.5</v>
      </c>
      <c r="R11" s="360">
        <v>0.5</v>
      </c>
      <c r="S11" s="360">
        <v>0.5</v>
      </c>
      <c r="T11" s="360">
        <v>0.5</v>
      </c>
      <c r="U11" s="360">
        <v>0.5</v>
      </c>
      <c r="V11" s="360">
        <v>0.5</v>
      </c>
      <c r="W11" s="360">
        <v>0.5</v>
      </c>
      <c r="X11" s="360">
        <v>0.5</v>
      </c>
      <c r="Y11" s="360">
        <v>0.5</v>
      </c>
      <c r="Z11" s="360">
        <v>0.5</v>
      </c>
      <c r="AA11" s="360">
        <v>0.5</v>
      </c>
      <c r="AB11" s="360">
        <v>0.5</v>
      </c>
      <c r="AC11" s="360">
        <v>0.5</v>
      </c>
      <c r="AD11" s="360">
        <v>0.5</v>
      </c>
      <c r="AE11" s="360">
        <v>0.5</v>
      </c>
      <c r="AF11" s="360">
        <v>0.5</v>
      </c>
      <c r="AG11" s="360">
        <v>0.5</v>
      </c>
      <c r="AH11" s="360">
        <v>0.5</v>
      </c>
      <c r="AI11" s="360">
        <v>0.5</v>
      </c>
      <c r="AJ11" s="360">
        <v>0.5</v>
      </c>
      <c r="AK11" s="360">
        <v>0.5</v>
      </c>
      <c r="AL11" s="360">
        <v>0.5</v>
      </c>
      <c r="AM11" s="360">
        <v>0.5</v>
      </c>
    </row>
    <row r="12" spans="1:39" x14ac:dyDescent="0.3">
      <c r="A12" s="18"/>
      <c r="B12" s="1137"/>
      <c r="C12" s="20"/>
      <c r="D12" s="20" t="s">
        <v>311</v>
      </c>
      <c r="E12" s="360">
        <v>0.5</v>
      </c>
      <c r="F12" s="360">
        <v>0.5</v>
      </c>
      <c r="G12" s="360">
        <v>0.5</v>
      </c>
      <c r="H12" s="360">
        <v>0.5</v>
      </c>
      <c r="I12" s="360">
        <v>0.5</v>
      </c>
      <c r="J12" s="360">
        <v>0.5</v>
      </c>
      <c r="K12" s="360">
        <v>0.5</v>
      </c>
      <c r="L12" s="360">
        <v>0.5</v>
      </c>
      <c r="M12" s="360">
        <v>0.5</v>
      </c>
      <c r="N12" s="360">
        <v>0.5</v>
      </c>
      <c r="O12" s="360">
        <v>0.5</v>
      </c>
      <c r="P12" s="360">
        <v>0.5</v>
      </c>
      <c r="Q12" s="360">
        <v>0.5</v>
      </c>
      <c r="R12" s="360">
        <v>0.5</v>
      </c>
      <c r="S12" s="360">
        <v>0.5</v>
      </c>
      <c r="T12" s="360">
        <v>0.5</v>
      </c>
      <c r="U12" s="360">
        <v>0.5</v>
      </c>
      <c r="V12" s="360">
        <v>0.5</v>
      </c>
      <c r="W12" s="360">
        <v>0.5</v>
      </c>
      <c r="X12" s="360">
        <v>0.5</v>
      </c>
      <c r="Y12" s="360">
        <v>0.5</v>
      </c>
      <c r="Z12" s="360">
        <v>0.5</v>
      </c>
      <c r="AA12" s="360">
        <v>0.5</v>
      </c>
      <c r="AB12" s="360">
        <v>0.5</v>
      </c>
      <c r="AC12" s="360">
        <v>0.5</v>
      </c>
      <c r="AD12" s="360">
        <v>0.5</v>
      </c>
      <c r="AE12" s="360">
        <v>0.5</v>
      </c>
      <c r="AF12" s="360">
        <v>0.5</v>
      </c>
      <c r="AG12" s="360">
        <v>0.5</v>
      </c>
      <c r="AH12" s="360">
        <v>0.5</v>
      </c>
      <c r="AI12" s="360">
        <v>0.5</v>
      </c>
      <c r="AJ12" s="360">
        <v>0.5</v>
      </c>
      <c r="AK12" s="360">
        <v>0.5</v>
      </c>
      <c r="AL12" s="360">
        <v>0.5</v>
      </c>
      <c r="AM12" s="360">
        <v>0.5</v>
      </c>
    </row>
    <row r="13" spans="1:39" x14ac:dyDescent="0.3">
      <c r="A13" s="18"/>
      <c r="B13" s="1137"/>
      <c r="C13" s="20"/>
      <c r="D13" s="20" t="s">
        <v>312</v>
      </c>
      <c r="E13" s="262">
        <f>((1-$P$1)*E$10*(E$11*$N$2+E$12*$N$3))</f>
        <v>1129513.8469931073</v>
      </c>
      <c r="F13" s="262">
        <f>((1-$P$1)*F$10*(F$11*$N$2+F$12*$N$3))</f>
        <v>1147412.0470085121</v>
      </c>
      <c r="G13" s="262">
        <f t="shared" ref="G13:AM13" si="3">((1-$P$1)*G$10*(G$11*$N$2+G$12*$N$3))</f>
        <v>1158503.6404526059</v>
      </c>
      <c r="H13" s="262">
        <f t="shared" si="3"/>
        <v>1156069.8936596024</v>
      </c>
      <c r="I13" s="262">
        <f t="shared" si="3"/>
        <v>1158254.6295764546</v>
      </c>
      <c r="J13" s="262">
        <f t="shared" si="3"/>
        <v>1138858.7504965637</v>
      </c>
      <c r="K13" s="262">
        <f t="shared" si="3"/>
        <v>1115798.1164781053</v>
      </c>
      <c r="L13" s="262">
        <f t="shared" si="3"/>
        <v>1118446.3659475427</v>
      </c>
      <c r="M13" s="262">
        <f t="shared" si="3"/>
        <v>1121260.0081576756</v>
      </c>
      <c r="N13" s="262">
        <f t="shared" si="3"/>
        <v>1123480.3144406616</v>
      </c>
      <c r="O13" s="262">
        <f t="shared" si="3"/>
        <v>1125515.8526024634</v>
      </c>
      <c r="P13" s="262">
        <f t="shared" si="3"/>
        <v>1127378.4163529435</v>
      </c>
      <c r="Q13" s="262">
        <f t="shared" si="3"/>
        <v>1128714.475198833</v>
      </c>
      <c r="R13" s="262">
        <f t="shared" si="3"/>
        <v>1130028.6314406914</v>
      </c>
      <c r="S13" s="262">
        <f t="shared" si="3"/>
        <v>1131221.4809525323</v>
      </c>
      <c r="T13" s="262">
        <f t="shared" si="3"/>
        <v>1132064.1696024931</v>
      </c>
      <c r="U13" s="262">
        <f t="shared" si="3"/>
        <v>1132709.7348161754</v>
      </c>
      <c r="V13" s="262">
        <f t="shared" si="3"/>
        <v>1133415.110987019</v>
      </c>
      <c r="W13" s="262">
        <f t="shared" si="3"/>
        <v>1139085.6390101151</v>
      </c>
      <c r="X13" s="262">
        <f t="shared" si="3"/>
        <v>1144825.2444766934</v>
      </c>
      <c r="Y13" s="262">
        <f t="shared" si="3"/>
        <v>1150023.4625000448</v>
      </c>
      <c r="Z13" s="262">
        <f t="shared" si="3"/>
        <v>1154987.77194445</v>
      </c>
      <c r="AA13" s="262">
        <f t="shared" si="3"/>
        <v>1159739.7946113243</v>
      </c>
      <c r="AB13" s="262">
        <f t="shared" si="3"/>
        <v>1164295.8170523825</v>
      </c>
      <c r="AC13" s="262">
        <f t="shared" si="3"/>
        <v>1168602.2059680112</v>
      </c>
      <c r="AD13" s="262">
        <f t="shared" si="3"/>
        <v>1173109.3687539236</v>
      </c>
      <c r="AE13" s="262">
        <f t="shared" si="3"/>
        <v>1176776.9317186486</v>
      </c>
      <c r="AF13" s="262">
        <f t="shared" si="3"/>
        <v>1180786.2314667802</v>
      </c>
      <c r="AG13" s="262">
        <f t="shared" si="3"/>
        <v>1184189.2783674388</v>
      </c>
      <c r="AH13" s="262">
        <f t="shared" si="3"/>
        <v>1187661.1219089641</v>
      </c>
      <c r="AI13" s="262">
        <f t="shared" si="3"/>
        <v>1190984.4208667406</v>
      </c>
      <c r="AJ13" s="262">
        <f t="shared" si="3"/>
        <v>1193898.5904133236</v>
      </c>
      <c r="AK13" s="262">
        <f t="shared" si="3"/>
        <v>1196882.9606138517</v>
      </c>
      <c r="AL13" s="262">
        <f t="shared" si="3"/>
        <v>1199804.1502258289</v>
      </c>
      <c r="AM13" s="262">
        <f t="shared" si="3"/>
        <v>1196925.3618088348</v>
      </c>
    </row>
    <row r="14" spans="1:39" ht="15" customHeight="1" x14ac:dyDescent="0.3">
      <c r="A14" s="18"/>
      <c r="B14" s="1137" t="s">
        <v>4</v>
      </c>
      <c r="C14" s="20" t="s">
        <v>329</v>
      </c>
      <c r="D14" s="20" t="s">
        <v>308</v>
      </c>
      <c r="E14" s="260">
        <f>'Base Física'!F68</f>
        <v>0</v>
      </c>
      <c r="F14" s="260">
        <f>'Base Física'!G68</f>
        <v>606526</v>
      </c>
      <c r="G14" s="260">
        <f>'Base Física'!H68</f>
        <v>1229379</v>
      </c>
      <c r="H14" s="260">
        <f>'Base Física'!I68</f>
        <v>1867572</v>
      </c>
      <c r="I14" s="260">
        <f>'Base Física'!J68</f>
        <v>2521015</v>
      </c>
      <c r="J14" s="260">
        <f>'Base Física'!K68</f>
        <v>2710188</v>
      </c>
      <c r="K14" s="260">
        <f>'Base Física'!L68</f>
        <v>2902038</v>
      </c>
      <c r="L14" s="260">
        <f>'Base Física'!M68</f>
        <v>2998684</v>
      </c>
      <c r="M14" s="260">
        <f>'Base Física'!N68</f>
        <v>3096500</v>
      </c>
      <c r="N14" s="260">
        <f>'Base Física'!O68</f>
        <v>3194080</v>
      </c>
      <c r="O14" s="260">
        <f>'Base Física'!P68</f>
        <v>3291967</v>
      </c>
      <c r="P14" s="260">
        <f>'Base Física'!Q68</f>
        <v>3390282</v>
      </c>
      <c r="Q14" s="260">
        <f>'Base Física'!R68</f>
        <v>3419692</v>
      </c>
      <c r="R14" s="260">
        <f>'Base Física'!S68</f>
        <v>3448570</v>
      </c>
      <c r="S14" s="260">
        <f>'Base Física'!T68</f>
        <v>3476602</v>
      </c>
      <c r="T14" s="260">
        <f>'Base Física'!U68</f>
        <v>3503419</v>
      </c>
      <c r="U14" s="260">
        <f>'Base Física'!V68</f>
        <v>3529071</v>
      </c>
      <c r="V14" s="260">
        <f>'Base Física'!W68</f>
        <v>3554438</v>
      </c>
      <c r="W14" s="260">
        <f>'Base Física'!X68</f>
        <v>3578227</v>
      </c>
      <c r="X14" s="260">
        <f>'Base Física'!Y68</f>
        <v>3601963</v>
      </c>
      <c r="Y14" s="260">
        <f>'Base Física'!Z68</f>
        <v>3624271</v>
      </c>
      <c r="Z14" s="260">
        <f>'Base Física'!AA68</f>
        <v>3645596</v>
      </c>
      <c r="AA14" s="260">
        <f>'Base Física'!AB68</f>
        <v>3666106</v>
      </c>
      <c r="AB14" s="260">
        <f>'Base Física'!AC68</f>
        <v>3685903</v>
      </c>
      <c r="AC14" s="260">
        <f>'Base Física'!AD68</f>
        <v>3704930</v>
      </c>
      <c r="AD14" s="260">
        <f>'Base Física'!AE68</f>
        <v>3723924</v>
      </c>
      <c r="AE14" s="260">
        <f>'Base Física'!AF68</f>
        <v>3740778</v>
      </c>
      <c r="AF14" s="260">
        <f>'Base Física'!AG68</f>
        <v>3758258</v>
      </c>
      <c r="AG14" s="260">
        <f>'Base Física'!AH68</f>
        <v>3773842</v>
      </c>
      <c r="AH14" s="260">
        <f>'Base Física'!AI68</f>
        <v>3789428</v>
      </c>
      <c r="AI14" s="260">
        <f>'Base Física'!AJ68</f>
        <v>3804235</v>
      </c>
      <c r="AJ14" s="260">
        <f>'Base Física'!AK68</f>
        <v>3818028</v>
      </c>
      <c r="AK14" s="260">
        <f>'Base Física'!AL68</f>
        <v>3831667</v>
      </c>
      <c r="AL14" s="260">
        <f>'Base Física'!AM68</f>
        <v>3839331</v>
      </c>
      <c r="AM14" s="260">
        <f>'Base Física'!AN68</f>
        <v>3837780</v>
      </c>
    </row>
    <row r="15" spans="1:39" x14ac:dyDescent="0.3">
      <c r="A15" s="18"/>
      <c r="B15" s="1137"/>
      <c r="C15" s="20" t="s">
        <v>335</v>
      </c>
      <c r="D15" s="20" t="s">
        <v>310</v>
      </c>
      <c r="E15" s="359">
        <v>0.32</v>
      </c>
      <c r="F15" s="359">
        <v>0.36</v>
      </c>
      <c r="G15" s="359">
        <v>0.38</v>
      </c>
      <c r="H15" s="359">
        <v>0.4</v>
      </c>
      <c r="I15" s="359">
        <v>0.42</v>
      </c>
      <c r="J15" s="359">
        <v>0.44</v>
      </c>
      <c r="K15" s="359">
        <v>0.46</v>
      </c>
      <c r="L15" s="359">
        <v>0.48</v>
      </c>
      <c r="M15" s="359">
        <v>0.61399999999999999</v>
      </c>
      <c r="N15" s="359">
        <v>0.74727831901236863</v>
      </c>
      <c r="O15" s="359">
        <v>0.75727831901236897</v>
      </c>
      <c r="P15" s="359">
        <v>0.76727831901236898</v>
      </c>
      <c r="Q15" s="359">
        <v>0.77727831901236899</v>
      </c>
      <c r="R15" s="359">
        <v>0.787278319012369</v>
      </c>
      <c r="S15" s="359">
        <v>0.79727831901236901</v>
      </c>
      <c r="T15" s="359">
        <v>0.79727831901236901</v>
      </c>
      <c r="U15" s="359">
        <v>0.79727831901236901</v>
      </c>
      <c r="V15" s="359">
        <v>0.79727831901236901</v>
      </c>
      <c r="W15" s="359">
        <v>0.79727831901236901</v>
      </c>
      <c r="X15" s="359">
        <v>0.79727831901236901</v>
      </c>
      <c r="Y15" s="359">
        <v>0.79727831901236901</v>
      </c>
      <c r="Z15" s="359">
        <v>0.79727831901236901</v>
      </c>
      <c r="AA15" s="359">
        <v>0.79727831901236901</v>
      </c>
      <c r="AB15" s="359">
        <v>0.79727831901236901</v>
      </c>
      <c r="AC15" s="359">
        <v>0.79727831901236901</v>
      </c>
      <c r="AD15" s="359">
        <v>0.79727831901236901</v>
      </c>
      <c r="AE15" s="359">
        <v>0.79727831901236901</v>
      </c>
      <c r="AF15" s="359">
        <v>0.79727831901236901</v>
      </c>
      <c r="AG15" s="359">
        <v>0.79727831901236901</v>
      </c>
      <c r="AH15" s="359">
        <v>0.79727831901236901</v>
      </c>
      <c r="AI15" s="359">
        <v>0.79727831901236901</v>
      </c>
      <c r="AJ15" s="359">
        <v>0.79727831901236901</v>
      </c>
      <c r="AK15" s="359">
        <v>0.79727831901236901</v>
      </c>
      <c r="AL15" s="359">
        <v>0.79727831901236901</v>
      </c>
      <c r="AM15" s="359">
        <v>0.79727831901236901</v>
      </c>
    </row>
    <row r="16" spans="1:39" x14ac:dyDescent="0.3">
      <c r="A16" s="18"/>
      <c r="B16" s="1137"/>
      <c r="C16" s="20" t="s">
        <v>334</v>
      </c>
      <c r="D16" s="20" t="s">
        <v>309</v>
      </c>
      <c r="E16" s="260">
        <f>E14*E15</f>
        <v>0</v>
      </c>
      <c r="F16" s="260">
        <f t="shared" ref="F16:AH16" si="4">F14*F15</f>
        <v>218349.36</v>
      </c>
      <c r="G16" s="260">
        <f t="shared" si="4"/>
        <v>467164.02</v>
      </c>
      <c r="H16" s="260">
        <f t="shared" si="4"/>
        <v>747028.8</v>
      </c>
      <c r="I16" s="260">
        <f t="shared" si="4"/>
        <v>1058826.3</v>
      </c>
      <c r="J16" s="260">
        <f t="shared" si="4"/>
        <v>1192482.72</v>
      </c>
      <c r="K16" s="260">
        <f t="shared" si="4"/>
        <v>1334937.48</v>
      </c>
      <c r="L16" s="260">
        <f t="shared" si="4"/>
        <v>1439368.3199999998</v>
      </c>
      <c r="M16" s="260">
        <f t="shared" si="4"/>
        <v>1901251</v>
      </c>
      <c r="N16" s="260">
        <f t="shared" si="4"/>
        <v>2386866.7331910264</v>
      </c>
      <c r="O16" s="260">
        <f t="shared" si="4"/>
        <v>2492935.2360041915</v>
      </c>
      <c r="P16" s="260">
        <f t="shared" si="4"/>
        <v>2601289.8739378923</v>
      </c>
      <c r="Q16" s="260">
        <f t="shared" si="4"/>
        <v>2658052.4493000461</v>
      </c>
      <c r="R16" s="260">
        <f t="shared" si="4"/>
        <v>2714984.3925964856</v>
      </c>
      <c r="S16" s="260">
        <f t="shared" si="4"/>
        <v>2771819.3984350399</v>
      </c>
      <c r="T16" s="260">
        <f t="shared" si="4"/>
        <v>2793200.0111159948</v>
      </c>
      <c r="U16" s="260">
        <f t="shared" si="4"/>
        <v>2813651.7945552999</v>
      </c>
      <c r="V16" s="260">
        <f t="shared" si="4"/>
        <v>2833876.3536736867</v>
      </c>
      <c r="W16" s="260">
        <f t="shared" si="4"/>
        <v>2852842.8076046719</v>
      </c>
      <c r="X16" s="260">
        <f t="shared" si="4"/>
        <v>2871767.0057847495</v>
      </c>
      <c r="Y16" s="260">
        <f t="shared" si="4"/>
        <v>2889552.6905252775</v>
      </c>
      <c r="Z16" s="260">
        <f t="shared" si="4"/>
        <v>2906554.6506782165</v>
      </c>
      <c r="AA16" s="260">
        <f t="shared" si="4"/>
        <v>2922906.8290011599</v>
      </c>
      <c r="AB16" s="260">
        <f t="shared" si="4"/>
        <v>2938690.5478826482</v>
      </c>
      <c r="AC16" s="260">
        <f t="shared" si="4"/>
        <v>2953860.3624584964</v>
      </c>
      <c r="AD16" s="260">
        <f t="shared" si="4"/>
        <v>2969003.8668498173</v>
      </c>
      <c r="AE16" s="260">
        <f t="shared" si="4"/>
        <v>2982441.1956384517</v>
      </c>
      <c r="AF16" s="260">
        <f t="shared" si="4"/>
        <v>2996377.6206547879</v>
      </c>
      <c r="AG16" s="260">
        <f t="shared" si="4"/>
        <v>3008802.4059782769</v>
      </c>
      <c r="AH16" s="260">
        <f t="shared" si="4"/>
        <v>3021228.7858584034</v>
      </c>
      <c r="AI16" s="260">
        <f t="shared" ref="AI16:AM16" si="5">AI14*AI15</f>
        <v>3033034.0859280196</v>
      </c>
      <c r="AJ16" s="260">
        <f t="shared" si="5"/>
        <v>3044030.9457821571</v>
      </c>
      <c r="AK16" s="260">
        <f t="shared" si="5"/>
        <v>3054905.024775167</v>
      </c>
      <c r="AL16" s="260">
        <f t="shared" si="5"/>
        <v>3061015.3658120777</v>
      </c>
      <c r="AM16" s="260">
        <f t="shared" si="5"/>
        <v>3059778.7871392895</v>
      </c>
    </row>
    <row r="17" spans="1:41" x14ac:dyDescent="0.3">
      <c r="A17" s="18"/>
      <c r="B17" s="1137"/>
      <c r="C17" s="20"/>
      <c r="D17" s="20" t="s">
        <v>317</v>
      </c>
      <c r="E17" s="360">
        <v>1</v>
      </c>
      <c r="F17" s="360">
        <v>0.9</v>
      </c>
      <c r="G17" s="360">
        <v>0.8</v>
      </c>
      <c r="H17" s="360">
        <v>0.7</v>
      </c>
      <c r="I17" s="360">
        <v>0.6</v>
      </c>
      <c r="J17" s="360">
        <v>0.5</v>
      </c>
      <c r="K17" s="360">
        <v>0.4</v>
      </c>
      <c r="L17" s="360">
        <v>0.35</v>
      </c>
      <c r="M17" s="360">
        <v>0.3</v>
      </c>
      <c r="N17" s="360">
        <v>0.3</v>
      </c>
      <c r="O17" s="360">
        <v>0.3</v>
      </c>
      <c r="P17" s="360">
        <v>0.3</v>
      </c>
      <c r="Q17" s="360">
        <v>0.3</v>
      </c>
      <c r="R17" s="360">
        <v>0.3</v>
      </c>
      <c r="S17" s="360">
        <v>0.3</v>
      </c>
      <c r="T17" s="360">
        <v>0.3</v>
      </c>
      <c r="U17" s="360">
        <v>0.3</v>
      </c>
      <c r="V17" s="360">
        <v>0.3</v>
      </c>
      <c r="W17" s="360">
        <v>0.3</v>
      </c>
      <c r="X17" s="360">
        <v>0.3</v>
      </c>
      <c r="Y17" s="360">
        <v>0.3</v>
      </c>
      <c r="Z17" s="360">
        <v>0.3</v>
      </c>
      <c r="AA17" s="360">
        <v>0.3</v>
      </c>
      <c r="AB17" s="360">
        <v>0.3</v>
      </c>
      <c r="AC17" s="360">
        <v>0.3</v>
      </c>
      <c r="AD17" s="360">
        <v>0.3</v>
      </c>
      <c r="AE17" s="360">
        <v>0.3</v>
      </c>
      <c r="AF17" s="360">
        <v>0.3</v>
      </c>
      <c r="AG17" s="360">
        <v>0.3</v>
      </c>
      <c r="AH17" s="360">
        <v>0.3</v>
      </c>
      <c r="AI17" s="360">
        <v>0.3</v>
      </c>
      <c r="AJ17" s="360">
        <v>0.3</v>
      </c>
      <c r="AK17" s="360">
        <v>0.3</v>
      </c>
      <c r="AL17" s="360">
        <v>0.3</v>
      </c>
      <c r="AM17" s="360">
        <v>0.3</v>
      </c>
    </row>
    <row r="18" spans="1:41" x14ac:dyDescent="0.3">
      <c r="A18" s="18"/>
      <c r="B18" s="1137"/>
      <c r="C18" s="20"/>
      <c r="D18" s="20" t="s">
        <v>311</v>
      </c>
      <c r="E18" s="360">
        <v>0</v>
      </c>
      <c r="F18" s="360">
        <v>0</v>
      </c>
      <c r="G18" s="360">
        <v>0.2</v>
      </c>
      <c r="H18" s="360">
        <v>0.3</v>
      </c>
      <c r="I18" s="360">
        <v>0.4</v>
      </c>
      <c r="J18" s="360">
        <v>0.5</v>
      </c>
      <c r="K18" s="360">
        <v>0.6</v>
      </c>
      <c r="L18" s="360">
        <v>0.65</v>
      </c>
      <c r="M18" s="360">
        <v>0.7</v>
      </c>
      <c r="N18" s="360">
        <v>0.7</v>
      </c>
      <c r="O18" s="360">
        <v>0.7</v>
      </c>
      <c r="P18" s="360">
        <v>0.7</v>
      </c>
      <c r="Q18" s="360">
        <v>0.7</v>
      </c>
      <c r="R18" s="360">
        <v>0.7</v>
      </c>
      <c r="S18" s="360">
        <v>0.7</v>
      </c>
      <c r="T18" s="360">
        <v>0.7</v>
      </c>
      <c r="U18" s="360">
        <v>0.7</v>
      </c>
      <c r="V18" s="360">
        <v>0.7</v>
      </c>
      <c r="W18" s="360">
        <v>0.7</v>
      </c>
      <c r="X18" s="360">
        <v>0.7</v>
      </c>
      <c r="Y18" s="360">
        <v>0.7</v>
      </c>
      <c r="Z18" s="360">
        <v>0.7</v>
      </c>
      <c r="AA18" s="360">
        <v>0.7</v>
      </c>
      <c r="AB18" s="360">
        <v>0.7</v>
      </c>
      <c r="AC18" s="360">
        <v>0.7</v>
      </c>
      <c r="AD18" s="360">
        <v>0.7</v>
      </c>
      <c r="AE18" s="360">
        <v>0.7</v>
      </c>
      <c r="AF18" s="360">
        <v>0.7</v>
      </c>
      <c r="AG18" s="360">
        <v>0.7</v>
      </c>
      <c r="AH18" s="360">
        <v>0.7</v>
      </c>
      <c r="AI18" s="360">
        <v>0.7</v>
      </c>
      <c r="AJ18" s="360">
        <v>0.7</v>
      </c>
      <c r="AK18" s="360">
        <v>0.7</v>
      </c>
      <c r="AL18" s="360">
        <v>0.7</v>
      </c>
      <c r="AM18" s="360">
        <v>0.7</v>
      </c>
    </row>
    <row r="19" spans="1:41" x14ac:dyDescent="0.3">
      <c r="A19" s="18"/>
      <c r="B19" s="1137"/>
      <c r="C19" s="20"/>
      <c r="D19" s="20" t="s">
        <v>312</v>
      </c>
      <c r="E19" s="262">
        <f>(1-$P$1)*E$16*(E$17*$N$2+E$18*$N$3)</f>
        <v>0</v>
      </c>
      <c r="F19" s="262">
        <f t="shared" ref="F19:AM19" si="6">(1-$P$1)*F$16*(F$17*$N$2+F$18*$N$3)</f>
        <v>124406.78351026794</v>
      </c>
      <c r="G19" s="262">
        <f t="shared" si="6"/>
        <v>291517.98515491973</v>
      </c>
      <c r="H19" s="262">
        <f t="shared" si="6"/>
        <v>462777.65889298235</v>
      </c>
      <c r="I19" s="262">
        <f t="shared" si="6"/>
        <v>651141.92207443446</v>
      </c>
      <c r="J19" s="262">
        <f t="shared" si="6"/>
        <v>727939.71097935864</v>
      </c>
      <c r="K19" s="262">
        <f t="shared" si="6"/>
        <v>808858.87880230951</v>
      </c>
      <c r="L19" s="262">
        <f t="shared" si="6"/>
        <v>868878.32825089945</v>
      </c>
      <c r="M19" s="262">
        <f t="shared" si="6"/>
        <v>1143393.1181486323</v>
      </c>
      <c r="N19" s="262">
        <f t="shared" si="6"/>
        <v>1435437.5075508321</v>
      </c>
      <c r="O19" s="262">
        <f t="shared" si="6"/>
        <v>1499226.0321427465</v>
      </c>
      <c r="P19" s="262">
        <f t="shared" si="6"/>
        <v>1564389.4152693721</v>
      </c>
      <c r="Q19" s="262">
        <f t="shared" si="6"/>
        <v>1598525.8538761002</v>
      </c>
      <c r="R19" s="262">
        <f t="shared" si="6"/>
        <v>1632764.1486451635</v>
      </c>
      <c r="S19" s="262">
        <f t="shared" si="6"/>
        <v>1666944.1462076844</v>
      </c>
      <c r="T19" s="262">
        <f t="shared" si="6"/>
        <v>1679802.2303855261</v>
      </c>
      <c r="U19" s="262">
        <f t="shared" si="6"/>
        <v>1692101.7260535718</v>
      </c>
      <c r="V19" s="262">
        <f t="shared" si="6"/>
        <v>1704264.571313642</v>
      </c>
      <c r="W19" s="262">
        <f t="shared" si="6"/>
        <v>1715670.8048411307</v>
      </c>
      <c r="X19" s="262">
        <f t="shared" si="6"/>
        <v>1727051.626187487</v>
      </c>
      <c r="Y19" s="262">
        <f t="shared" si="6"/>
        <v>1737747.757068618</v>
      </c>
      <c r="Z19" s="262">
        <f t="shared" si="6"/>
        <v>1747972.5639110117</v>
      </c>
      <c r="AA19" s="262">
        <f t="shared" si="6"/>
        <v>1757806.598534106</v>
      </c>
      <c r="AB19" s="262">
        <f t="shared" si="6"/>
        <v>1767298.7673997036</v>
      </c>
      <c r="AC19" s="262">
        <f t="shared" si="6"/>
        <v>1776421.7404262084</v>
      </c>
      <c r="AD19" s="262">
        <f t="shared" si="6"/>
        <v>1785528.8907738954</v>
      </c>
      <c r="AE19" s="262">
        <f t="shared" si="6"/>
        <v>1793609.9643739748</v>
      </c>
      <c r="AF19" s="262">
        <f t="shared" si="6"/>
        <v>1801991.1893964855</v>
      </c>
      <c r="AG19" s="262">
        <f t="shared" si="6"/>
        <v>1809463.329599621</v>
      </c>
      <c r="AH19" s="262">
        <f t="shared" si="6"/>
        <v>1816936.4287529874</v>
      </c>
      <c r="AI19" s="262">
        <f t="shared" si="6"/>
        <v>1824036.0167912205</v>
      </c>
      <c r="AJ19" s="262">
        <f t="shared" si="6"/>
        <v>1830649.4170621296</v>
      </c>
      <c r="AK19" s="262">
        <f t="shared" si="6"/>
        <v>1837188.97816522</v>
      </c>
      <c r="AL19" s="262">
        <f t="shared" si="6"/>
        <v>1840863.6754519774</v>
      </c>
      <c r="AM19" s="262">
        <f t="shared" si="6"/>
        <v>1840120.0095475202</v>
      </c>
    </row>
    <row r="20" spans="1:41" x14ac:dyDescent="0.3">
      <c r="A20" s="18"/>
      <c r="B20" s="1138" t="s">
        <v>336</v>
      </c>
      <c r="C20" s="1138"/>
      <c r="D20" s="1138"/>
      <c r="E20" s="263">
        <f>(E10+E16)/(E8+E14)</f>
        <v>0.42</v>
      </c>
      <c r="F20" s="263">
        <f t="shared" ref="F20:AH20" si="7">(F10+F16)/(F8+F14)</f>
        <v>0.42147075934811307</v>
      </c>
      <c r="G20" s="263">
        <f t="shared" si="7"/>
        <v>0.42669166457528845</v>
      </c>
      <c r="H20" s="263">
        <f t="shared" si="7"/>
        <v>0.43463177169626277</v>
      </c>
      <c r="I20" s="263">
        <f t="shared" si="7"/>
        <v>0.44482645093190221</v>
      </c>
      <c r="J20" s="263">
        <f t="shared" si="7"/>
        <v>0.4519887021932732</v>
      </c>
      <c r="K20" s="263">
        <f t="shared" si="7"/>
        <v>0.46000000000000008</v>
      </c>
      <c r="L20" s="263">
        <f t="shared" si="7"/>
        <v>0.46859010346737007</v>
      </c>
      <c r="M20" s="263">
        <f t="shared" si="7"/>
        <v>0.5272624822379518</v>
      </c>
      <c r="N20" s="263">
        <f t="shared" si="7"/>
        <v>0.5875308831723165</v>
      </c>
      <c r="O20" s="263">
        <f t="shared" si="7"/>
        <v>0.59405571070457497</v>
      </c>
      <c r="P20" s="263">
        <f t="shared" si="7"/>
        <v>0.60068096810491278</v>
      </c>
      <c r="Q20" s="263">
        <f t="shared" si="7"/>
        <v>0.6058464035897021</v>
      </c>
      <c r="R20" s="263">
        <f t="shared" si="7"/>
        <v>0.61103234262217809</v>
      </c>
      <c r="S20" s="263">
        <f t="shared" si="7"/>
        <v>0.61623744321518703</v>
      </c>
      <c r="T20" s="263">
        <f t="shared" si="7"/>
        <v>0.61681954464668509</v>
      </c>
      <c r="U20" s="263">
        <f t="shared" si="7"/>
        <v>0.61738395781450239</v>
      </c>
      <c r="V20" s="263">
        <f t="shared" si="7"/>
        <v>0.61793304925274295</v>
      </c>
      <c r="W20" s="263">
        <f t="shared" si="7"/>
        <v>0.61807413349684925</v>
      </c>
      <c r="X20" s="263">
        <f t="shared" si="7"/>
        <v>0.61820729712686184</v>
      </c>
      <c r="Y20" s="263">
        <f t="shared" si="7"/>
        <v>0.61834538213831025</v>
      </c>
      <c r="Z20" s="263">
        <f t="shared" si="7"/>
        <v>0.61847637685989298</v>
      </c>
      <c r="AA20" s="263">
        <f t="shared" si="7"/>
        <v>0.61860276314293827</v>
      </c>
      <c r="AB20" s="263">
        <f t="shared" si="7"/>
        <v>0.61872583304097017</v>
      </c>
      <c r="AC20" s="263">
        <f t="shared" si="7"/>
        <v>0.6188482622001551</v>
      </c>
      <c r="AD20" s="263">
        <f t="shared" si="7"/>
        <v>0.61895449693573379</v>
      </c>
      <c r="AE20" s="263">
        <f t="shared" si="7"/>
        <v>0.61907167027316901</v>
      </c>
      <c r="AF20" s="263">
        <f t="shared" si="7"/>
        <v>0.61917763477579113</v>
      </c>
      <c r="AG20" s="263">
        <f t="shared" si="7"/>
        <v>0.6192835598416615</v>
      </c>
      <c r="AH20" s="263">
        <f t="shared" si="7"/>
        <v>0.61938392763073424</v>
      </c>
      <c r="AI20" s="263">
        <f t="shared" ref="AI20:AM20" si="8">(AI10+AI16)/(AI8+AI14)</f>
        <v>0.61947686962639292</v>
      </c>
      <c r="AJ20" s="263">
        <f t="shared" si="8"/>
        <v>0.61957567851825124</v>
      </c>
      <c r="AK20" s="263">
        <f t="shared" si="8"/>
        <v>0.6196655862542616</v>
      </c>
      <c r="AL20" s="263">
        <f t="shared" si="8"/>
        <v>0.61962863192876583</v>
      </c>
      <c r="AM20" s="263">
        <f t="shared" si="8"/>
        <v>0.61979664779360377</v>
      </c>
    </row>
    <row r="21" spans="1:41" x14ac:dyDescent="0.3">
      <c r="A21" s="18"/>
      <c r="B21" s="1138" t="s">
        <v>374</v>
      </c>
      <c r="C21" s="1138"/>
      <c r="D21" s="1138"/>
      <c r="E21" s="263">
        <f>E9+E15</f>
        <v>0.74</v>
      </c>
      <c r="F21" s="263">
        <f t="shared" ref="F21:AH21" si="9">F9+F15</f>
        <v>0.79</v>
      </c>
      <c r="G21" s="263">
        <f t="shared" si="9"/>
        <v>0.82000000000000006</v>
      </c>
      <c r="H21" s="263">
        <f t="shared" si="9"/>
        <v>0.85000000000000009</v>
      </c>
      <c r="I21" s="263">
        <f t="shared" si="9"/>
        <v>0.88</v>
      </c>
      <c r="J21" s="263">
        <f t="shared" si="9"/>
        <v>0.9</v>
      </c>
      <c r="K21" s="263">
        <f t="shared" si="9"/>
        <v>0.92</v>
      </c>
      <c r="L21" s="263">
        <f t="shared" si="9"/>
        <v>0.94</v>
      </c>
      <c r="M21" s="263">
        <f t="shared" si="9"/>
        <v>1.0740000000000001</v>
      </c>
      <c r="N21" s="263">
        <f t="shared" si="9"/>
        <v>1.2072783190123686</v>
      </c>
      <c r="O21" s="263">
        <f t="shared" si="9"/>
        <v>1.217278319012369</v>
      </c>
      <c r="P21" s="263">
        <f t="shared" si="9"/>
        <v>1.2272783190123691</v>
      </c>
      <c r="Q21" s="263">
        <f t="shared" si="9"/>
        <v>1.2372783190123691</v>
      </c>
      <c r="R21" s="263">
        <f t="shared" si="9"/>
        <v>1.2472783190123691</v>
      </c>
      <c r="S21" s="263">
        <f t="shared" si="9"/>
        <v>1.2572783190123691</v>
      </c>
      <c r="T21" s="263">
        <f t="shared" si="9"/>
        <v>1.2572783190123691</v>
      </c>
      <c r="U21" s="263">
        <f t="shared" si="9"/>
        <v>1.2572783190123691</v>
      </c>
      <c r="V21" s="263">
        <f t="shared" si="9"/>
        <v>1.2572783190123691</v>
      </c>
      <c r="W21" s="263">
        <f t="shared" si="9"/>
        <v>1.2572783190123691</v>
      </c>
      <c r="X21" s="263">
        <f t="shared" si="9"/>
        <v>1.2572783190123691</v>
      </c>
      <c r="Y21" s="263">
        <f t="shared" si="9"/>
        <v>1.2572783190123691</v>
      </c>
      <c r="Z21" s="263">
        <f t="shared" si="9"/>
        <v>1.2572783190123691</v>
      </c>
      <c r="AA21" s="263">
        <f t="shared" si="9"/>
        <v>1.2572783190123691</v>
      </c>
      <c r="AB21" s="263">
        <f t="shared" si="9"/>
        <v>1.2572783190123691</v>
      </c>
      <c r="AC21" s="263">
        <f t="shared" si="9"/>
        <v>1.2572783190123691</v>
      </c>
      <c r="AD21" s="263">
        <f t="shared" si="9"/>
        <v>1.2572783190123691</v>
      </c>
      <c r="AE21" s="263">
        <f t="shared" si="9"/>
        <v>1.2572783190123691</v>
      </c>
      <c r="AF21" s="263">
        <f t="shared" si="9"/>
        <v>1.2572783190123691</v>
      </c>
      <c r="AG21" s="263">
        <f t="shared" si="9"/>
        <v>1.2572783190123691</v>
      </c>
      <c r="AH21" s="263">
        <f t="shared" si="9"/>
        <v>1.2572783190123691</v>
      </c>
      <c r="AI21" s="263">
        <f t="shared" ref="AI21:AM21" si="10">AI9+AI15</f>
        <v>1.2572783190123691</v>
      </c>
      <c r="AJ21" s="263">
        <f t="shared" si="10"/>
        <v>1.2572783190123691</v>
      </c>
      <c r="AK21" s="263">
        <f t="shared" si="10"/>
        <v>1.2572783190123691</v>
      </c>
      <c r="AL21" s="263">
        <f t="shared" si="10"/>
        <v>1.2572783190123691</v>
      </c>
      <c r="AM21" s="263">
        <f t="shared" si="10"/>
        <v>1.2572783190123691</v>
      </c>
    </row>
    <row r="22" spans="1:41" s="46" customFormat="1" x14ac:dyDescent="0.3">
      <c r="A22" s="56"/>
      <c r="B22" s="1138" t="s">
        <v>337</v>
      </c>
      <c r="C22" s="1138"/>
      <c r="D22" s="1138"/>
      <c r="E22" s="264">
        <f>E13+E19</f>
        <v>1129513.8469931073</v>
      </c>
      <c r="F22" s="264">
        <f t="shared" ref="F22:AH22" si="11">F13+F19</f>
        <v>1271818.83051878</v>
      </c>
      <c r="G22" s="264">
        <f t="shared" si="11"/>
        <v>1450021.6256075257</v>
      </c>
      <c r="H22" s="264">
        <f t="shared" si="11"/>
        <v>1618847.5525525848</v>
      </c>
      <c r="I22" s="264">
        <f t="shared" si="11"/>
        <v>1809396.5516508892</v>
      </c>
      <c r="J22" s="264">
        <f t="shared" si="11"/>
        <v>1866798.4614759223</v>
      </c>
      <c r="K22" s="264">
        <f t="shared" si="11"/>
        <v>1924656.9952804148</v>
      </c>
      <c r="L22" s="264">
        <f t="shared" si="11"/>
        <v>1987324.6941984422</v>
      </c>
      <c r="M22" s="264">
        <f t="shared" si="11"/>
        <v>2264653.126306308</v>
      </c>
      <c r="N22" s="264">
        <f t="shared" si="11"/>
        <v>2558917.8219914939</v>
      </c>
      <c r="O22" s="264">
        <f t="shared" si="11"/>
        <v>2624741.8847452099</v>
      </c>
      <c r="P22" s="264">
        <f t="shared" si="11"/>
        <v>2691767.8316223156</v>
      </c>
      <c r="Q22" s="264">
        <f t="shared" si="11"/>
        <v>2727240.3290749332</v>
      </c>
      <c r="R22" s="264">
        <f t="shared" si="11"/>
        <v>2762792.7800858552</v>
      </c>
      <c r="S22" s="264">
        <f t="shared" si="11"/>
        <v>2798165.6271602167</v>
      </c>
      <c r="T22" s="264">
        <f t="shared" si="11"/>
        <v>2811866.3999880189</v>
      </c>
      <c r="U22" s="264">
        <f t="shared" si="11"/>
        <v>2824811.4608697472</v>
      </c>
      <c r="V22" s="264">
        <f t="shared" si="11"/>
        <v>2837679.6823006608</v>
      </c>
      <c r="W22" s="264">
        <f t="shared" si="11"/>
        <v>2854756.4438512456</v>
      </c>
      <c r="X22" s="264">
        <f t="shared" si="11"/>
        <v>2871876.8706641803</v>
      </c>
      <c r="Y22" s="264">
        <f t="shared" si="11"/>
        <v>2887771.2195686628</v>
      </c>
      <c r="Z22" s="264">
        <f t="shared" si="11"/>
        <v>2902960.3358554617</v>
      </c>
      <c r="AA22" s="264">
        <f t="shared" si="11"/>
        <v>2917546.3931454304</v>
      </c>
      <c r="AB22" s="264">
        <f t="shared" si="11"/>
        <v>2931594.5844520861</v>
      </c>
      <c r="AC22" s="264">
        <f t="shared" si="11"/>
        <v>2945023.9463942195</v>
      </c>
      <c r="AD22" s="264">
        <f t="shared" si="11"/>
        <v>2958638.2595278192</v>
      </c>
      <c r="AE22" s="264">
        <f t="shared" si="11"/>
        <v>2970386.8960926235</v>
      </c>
      <c r="AF22" s="264">
        <f t="shared" si="11"/>
        <v>2982777.4208632656</v>
      </c>
      <c r="AG22" s="264">
        <f t="shared" si="11"/>
        <v>2993652.6079670601</v>
      </c>
      <c r="AH22" s="264">
        <f t="shared" si="11"/>
        <v>3004597.5506619513</v>
      </c>
      <c r="AI22" s="264">
        <f t="shared" ref="AI22:AM22" si="12">AI13+AI19</f>
        <v>3015020.4376579612</v>
      </c>
      <c r="AJ22" s="264">
        <f t="shared" si="12"/>
        <v>3024548.0074754534</v>
      </c>
      <c r="AK22" s="264">
        <f t="shared" si="12"/>
        <v>3034071.9387790719</v>
      </c>
      <c r="AL22" s="264">
        <f t="shared" si="12"/>
        <v>3040667.8256778065</v>
      </c>
      <c r="AM22" s="264">
        <f t="shared" si="12"/>
        <v>3037045.371356355</v>
      </c>
    </row>
    <row r="23" spans="1:41" x14ac:dyDescent="0.3">
      <c r="A23" s="18"/>
      <c r="B23" s="18"/>
      <c r="C23" s="18"/>
      <c r="D23" s="18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</row>
    <row r="24" spans="1:41" x14ac:dyDescent="0.3">
      <c r="A24" s="18"/>
      <c r="B24" s="18"/>
      <c r="C24" s="1106" t="s">
        <v>3</v>
      </c>
      <c r="D24" s="20" t="s">
        <v>469</v>
      </c>
      <c r="E24" s="265">
        <f t="shared" ref="E24:AM24" si="13">E10/365</f>
        <v>5069.3861917808217</v>
      </c>
      <c r="F24" s="265">
        <f t="shared" si="13"/>
        <v>5149.7153424657527</v>
      </c>
      <c r="G24" s="265">
        <f t="shared" si="13"/>
        <v>5199.4956712328767</v>
      </c>
      <c r="H24" s="265">
        <f t="shared" si="13"/>
        <v>5188.572739726028</v>
      </c>
      <c r="I24" s="265">
        <f t="shared" si="13"/>
        <v>5198.3780821917808</v>
      </c>
      <c r="J24" s="265">
        <f t="shared" si="13"/>
        <v>5111.3271780821924</v>
      </c>
      <c r="K24" s="265">
        <f t="shared" si="13"/>
        <v>5007.828438356165</v>
      </c>
      <c r="L24" s="265">
        <f t="shared" si="13"/>
        <v>5019.714082191781</v>
      </c>
      <c r="M24" s="265">
        <f t="shared" si="13"/>
        <v>5032.3420273972606</v>
      </c>
      <c r="N24" s="265">
        <f t="shared" si="13"/>
        <v>5042.3070136986307</v>
      </c>
      <c r="O24" s="265">
        <f t="shared" si="13"/>
        <v>5051.4427397260279</v>
      </c>
      <c r="P24" s="265">
        <f t="shared" si="13"/>
        <v>5059.8021369863018</v>
      </c>
      <c r="Q24" s="265">
        <f t="shared" si="13"/>
        <v>5065.7985205479454</v>
      </c>
      <c r="R24" s="265">
        <f t="shared" si="13"/>
        <v>5071.6966027397257</v>
      </c>
      <c r="S24" s="265">
        <f t="shared" si="13"/>
        <v>5077.0502465753425</v>
      </c>
      <c r="T24" s="265">
        <f t="shared" si="13"/>
        <v>5080.8323287671237</v>
      </c>
      <c r="U24" s="265">
        <f t="shared" si="13"/>
        <v>5083.7296986301371</v>
      </c>
      <c r="V24" s="265">
        <f t="shared" si="13"/>
        <v>5086.8955068493151</v>
      </c>
      <c r="W24" s="265">
        <f t="shared" si="13"/>
        <v>5112.3454794520549</v>
      </c>
      <c r="X24" s="265">
        <f t="shared" si="13"/>
        <v>5138.1054794520551</v>
      </c>
      <c r="Y24" s="265">
        <f t="shared" si="13"/>
        <v>5161.4356712328772</v>
      </c>
      <c r="Z24" s="265">
        <f t="shared" si="13"/>
        <v>5183.7160547945205</v>
      </c>
      <c r="AA24" s="265">
        <f t="shared" si="13"/>
        <v>5205.0436712328774</v>
      </c>
      <c r="AB24" s="265">
        <f t="shared" si="13"/>
        <v>5225.4916164383567</v>
      </c>
      <c r="AC24" s="265">
        <f t="shared" si="13"/>
        <v>5244.8191780821917</v>
      </c>
      <c r="AD24" s="265">
        <f t="shared" si="13"/>
        <v>5265.0478356164385</v>
      </c>
      <c r="AE24" s="265">
        <f t="shared" si="13"/>
        <v>5281.5082739726031</v>
      </c>
      <c r="AF24" s="265">
        <f t="shared" si="13"/>
        <v>5299.502465753425</v>
      </c>
      <c r="AG24" s="265">
        <f t="shared" si="13"/>
        <v>5314.7757260273975</v>
      </c>
      <c r="AH24" s="265">
        <f t="shared" si="13"/>
        <v>5330.3577534246579</v>
      </c>
      <c r="AI24" s="265">
        <f t="shared" si="13"/>
        <v>5345.2730958904112</v>
      </c>
      <c r="AJ24" s="265">
        <f t="shared" si="13"/>
        <v>5358.3522191780821</v>
      </c>
      <c r="AK24" s="265">
        <f t="shared" si="13"/>
        <v>5371.7464109589046</v>
      </c>
      <c r="AL24" s="265">
        <f t="shared" si="13"/>
        <v>5384.857041095891</v>
      </c>
      <c r="AM24" s="265">
        <f t="shared" si="13"/>
        <v>5371.9367123287675</v>
      </c>
    </row>
    <row r="25" spans="1:41" x14ac:dyDescent="0.3">
      <c r="A25" s="18"/>
      <c r="B25" s="18"/>
      <c r="C25" s="1106"/>
      <c r="D25" s="20" t="s">
        <v>470</v>
      </c>
      <c r="E25" s="265">
        <f>ROUND(E24/(0.735*24),2)</f>
        <v>287.38</v>
      </c>
      <c r="F25" s="265">
        <f t="shared" ref="F25:AH25" si="14">ROUND(F24/(0.735*24),2)</f>
        <v>291.93</v>
      </c>
      <c r="G25" s="265">
        <f t="shared" si="14"/>
        <v>294.76</v>
      </c>
      <c r="H25" s="265">
        <f t="shared" si="14"/>
        <v>294.14</v>
      </c>
      <c r="I25" s="265">
        <f t="shared" si="14"/>
        <v>294.69</v>
      </c>
      <c r="J25" s="265">
        <f t="shared" si="14"/>
        <v>289.76</v>
      </c>
      <c r="K25" s="265">
        <f t="shared" si="14"/>
        <v>283.89</v>
      </c>
      <c r="L25" s="265">
        <f t="shared" si="14"/>
        <v>284.56</v>
      </c>
      <c r="M25" s="265">
        <f t="shared" si="14"/>
        <v>285.27999999999997</v>
      </c>
      <c r="N25" s="265">
        <f t="shared" si="14"/>
        <v>285.85000000000002</v>
      </c>
      <c r="O25" s="265">
        <f t="shared" si="14"/>
        <v>286.36</v>
      </c>
      <c r="P25" s="265">
        <f t="shared" si="14"/>
        <v>286.83999999999997</v>
      </c>
      <c r="Q25" s="265">
        <f t="shared" si="14"/>
        <v>287.18</v>
      </c>
      <c r="R25" s="265">
        <f t="shared" si="14"/>
        <v>287.51</v>
      </c>
      <c r="S25" s="265">
        <f t="shared" si="14"/>
        <v>287.81</v>
      </c>
      <c r="T25" s="265">
        <f t="shared" si="14"/>
        <v>288.02999999999997</v>
      </c>
      <c r="U25" s="265">
        <f t="shared" si="14"/>
        <v>288.19</v>
      </c>
      <c r="V25" s="265">
        <f t="shared" si="14"/>
        <v>288.37</v>
      </c>
      <c r="W25" s="265">
        <f t="shared" si="14"/>
        <v>289.82</v>
      </c>
      <c r="X25" s="265">
        <f t="shared" si="14"/>
        <v>291.27999999999997</v>
      </c>
      <c r="Y25" s="265">
        <f t="shared" si="14"/>
        <v>292.60000000000002</v>
      </c>
      <c r="Z25" s="265">
        <f t="shared" si="14"/>
        <v>293.86</v>
      </c>
      <c r="AA25" s="265">
        <f t="shared" si="14"/>
        <v>295.07</v>
      </c>
      <c r="AB25" s="265">
        <f t="shared" si="14"/>
        <v>296.23</v>
      </c>
      <c r="AC25" s="265">
        <f t="shared" si="14"/>
        <v>297.33</v>
      </c>
      <c r="AD25" s="265">
        <f t="shared" si="14"/>
        <v>298.47000000000003</v>
      </c>
      <c r="AE25" s="265">
        <f t="shared" si="14"/>
        <v>299.41000000000003</v>
      </c>
      <c r="AF25" s="265">
        <f t="shared" si="14"/>
        <v>300.43</v>
      </c>
      <c r="AG25" s="265">
        <f t="shared" si="14"/>
        <v>301.29000000000002</v>
      </c>
      <c r="AH25" s="265">
        <f t="shared" si="14"/>
        <v>302.17</v>
      </c>
      <c r="AI25" s="265">
        <f t="shared" ref="AI25:AM25" si="15">ROUND(AI24/(0.735*24),2)</f>
        <v>303.02</v>
      </c>
      <c r="AJ25" s="265">
        <f t="shared" si="15"/>
        <v>303.76</v>
      </c>
      <c r="AK25" s="265">
        <f t="shared" si="15"/>
        <v>304.52</v>
      </c>
      <c r="AL25" s="265">
        <f t="shared" si="15"/>
        <v>305.26</v>
      </c>
      <c r="AM25" s="265">
        <f t="shared" si="15"/>
        <v>304.52999999999997</v>
      </c>
    </row>
    <row r="26" spans="1:41" x14ac:dyDescent="0.3">
      <c r="A26" s="18"/>
      <c r="B26" s="18"/>
      <c r="C26" s="1106"/>
      <c r="D26" s="20" t="s">
        <v>471</v>
      </c>
      <c r="E26" s="265">
        <f t="shared" ref="E26:AM26" si="16">E25/0.8</f>
        <v>359.22499999999997</v>
      </c>
      <c r="F26" s="265">
        <f t="shared" si="16"/>
        <v>364.91249999999997</v>
      </c>
      <c r="G26" s="265">
        <f t="shared" si="16"/>
        <v>368.45</v>
      </c>
      <c r="H26" s="265">
        <f t="shared" si="16"/>
        <v>367.67499999999995</v>
      </c>
      <c r="I26" s="265">
        <f t="shared" si="16"/>
        <v>368.36249999999995</v>
      </c>
      <c r="J26" s="265">
        <f t="shared" si="16"/>
        <v>362.2</v>
      </c>
      <c r="K26" s="265">
        <f t="shared" si="16"/>
        <v>354.86249999999995</v>
      </c>
      <c r="L26" s="265">
        <f t="shared" si="16"/>
        <v>355.7</v>
      </c>
      <c r="M26" s="265">
        <f t="shared" si="16"/>
        <v>356.59999999999997</v>
      </c>
      <c r="N26" s="265">
        <f t="shared" si="16"/>
        <v>357.3125</v>
      </c>
      <c r="O26" s="265">
        <f t="shared" si="16"/>
        <v>357.95</v>
      </c>
      <c r="P26" s="265">
        <f t="shared" si="16"/>
        <v>358.54999999999995</v>
      </c>
      <c r="Q26" s="265">
        <f t="shared" si="16"/>
        <v>358.97499999999997</v>
      </c>
      <c r="R26" s="265">
        <f t="shared" si="16"/>
        <v>359.38749999999999</v>
      </c>
      <c r="S26" s="265">
        <f t="shared" si="16"/>
        <v>359.76249999999999</v>
      </c>
      <c r="T26" s="265">
        <f t="shared" si="16"/>
        <v>360.03749999999997</v>
      </c>
      <c r="U26" s="265">
        <f t="shared" si="16"/>
        <v>360.23749999999995</v>
      </c>
      <c r="V26" s="265">
        <f t="shared" si="16"/>
        <v>360.46249999999998</v>
      </c>
      <c r="W26" s="265">
        <f t="shared" si="16"/>
        <v>362.27499999999998</v>
      </c>
      <c r="X26" s="265">
        <f t="shared" si="16"/>
        <v>364.09999999999997</v>
      </c>
      <c r="Y26" s="265">
        <f t="shared" si="16"/>
        <v>365.75</v>
      </c>
      <c r="Z26" s="265">
        <f t="shared" si="16"/>
        <v>367.32499999999999</v>
      </c>
      <c r="AA26" s="265">
        <f t="shared" si="16"/>
        <v>368.83749999999998</v>
      </c>
      <c r="AB26" s="265">
        <f t="shared" si="16"/>
        <v>370.28750000000002</v>
      </c>
      <c r="AC26" s="265">
        <f t="shared" si="16"/>
        <v>371.66249999999997</v>
      </c>
      <c r="AD26" s="265">
        <f t="shared" si="16"/>
        <v>373.08750000000003</v>
      </c>
      <c r="AE26" s="265">
        <f t="shared" si="16"/>
        <v>374.26249999999999</v>
      </c>
      <c r="AF26" s="265">
        <f t="shared" si="16"/>
        <v>375.53749999999997</v>
      </c>
      <c r="AG26" s="265">
        <f t="shared" si="16"/>
        <v>376.61250000000001</v>
      </c>
      <c r="AH26" s="265">
        <f t="shared" si="16"/>
        <v>377.71249999999998</v>
      </c>
      <c r="AI26" s="265">
        <f t="shared" si="16"/>
        <v>378.77499999999998</v>
      </c>
      <c r="AJ26" s="265">
        <f t="shared" si="16"/>
        <v>379.7</v>
      </c>
      <c r="AK26" s="265">
        <f t="shared" si="16"/>
        <v>380.65</v>
      </c>
      <c r="AL26" s="265">
        <f t="shared" si="16"/>
        <v>381.57499999999999</v>
      </c>
      <c r="AM26" s="265">
        <f t="shared" si="16"/>
        <v>380.66249999999997</v>
      </c>
    </row>
    <row r="27" spans="1:41" x14ac:dyDescent="0.3">
      <c r="C27" s="1106" t="s">
        <v>4</v>
      </c>
      <c r="D27" s="20" t="s">
        <v>469</v>
      </c>
      <c r="E27" s="265">
        <f t="shared" ref="E27:AM27" si="17">E16/365</f>
        <v>0</v>
      </c>
      <c r="F27" s="265">
        <f t="shared" si="17"/>
        <v>598.21742465753425</v>
      </c>
      <c r="G27" s="265">
        <f t="shared" si="17"/>
        <v>1279.9014246575343</v>
      </c>
      <c r="H27" s="265">
        <f t="shared" si="17"/>
        <v>2046.6542465753425</v>
      </c>
      <c r="I27" s="265">
        <f t="shared" si="17"/>
        <v>2900.8939726027397</v>
      </c>
      <c r="J27" s="265">
        <f t="shared" si="17"/>
        <v>3267.0759452054795</v>
      </c>
      <c r="K27" s="265">
        <f t="shared" si="17"/>
        <v>3657.3629589041097</v>
      </c>
      <c r="L27" s="265">
        <f t="shared" si="17"/>
        <v>3943.4748493150682</v>
      </c>
      <c r="M27" s="265">
        <f t="shared" si="17"/>
        <v>5208.9068493150689</v>
      </c>
      <c r="N27" s="265">
        <f t="shared" si="17"/>
        <v>6539.3609128521266</v>
      </c>
      <c r="O27" s="265">
        <f t="shared" si="17"/>
        <v>6829.9595506964151</v>
      </c>
      <c r="P27" s="265">
        <f t="shared" si="17"/>
        <v>7126.8215724325819</v>
      </c>
      <c r="Q27" s="265">
        <f t="shared" si="17"/>
        <v>7282.3354775343732</v>
      </c>
      <c r="R27" s="265">
        <f t="shared" si="17"/>
        <v>7438.3134043739328</v>
      </c>
      <c r="S27" s="265">
        <f t="shared" si="17"/>
        <v>7594.0257491370958</v>
      </c>
      <c r="T27" s="265">
        <f t="shared" si="17"/>
        <v>7652.602770180808</v>
      </c>
      <c r="U27" s="265">
        <f t="shared" si="17"/>
        <v>7708.635053576164</v>
      </c>
      <c r="V27" s="265">
        <f t="shared" si="17"/>
        <v>7764.0448045854428</v>
      </c>
      <c r="W27" s="265">
        <f t="shared" si="17"/>
        <v>7816.0076920675947</v>
      </c>
      <c r="X27" s="265">
        <f t="shared" si="17"/>
        <v>7867.8548103691764</v>
      </c>
      <c r="Y27" s="265">
        <f t="shared" si="17"/>
        <v>7916.5827137678834</v>
      </c>
      <c r="Z27" s="265">
        <f t="shared" si="17"/>
        <v>7963.1634265156617</v>
      </c>
      <c r="AA27" s="265">
        <f t="shared" si="17"/>
        <v>8007.9639150716712</v>
      </c>
      <c r="AB27" s="265">
        <f t="shared" si="17"/>
        <v>8051.2069805004057</v>
      </c>
      <c r="AC27" s="265">
        <f t="shared" si="17"/>
        <v>8092.768116324648</v>
      </c>
      <c r="AD27" s="265">
        <f t="shared" si="17"/>
        <v>8134.2571694515545</v>
      </c>
      <c r="AE27" s="265">
        <f t="shared" si="17"/>
        <v>8171.0717688724708</v>
      </c>
      <c r="AF27" s="265">
        <f t="shared" si="17"/>
        <v>8209.2537552185968</v>
      </c>
      <c r="AG27" s="265">
        <f t="shared" si="17"/>
        <v>8243.2942629541831</v>
      </c>
      <c r="AH27" s="265">
        <f t="shared" si="17"/>
        <v>8277.3391393380916</v>
      </c>
      <c r="AI27" s="265">
        <f t="shared" si="17"/>
        <v>8309.682427200054</v>
      </c>
      <c r="AJ27" s="265">
        <f t="shared" si="17"/>
        <v>8339.8108103620743</v>
      </c>
      <c r="AK27" s="265">
        <f t="shared" si="17"/>
        <v>8369.602807603198</v>
      </c>
      <c r="AL27" s="265">
        <f t="shared" si="17"/>
        <v>8386.3434679782949</v>
      </c>
      <c r="AM27" s="265">
        <f t="shared" si="17"/>
        <v>8382.9555812035323</v>
      </c>
    </row>
    <row r="28" spans="1:41" x14ac:dyDescent="0.3">
      <c r="C28" s="1106"/>
      <c r="D28" s="20" t="s">
        <v>470</v>
      </c>
      <c r="E28" s="265">
        <f>ROUND(E27/(0.735*24),2)</f>
        <v>0</v>
      </c>
      <c r="F28" s="265">
        <f t="shared" ref="F28:AH28" si="18">ROUND(F27/(0.735*24),2)</f>
        <v>33.909999999999997</v>
      </c>
      <c r="G28" s="265">
        <f t="shared" si="18"/>
        <v>72.56</v>
      </c>
      <c r="H28" s="265">
        <f t="shared" si="18"/>
        <v>116.02</v>
      </c>
      <c r="I28" s="265">
        <f t="shared" si="18"/>
        <v>164.45</v>
      </c>
      <c r="J28" s="265">
        <f t="shared" si="18"/>
        <v>185.21</v>
      </c>
      <c r="K28" s="265">
        <f t="shared" si="18"/>
        <v>207.33</v>
      </c>
      <c r="L28" s="265">
        <f t="shared" si="18"/>
        <v>223.55</v>
      </c>
      <c r="M28" s="265">
        <f t="shared" si="18"/>
        <v>295.29000000000002</v>
      </c>
      <c r="N28" s="265">
        <f t="shared" si="18"/>
        <v>370.71</v>
      </c>
      <c r="O28" s="265">
        <f t="shared" si="18"/>
        <v>387.19</v>
      </c>
      <c r="P28" s="265">
        <f t="shared" si="18"/>
        <v>404.01</v>
      </c>
      <c r="Q28" s="265">
        <f t="shared" si="18"/>
        <v>412.83</v>
      </c>
      <c r="R28" s="265">
        <f t="shared" si="18"/>
        <v>421.67</v>
      </c>
      <c r="S28" s="265">
        <f t="shared" si="18"/>
        <v>430.5</v>
      </c>
      <c r="T28" s="265">
        <f t="shared" si="18"/>
        <v>433.82</v>
      </c>
      <c r="U28" s="265">
        <f t="shared" si="18"/>
        <v>437</v>
      </c>
      <c r="V28" s="265">
        <f t="shared" si="18"/>
        <v>440.14</v>
      </c>
      <c r="W28" s="265">
        <f t="shared" si="18"/>
        <v>443.08</v>
      </c>
      <c r="X28" s="265">
        <f t="shared" si="18"/>
        <v>446.02</v>
      </c>
      <c r="Y28" s="265">
        <f t="shared" si="18"/>
        <v>448.79</v>
      </c>
      <c r="Z28" s="265">
        <f t="shared" si="18"/>
        <v>451.43</v>
      </c>
      <c r="AA28" s="265">
        <f t="shared" si="18"/>
        <v>453.97</v>
      </c>
      <c r="AB28" s="265">
        <f t="shared" si="18"/>
        <v>456.42</v>
      </c>
      <c r="AC28" s="265">
        <f t="shared" si="18"/>
        <v>458.77</v>
      </c>
      <c r="AD28" s="265">
        <f t="shared" si="18"/>
        <v>461.13</v>
      </c>
      <c r="AE28" s="265">
        <f t="shared" si="18"/>
        <v>463.21</v>
      </c>
      <c r="AF28" s="265">
        <f t="shared" si="18"/>
        <v>465.38</v>
      </c>
      <c r="AG28" s="265">
        <f t="shared" si="18"/>
        <v>467.31</v>
      </c>
      <c r="AH28" s="265">
        <f t="shared" si="18"/>
        <v>469.24</v>
      </c>
      <c r="AI28" s="265">
        <f t="shared" ref="AI28:AM28" si="19">ROUND(AI27/(0.735*24),2)</f>
        <v>471.07</v>
      </c>
      <c r="AJ28" s="265">
        <f t="shared" si="19"/>
        <v>472.78</v>
      </c>
      <c r="AK28" s="265">
        <f t="shared" si="19"/>
        <v>474.47</v>
      </c>
      <c r="AL28" s="265">
        <f t="shared" si="19"/>
        <v>475.42</v>
      </c>
      <c r="AM28" s="265">
        <f t="shared" si="19"/>
        <v>475.22</v>
      </c>
    </row>
    <row r="29" spans="1:41" x14ac:dyDescent="0.3">
      <c r="C29" s="1106"/>
      <c r="D29" s="20" t="s">
        <v>471</v>
      </c>
      <c r="E29" s="265">
        <f t="shared" ref="E29:P29" si="20">E28/0.8</f>
        <v>0</v>
      </c>
      <c r="F29" s="265">
        <f t="shared" si="20"/>
        <v>42.387499999999996</v>
      </c>
      <c r="G29" s="265">
        <f t="shared" si="20"/>
        <v>90.7</v>
      </c>
      <c r="H29" s="265">
        <f t="shared" si="20"/>
        <v>145.02499999999998</v>
      </c>
      <c r="I29" s="265">
        <f t="shared" si="20"/>
        <v>205.56249999999997</v>
      </c>
      <c r="J29" s="265">
        <f t="shared" si="20"/>
        <v>231.51249999999999</v>
      </c>
      <c r="K29" s="265">
        <f t="shared" si="20"/>
        <v>259.16250000000002</v>
      </c>
      <c r="L29" s="265">
        <f t="shared" si="20"/>
        <v>279.4375</v>
      </c>
      <c r="M29" s="265">
        <f t="shared" si="20"/>
        <v>369.11250000000001</v>
      </c>
      <c r="N29" s="265">
        <f t="shared" si="20"/>
        <v>463.38749999999993</v>
      </c>
      <c r="O29" s="265">
        <f t="shared" si="20"/>
        <v>483.98749999999995</v>
      </c>
      <c r="P29" s="265">
        <f t="shared" si="20"/>
        <v>505.01249999999999</v>
      </c>
      <c r="Q29" s="265">
        <f>Q28/0.8</f>
        <v>516.03749999999991</v>
      </c>
      <c r="R29" s="265">
        <f t="shared" ref="R29:AH29" si="21">R28/0.8</f>
        <v>527.08749999999998</v>
      </c>
      <c r="S29" s="265">
        <f t="shared" si="21"/>
        <v>538.125</v>
      </c>
      <c r="T29" s="265">
        <f t="shared" si="21"/>
        <v>542.27499999999998</v>
      </c>
      <c r="U29" s="265">
        <f t="shared" si="21"/>
        <v>546.25</v>
      </c>
      <c r="V29" s="265">
        <f t="shared" si="21"/>
        <v>550.17499999999995</v>
      </c>
      <c r="W29" s="265">
        <f t="shared" si="21"/>
        <v>553.84999999999991</v>
      </c>
      <c r="X29" s="265">
        <f t="shared" si="21"/>
        <v>557.52499999999998</v>
      </c>
      <c r="Y29" s="265">
        <f t="shared" si="21"/>
        <v>560.98749999999995</v>
      </c>
      <c r="Z29" s="265">
        <f t="shared" si="21"/>
        <v>564.28750000000002</v>
      </c>
      <c r="AA29" s="265">
        <f t="shared" si="21"/>
        <v>567.46249999999998</v>
      </c>
      <c r="AB29" s="265">
        <f t="shared" si="21"/>
        <v>570.52499999999998</v>
      </c>
      <c r="AC29" s="265">
        <f t="shared" si="21"/>
        <v>573.46249999999998</v>
      </c>
      <c r="AD29" s="265">
        <f t="shared" si="21"/>
        <v>576.41249999999991</v>
      </c>
      <c r="AE29" s="265">
        <f t="shared" si="21"/>
        <v>579.01249999999993</v>
      </c>
      <c r="AF29" s="265">
        <f t="shared" si="21"/>
        <v>581.72499999999991</v>
      </c>
      <c r="AG29" s="265">
        <f t="shared" si="21"/>
        <v>584.13749999999993</v>
      </c>
      <c r="AH29" s="265">
        <f t="shared" si="21"/>
        <v>586.54999999999995</v>
      </c>
      <c r="AI29" s="265">
        <f t="shared" ref="AI29:AM29" si="22">AI28/0.8</f>
        <v>588.83749999999998</v>
      </c>
      <c r="AJ29" s="265">
        <f t="shared" si="22"/>
        <v>590.97499999999991</v>
      </c>
      <c r="AK29" s="265">
        <f t="shared" si="22"/>
        <v>593.08749999999998</v>
      </c>
      <c r="AL29" s="265">
        <f t="shared" si="22"/>
        <v>594.27499999999998</v>
      </c>
      <c r="AM29" s="265">
        <f t="shared" si="22"/>
        <v>594.02499999999998</v>
      </c>
      <c r="AN29" s="433">
        <f>52/AM29</f>
        <v>8.7538403265855824E-2</v>
      </c>
      <c r="AO29" s="77">
        <f>AM29-52</f>
        <v>542.02499999999998</v>
      </c>
    </row>
    <row r="30" spans="1:41" ht="15" thickBot="1" x14ac:dyDescent="0.35"/>
    <row r="31" spans="1:41" ht="15" thickBot="1" x14ac:dyDescent="0.35">
      <c r="C31" s="1143" t="s">
        <v>892</v>
      </c>
      <c r="D31" s="1144"/>
      <c r="E31" s="131">
        <f t="shared" ref="E31:AM31" si="23">E6</f>
        <v>1</v>
      </c>
      <c r="F31" s="31">
        <f t="shared" si="23"/>
        <v>2</v>
      </c>
      <c r="G31" s="31">
        <f t="shared" si="23"/>
        <v>3</v>
      </c>
      <c r="H31" s="31">
        <f t="shared" si="23"/>
        <v>4</v>
      </c>
      <c r="I31" s="31">
        <f t="shared" si="23"/>
        <v>5</v>
      </c>
      <c r="J31" s="31">
        <f t="shared" si="23"/>
        <v>6</v>
      </c>
      <c r="K31" s="31">
        <f t="shared" si="23"/>
        <v>7</v>
      </c>
      <c r="L31" s="31">
        <f t="shared" si="23"/>
        <v>8</v>
      </c>
      <c r="M31" s="31">
        <f t="shared" si="23"/>
        <v>9</v>
      </c>
      <c r="N31" s="31">
        <f t="shared" si="23"/>
        <v>10</v>
      </c>
      <c r="O31" s="31">
        <f t="shared" si="23"/>
        <v>11</v>
      </c>
      <c r="P31" s="31">
        <f t="shared" si="23"/>
        <v>12</v>
      </c>
      <c r="Q31" s="31">
        <f t="shared" si="23"/>
        <v>13</v>
      </c>
      <c r="R31" s="31">
        <f t="shared" si="23"/>
        <v>14</v>
      </c>
      <c r="S31" s="31">
        <f t="shared" si="23"/>
        <v>15</v>
      </c>
      <c r="T31" s="31">
        <f t="shared" si="23"/>
        <v>16</v>
      </c>
      <c r="U31" s="31">
        <f t="shared" si="23"/>
        <v>17</v>
      </c>
      <c r="V31" s="31">
        <f t="shared" si="23"/>
        <v>18</v>
      </c>
      <c r="W31" s="31">
        <f t="shared" si="23"/>
        <v>19</v>
      </c>
      <c r="X31" s="31">
        <f t="shared" si="23"/>
        <v>20</v>
      </c>
      <c r="Y31" s="31">
        <f t="shared" si="23"/>
        <v>21</v>
      </c>
      <c r="Z31" s="31">
        <f t="shared" si="23"/>
        <v>22</v>
      </c>
      <c r="AA31" s="31">
        <f t="shared" si="23"/>
        <v>23</v>
      </c>
      <c r="AB31" s="31">
        <f t="shared" si="23"/>
        <v>24</v>
      </c>
      <c r="AC31" s="31">
        <f t="shared" si="23"/>
        <v>25</v>
      </c>
      <c r="AD31" s="31">
        <f t="shared" si="23"/>
        <v>26</v>
      </c>
      <c r="AE31" s="31">
        <f t="shared" si="23"/>
        <v>27</v>
      </c>
      <c r="AF31" s="31">
        <f t="shared" si="23"/>
        <v>28</v>
      </c>
      <c r="AG31" s="31">
        <f t="shared" si="23"/>
        <v>29</v>
      </c>
      <c r="AH31" s="31">
        <f t="shared" si="23"/>
        <v>30</v>
      </c>
      <c r="AI31" s="31">
        <f t="shared" si="23"/>
        <v>31</v>
      </c>
      <c r="AJ31" s="31">
        <f t="shared" si="23"/>
        <v>32</v>
      </c>
      <c r="AK31" s="31">
        <f t="shared" si="23"/>
        <v>33</v>
      </c>
      <c r="AL31" s="31">
        <f t="shared" si="23"/>
        <v>34</v>
      </c>
      <c r="AM31" s="31">
        <f t="shared" si="23"/>
        <v>35</v>
      </c>
    </row>
    <row r="32" spans="1:41" x14ac:dyDescent="0.3">
      <c r="C32" s="1141">
        <f>E42</f>
        <v>1175.571101</v>
      </c>
      <c r="D32" s="1142"/>
      <c r="E32" s="132">
        <f t="shared" ref="E32:AM32" si="24">E7</f>
        <v>2027</v>
      </c>
      <c r="F32" s="133">
        <f t="shared" si="24"/>
        <v>2028</v>
      </c>
      <c r="G32" s="133">
        <f t="shared" si="24"/>
        <v>2029</v>
      </c>
      <c r="H32" s="133">
        <f t="shared" si="24"/>
        <v>2030</v>
      </c>
      <c r="I32" s="133">
        <f t="shared" si="24"/>
        <v>2031</v>
      </c>
      <c r="J32" s="133">
        <f t="shared" si="24"/>
        <v>2032</v>
      </c>
      <c r="K32" s="133">
        <f t="shared" si="24"/>
        <v>2033</v>
      </c>
      <c r="L32" s="133">
        <f t="shared" si="24"/>
        <v>2034</v>
      </c>
      <c r="M32" s="133">
        <f t="shared" si="24"/>
        <v>2035</v>
      </c>
      <c r="N32" s="133">
        <f t="shared" si="24"/>
        <v>2036</v>
      </c>
      <c r="O32" s="133">
        <f t="shared" si="24"/>
        <v>2037</v>
      </c>
      <c r="P32" s="133">
        <f t="shared" si="24"/>
        <v>2038</v>
      </c>
      <c r="Q32" s="133">
        <f t="shared" si="24"/>
        <v>2039</v>
      </c>
      <c r="R32" s="133">
        <f t="shared" si="24"/>
        <v>2040</v>
      </c>
      <c r="S32" s="133">
        <f t="shared" si="24"/>
        <v>2041</v>
      </c>
      <c r="T32" s="133">
        <f t="shared" si="24"/>
        <v>2042</v>
      </c>
      <c r="U32" s="133">
        <f t="shared" si="24"/>
        <v>2043</v>
      </c>
      <c r="V32" s="133">
        <f t="shared" si="24"/>
        <v>2044</v>
      </c>
      <c r="W32" s="133">
        <f t="shared" si="24"/>
        <v>2045</v>
      </c>
      <c r="X32" s="133">
        <f t="shared" si="24"/>
        <v>2046</v>
      </c>
      <c r="Y32" s="133">
        <f t="shared" si="24"/>
        <v>2047</v>
      </c>
      <c r="Z32" s="133">
        <f t="shared" si="24"/>
        <v>2048</v>
      </c>
      <c r="AA32" s="133">
        <f t="shared" si="24"/>
        <v>2049</v>
      </c>
      <c r="AB32" s="133">
        <f t="shared" si="24"/>
        <v>2050</v>
      </c>
      <c r="AC32" s="133">
        <f t="shared" si="24"/>
        <v>2051</v>
      </c>
      <c r="AD32" s="133">
        <f t="shared" si="24"/>
        <v>2052</v>
      </c>
      <c r="AE32" s="133">
        <f t="shared" si="24"/>
        <v>2053</v>
      </c>
      <c r="AF32" s="133">
        <f t="shared" si="24"/>
        <v>2054</v>
      </c>
      <c r="AG32" s="133">
        <f t="shared" si="24"/>
        <v>2055</v>
      </c>
      <c r="AH32" s="133">
        <f t="shared" si="24"/>
        <v>2056</v>
      </c>
      <c r="AI32" s="133">
        <f t="shared" si="24"/>
        <v>2057</v>
      </c>
      <c r="AJ32" s="133">
        <f t="shared" si="24"/>
        <v>2058</v>
      </c>
      <c r="AK32" s="133">
        <f t="shared" si="24"/>
        <v>2059</v>
      </c>
      <c r="AL32" s="133">
        <f t="shared" si="24"/>
        <v>2060</v>
      </c>
      <c r="AM32" s="133">
        <f t="shared" si="24"/>
        <v>2061</v>
      </c>
    </row>
    <row r="33" spans="3:41" x14ac:dyDescent="0.3">
      <c r="C33" s="1106" t="s">
        <v>3</v>
      </c>
      <c r="D33" s="1106"/>
      <c r="E33" s="155">
        <f>(E26*$C$32)</f>
        <v>422294.52875672496</v>
      </c>
      <c r="F33" s="155">
        <f t="shared" ref="F33:AM33" si="25">(F26*$C$32)</f>
        <v>428980.58939366246</v>
      </c>
      <c r="G33" s="155">
        <f t="shared" si="25"/>
        <v>433139.17216344998</v>
      </c>
      <c r="H33" s="155">
        <f t="shared" si="25"/>
        <v>432228.10456017492</v>
      </c>
      <c r="I33" s="155">
        <f t="shared" si="25"/>
        <v>433036.30969211244</v>
      </c>
      <c r="J33" s="155">
        <f t="shared" si="25"/>
        <v>425791.85278219997</v>
      </c>
      <c r="K33" s="155">
        <f t="shared" si="25"/>
        <v>417166.09982861247</v>
      </c>
      <c r="L33" s="155">
        <f t="shared" si="25"/>
        <v>418150.64062570001</v>
      </c>
      <c r="M33" s="155">
        <f t="shared" si="25"/>
        <v>419208.65461659996</v>
      </c>
      <c r="N33" s="155">
        <f t="shared" si="25"/>
        <v>420046.24902606249</v>
      </c>
      <c r="O33" s="155">
        <f t="shared" si="25"/>
        <v>420795.67560294998</v>
      </c>
      <c r="P33" s="155">
        <f t="shared" si="25"/>
        <v>421501.01826354995</v>
      </c>
      <c r="Q33" s="155">
        <f t="shared" si="25"/>
        <v>422000.63598147494</v>
      </c>
      <c r="R33" s="155">
        <f t="shared" si="25"/>
        <v>422485.55906063749</v>
      </c>
      <c r="S33" s="155">
        <f t="shared" si="25"/>
        <v>422926.39822351251</v>
      </c>
      <c r="T33" s="155">
        <f t="shared" si="25"/>
        <v>423249.68027628749</v>
      </c>
      <c r="U33" s="155">
        <f t="shared" si="25"/>
        <v>423484.79449648742</v>
      </c>
      <c r="V33" s="155">
        <f t="shared" si="25"/>
        <v>423749.29799421248</v>
      </c>
      <c r="W33" s="155">
        <f t="shared" si="25"/>
        <v>425880.02061477496</v>
      </c>
      <c r="X33" s="155">
        <f t="shared" si="25"/>
        <v>428025.43787409994</v>
      </c>
      <c r="Y33" s="155">
        <f t="shared" si="25"/>
        <v>429965.13019075</v>
      </c>
      <c r="Z33" s="155">
        <f t="shared" si="25"/>
        <v>431816.65467482497</v>
      </c>
      <c r="AA33" s="155">
        <f t="shared" si="25"/>
        <v>433594.70596508746</v>
      </c>
      <c r="AB33" s="155">
        <f t="shared" si="25"/>
        <v>435299.28406153753</v>
      </c>
      <c r="AC33" s="155">
        <f t="shared" si="25"/>
        <v>436915.69432541245</v>
      </c>
      <c r="AD33" s="155">
        <f t="shared" si="25"/>
        <v>438590.88314433757</v>
      </c>
      <c r="AE33" s="155">
        <f t="shared" si="25"/>
        <v>439972.17918801249</v>
      </c>
      <c r="AF33" s="155">
        <f t="shared" si="25"/>
        <v>441471.03234178748</v>
      </c>
      <c r="AG33" s="155">
        <f t="shared" si="25"/>
        <v>442734.77127536252</v>
      </c>
      <c r="AH33" s="155">
        <f t="shared" si="25"/>
        <v>444027.89948646247</v>
      </c>
      <c r="AI33" s="155">
        <f t="shared" si="25"/>
        <v>445276.94378127495</v>
      </c>
      <c r="AJ33" s="155">
        <f t="shared" si="25"/>
        <v>446364.34704969998</v>
      </c>
      <c r="AK33" s="155">
        <f t="shared" si="25"/>
        <v>447481.13959564996</v>
      </c>
      <c r="AL33" s="155">
        <f t="shared" si="25"/>
        <v>448568.54286407499</v>
      </c>
      <c r="AM33" s="155">
        <f t="shared" si="25"/>
        <v>447495.83423441247</v>
      </c>
    </row>
    <row r="34" spans="3:41" x14ac:dyDescent="0.3">
      <c r="C34" s="1145" t="s">
        <v>4</v>
      </c>
      <c r="D34" s="1145"/>
      <c r="E34" s="155">
        <f>E29*$C$32</f>
        <v>0</v>
      </c>
      <c r="F34" s="155">
        <f t="shared" ref="F34:AM34" si="26">F29*$C$32</f>
        <v>49829.520043637494</v>
      </c>
      <c r="G34" s="155">
        <f t="shared" si="26"/>
        <v>106624.2988607</v>
      </c>
      <c r="H34" s="155">
        <f t="shared" si="26"/>
        <v>170487.19892252499</v>
      </c>
      <c r="I34" s="155">
        <f t="shared" si="26"/>
        <v>241653.33444931248</v>
      </c>
      <c r="J34" s="155">
        <f t="shared" si="26"/>
        <v>272159.4045202625</v>
      </c>
      <c r="K34" s="155">
        <f t="shared" si="26"/>
        <v>304663.94546291255</v>
      </c>
      <c r="L34" s="155">
        <f t="shared" si="26"/>
        <v>328498.64953568752</v>
      </c>
      <c r="M34" s="155">
        <f t="shared" si="26"/>
        <v>433917.98801786249</v>
      </c>
      <c r="N34" s="155">
        <f t="shared" si="26"/>
        <v>544744.95356463746</v>
      </c>
      <c r="O34" s="155">
        <f t="shared" si="26"/>
        <v>568961.71824523748</v>
      </c>
      <c r="P34" s="155">
        <f t="shared" si="26"/>
        <v>593678.1006437625</v>
      </c>
      <c r="Q34" s="155">
        <f t="shared" si="26"/>
        <v>606638.77203228744</v>
      </c>
      <c r="R34" s="155">
        <f t="shared" si="26"/>
        <v>619628.8326983375</v>
      </c>
      <c r="S34" s="155">
        <f t="shared" si="26"/>
        <v>632604.19872562494</v>
      </c>
      <c r="T34" s="155">
        <f t="shared" si="26"/>
        <v>637482.81879477494</v>
      </c>
      <c r="U34" s="155">
        <f t="shared" si="26"/>
        <v>642155.71392124996</v>
      </c>
      <c r="V34" s="155">
        <f t="shared" si="26"/>
        <v>646769.83049267496</v>
      </c>
      <c r="W34" s="155">
        <f t="shared" si="26"/>
        <v>651090.05428884993</v>
      </c>
      <c r="X34" s="155">
        <f t="shared" si="26"/>
        <v>655410.27808502503</v>
      </c>
      <c r="Y34" s="155">
        <f t="shared" si="26"/>
        <v>659480.69302223739</v>
      </c>
      <c r="Z34" s="155">
        <f t="shared" si="26"/>
        <v>663360.07765553752</v>
      </c>
      <c r="AA34" s="155">
        <f t="shared" si="26"/>
        <v>667092.51590121246</v>
      </c>
      <c r="AB34" s="155">
        <f t="shared" si="26"/>
        <v>670692.70239802497</v>
      </c>
      <c r="AC34" s="155">
        <f t="shared" si="26"/>
        <v>674145.94250721252</v>
      </c>
      <c r="AD34" s="155">
        <f t="shared" si="26"/>
        <v>677613.87725516234</v>
      </c>
      <c r="AE34" s="155">
        <f t="shared" si="26"/>
        <v>680670.36211776244</v>
      </c>
      <c r="AF34" s="155">
        <f t="shared" si="26"/>
        <v>683859.09872922488</v>
      </c>
      <c r="AG34" s="155">
        <f t="shared" si="26"/>
        <v>686695.16401038738</v>
      </c>
      <c r="AH34" s="155">
        <f t="shared" si="26"/>
        <v>689531.22929155</v>
      </c>
      <c r="AI34" s="155">
        <f t="shared" si="26"/>
        <v>692220.34818508744</v>
      </c>
      <c r="AJ34" s="155">
        <f t="shared" si="26"/>
        <v>694733.13141347491</v>
      </c>
      <c r="AK34" s="155">
        <f t="shared" si="26"/>
        <v>697216.52536433749</v>
      </c>
      <c r="AL34" s="155">
        <f t="shared" si="26"/>
        <v>698612.51604677492</v>
      </c>
      <c r="AM34" s="155">
        <f t="shared" si="26"/>
        <v>698318.62327152502</v>
      </c>
    </row>
    <row r="35" spans="3:41" x14ac:dyDescent="0.3">
      <c r="C35" s="1140" t="s">
        <v>515</v>
      </c>
      <c r="D35" s="1140"/>
      <c r="E35" s="155">
        <f>E33+E34</f>
        <v>422294.52875672496</v>
      </c>
      <c r="F35" s="155">
        <f t="shared" ref="F35:AM35" si="27">F33+F34</f>
        <v>478810.10943729995</v>
      </c>
      <c r="G35" s="155">
        <f t="shared" si="27"/>
        <v>539763.47102415003</v>
      </c>
      <c r="H35" s="155">
        <f t="shared" si="27"/>
        <v>602715.30348269991</v>
      </c>
      <c r="I35" s="155">
        <f t="shared" si="27"/>
        <v>674689.64414142491</v>
      </c>
      <c r="J35" s="155">
        <f t="shared" si="27"/>
        <v>697951.25730246247</v>
      </c>
      <c r="K35" s="155">
        <f t="shared" si="27"/>
        <v>721830.04529152508</v>
      </c>
      <c r="L35" s="155">
        <f t="shared" si="27"/>
        <v>746649.29016138753</v>
      </c>
      <c r="M35" s="155">
        <f t="shared" si="27"/>
        <v>853126.64263446245</v>
      </c>
      <c r="N35" s="155">
        <f t="shared" si="27"/>
        <v>964791.20259070001</v>
      </c>
      <c r="O35" s="155">
        <f t="shared" si="27"/>
        <v>989757.39384818752</v>
      </c>
      <c r="P35" s="155">
        <f t="shared" si="27"/>
        <v>1015179.1189073124</v>
      </c>
      <c r="Q35" s="155">
        <f t="shared" si="27"/>
        <v>1028639.4080137624</v>
      </c>
      <c r="R35" s="155">
        <f t="shared" si="27"/>
        <v>1042114.391758975</v>
      </c>
      <c r="S35" s="155">
        <f t="shared" si="27"/>
        <v>1055530.5969491375</v>
      </c>
      <c r="T35" s="155">
        <f t="shared" si="27"/>
        <v>1060732.4990710625</v>
      </c>
      <c r="U35" s="155">
        <f t="shared" si="27"/>
        <v>1065640.5084177374</v>
      </c>
      <c r="V35" s="155">
        <f t="shared" si="27"/>
        <v>1070519.1284868876</v>
      </c>
      <c r="W35" s="155">
        <f t="shared" si="27"/>
        <v>1076970.0749036248</v>
      </c>
      <c r="X35" s="155">
        <f t="shared" si="27"/>
        <v>1083435.715959125</v>
      </c>
      <c r="Y35" s="155">
        <f t="shared" si="27"/>
        <v>1089445.8232129873</v>
      </c>
      <c r="Z35" s="155">
        <f t="shared" si="27"/>
        <v>1095176.7323303625</v>
      </c>
      <c r="AA35" s="155">
        <f t="shared" si="27"/>
        <v>1100687.2218662999</v>
      </c>
      <c r="AB35" s="155">
        <f t="shared" si="27"/>
        <v>1105991.9864595626</v>
      </c>
      <c r="AC35" s="155">
        <f t="shared" si="27"/>
        <v>1111061.6368326249</v>
      </c>
      <c r="AD35" s="155">
        <f t="shared" si="27"/>
        <v>1116204.7603994999</v>
      </c>
      <c r="AE35" s="155">
        <f t="shared" si="27"/>
        <v>1120642.5413057748</v>
      </c>
      <c r="AF35" s="155">
        <f t="shared" si="27"/>
        <v>1125330.1310710125</v>
      </c>
      <c r="AG35" s="155">
        <f t="shared" si="27"/>
        <v>1129429.9352857498</v>
      </c>
      <c r="AH35" s="155">
        <f t="shared" si="27"/>
        <v>1133559.1287780125</v>
      </c>
      <c r="AI35" s="155">
        <f t="shared" si="27"/>
        <v>1137497.2919663624</v>
      </c>
      <c r="AJ35" s="155">
        <f t="shared" si="27"/>
        <v>1141097.4784631748</v>
      </c>
      <c r="AK35" s="155">
        <f t="shared" si="27"/>
        <v>1144697.6649599874</v>
      </c>
      <c r="AL35" s="155">
        <f t="shared" si="27"/>
        <v>1147181.05891085</v>
      </c>
      <c r="AM35" s="155">
        <f t="shared" si="27"/>
        <v>1145814.4575059374</v>
      </c>
      <c r="AO35" s="71">
        <f>SUM(E35:AN35)</f>
        <v>34034958.180486836</v>
      </c>
    </row>
    <row r="36" spans="3:41" x14ac:dyDescent="0.3"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</row>
    <row r="37" spans="3:41" x14ac:dyDescent="0.3">
      <c r="C37" s="4" t="s">
        <v>887</v>
      </c>
      <c r="D37" s="4"/>
      <c r="E37" s="793">
        <f>SUM(E26:AM26)/35</f>
        <v>366.84214285714285</v>
      </c>
    </row>
    <row r="38" spans="3:41" x14ac:dyDescent="0.3">
      <c r="C38" s="4" t="s">
        <v>890</v>
      </c>
      <c r="D38" s="4"/>
      <c r="E38" s="793">
        <f>SUM(E29:AM29)/35</f>
        <v>460.3535714285714</v>
      </c>
    </row>
    <row r="39" spans="3:41" x14ac:dyDescent="0.3">
      <c r="C39" s="4" t="s">
        <v>888</v>
      </c>
      <c r="D39" s="4"/>
      <c r="E39" s="794">
        <f>SUM(E22:AM22)/35</f>
        <v>2580970.046068945</v>
      </c>
    </row>
    <row r="40" spans="3:41" x14ac:dyDescent="0.3">
      <c r="C40" s="4" t="s">
        <v>891</v>
      </c>
      <c r="D40" s="4"/>
      <c r="E40" s="794">
        <f>E39/(E37+E38)</f>
        <v>3120.1443642604213</v>
      </c>
    </row>
    <row r="41" spans="3:41" x14ac:dyDescent="0.3">
      <c r="C41" s="274" t="s">
        <v>889</v>
      </c>
      <c r="D41" s="275"/>
      <c r="E41" s="795">
        <v>0.37676817604364554</v>
      </c>
      <c r="G41" s="792"/>
    </row>
    <row r="42" spans="3:41" x14ac:dyDescent="0.3">
      <c r="C42" s="4" t="s">
        <v>892</v>
      </c>
      <c r="D42" s="4"/>
      <c r="E42" s="794">
        <f>ROUND(E40*E41,6)</f>
        <v>1175.571101</v>
      </c>
      <c r="F42" s="43"/>
    </row>
  </sheetData>
  <mergeCells count="15">
    <mergeCell ref="C35:D35"/>
    <mergeCell ref="C32:D32"/>
    <mergeCell ref="C31:D31"/>
    <mergeCell ref="C33:D33"/>
    <mergeCell ref="C34:D34"/>
    <mergeCell ref="C24:C26"/>
    <mergeCell ref="C27:C29"/>
    <mergeCell ref="B1:F1"/>
    <mergeCell ref="B8:B13"/>
    <mergeCell ref="B14:B19"/>
    <mergeCell ref="B22:D22"/>
    <mergeCell ref="B20:D20"/>
    <mergeCell ref="D6:D7"/>
    <mergeCell ref="B6:C7"/>
    <mergeCell ref="B21:D21"/>
  </mergeCells>
  <phoneticPr fontId="2" type="noConversion"/>
  <pageMargins left="0.511811024" right="0.511811024" top="0.78740157499999996" bottom="0.78740157499999996" header="0.31496062000000002" footer="0.31496062000000002"/>
  <pageSetup paperSize="8" scale="37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P31"/>
  <sheetViews>
    <sheetView showGridLines="0" workbookViewId="0">
      <selection activeCell="I2" sqref="I2"/>
    </sheetView>
  </sheetViews>
  <sheetFormatPr defaultRowHeight="14.4" x14ac:dyDescent="0.3"/>
  <cols>
    <col min="1" max="1" width="14.88671875" bestFit="1" customWidth="1"/>
    <col min="2" max="2" width="6.5546875" customWidth="1"/>
    <col min="3" max="3" width="33" customWidth="1"/>
    <col min="4" max="4" width="14.109375" customWidth="1"/>
    <col min="5" max="34" width="15.6640625" customWidth="1"/>
    <col min="35" max="39" width="13.5546875" bestFit="1" customWidth="1"/>
    <col min="40" max="41" width="16.88671875" bestFit="1" customWidth="1"/>
    <col min="42" max="42" width="18" bestFit="1" customWidth="1"/>
  </cols>
  <sheetData>
    <row r="1" spans="1:41" x14ac:dyDescent="0.3">
      <c r="A1" s="318" t="s">
        <v>522</v>
      </c>
      <c r="G1" s="66"/>
    </row>
    <row r="2" spans="1:41" x14ac:dyDescent="0.3">
      <c r="A2" s="147" t="s">
        <v>528</v>
      </c>
      <c r="B2" s="76"/>
      <c r="C2" s="76" t="s">
        <v>321</v>
      </c>
      <c r="D2" s="1146" t="s">
        <v>327</v>
      </c>
      <c r="E2" s="1146"/>
      <c r="F2" s="126" t="s">
        <v>493</v>
      </c>
      <c r="H2" s="833" t="s">
        <v>932</v>
      </c>
      <c r="I2" s="834">
        <v>1.0973999999999999</v>
      </c>
      <c r="J2" s="134"/>
    </row>
    <row r="3" spans="1:41" x14ac:dyDescent="0.3">
      <c r="A3" s="222" t="s">
        <v>524</v>
      </c>
      <c r="B3" s="76">
        <v>1</v>
      </c>
      <c r="C3" s="76" t="s">
        <v>330</v>
      </c>
      <c r="D3" s="361">
        <v>0.7</v>
      </c>
      <c r="E3" s="76" t="s">
        <v>322</v>
      </c>
      <c r="F3" s="363">
        <f>I3</f>
        <v>2537.9</v>
      </c>
      <c r="H3" s="363">
        <v>2312.65</v>
      </c>
      <c r="I3" s="835">
        <f>TRUNC(H3*$I$2,2)</f>
        <v>2537.9</v>
      </c>
    </row>
    <row r="4" spans="1:41" x14ac:dyDescent="0.3">
      <c r="B4" s="76">
        <v>2</v>
      </c>
      <c r="C4" s="76" t="s">
        <v>323</v>
      </c>
      <c r="D4" s="361">
        <v>5</v>
      </c>
      <c r="E4" s="76" t="s">
        <v>322</v>
      </c>
      <c r="F4" s="363">
        <f t="shared" ref="F4:F8" si="0">I4</f>
        <v>7569.07</v>
      </c>
      <c r="H4" s="363">
        <v>6897.28</v>
      </c>
      <c r="I4" s="835">
        <f t="shared" ref="I4:I8" si="1">TRUNC(H4*$I$2,2)</f>
        <v>7569.07</v>
      </c>
    </row>
    <row r="5" spans="1:41" x14ac:dyDescent="0.3">
      <c r="B5" s="76">
        <v>3</v>
      </c>
      <c r="C5" s="76" t="s">
        <v>331</v>
      </c>
      <c r="D5" s="361">
        <v>2</v>
      </c>
      <c r="E5" s="76" t="s">
        <v>322</v>
      </c>
      <c r="F5" s="363">
        <f t="shared" si="0"/>
        <v>2066.5700000000002</v>
      </c>
      <c r="H5" s="363">
        <v>1883.16</v>
      </c>
      <c r="I5" s="835">
        <f t="shared" si="1"/>
        <v>2066.5700000000002</v>
      </c>
    </row>
    <row r="6" spans="1:41" x14ac:dyDescent="0.3">
      <c r="B6" s="76">
        <v>4</v>
      </c>
      <c r="C6" s="76" t="s">
        <v>324</v>
      </c>
      <c r="D6" s="361">
        <v>15</v>
      </c>
      <c r="E6" s="76" t="s">
        <v>322</v>
      </c>
      <c r="F6" s="363">
        <f t="shared" si="0"/>
        <v>2336.02</v>
      </c>
      <c r="H6" s="363">
        <v>2128.69</v>
      </c>
      <c r="I6" s="835">
        <f t="shared" si="1"/>
        <v>2336.02</v>
      </c>
    </row>
    <row r="7" spans="1:41" x14ac:dyDescent="0.3">
      <c r="B7" s="82">
        <v>5</v>
      </c>
      <c r="C7" s="76" t="s">
        <v>332</v>
      </c>
      <c r="D7" s="362">
        <v>20</v>
      </c>
      <c r="E7" s="82" t="s">
        <v>322</v>
      </c>
      <c r="F7" s="363">
        <f t="shared" si="0"/>
        <v>5668.04</v>
      </c>
      <c r="H7" s="363">
        <v>5164.9799999999996</v>
      </c>
      <c r="I7" s="835">
        <f t="shared" si="1"/>
        <v>5668.04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</row>
    <row r="8" spans="1:41" x14ac:dyDescent="0.3">
      <c r="B8" s="82">
        <v>6</v>
      </c>
      <c r="C8" s="76" t="s">
        <v>326</v>
      </c>
      <c r="D8" s="362">
        <v>20</v>
      </c>
      <c r="E8" s="82" t="s">
        <v>322</v>
      </c>
      <c r="F8" s="363">
        <f t="shared" si="0"/>
        <v>6027.79</v>
      </c>
      <c r="H8" s="363">
        <v>5492.8</v>
      </c>
      <c r="I8" s="835">
        <f t="shared" si="1"/>
        <v>6027.79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</row>
    <row r="9" spans="1:41" x14ac:dyDescent="0.3">
      <c r="B9" s="18" t="s">
        <v>893</v>
      </c>
      <c r="C9" s="18"/>
      <c r="D9" s="18"/>
      <c r="E9" s="18"/>
      <c r="F9" s="18"/>
      <c r="G9" s="18"/>
      <c r="H9" s="23"/>
      <c r="I9" s="2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</row>
    <row r="10" spans="1:41" x14ac:dyDescent="0.3">
      <c r="B10" s="1120" t="s">
        <v>215</v>
      </c>
      <c r="C10" s="1120"/>
      <c r="D10" s="1120" t="s">
        <v>216</v>
      </c>
      <c r="E10" s="138">
        <f>'FCD PROJETO'!F23</f>
        <v>1</v>
      </c>
      <c r="F10" s="138">
        <f>'FCD PROJETO'!G23</f>
        <v>2</v>
      </c>
      <c r="G10" s="138">
        <f>'FCD PROJETO'!H23</f>
        <v>3</v>
      </c>
      <c r="H10" s="138">
        <f>'FCD PROJETO'!I23</f>
        <v>4</v>
      </c>
      <c r="I10" s="138">
        <f>'FCD PROJETO'!J23</f>
        <v>5</v>
      </c>
      <c r="J10" s="138">
        <f>'FCD PROJETO'!K23</f>
        <v>6</v>
      </c>
      <c r="K10" s="138">
        <f>'FCD PROJETO'!L23</f>
        <v>7</v>
      </c>
      <c r="L10" s="138">
        <f>'FCD PROJETO'!M23</f>
        <v>8</v>
      </c>
      <c r="M10" s="138">
        <f>'FCD PROJETO'!N23</f>
        <v>9</v>
      </c>
      <c r="N10" s="138">
        <f>'FCD PROJETO'!O23</f>
        <v>10</v>
      </c>
      <c r="O10" s="138">
        <f>'FCD PROJETO'!P23</f>
        <v>11</v>
      </c>
      <c r="P10" s="138">
        <f>'FCD PROJETO'!Q23</f>
        <v>12</v>
      </c>
      <c r="Q10" s="138">
        <f>'FCD PROJETO'!R23</f>
        <v>13</v>
      </c>
      <c r="R10" s="138">
        <f>'FCD PROJETO'!S23</f>
        <v>14</v>
      </c>
      <c r="S10" s="138">
        <f>'FCD PROJETO'!T23</f>
        <v>15</v>
      </c>
      <c r="T10" s="138">
        <f>'FCD PROJETO'!U23</f>
        <v>16</v>
      </c>
      <c r="U10" s="138">
        <f>'FCD PROJETO'!V23</f>
        <v>17</v>
      </c>
      <c r="V10" s="138">
        <f>'FCD PROJETO'!W23</f>
        <v>18</v>
      </c>
      <c r="W10" s="138">
        <f>'FCD PROJETO'!X23</f>
        <v>19</v>
      </c>
      <c r="X10" s="138">
        <f>'FCD PROJETO'!Y23</f>
        <v>20</v>
      </c>
      <c r="Y10" s="138">
        <f>'FCD PROJETO'!Z23</f>
        <v>21</v>
      </c>
      <c r="Z10" s="138">
        <f>'FCD PROJETO'!AA23</f>
        <v>22</v>
      </c>
      <c r="AA10" s="138">
        <f>'FCD PROJETO'!AB23</f>
        <v>23</v>
      </c>
      <c r="AB10" s="138">
        <f>'FCD PROJETO'!AC23</f>
        <v>24</v>
      </c>
      <c r="AC10" s="138">
        <f>'FCD PROJETO'!AD23</f>
        <v>25</v>
      </c>
      <c r="AD10" s="138">
        <f>'FCD PROJETO'!AE23</f>
        <v>26</v>
      </c>
      <c r="AE10" s="138">
        <f>'FCD PROJETO'!AF23</f>
        <v>27</v>
      </c>
      <c r="AF10" s="138">
        <f>'FCD PROJETO'!AG23</f>
        <v>28</v>
      </c>
      <c r="AG10" s="138">
        <f>'FCD PROJETO'!AH23</f>
        <v>29</v>
      </c>
      <c r="AH10" s="138">
        <f>'FCD PROJETO'!AI23</f>
        <v>30</v>
      </c>
      <c r="AI10" s="138">
        <f>'FCD PROJETO'!AJ23</f>
        <v>31</v>
      </c>
      <c r="AJ10" s="138">
        <f>'FCD PROJETO'!AK23</f>
        <v>32</v>
      </c>
      <c r="AK10" s="138">
        <f>'FCD PROJETO'!AL23</f>
        <v>33</v>
      </c>
      <c r="AL10" s="138">
        <f>'FCD PROJETO'!AM23</f>
        <v>34</v>
      </c>
      <c r="AM10" s="138">
        <f>'FCD PROJETO'!AN23</f>
        <v>35</v>
      </c>
    </row>
    <row r="11" spans="1:41" x14ac:dyDescent="0.3">
      <c r="B11" s="1120"/>
      <c r="C11" s="1120"/>
      <c r="D11" s="1120"/>
      <c r="E11" s="138">
        <f>'FCD PROJETO'!F24</f>
        <v>2027</v>
      </c>
      <c r="F11" s="138">
        <f>'FCD PROJETO'!G24</f>
        <v>2028</v>
      </c>
      <c r="G11" s="138">
        <f>'FCD PROJETO'!H24</f>
        <v>2029</v>
      </c>
      <c r="H11" s="138">
        <f>'FCD PROJETO'!I24</f>
        <v>2030</v>
      </c>
      <c r="I11" s="138">
        <f>'FCD PROJETO'!J24</f>
        <v>2031</v>
      </c>
      <c r="J11" s="138">
        <f>'FCD PROJETO'!K24</f>
        <v>2032</v>
      </c>
      <c r="K11" s="138">
        <f>'FCD PROJETO'!L24</f>
        <v>2033</v>
      </c>
      <c r="L11" s="138">
        <f>'FCD PROJETO'!M24</f>
        <v>2034</v>
      </c>
      <c r="M11" s="138">
        <f>'FCD PROJETO'!N24</f>
        <v>2035</v>
      </c>
      <c r="N11" s="138">
        <f>'FCD PROJETO'!O24</f>
        <v>2036</v>
      </c>
      <c r="O11" s="138">
        <f>'FCD PROJETO'!P24</f>
        <v>2037</v>
      </c>
      <c r="P11" s="138">
        <f>'FCD PROJETO'!Q24</f>
        <v>2038</v>
      </c>
      <c r="Q11" s="138">
        <f>'FCD PROJETO'!R24</f>
        <v>2039</v>
      </c>
      <c r="R11" s="138">
        <f>'FCD PROJETO'!S24</f>
        <v>2040</v>
      </c>
      <c r="S11" s="138">
        <f>'FCD PROJETO'!T24</f>
        <v>2041</v>
      </c>
      <c r="T11" s="138">
        <f>'FCD PROJETO'!U24</f>
        <v>2042</v>
      </c>
      <c r="U11" s="138">
        <f>'FCD PROJETO'!V24</f>
        <v>2043</v>
      </c>
      <c r="V11" s="138">
        <f>'FCD PROJETO'!W24</f>
        <v>2044</v>
      </c>
      <c r="W11" s="138">
        <f>'FCD PROJETO'!X24</f>
        <v>2045</v>
      </c>
      <c r="X11" s="138">
        <f>'FCD PROJETO'!Y24</f>
        <v>2046</v>
      </c>
      <c r="Y11" s="138">
        <f>'FCD PROJETO'!Z24</f>
        <v>2047</v>
      </c>
      <c r="Z11" s="138">
        <f>'FCD PROJETO'!AA24</f>
        <v>2048</v>
      </c>
      <c r="AA11" s="138">
        <f>'FCD PROJETO'!AB24</f>
        <v>2049</v>
      </c>
      <c r="AB11" s="138">
        <f>'FCD PROJETO'!AC24</f>
        <v>2050</v>
      </c>
      <c r="AC11" s="138">
        <f>'FCD PROJETO'!AD24</f>
        <v>2051</v>
      </c>
      <c r="AD11" s="138">
        <f>'FCD PROJETO'!AE24</f>
        <v>2052</v>
      </c>
      <c r="AE11" s="138">
        <f>'FCD PROJETO'!AF24</f>
        <v>2053</v>
      </c>
      <c r="AF11" s="138">
        <f>'FCD PROJETO'!AG24</f>
        <v>2054</v>
      </c>
      <c r="AG11" s="138">
        <f>'FCD PROJETO'!AH24</f>
        <v>2055</v>
      </c>
      <c r="AH11" s="138">
        <f>'FCD PROJETO'!AI24</f>
        <v>2056</v>
      </c>
      <c r="AI11" s="138">
        <f>'FCD PROJETO'!AJ24</f>
        <v>2057</v>
      </c>
      <c r="AJ11" s="138">
        <f>'FCD PROJETO'!AK24</f>
        <v>2058</v>
      </c>
      <c r="AK11" s="138">
        <f>'FCD PROJETO'!AL24</f>
        <v>2059</v>
      </c>
      <c r="AL11" s="138">
        <f>'FCD PROJETO'!AM24</f>
        <v>2060</v>
      </c>
      <c r="AM11" s="138">
        <f>'FCD PROJETO'!AN24</f>
        <v>2061</v>
      </c>
    </row>
    <row r="12" spans="1:41" x14ac:dyDescent="0.3">
      <c r="B12" s="1137" t="s">
        <v>3</v>
      </c>
      <c r="C12" s="20" t="s">
        <v>127</v>
      </c>
      <c r="D12" s="153" t="s">
        <v>308</v>
      </c>
      <c r="E12" s="260">
        <f>'Base Física'!F59</f>
        <v>4405538</v>
      </c>
      <c r="F12" s="260">
        <f>'Base Física'!G59</f>
        <v>4371270</v>
      </c>
      <c r="G12" s="260">
        <f>'Base Física'!H59</f>
        <v>4313218</v>
      </c>
      <c r="H12" s="260">
        <f>'Base Física'!I59</f>
        <v>4208509</v>
      </c>
      <c r="I12" s="260">
        <f>'Base Física'!J59</f>
        <v>4124800</v>
      </c>
      <c r="J12" s="260">
        <f>'Base Física'!K59</f>
        <v>4055727</v>
      </c>
      <c r="K12" s="260">
        <f>'Base Física'!L59</f>
        <v>3973603</v>
      </c>
      <c r="L12" s="260">
        <f>'Base Física'!M59</f>
        <v>3983034</v>
      </c>
      <c r="M12" s="260">
        <f>'Base Física'!N59</f>
        <v>3993054</v>
      </c>
      <c r="N12" s="260">
        <f>'Base Física'!O59</f>
        <v>4000961</v>
      </c>
      <c r="O12" s="260">
        <f>'Base Física'!P59</f>
        <v>4008210</v>
      </c>
      <c r="P12" s="260">
        <f>'Base Física'!Q59</f>
        <v>4014843</v>
      </c>
      <c r="Q12" s="260">
        <f>'Base Física'!R59</f>
        <v>4019601</v>
      </c>
      <c r="R12" s="260">
        <f>'Base Física'!S59</f>
        <v>4024281</v>
      </c>
      <c r="S12" s="260">
        <f>'Base Física'!T59</f>
        <v>4028529</v>
      </c>
      <c r="T12" s="260">
        <f>'Base Física'!U59</f>
        <v>4031530</v>
      </c>
      <c r="U12" s="260">
        <f>'Base Física'!V59</f>
        <v>4033829</v>
      </c>
      <c r="V12" s="260">
        <f>'Base Física'!W59</f>
        <v>4036341</v>
      </c>
      <c r="W12" s="260">
        <f>'Base Física'!X59</f>
        <v>4056535</v>
      </c>
      <c r="X12" s="260">
        <f>'Base Física'!Y59</f>
        <v>4076975</v>
      </c>
      <c r="Y12" s="260">
        <f>'Base Física'!Z59</f>
        <v>4095487</v>
      </c>
      <c r="Z12" s="260">
        <f>'Base Física'!AA59</f>
        <v>4113166</v>
      </c>
      <c r="AA12" s="260">
        <f>'Base Física'!AB59</f>
        <v>4130089</v>
      </c>
      <c r="AB12" s="260">
        <f>'Base Física'!AC59</f>
        <v>4146314</v>
      </c>
      <c r="AC12" s="260">
        <f>'Base Física'!AD59</f>
        <v>4161650</v>
      </c>
      <c r="AD12" s="260">
        <f>'Base Física'!AE59</f>
        <v>4177701</v>
      </c>
      <c r="AE12" s="260">
        <f>'Base Física'!AF59</f>
        <v>4190762</v>
      </c>
      <c r="AF12" s="260">
        <f>'Base Física'!AG59</f>
        <v>4205040</v>
      </c>
      <c r="AG12" s="260">
        <f>'Base Física'!AH59</f>
        <v>4217159</v>
      </c>
      <c r="AH12" s="260">
        <f>'Base Física'!AI59</f>
        <v>4229523</v>
      </c>
      <c r="AI12" s="260">
        <f>'Base Física'!AJ59</f>
        <v>4241358</v>
      </c>
      <c r="AJ12" s="260">
        <f>'Base Física'!AK59</f>
        <v>4251736</v>
      </c>
      <c r="AK12" s="260">
        <f>'Base Física'!AL59</f>
        <v>4262364</v>
      </c>
      <c r="AL12" s="260">
        <f>'Base Física'!AM59</f>
        <v>4272767</v>
      </c>
      <c r="AM12" s="260">
        <f>'Base Física'!AN59</f>
        <v>4262515</v>
      </c>
    </row>
    <row r="13" spans="1:41" x14ac:dyDescent="0.3">
      <c r="B13" s="1137"/>
      <c r="C13" s="20" t="s">
        <v>330</v>
      </c>
      <c r="D13" s="153" t="s">
        <v>328</v>
      </c>
      <c r="E13" s="266">
        <f>ROUND(E$12*$D$3*0.001/1000,2)</f>
        <v>3.08</v>
      </c>
      <c r="F13" s="266">
        <f t="shared" ref="F13:AM13" si="2">ROUND(F$12*$D$3*0.001/1000,2)</f>
        <v>3.06</v>
      </c>
      <c r="G13" s="266">
        <f t="shared" si="2"/>
        <v>3.02</v>
      </c>
      <c r="H13" s="266">
        <f t="shared" si="2"/>
        <v>2.95</v>
      </c>
      <c r="I13" s="266">
        <f t="shared" si="2"/>
        <v>2.89</v>
      </c>
      <c r="J13" s="266">
        <f t="shared" si="2"/>
        <v>2.84</v>
      </c>
      <c r="K13" s="266">
        <f t="shared" si="2"/>
        <v>2.78</v>
      </c>
      <c r="L13" s="266">
        <f t="shared" si="2"/>
        <v>2.79</v>
      </c>
      <c r="M13" s="266">
        <f t="shared" si="2"/>
        <v>2.8</v>
      </c>
      <c r="N13" s="266">
        <f t="shared" si="2"/>
        <v>2.8</v>
      </c>
      <c r="O13" s="266">
        <f t="shared" si="2"/>
        <v>2.81</v>
      </c>
      <c r="P13" s="266">
        <f t="shared" si="2"/>
        <v>2.81</v>
      </c>
      <c r="Q13" s="266">
        <f t="shared" si="2"/>
        <v>2.81</v>
      </c>
      <c r="R13" s="266">
        <f t="shared" si="2"/>
        <v>2.82</v>
      </c>
      <c r="S13" s="266">
        <f t="shared" si="2"/>
        <v>2.82</v>
      </c>
      <c r="T13" s="266">
        <f t="shared" si="2"/>
        <v>2.82</v>
      </c>
      <c r="U13" s="266">
        <f t="shared" si="2"/>
        <v>2.82</v>
      </c>
      <c r="V13" s="266">
        <f t="shared" si="2"/>
        <v>2.83</v>
      </c>
      <c r="W13" s="266">
        <f t="shared" si="2"/>
        <v>2.84</v>
      </c>
      <c r="X13" s="266">
        <f t="shared" si="2"/>
        <v>2.85</v>
      </c>
      <c r="Y13" s="266">
        <f t="shared" si="2"/>
        <v>2.87</v>
      </c>
      <c r="Z13" s="266">
        <f t="shared" si="2"/>
        <v>2.88</v>
      </c>
      <c r="AA13" s="266">
        <f t="shared" si="2"/>
        <v>2.89</v>
      </c>
      <c r="AB13" s="266">
        <f t="shared" si="2"/>
        <v>2.9</v>
      </c>
      <c r="AC13" s="266">
        <f t="shared" si="2"/>
        <v>2.91</v>
      </c>
      <c r="AD13" s="266">
        <f t="shared" si="2"/>
        <v>2.92</v>
      </c>
      <c r="AE13" s="266">
        <f t="shared" si="2"/>
        <v>2.93</v>
      </c>
      <c r="AF13" s="266">
        <f t="shared" si="2"/>
        <v>2.94</v>
      </c>
      <c r="AG13" s="266">
        <f t="shared" si="2"/>
        <v>2.95</v>
      </c>
      <c r="AH13" s="266">
        <f t="shared" si="2"/>
        <v>2.96</v>
      </c>
      <c r="AI13" s="266">
        <f t="shared" si="2"/>
        <v>2.97</v>
      </c>
      <c r="AJ13" s="266">
        <f t="shared" si="2"/>
        <v>2.98</v>
      </c>
      <c r="AK13" s="266">
        <f t="shared" si="2"/>
        <v>2.98</v>
      </c>
      <c r="AL13" s="266">
        <f t="shared" si="2"/>
        <v>2.99</v>
      </c>
      <c r="AM13" s="266">
        <f t="shared" si="2"/>
        <v>2.98</v>
      </c>
      <c r="AO13" s="77"/>
    </row>
    <row r="14" spans="1:41" x14ac:dyDescent="0.3">
      <c r="B14" s="1137"/>
      <c r="C14" s="20" t="s">
        <v>323</v>
      </c>
      <c r="D14" s="153" t="s">
        <v>328</v>
      </c>
      <c r="E14" s="266">
        <f>ROUND(E$12*$D$4*0.001/1000,2)</f>
        <v>22.03</v>
      </c>
      <c r="F14" s="266">
        <f t="shared" ref="F14:AM14" si="3">ROUND(F$12*$D$4*0.001/1000,2)</f>
        <v>21.86</v>
      </c>
      <c r="G14" s="266">
        <f t="shared" si="3"/>
        <v>21.57</v>
      </c>
      <c r="H14" s="266">
        <f t="shared" si="3"/>
        <v>21.04</v>
      </c>
      <c r="I14" s="266">
        <f t="shared" si="3"/>
        <v>20.62</v>
      </c>
      <c r="J14" s="266">
        <f t="shared" si="3"/>
        <v>20.28</v>
      </c>
      <c r="K14" s="266">
        <f t="shared" si="3"/>
        <v>19.87</v>
      </c>
      <c r="L14" s="266">
        <f t="shared" si="3"/>
        <v>19.920000000000002</v>
      </c>
      <c r="M14" s="266">
        <f t="shared" si="3"/>
        <v>19.97</v>
      </c>
      <c r="N14" s="266">
        <f t="shared" si="3"/>
        <v>20</v>
      </c>
      <c r="O14" s="266">
        <f t="shared" si="3"/>
        <v>20.04</v>
      </c>
      <c r="P14" s="266">
        <f t="shared" si="3"/>
        <v>20.07</v>
      </c>
      <c r="Q14" s="266">
        <f t="shared" si="3"/>
        <v>20.100000000000001</v>
      </c>
      <c r="R14" s="266">
        <f t="shared" si="3"/>
        <v>20.12</v>
      </c>
      <c r="S14" s="266">
        <f t="shared" si="3"/>
        <v>20.14</v>
      </c>
      <c r="T14" s="266">
        <f t="shared" si="3"/>
        <v>20.16</v>
      </c>
      <c r="U14" s="266">
        <f t="shared" si="3"/>
        <v>20.170000000000002</v>
      </c>
      <c r="V14" s="266">
        <f t="shared" si="3"/>
        <v>20.18</v>
      </c>
      <c r="W14" s="266">
        <f t="shared" si="3"/>
        <v>20.28</v>
      </c>
      <c r="X14" s="266">
        <f t="shared" si="3"/>
        <v>20.38</v>
      </c>
      <c r="Y14" s="266">
        <f t="shared" si="3"/>
        <v>20.48</v>
      </c>
      <c r="Z14" s="266">
        <f t="shared" si="3"/>
        <v>20.57</v>
      </c>
      <c r="AA14" s="266">
        <f t="shared" si="3"/>
        <v>20.65</v>
      </c>
      <c r="AB14" s="266">
        <f t="shared" si="3"/>
        <v>20.73</v>
      </c>
      <c r="AC14" s="266">
        <f t="shared" si="3"/>
        <v>20.81</v>
      </c>
      <c r="AD14" s="266">
        <f t="shared" si="3"/>
        <v>20.89</v>
      </c>
      <c r="AE14" s="266">
        <f t="shared" si="3"/>
        <v>20.95</v>
      </c>
      <c r="AF14" s="266">
        <f t="shared" si="3"/>
        <v>21.03</v>
      </c>
      <c r="AG14" s="266">
        <f t="shared" si="3"/>
        <v>21.09</v>
      </c>
      <c r="AH14" s="266">
        <f t="shared" si="3"/>
        <v>21.15</v>
      </c>
      <c r="AI14" s="266">
        <f t="shared" si="3"/>
        <v>21.21</v>
      </c>
      <c r="AJ14" s="266">
        <f t="shared" si="3"/>
        <v>21.26</v>
      </c>
      <c r="AK14" s="266">
        <f t="shared" si="3"/>
        <v>21.31</v>
      </c>
      <c r="AL14" s="266">
        <f t="shared" si="3"/>
        <v>21.36</v>
      </c>
      <c r="AM14" s="266">
        <f t="shared" si="3"/>
        <v>21.31</v>
      </c>
      <c r="AO14" s="77"/>
    </row>
    <row r="15" spans="1:41" x14ac:dyDescent="0.3">
      <c r="B15" s="1137"/>
      <c r="C15" s="20" t="s">
        <v>331</v>
      </c>
      <c r="D15" s="153" t="s">
        <v>328</v>
      </c>
      <c r="E15" s="266">
        <f>ROUND(E$12*E20*$D$5*0.001/1000,2)</f>
        <v>8.81</v>
      </c>
      <c r="F15" s="266">
        <f t="shared" ref="F15:AH15" si="4">ROUND(F$12*F20*$D$5*0.001/1000,2)</f>
        <v>8.74</v>
      </c>
      <c r="G15" s="266">
        <f t="shared" si="4"/>
        <v>8.6300000000000008</v>
      </c>
      <c r="H15" s="266">
        <f t="shared" si="4"/>
        <v>8.42</v>
      </c>
      <c r="I15" s="266">
        <f t="shared" si="4"/>
        <v>8.25</v>
      </c>
      <c r="J15" s="266">
        <f t="shared" si="4"/>
        <v>8.11</v>
      </c>
      <c r="K15" s="266">
        <f t="shared" si="4"/>
        <v>7.95</v>
      </c>
      <c r="L15" s="266">
        <f t="shared" si="4"/>
        <v>7.97</v>
      </c>
      <c r="M15" s="266">
        <f t="shared" si="4"/>
        <v>7.99</v>
      </c>
      <c r="N15" s="266">
        <f t="shared" si="4"/>
        <v>8</v>
      </c>
      <c r="O15" s="266">
        <f t="shared" si="4"/>
        <v>8.02</v>
      </c>
      <c r="P15" s="266">
        <f t="shared" si="4"/>
        <v>8.0299999999999994</v>
      </c>
      <c r="Q15" s="266">
        <f t="shared" si="4"/>
        <v>8.0399999999999991</v>
      </c>
      <c r="R15" s="266">
        <f t="shared" si="4"/>
        <v>8.0500000000000007</v>
      </c>
      <c r="S15" s="266">
        <f t="shared" si="4"/>
        <v>8.06</v>
      </c>
      <c r="T15" s="266">
        <f t="shared" si="4"/>
        <v>8.06</v>
      </c>
      <c r="U15" s="266">
        <f t="shared" si="4"/>
        <v>8.07</v>
      </c>
      <c r="V15" s="266">
        <f t="shared" si="4"/>
        <v>8.07</v>
      </c>
      <c r="W15" s="266">
        <f t="shared" si="4"/>
        <v>8.11</v>
      </c>
      <c r="X15" s="266">
        <f t="shared" si="4"/>
        <v>8.15</v>
      </c>
      <c r="Y15" s="266">
        <f t="shared" si="4"/>
        <v>8.19</v>
      </c>
      <c r="Z15" s="266">
        <f t="shared" si="4"/>
        <v>8.23</v>
      </c>
      <c r="AA15" s="266">
        <f t="shared" si="4"/>
        <v>8.26</v>
      </c>
      <c r="AB15" s="266">
        <f t="shared" si="4"/>
        <v>8.2899999999999991</v>
      </c>
      <c r="AC15" s="266">
        <f t="shared" si="4"/>
        <v>8.32</v>
      </c>
      <c r="AD15" s="266">
        <f t="shared" si="4"/>
        <v>8.36</v>
      </c>
      <c r="AE15" s="266">
        <f t="shared" si="4"/>
        <v>8.3800000000000008</v>
      </c>
      <c r="AF15" s="266">
        <f t="shared" si="4"/>
        <v>8.41</v>
      </c>
      <c r="AG15" s="266">
        <f t="shared" si="4"/>
        <v>8.43</v>
      </c>
      <c r="AH15" s="266">
        <f t="shared" si="4"/>
        <v>8.4600000000000009</v>
      </c>
      <c r="AI15" s="266">
        <f t="shared" ref="AI15:AM15" si="5">ROUND(AI$12*AI20*$D$5*0.001/1000,2)</f>
        <v>8.48</v>
      </c>
      <c r="AJ15" s="266">
        <f t="shared" si="5"/>
        <v>8.5</v>
      </c>
      <c r="AK15" s="266">
        <f t="shared" si="5"/>
        <v>8.52</v>
      </c>
      <c r="AL15" s="266">
        <f t="shared" si="5"/>
        <v>8.5500000000000007</v>
      </c>
      <c r="AM15" s="266">
        <f t="shared" si="5"/>
        <v>8.5299999999999994</v>
      </c>
      <c r="AO15" s="77"/>
    </row>
    <row r="16" spans="1:41" x14ac:dyDescent="0.3">
      <c r="B16" s="1137"/>
      <c r="C16" s="20" t="s">
        <v>324</v>
      </c>
      <c r="D16" s="153" t="s">
        <v>328</v>
      </c>
      <c r="E16" s="266">
        <f>ROUND(E$12*E20*$D$6*0.001/1000,2)</f>
        <v>66.08</v>
      </c>
      <c r="F16" s="266">
        <f t="shared" ref="F16:AH16" si="6">ROUND(F$12*F20*$D$6*0.001/1000,2)</f>
        <v>65.569999999999993</v>
      </c>
      <c r="G16" s="266">
        <f t="shared" si="6"/>
        <v>64.7</v>
      </c>
      <c r="H16" s="266">
        <f t="shared" si="6"/>
        <v>63.13</v>
      </c>
      <c r="I16" s="266">
        <f t="shared" si="6"/>
        <v>61.87</v>
      </c>
      <c r="J16" s="266">
        <f t="shared" si="6"/>
        <v>60.84</v>
      </c>
      <c r="K16" s="266">
        <f t="shared" si="6"/>
        <v>59.6</v>
      </c>
      <c r="L16" s="266">
        <f t="shared" si="6"/>
        <v>59.75</v>
      </c>
      <c r="M16" s="266">
        <f t="shared" si="6"/>
        <v>59.9</v>
      </c>
      <c r="N16" s="266">
        <f t="shared" si="6"/>
        <v>60.01</v>
      </c>
      <c r="O16" s="266">
        <f t="shared" si="6"/>
        <v>60.12</v>
      </c>
      <c r="P16" s="266">
        <f t="shared" si="6"/>
        <v>60.22</v>
      </c>
      <c r="Q16" s="266">
        <f t="shared" si="6"/>
        <v>60.29</v>
      </c>
      <c r="R16" s="266">
        <f t="shared" si="6"/>
        <v>60.36</v>
      </c>
      <c r="S16" s="266">
        <f t="shared" si="6"/>
        <v>60.43</v>
      </c>
      <c r="T16" s="266">
        <f t="shared" si="6"/>
        <v>60.47</v>
      </c>
      <c r="U16" s="266">
        <f t="shared" si="6"/>
        <v>60.51</v>
      </c>
      <c r="V16" s="266">
        <f t="shared" si="6"/>
        <v>60.55</v>
      </c>
      <c r="W16" s="266">
        <f t="shared" si="6"/>
        <v>60.85</v>
      </c>
      <c r="X16" s="266">
        <f t="shared" si="6"/>
        <v>61.15</v>
      </c>
      <c r="Y16" s="266">
        <f t="shared" si="6"/>
        <v>61.43</v>
      </c>
      <c r="Z16" s="266">
        <f t="shared" si="6"/>
        <v>61.7</v>
      </c>
      <c r="AA16" s="266">
        <f t="shared" si="6"/>
        <v>61.95</v>
      </c>
      <c r="AB16" s="266">
        <f t="shared" si="6"/>
        <v>62.19</v>
      </c>
      <c r="AC16" s="266">
        <f t="shared" si="6"/>
        <v>62.42</v>
      </c>
      <c r="AD16" s="266">
        <f t="shared" si="6"/>
        <v>62.67</v>
      </c>
      <c r="AE16" s="266">
        <f t="shared" si="6"/>
        <v>62.86</v>
      </c>
      <c r="AF16" s="266">
        <f t="shared" si="6"/>
        <v>63.08</v>
      </c>
      <c r="AG16" s="266">
        <f t="shared" si="6"/>
        <v>63.26</v>
      </c>
      <c r="AH16" s="266">
        <f t="shared" si="6"/>
        <v>63.44</v>
      </c>
      <c r="AI16" s="266">
        <f t="shared" ref="AI16:AM16" si="7">ROUND(AI$12*AI20*$D$6*0.001/1000,2)</f>
        <v>63.62</v>
      </c>
      <c r="AJ16" s="266">
        <f t="shared" si="7"/>
        <v>63.78</v>
      </c>
      <c r="AK16" s="266">
        <f t="shared" si="7"/>
        <v>63.94</v>
      </c>
      <c r="AL16" s="266">
        <f t="shared" si="7"/>
        <v>64.09</v>
      </c>
      <c r="AM16" s="266">
        <f t="shared" si="7"/>
        <v>63.94</v>
      </c>
      <c r="AO16" s="77"/>
    </row>
    <row r="17" spans="1:42" x14ac:dyDescent="0.3">
      <c r="B17" s="1137"/>
      <c r="C17" s="20" t="s">
        <v>332</v>
      </c>
      <c r="D17" s="153" t="s">
        <v>328</v>
      </c>
      <c r="E17" s="266">
        <f>ROUND(E$12*$D$7*E20*0.001/1000,2)</f>
        <v>88.11</v>
      </c>
      <c r="F17" s="266">
        <f t="shared" ref="F17:AM17" si="8">ROUND(F$12*$D$7*0.001/1000,2)</f>
        <v>87.43</v>
      </c>
      <c r="G17" s="266">
        <f t="shared" si="8"/>
        <v>86.26</v>
      </c>
      <c r="H17" s="266">
        <f t="shared" si="8"/>
        <v>84.17</v>
      </c>
      <c r="I17" s="266">
        <f t="shared" si="8"/>
        <v>82.5</v>
      </c>
      <c r="J17" s="266">
        <f t="shared" si="8"/>
        <v>81.11</v>
      </c>
      <c r="K17" s="266">
        <f t="shared" si="8"/>
        <v>79.47</v>
      </c>
      <c r="L17" s="266">
        <f t="shared" si="8"/>
        <v>79.66</v>
      </c>
      <c r="M17" s="266">
        <f t="shared" si="8"/>
        <v>79.86</v>
      </c>
      <c r="N17" s="266">
        <f t="shared" si="8"/>
        <v>80.02</v>
      </c>
      <c r="O17" s="266">
        <f t="shared" si="8"/>
        <v>80.16</v>
      </c>
      <c r="P17" s="266">
        <f t="shared" si="8"/>
        <v>80.3</v>
      </c>
      <c r="Q17" s="266">
        <f t="shared" si="8"/>
        <v>80.39</v>
      </c>
      <c r="R17" s="266">
        <f t="shared" si="8"/>
        <v>80.489999999999995</v>
      </c>
      <c r="S17" s="266">
        <f t="shared" si="8"/>
        <v>80.569999999999993</v>
      </c>
      <c r="T17" s="266">
        <f t="shared" si="8"/>
        <v>80.63</v>
      </c>
      <c r="U17" s="266">
        <f t="shared" si="8"/>
        <v>80.680000000000007</v>
      </c>
      <c r="V17" s="266">
        <f t="shared" si="8"/>
        <v>80.73</v>
      </c>
      <c r="W17" s="266">
        <f t="shared" si="8"/>
        <v>81.13</v>
      </c>
      <c r="X17" s="266">
        <f t="shared" si="8"/>
        <v>81.540000000000006</v>
      </c>
      <c r="Y17" s="266">
        <f t="shared" si="8"/>
        <v>81.91</v>
      </c>
      <c r="Z17" s="266">
        <f t="shared" si="8"/>
        <v>82.26</v>
      </c>
      <c r="AA17" s="266">
        <f t="shared" si="8"/>
        <v>82.6</v>
      </c>
      <c r="AB17" s="266">
        <f t="shared" si="8"/>
        <v>82.93</v>
      </c>
      <c r="AC17" s="266">
        <f t="shared" si="8"/>
        <v>83.23</v>
      </c>
      <c r="AD17" s="266">
        <f t="shared" si="8"/>
        <v>83.55</v>
      </c>
      <c r="AE17" s="266">
        <f t="shared" si="8"/>
        <v>83.82</v>
      </c>
      <c r="AF17" s="266">
        <f t="shared" si="8"/>
        <v>84.1</v>
      </c>
      <c r="AG17" s="266">
        <f t="shared" si="8"/>
        <v>84.34</v>
      </c>
      <c r="AH17" s="266">
        <f t="shared" si="8"/>
        <v>84.59</v>
      </c>
      <c r="AI17" s="266">
        <f t="shared" si="8"/>
        <v>84.83</v>
      </c>
      <c r="AJ17" s="266">
        <f t="shared" si="8"/>
        <v>85.03</v>
      </c>
      <c r="AK17" s="266">
        <f t="shared" si="8"/>
        <v>85.25</v>
      </c>
      <c r="AL17" s="266">
        <f t="shared" si="8"/>
        <v>85.46</v>
      </c>
      <c r="AM17" s="266">
        <f t="shared" si="8"/>
        <v>85.25</v>
      </c>
      <c r="AO17" s="77"/>
    </row>
    <row r="18" spans="1:42" x14ac:dyDescent="0.3">
      <c r="B18" s="1137"/>
      <c r="C18" s="20" t="s">
        <v>326</v>
      </c>
      <c r="D18" s="153" t="s">
        <v>328</v>
      </c>
      <c r="E18" s="266">
        <f>ROUND(E$12*E20*$D$8*0.001/1000,2)</f>
        <v>88.11</v>
      </c>
      <c r="F18" s="266">
        <f t="shared" ref="F18:AH18" si="9">ROUND(F$12*F20*$D$8*0.001/1000,2)</f>
        <v>87.43</v>
      </c>
      <c r="G18" s="266">
        <f t="shared" si="9"/>
        <v>86.26</v>
      </c>
      <c r="H18" s="266">
        <f t="shared" si="9"/>
        <v>84.17</v>
      </c>
      <c r="I18" s="266">
        <f t="shared" si="9"/>
        <v>82.5</v>
      </c>
      <c r="J18" s="266">
        <f t="shared" si="9"/>
        <v>81.11</v>
      </c>
      <c r="K18" s="266">
        <f t="shared" si="9"/>
        <v>79.47</v>
      </c>
      <c r="L18" s="266">
        <f t="shared" si="9"/>
        <v>79.66</v>
      </c>
      <c r="M18" s="266">
        <f t="shared" si="9"/>
        <v>79.86</v>
      </c>
      <c r="N18" s="266">
        <f t="shared" si="9"/>
        <v>80.02</v>
      </c>
      <c r="O18" s="266">
        <f t="shared" si="9"/>
        <v>80.16</v>
      </c>
      <c r="P18" s="266">
        <f t="shared" si="9"/>
        <v>80.3</v>
      </c>
      <c r="Q18" s="266">
        <f t="shared" si="9"/>
        <v>80.39</v>
      </c>
      <c r="R18" s="266">
        <f t="shared" si="9"/>
        <v>80.489999999999995</v>
      </c>
      <c r="S18" s="266">
        <f t="shared" si="9"/>
        <v>80.569999999999993</v>
      </c>
      <c r="T18" s="266">
        <f t="shared" si="9"/>
        <v>80.63</v>
      </c>
      <c r="U18" s="266">
        <f t="shared" si="9"/>
        <v>80.680000000000007</v>
      </c>
      <c r="V18" s="266">
        <f t="shared" si="9"/>
        <v>80.73</v>
      </c>
      <c r="W18" s="266">
        <f t="shared" si="9"/>
        <v>81.13</v>
      </c>
      <c r="X18" s="266">
        <f t="shared" si="9"/>
        <v>81.540000000000006</v>
      </c>
      <c r="Y18" s="266">
        <f t="shared" si="9"/>
        <v>81.91</v>
      </c>
      <c r="Z18" s="266">
        <f t="shared" si="9"/>
        <v>82.26</v>
      </c>
      <c r="AA18" s="266">
        <f t="shared" si="9"/>
        <v>82.6</v>
      </c>
      <c r="AB18" s="266">
        <f t="shared" si="9"/>
        <v>82.93</v>
      </c>
      <c r="AC18" s="266">
        <f t="shared" si="9"/>
        <v>83.23</v>
      </c>
      <c r="AD18" s="266">
        <f t="shared" si="9"/>
        <v>83.55</v>
      </c>
      <c r="AE18" s="266">
        <f t="shared" si="9"/>
        <v>83.82</v>
      </c>
      <c r="AF18" s="266">
        <f t="shared" si="9"/>
        <v>84.1</v>
      </c>
      <c r="AG18" s="266">
        <f t="shared" si="9"/>
        <v>84.34</v>
      </c>
      <c r="AH18" s="266">
        <f t="shared" si="9"/>
        <v>84.59</v>
      </c>
      <c r="AI18" s="266">
        <f t="shared" ref="AI18:AM18" si="10">ROUND(AI$12*AI20*$D$8*0.001/1000,2)</f>
        <v>84.83</v>
      </c>
      <c r="AJ18" s="266">
        <f t="shared" si="10"/>
        <v>85.03</v>
      </c>
      <c r="AK18" s="266">
        <f t="shared" si="10"/>
        <v>85.25</v>
      </c>
      <c r="AL18" s="266">
        <f t="shared" si="10"/>
        <v>85.46</v>
      </c>
      <c r="AM18" s="266">
        <f t="shared" si="10"/>
        <v>85.25</v>
      </c>
      <c r="AO18" s="77"/>
    </row>
    <row r="19" spans="1:42" x14ac:dyDescent="0.3">
      <c r="B19" s="1137"/>
      <c r="C19" s="20" t="s">
        <v>521</v>
      </c>
      <c r="D19" s="153" t="s">
        <v>15</v>
      </c>
      <c r="E19" s="360">
        <v>0</v>
      </c>
      <c r="F19" s="360">
        <v>0</v>
      </c>
      <c r="G19" s="360">
        <v>0</v>
      </c>
      <c r="H19" s="360">
        <v>0</v>
      </c>
      <c r="I19" s="360">
        <v>0</v>
      </c>
      <c r="J19" s="360">
        <v>0</v>
      </c>
      <c r="K19" s="360">
        <v>0</v>
      </c>
      <c r="L19" s="360">
        <v>0</v>
      </c>
      <c r="M19" s="360">
        <v>0</v>
      </c>
      <c r="N19" s="360">
        <v>0</v>
      </c>
      <c r="O19" s="360">
        <v>0</v>
      </c>
      <c r="P19" s="360">
        <v>0</v>
      </c>
      <c r="Q19" s="360">
        <v>0</v>
      </c>
      <c r="R19" s="360">
        <v>0</v>
      </c>
      <c r="S19" s="360">
        <v>0</v>
      </c>
      <c r="T19" s="360">
        <v>0</v>
      </c>
      <c r="U19" s="360">
        <v>0</v>
      </c>
      <c r="V19" s="360">
        <v>0</v>
      </c>
      <c r="W19" s="360">
        <v>0</v>
      </c>
      <c r="X19" s="360">
        <v>0</v>
      </c>
      <c r="Y19" s="360">
        <v>0</v>
      </c>
      <c r="Z19" s="360">
        <v>0</v>
      </c>
      <c r="AA19" s="360">
        <v>0</v>
      </c>
      <c r="AB19" s="360">
        <v>0</v>
      </c>
      <c r="AC19" s="360">
        <v>0</v>
      </c>
      <c r="AD19" s="360">
        <v>0</v>
      </c>
      <c r="AE19" s="360">
        <v>0</v>
      </c>
      <c r="AF19" s="360">
        <v>0</v>
      </c>
      <c r="AG19" s="360">
        <v>0</v>
      </c>
      <c r="AH19" s="360">
        <v>0</v>
      </c>
      <c r="AI19" s="360">
        <v>0</v>
      </c>
      <c r="AJ19" s="360">
        <v>0</v>
      </c>
      <c r="AK19" s="360">
        <v>0</v>
      </c>
      <c r="AL19" s="360">
        <v>0</v>
      </c>
      <c r="AM19" s="360">
        <v>0</v>
      </c>
      <c r="AO19" s="77"/>
    </row>
    <row r="20" spans="1:42" x14ac:dyDescent="0.3">
      <c r="B20" s="1137"/>
      <c r="C20" s="20" t="s">
        <v>325</v>
      </c>
      <c r="D20" s="153" t="s">
        <v>15</v>
      </c>
      <c r="E20" s="261">
        <f>1-E19</f>
        <v>1</v>
      </c>
      <c r="F20" s="261">
        <f t="shared" ref="F20:AM20" si="11">1-F19</f>
        <v>1</v>
      </c>
      <c r="G20" s="261">
        <f t="shared" si="11"/>
        <v>1</v>
      </c>
      <c r="H20" s="261">
        <f t="shared" si="11"/>
        <v>1</v>
      </c>
      <c r="I20" s="261">
        <f t="shared" si="11"/>
        <v>1</v>
      </c>
      <c r="J20" s="261">
        <f t="shared" si="11"/>
        <v>1</v>
      </c>
      <c r="K20" s="261">
        <f t="shared" si="11"/>
        <v>1</v>
      </c>
      <c r="L20" s="261">
        <f t="shared" si="11"/>
        <v>1</v>
      </c>
      <c r="M20" s="261">
        <f t="shared" si="11"/>
        <v>1</v>
      </c>
      <c r="N20" s="261">
        <f t="shared" si="11"/>
        <v>1</v>
      </c>
      <c r="O20" s="261">
        <f t="shared" si="11"/>
        <v>1</v>
      </c>
      <c r="P20" s="261">
        <f t="shared" si="11"/>
        <v>1</v>
      </c>
      <c r="Q20" s="261">
        <f t="shared" si="11"/>
        <v>1</v>
      </c>
      <c r="R20" s="261">
        <f t="shared" si="11"/>
        <v>1</v>
      </c>
      <c r="S20" s="261">
        <f t="shared" si="11"/>
        <v>1</v>
      </c>
      <c r="T20" s="261">
        <f t="shared" si="11"/>
        <v>1</v>
      </c>
      <c r="U20" s="261">
        <f t="shared" si="11"/>
        <v>1</v>
      </c>
      <c r="V20" s="261">
        <f t="shared" si="11"/>
        <v>1</v>
      </c>
      <c r="W20" s="261">
        <f t="shared" si="11"/>
        <v>1</v>
      </c>
      <c r="X20" s="261">
        <f t="shared" si="11"/>
        <v>1</v>
      </c>
      <c r="Y20" s="261">
        <f t="shared" si="11"/>
        <v>1</v>
      </c>
      <c r="Z20" s="261">
        <f t="shared" si="11"/>
        <v>1</v>
      </c>
      <c r="AA20" s="261">
        <f t="shared" si="11"/>
        <v>1</v>
      </c>
      <c r="AB20" s="261">
        <f t="shared" si="11"/>
        <v>1</v>
      </c>
      <c r="AC20" s="261">
        <f t="shared" si="11"/>
        <v>1</v>
      </c>
      <c r="AD20" s="261">
        <f t="shared" si="11"/>
        <v>1</v>
      </c>
      <c r="AE20" s="261">
        <f t="shared" si="11"/>
        <v>1</v>
      </c>
      <c r="AF20" s="261">
        <f t="shared" si="11"/>
        <v>1</v>
      </c>
      <c r="AG20" s="261">
        <f t="shared" si="11"/>
        <v>1</v>
      </c>
      <c r="AH20" s="261">
        <f t="shared" si="11"/>
        <v>1</v>
      </c>
      <c r="AI20" s="261">
        <f t="shared" si="11"/>
        <v>1</v>
      </c>
      <c r="AJ20" s="261">
        <f t="shared" si="11"/>
        <v>1</v>
      </c>
      <c r="AK20" s="261">
        <f t="shared" si="11"/>
        <v>1</v>
      </c>
      <c r="AL20" s="261">
        <f t="shared" si="11"/>
        <v>1</v>
      </c>
      <c r="AM20" s="261">
        <f t="shared" si="11"/>
        <v>1</v>
      </c>
      <c r="AO20" s="77"/>
    </row>
    <row r="21" spans="1:42" x14ac:dyDescent="0.3">
      <c r="B21" s="1137"/>
      <c r="C21" s="20"/>
      <c r="D21" s="20" t="s">
        <v>312</v>
      </c>
      <c r="E21" s="262">
        <f>E13*$F$3+E14*$F$4+E15*$F$5+E16*$F$6+E17*$F$7+E18*$F$8</f>
        <v>1377653.6087</v>
      </c>
      <c r="F21" s="262">
        <f t="shared" ref="F21:AM21" si="12">F13*$F$3+F14*$F$4+F15*$F$5+F16*$F$6+F17*$F$7+F18*$F$8</f>
        <v>1367026.9143000003</v>
      </c>
      <c r="G21" s="262">
        <f t="shared" si="12"/>
        <v>1348786.5868000002</v>
      </c>
      <c r="H21" s="262">
        <f t="shared" si="12"/>
        <v>1316051.5109000001</v>
      </c>
      <c r="I21" s="262">
        <f t="shared" si="12"/>
        <v>1289893.4893</v>
      </c>
      <c r="J21" s="262">
        <f t="shared" si="12"/>
        <v>1268240.4864000001</v>
      </c>
      <c r="K21" s="262">
        <f t="shared" si="12"/>
        <v>1242576.4164999998</v>
      </c>
      <c r="L21" s="262">
        <f t="shared" si="12"/>
        <v>1245594.1910999999</v>
      </c>
      <c r="M21" s="262">
        <f t="shared" si="12"/>
        <v>1248728.9239999999</v>
      </c>
      <c r="N21" s="262">
        <f t="shared" si="12"/>
        <v>1251104.9568</v>
      </c>
      <c r="O21" s="262">
        <f t="shared" si="12"/>
        <v>1253368.8084</v>
      </c>
      <c r="P21" s="262">
        <f t="shared" si="12"/>
        <v>1255487.5644</v>
      </c>
      <c r="Q21" s="262">
        <f t="shared" si="12"/>
        <v>1256951.4483</v>
      </c>
      <c r="R21" s="262">
        <f t="shared" si="12"/>
        <v>1258481.9788000002</v>
      </c>
      <c r="S21" s="262">
        <f t="shared" si="12"/>
        <v>1259753.2137</v>
      </c>
      <c r="T21" s="262">
        <f t="shared" si="12"/>
        <v>1260699.7856999999</v>
      </c>
      <c r="U21" s="262">
        <f t="shared" si="12"/>
        <v>1261474.3744000001</v>
      </c>
      <c r="V21" s="262">
        <f t="shared" si="12"/>
        <v>1262253.6764</v>
      </c>
      <c r="W21" s="262">
        <f t="shared" si="12"/>
        <v>1268497.7631999999</v>
      </c>
      <c r="X21" s="262">
        <f t="shared" si="12"/>
        <v>1274858.8083000001</v>
      </c>
      <c r="Y21" s="262">
        <f t="shared" si="12"/>
        <v>1280730.6787999999</v>
      </c>
      <c r="Z21" s="262">
        <f t="shared" si="12"/>
        <v>1286244.2028000001</v>
      </c>
      <c r="AA21" s="262">
        <f t="shared" si="12"/>
        <v>1291497.6916999999</v>
      </c>
      <c r="AB21" s="262">
        <f t="shared" si="12"/>
        <v>1296610.8621</v>
      </c>
      <c r="AC21" s="262">
        <f t="shared" si="12"/>
        <v>1301349.7974</v>
      </c>
      <c r="AD21" s="262">
        <f t="shared" si="12"/>
        <v>1306390.0353999999</v>
      </c>
      <c r="AE21" s="262">
        <f t="shared" si="12"/>
        <v>1310512.6078999997</v>
      </c>
      <c r="AF21" s="262">
        <f t="shared" si="12"/>
        <v>1314994.2664000001</v>
      </c>
      <c r="AG21" s="262">
        <f t="shared" si="12"/>
        <v>1318742.6038000002</v>
      </c>
      <c r="AH21" s="262">
        <f t="shared" si="12"/>
        <v>1322628.5652000001</v>
      </c>
      <c r="AI21" s="262">
        <f t="shared" si="12"/>
        <v>1326376.9025999999</v>
      </c>
      <c r="AJ21" s="262">
        <f t="shared" si="12"/>
        <v>1329534.9956999999</v>
      </c>
      <c r="AK21" s="262">
        <f t="shared" si="12"/>
        <v>1332901.6264</v>
      </c>
      <c r="AL21" s="262">
        <f t="shared" si="12"/>
        <v>1336173.9833</v>
      </c>
      <c r="AM21" s="262">
        <f t="shared" si="12"/>
        <v>1332922.2921</v>
      </c>
      <c r="AO21" s="77"/>
    </row>
    <row r="22" spans="1:42" x14ac:dyDescent="0.3">
      <c r="B22" s="1137" t="s">
        <v>4</v>
      </c>
      <c r="C22" s="20" t="s">
        <v>329</v>
      </c>
      <c r="D22" s="153" t="s">
        <v>308</v>
      </c>
      <c r="E22" s="260">
        <f>'Base Física'!F68</f>
        <v>0</v>
      </c>
      <c r="F22" s="260">
        <f>'Base Física'!G68</f>
        <v>606526</v>
      </c>
      <c r="G22" s="260">
        <f>'Base Física'!H68</f>
        <v>1229379</v>
      </c>
      <c r="H22" s="260">
        <f>'Base Física'!I68</f>
        <v>1867572</v>
      </c>
      <c r="I22" s="260">
        <f>'Base Física'!J68</f>
        <v>2521015</v>
      </c>
      <c r="J22" s="260">
        <f>'Base Física'!K68</f>
        <v>2710188</v>
      </c>
      <c r="K22" s="260">
        <f>'Base Física'!L68</f>
        <v>2902038</v>
      </c>
      <c r="L22" s="260">
        <f>'Base Física'!M68</f>
        <v>2998684</v>
      </c>
      <c r="M22" s="260">
        <f>'Base Física'!N68</f>
        <v>3096500</v>
      </c>
      <c r="N22" s="260">
        <f>'Base Física'!O68</f>
        <v>3194080</v>
      </c>
      <c r="O22" s="260">
        <f>'Base Física'!P68</f>
        <v>3291967</v>
      </c>
      <c r="P22" s="260">
        <f>'Base Física'!Q68</f>
        <v>3390282</v>
      </c>
      <c r="Q22" s="260">
        <f>'Base Física'!R68</f>
        <v>3419692</v>
      </c>
      <c r="R22" s="260">
        <f>'Base Física'!S68</f>
        <v>3448570</v>
      </c>
      <c r="S22" s="260">
        <f>'Base Física'!T68</f>
        <v>3476602</v>
      </c>
      <c r="T22" s="260">
        <f>'Base Física'!U68</f>
        <v>3503419</v>
      </c>
      <c r="U22" s="260">
        <f>'Base Física'!V68</f>
        <v>3529071</v>
      </c>
      <c r="V22" s="260">
        <f>'Base Física'!W68</f>
        <v>3554438</v>
      </c>
      <c r="W22" s="260">
        <f>'Base Física'!X68</f>
        <v>3578227</v>
      </c>
      <c r="X22" s="260">
        <f>'Base Física'!Y68</f>
        <v>3601963</v>
      </c>
      <c r="Y22" s="260">
        <f>'Base Física'!Z68</f>
        <v>3624271</v>
      </c>
      <c r="Z22" s="260">
        <f>'Base Física'!AA68</f>
        <v>3645596</v>
      </c>
      <c r="AA22" s="260">
        <f>'Base Física'!AB68</f>
        <v>3666106</v>
      </c>
      <c r="AB22" s="260">
        <f>'Base Física'!AC68</f>
        <v>3685903</v>
      </c>
      <c r="AC22" s="260">
        <f>'Base Física'!AD68</f>
        <v>3704930</v>
      </c>
      <c r="AD22" s="260">
        <f>'Base Física'!AE68</f>
        <v>3723924</v>
      </c>
      <c r="AE22" s="260">
        <f>'Base Física'!AF68</f>
        <v>3740778</v>
      </c>
      <c r="AF22" s="260">
        <f>'Base Física'!AG68</f>
        <v>3758258</v>
      </c>
      <c r="AG22" s="260">
        <f>'Base Física'!AH68</f>
        <v>3773842</v>
      </c>
      <c r="AH22" s="260">
        <f>'Base Física'!AI68</f>
        <v>3789428</v>
      </c>
      <c r="AI22" s="260">
        <f>'Base Física'!AJ68</f>
        <v>3804235</v>
      </c>
      <c r="AJ22" s="260">
        <f>'Base Física'!AK68</f>
        <v>3818028</v>
      </c>
      <c r="AK22" s="260">
        <f>'Base Física'!AL68</f>
        <v>3831667</v>
      </c>
      <c r="AL22" s="260">
        <f>'Base Física'!AM68</f>
        <v>3839331</v>
      </c>
      <c r="AM22" s="260">
        <f>'Base Física'!AN68</f>
        <v>3837780</v>
      </c>
      <c r="AO22" s="77"/>
    </row>
    <row r="23" spans="1:42" x14ac:dyDescent="0.3">
      <c r="B23" s="1137"/>
      <c r="C23" s="20" t="s">
        <v>323</v>
      </c>
      <c r="D23" s="153" t="s">
        <v>328</v>
      </c>
      <c r="E23" s="265">
        <f>ROUND(E$22*$D$4*0.001/1000,2)</f>
        <v>0</v>
      </c>
      <c r="F23" s="265">
        <f t="shared" ref="F23:AM23" si="13">ROUND(F$22*$D$4*0.001/1000,2)</f>
        <v>3.03</v>
      </c>
      <c r="G23" s="265">
        <f t="shared" si="13"/>
        <v>6.15</v>
      </c>
      <c r="H23" s="265">
        <f t="shared" si="13"/>
        <v>9.34</v>
      </c>
      <c r="I23" s="265">
        <f t="shared" si="13"/>
        <v>12.61</v>
      </c>
      <c r="J23" s="265">
        <f t="shared" si="13"/>
        <v>13.55</v>
      </c>
      <c r="K23" s="265">
        <f t="shared" si="13"/>
        <v>14.51</v>
      </c>
      <c r="L23" s="265">
        <f t="shared" si="13"/>
        <v>14.99</v>
      </c>
      <c r="M23" s="265">
        <f t="shared" si="13"/>
        <v>15.48</v>
      </c>
      <c r="N23" s="265">
        <f t="shared" si="13"/>
        <v>15.97</v>
      </c>
      <c r="O23" s="265">
        <f t="shared" si="13"/>
        <v>16.46</v>
      </c>
      <c r="P23" s="265">
        <f t="shared" si="13"/>
        <v>16.95</v>
      </c>
      <c r="Q23" s="265">
        <f t="shared" si="13"/>
        <v>17.100000000000001</v>
      </c>
      <c r="R23" s="265">
        <f t="shared" si="13"/>
        <v>17.239999999999998</v>
      </c>
      <c r="S23" s="265">
        <f t="shared" si="13"/>
        <v>17.38</v>
      </c>
      <c r="T23" s="265">
        <f t="shared" si="13"/>
        <v>17.52</v>
      </c>
      <c r="U23" s="265">
        <f t="shared" si="13"/>
        <v>17.649999999999999</v>
      </c>
      <c r="V23" s="265">
        <f t="shared" si="13"/>
        <v>17.77</v>
      </c>
      <c r="W23" s="265">
        <f t="shared" si="13"/>
        <v>17.89</v>
      </c>
      <c r="X23" s="265">
        <f t="shared" si="13"/>
        <v>18.010000000000002</v>
      </c>
      <c r="Y23" s="265">
        <f t="shared" si="13"/>
        <v>18.12</v>
      </c>
      <c r="Z23" s="265">
        <f t="shared" si="13"/>
        <v>18.23</v>
      </c>
      <c r="AA23" s="265">
        <f t="shared" si="13"/>
        <v>18.329999999999998</v>
      </c>
      <c r="AB23" s="265">
        <f t="shared" si="13"/>
        <v>18.43</v>
      </c>
      <c r="AC23" s="265">
        <f t="shared" si="13"/>
        <v>18.52</v>
      </c>
      <c r="AD23" s="265">
        <f t="shared" si="13"/>
        <v>18.62</v>
      </c>
      <c r="AE23" s="265">
        <f t="shared" si="13"/>
        <v>18.7</v>
      </c>
      <c r="AF23" s="265">
        <f t="shared" si="13"/>
        <v>18.79</v>
      </c>
      <c r="AG23" s="265">
        <f t="shared" si="13"/>
        <v>18.87</v>
      </c>
      <c r="AH23" s="265">
        <f t="shared" si="13"/>
        <v>18.95</v>
      </c>
      <c r="AI23" s="265">
        <f t="shared" si="13"/>
        <v>19.02</v>
      </c>
      <c r="AJ23" s="265">
        <f t="shared" si="13"/>
        <v>19.09</v>
      </c>
      <c r="AK23" s="265">
        <f t="shared" si="13"/>
        <v>19.16</v>
      </c>
      <c r="AL23" s="265">
        <f t="shared" si="13"/>
        <v>19.2</v>
      </c>
      <c r="AM23" s="265">
        <f t="shared" si="13"/>
        <v>19.190000000000001</v>
      </c>
      <c r="AO23" s="77"/>
    </row>
    <row r="24" spans="1:42" x14ac:dyDescent="0.3">
      <c r="B24" s="1137"/>
      <c r="C24" s="20" t="s">
        <v>326</v>
      </c>
      <c r="D24" s="153" t="s">
        <v>328</v>
      </c>
      <c r="E24" s="265">
        <f>ROUND(E$22*$D$7*0.001/1000,2)</f>
        <v>0</v>
      </c>
      <c r="F24" s="265">
        <f t="shared" ref="F24:AM24" si="14">ROUND(F$22*$D$7*0.001/1000,2)</f>
        <v>12.13</v>
      </c>
      <c r="G24" s="265">
        <f t="shared" si="14"/>
        <v>24.59</v>
      </c>
      <c r="H24" s="265">
        <f t="shared" si="14"/>
        <v>37.35</v>
      </c>
      <c r="I24" s="265">
        <f t="shared" si="14"/>
        <v>50.42</v>
      </c>
      <c r="J24" s="265">
        <f t="shared" si="14"/>
        <v>54.2</v>
      </c>
      <c r="K24" s="265">
        <f t="shared" si="14"/>
        <v>58.04</v>
      </c>
      <c r="L24" s="265">
        <f t="shared" si="14"/>
        <v>59.97</v>
      </c>
      <c r="M24" s="265">
        <f t="shared" si="14"/>
        <v>61.93</v>
      </c>
      <c r="N24" s="265">
        <f t="shared" si="14"/>
        <v>63.88</v>
      </c>
      <c r="O24" s="265">
        <f t="shared" si="14"/>
        <v>65.84</v>
      </c>
      <c r="P24" s="265">
        <f t="shared" si="14"/>
        <v>67.81</v>
      </c>
      <c r="Q24" s="265">
        <f t="shared" si="14"/>
        <v>68.39</v>
      </c>
      <c r="R24" s="265">
        <f t="shared" si="14"/>
        <v>68.97</v>
      </c>
      <c r="S24" s="265">
        <f t="shared" si="14"/>
        <v>69.53</v>
      </c>
      <c r="T24" s="265">
        <f t="shared" si="14"/>
        <v>70.069999999999993</v>
      </c>
      <c r="U24" s="265">
        <f t="shared" si="14"/>
        <v>70.58</v>
      </c>
      <c r="V24" s="265">
        <f t="shared" si="14"/>
        <v>71.09</v>
      </c>
      <c r="W24" s="265">
        <f t="shared" si="14"/>
        <v>71.56</v>
      </c>
      <c r="X24" s="265">
        <f t="shared" si="14"/>
        <v>72.040000000000006</v>
      </c>
      <c r="Y24" s="265">
        <f t="shared" si="14"/>
        <v>72.489999999999995</v>
      </c>
      <c r="Z24" s="265">
        <f t="shared" si="14"/>
        <v>72.91</v>
      </c>
      <c r="AA24" s="265">
        <f t="shared" si="14"/>
        <v>73.319999999999993</v>
      </c>
      <c r="AB24" s="265">
        <f t="shared" si="14"/>
        <v>73.72</v>
      </c>
      <c r="AC24" s="265">
        <f t="shared" si="14"/>
        <v>74.099999999999994</v>
      </c>
      <c r="AD24" s="265">
        <f t="shared" si="14"/>
        <v>74.48</v>
      </c>
      <c r="AE24" s="265">
        <f t="shared" si="14"/>
        <v>74.819999999999993</v>
      </c>
      <c r="AF24" s="265">
        <f t="shared" si="14"/>
        <v>75.17</v>
      </c>
      <c r="AG24" s="265">
        <f t="shared" si="14"/>
        <v>75.48</v>
      </c>
      <c r="AH24" s="265">
        <f t="shared" si="14"/>
        <v>75.790000000000006</v>
      </c>
      <c r="AI24" s="265">
        <f t="shared" si="14"/>
        <v>76.08</v>
      </c>
      <c r="AJ24" s="265">
        <f t="shared" si="14"/>
        <v>76.36</v>
      </c>
      <c r="AK24" s="265">
        <f t="shared" si="14"/>
        <v>76.63</v>
      </c>
      <c r="AL24" s="265">
        <f t="shared" si="14"/>
        <v>76.790000000000006</v>
      </c>
      <c r="AM24" s="265">
        <f t="shared" si="14"/>
        <v>76.760000000000005</v>
      </c>
      <c r="AO24" s="77"/>
    </row>
    <row r="25" spans="1:42" x14ac:dyDescent="0.3">
      <c r="B25" s="1137"/>
      <c r="C25" s="20"/>
      <c r="D25" s="20" t="s">
        <v>312</v>
      </c>
      <c r="E25" s="262">
        <f>E23*$F$4+E24*$F$8</f>
        <v>0</v>
      </c>
      <c r="F25" s="262">
        <f t="shared" ref="F25:AM25" si="15">F23*$F$4+F24*$F$8</f>
        <v>96051.374800000005</v>
      </c>
      <c r="G25" s="262">
        <f t="shared" si="15"/>
        <v>194773.1366</v>
      </c>
      <c r="H25" s="262">
        <f t="shared" si="15"/>
        <v>295833.07030000002</v>
      </c>
      <c r="I25" s="262">
        <f t="shared" si="15"/>
        <v>399367.14449999999</v>
      </c>
      <c r="J25" s="262">
        <f t="shared" si="15"/>
        <v>429267.1165</v>
      </c>
      <c r="K25" s="262">
        <f t="shared" si="15"/>
        <v>459680.1373</v>
      </c>
      <c r="L25" s="262">
        <f t="shared" si="15"/>
        <v>474946.92560000002</v>
      </c>
      <c r="M25" s="262">
        <f t="shared" si="15"/>
        <v>490470.23830000003</v>
      </c>
      <c r="N25" s="262">
        <f t="shared" si="15"/>
        <v>505933.27309999999</v>
      </c>
      <c r="O25" s="262">
        <f t="shared" si="15"/>
        <v>521456.5858</v>
      </c>
      <c r="P25" s="262">
        <f t="shared" si="15"/>
        <v>537040.1764</v>
      </c>
      <c r="Q25" s="262">
        <f t="shared" si="15"/>
        <v>541671.65510000009</v>
      </c>
      <c r="R25" s="262">
        <f t="shared" si="15"/>
        <v>546227.44310000003</v>
      </c>
      <c r="S25" s="262">
        <f t="shared" si="15"/>
        <v>550662.6753</v>
      </c>
      <c r="T25" s="262">
        <f t="shared" si="15"/>
        <v>554977.3517</v>
      </c>
      <c r="U25" s="262">
        <f t="shared" si="15"/>
        <v>559035.5037</v>
      </c>
      <c r="V25" s="262">
        <f t="shared" si="15"/>
        <v>563017.96500000008</v>
      </c>
      <c r="W25" s="262">
        <f t="shared" si="15"/>
        <v>566759.31469999999</v>
      </c>
      <c r="X25" s="262">
        <f t="shared" si="15"/>
        <v>570560.9423</v>
      </c>
      <c r="Y25" s="262">
        <f t="shared" si="15"/>
        <v>574106.04550000001</v>
      </c>
      <c r="Z25" s="262">
        <f t="shared" si="15"/>
        <v>577470.31499999994</v>
      </c>
      <c r="AA25" s="262">
        <f t="shared" si="15"/>
        <v>580698.61589999998</v>
      </c>
      <c r="AB25" s="262">
        <f t="shared" si="15"/>
        <v>583866.63890000002</v>
      </c>
      <c r="AC25" s="262">
        <f t="shared" si="15"/>
        <v>586838.41539999994</v>
      </c>
      <c r="AD25" s="262">
        <f t="shared" si="15"/>
        <v>589885.88260000001</v>
      </c>
      <c r="AE25" s="262">
        <f t="shared" si="15"/>
        <v>592540.85679999995</v>
      </c>
      <c r="AF25" s="262">
        <f t="shared" si="15"/>
        <v>595331.79960000003</v>
      </c>
      <c r="AG25" s="262">
        <f t="shared" si="15"/>
        <v>597805.94010000001</v>
      </c>
      <c r="AH25" s="262">
        <f t="shared" si="15"/>
        <v>600280.08059999999</v>
      </c>
      <c r="AI25" s="262">
        <f t="shared" si="15"/>
        <v>602557.97459999996</v>
      </c>
      <c r="AJ25" s="262">
        <f t="shared" si="15"/>
        <v>604775.59070000006</v>
      </c>
      <c r="AK25" s="262">
        <f t="shared" si="15"/>
        <v>606932.92889999994</v>
      </c>
      <c r="AL25" s="262">
        <f t="shared" si="15"/>
        <v>608200.13809999998</v>
      </c>
      <c r="AM25" s="262">
        <f t="shared" si="15"/>
        <v>607943.6137000001</v>
      </c>
    </row>
    <row r="26" spans="1:42" hidden="1" x14ac:dyDescent="0.3">
      <c r="B26" s="20"/>
      <c r="C26" s="20"/>
      <c r="D26" s="20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7"/>
      <c r="T26" s="267"/>
      <c r="U26" s="267"/>
      <c r="V26" s="267"/>
      <c r="W26" s="267"/>
      <c r="X26" s="267"/>
      <c r="Y26" s="267"/>
      <c r="Z26" s="267"/>
      <c r="AA26" s="267"/>
      <c r="AB26" s="267"/>
      <c r="AC26" s="267"/>
      <c r="AD26" s="267"/>
      <c r="AE26" s="267"/>
      <c r="AF26" s="267"/>
      <c r="AG26" s="267"/>
      <c r="AH26" s="267"/>
      <c r="AI26" s="267"/>
      <c r="AJ26" s="267"/>
      <c r="AK26" s="267"/>
      <c r="AL26" s="267"/>
      <c r="AM26" s="267"/>
    </row>
    <row r="27" spans="1:42" x14ac:dyDescent="0.3">
      <c r="A27" s="46"/>
      <c r="B27" s="1147" t="s">
        <v>5</v>
      </c>
      <c r="C27" s="1147"/>
      <c r="D27" s="1147"/>
      <c r="E27" s="264">
        <f t="shared" ref="E27:AH27" si="16">E21+E25</f>
        <v>1377653.6087</v>
      </c>
      <c r="F27" s="264">
        <f t="shared" si="16"/>
        <v>1463078.2891000004</v>
      </c>
      <c r="G27" s="264">
        <f t="shared" si="16"/>
        <v>1543559.7234000002</v>
      </c>
      <c r="H27" s="264">
        <f t="shared" si="16"/>
        <v>1611884.5812000001</v>
      </c>
      <c r="I27" s="264">
        <f t="shared" si="16"/>
        <v>1689260.6338</v>
      </c>
      <c r="J27" s="264">
        <f t="shared" si="16"/>
        <v>1697507.6029000001</v>
      </c>
      <c r="K27" s="264">
        <f t="shared" si="16"/>
        <v>1702256.5537999999</v>
      </c>
      <c r="L27" s="264">
        <f t="shared" si="16"/>
        <v>1720541.1166999999</v>
      </c>
      <c r="M27" s="264">
        <f t="shared" si="16"/>
        <v>1739199.1623</v>
      </c>
      <c r="N27" s="264">
        <f t="shared" si="16"/>
        <v>1757038.2299000002</v>
      </c>
      <c r="O27" s="264">
        <f t="shared" si="16"/>
        <v>1774825.3942</v>
      </c>
      <c r="P27" s="264">
        <f t="shared" si="16"/>
        <v>1792527.7408</v>
      </c>
      <c r="Q27" s="264">
        <f t="shared" si="16"/>
        <v>1798623.1034000001</v>
      </c>
      <c r="R27" s="264">
        <f t="shared" si="16"/>
        <v>1804709.4219000002</v>
      </c>
      <c r="S27" s="264">
        <f t="shared" si="16"/>
        <v>1810415.889</v>
      </c>
      <c r="T27" s="264">
        <f t="shared" si="16"/>
        <v>1815677.1373999999</v>
      </c>
      <c r="U27" s="264">
        <f t="shared" si="16"/>
        <v>1820509.8781000001</v>
      </c>
      <c r="V27" s="264">
        <f t="shared" si="16"/>
        <v>1825271.6414000001</v>
      </c>
      <c r="W27" s="264">
        <f t="shared" si="16"/>
        <v>1835257.0778999999</v>
      </c>
      <c r="X27" s="264">
        <f t="shared" si="16"/>
        <v>1845419.7506000001</v>
      </c>
      <c r="Y27" s="264">
        <f t="shared" si="16"/>
        <v>1854836.7242999999</v>
      </c>
      <c r="Z27" s="264">
        <f t="shared" si="16"/>
        <v>1863714.5178</v>
      </c>
      <c r="AA27" s="264">
        <f t="shared" si="16"/>
        <v>1872196.3075999999</v>
      </c>
      <c r="AB27" s="264">
        <f t="shared" si="16"/>
        <v>1880477.5010000002</v>
      </c>
      <c r="AC27" s="264">
        <f t="shared" si="16"/>
        <v>1888188.2127999999</v>
      </c>
      <c r="AD27" s="264">
        <f t="shared" si="16"/>
        <v>1896275.9180000001</v>
      </c>
      <c r="AE27" s="264">
        <f t="shared" si="16"/>
        <v>1903053.4646999997</v>
      </c>
      <c r="AF27" s="264">
        <f t="shared" si="16"/>
        <v>1910326.0660000001</v>
      </c>
      <c r="AG27" s="264">
        <f t="shared" si="16"/>
        <v>1916548.5439000002</v>
      </c>
      <c r="AH27" s="264">
        <f t="shared" si="16"/>
        <v>1922908.6458000001</v>
      </c>
      <c r="AI27" s="264">
        <f t="shared" ref="AI27:AM27" si="17">AI21+AI25</f>
        <v>1928934.8772</v>
      </c>
      <c r="AJ27" s="264">
        <f t="shared" si="17"/>
        <v>1934310.5863999999</v>
      </c>
      <c r="AK27" s="264">
        <f t="shared" si="17"/>
        <v>1939834.5552999999</v>
      </c>
      <c r="AL27" s="264">
        <f t="shared" si="17"/>
        <v>1944374.1214000001</v>
      </c>
      <c r="AM27" s="264">
        <f t="shared" si="17"/>
        <v>1940865.9058000001</v>
      </c>
      <c r="AO27" s="134"/>
      <c r="AP27" s="134"/>
    </row>
    <row r="28" spans="1:42" x14ac:dyDescent="0.3">
      <c r="E28" s="77"/>
    </row>
    <row r="29" spans="1:42" x14ac:dyDescent="0.3">
      <c r="E29" s="77"/>
    </row>
    <row r="30" spans="1:42" x14ac:dyDescent="0.3">
      <c r="E30" s="77"/>
    </row>
    <row r="31" spans="1:42" x14ac:dyDescent="0.3">
      <c r="E31" s="77"/>
    </row>
  </sheetData>
  <mergeCells count="6">
    <mergeCell ref="D2:E2"/>
    <mergeCell ref="B12:B21"/>
    <mergeCell ref="B22:B25"/>
    <mergeCell ref="B27:D27"/>
    <mergeCell ref="B10:C11"/>
    <mergeCell ref="D10:D11"/>
  </mergeCells>
  <pageMargins left="0.511811024" right="0.511811024" top="0.78740157499999996" bottom="0.78740157499999996" header="0.31496062000000002" footer="0.3149606200000000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M13"/>
  <sheetViews>
    <sheetView showGridLines="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F15" sqref="F15"/>
    </sheetView>
  </sheetViews>
  <sheetFormatPr defaultRowHeight="14.4" x14ac:dyDescent="0.3"/>
  <cols>
    <col min="1" max="1" width="14.88671875" bestFit="1" customWidth="1"/>
    <col min="2" max="2" width="18.44140625" customWidth="1"/>
    <col min="3" max="3" width="33" customWidth="1"/>
    <col min="4" max="4" width="14.109375" customWidth="1"/>
    <col min="5" max="34" width="15.6640625" customWidth="1"/>
    <col min="35" max="39" width="12.109375" bestFit="1" customWidth="1"/>
  </cols>
  <sheetData>
    <row r="1" spans="1:39" s="18" customFormat="1" x14ac:dyDescent="0.3">
      <c r="A1" s="318" t="s">
        <v>522</v>
      </c>
      <c r="B1" s="1149" t="s">
        <v>340</v>
      </c>
      <c r="C1" s="1149"/>
      <c r="D1" s="129" t="s">
        <v>15</v>
      </c>
      <c r="H1" s="84"/>
    </row>
    <row r="2" spans="1:39" s="18" customFormat="1" x14ac:dyDescent="0.3">
      <c r="A2" s="147" t="s">
        <v>528</v>
      </c>
      <c r="B2" s="130">
        <v>1</v>
      </c>
      <c r="C2" s="130" t="s">
        <v>371</v>
      </c>
      <c r="D2" s="364">
        <v>5.0000000000000001E-3</v>
      </c>
      <c r="H2" s="84"/>
    </row>
    <row r="3" spans="1:39" s="18" customFormat="1" x14ac:dyDescent="0.3">
      <c r="A3" s="222" t="s">
        <v>524</v>
      </c>
      <c r="B3" s="268">
        <v>2</v>
      </c>
      <c r="C3" s="268" t="s">
        <v>372</v>
      </c>
      <c r="D3" s="365">
        <f>'FCD PROJETO'!J17</f>
        <v>5.0000000000000001E-3</v>
      </c>
      <c r="H3" s="84"/>
    </row>
    <row r="4" spans="1:39" s="18" customFormat="1" ht="12" x14ac:dyDescent="0.25">
      <c r="B4" s="1120" t="s">
        <v>215</v>
      </c>
      <c r="C4" s="1120"/>
      <c r="D4" s="1120" t="s">
        <v>216</v>
      </c>
      <c r="E4" s="138">
        <f>'FCD PROJETO'!F23</f>
        <v>1</v>
      </c>
      <c r="F4" s="138">
        <f>'FCD PROJETO'!G23</f>
        <v>2</v>
      </c>
      <c r="G4" s="138">
        <f>'FCD PROJETO'!H23</f>
        <v>3</v>
      </c>
      <c r="H4" s="138">
        <f>'FCD PROJETO'!I23</f>
        <v>4</v>
      </c>
      <c r="I4" s="138">
        <f>'FCD PROJETO'!J23</f>
        <v>5</v>
      </c>
      <c r="J4" s="138">
        <f>'FCD PROJETO'!K23</f>
        <v>6</v>
      </c>
      <c r="K4" s="138">
        <f>'FCD PROJETO'!L23</f>
        <v>7</v>
      </c>
      <c r="L4" s="138">
        <f>'FCD PROJETO'!M23</f>
        <v>8</v>
      </c>
      <c r="M4" s="138">
        <f>'FCD PROJETO'!N23</f>
        <v>9</v>
      </c>
      <c r="N4" s="138">
        <f>'FCD PROJETO'!O23</f>
        <v>10</v>
      </c>
      <c r="O4" s="138">
        <f>'FCD PROJETO'!P23</f>
        <v>11</v>
      </c>
      <c r="P4" s="138">
        <f>'FCD PROJETO'!Q23</f>
        <v>12</v>
      </c>
      <c r="Q4" s="138">
        <f>'FCD PROJETO'!R23</f>
        <v>13</v>
      </c>
      <c r="R4" s="138">
        <f>'FCD PROJETO'!S23</f>
        <v>14</v>
      </c>
      <c r="S4" s="138">
        <f>'FCD PROJETO'!T23</f>
        <v>15</v>
      </c>
      <c r="T4" s="138">
        <f>'FCD PROJETO'!U23</f>
        <v>16</v>
      </c>
      <c r="U4" s="138">
        <f>'FCD PROJETO'!V23</f>
        <v>17</v>
      </c>
      <c r="V4" s="138">
        <f>'FCD PROJETO'!W23</f>
        <v>18</v>
      </c>
      <c r="W4" s="138">
        <f>'FCD PROJETO'!X23</f>
        <v>19</v>
      </c>
      <c r="X4" s="138">
        <f>'FCD PROJETO'!Y23</f>
        <v>20</v>
      </c>
      <c r="Y4" s="138">
        <f>'FCD PROJETO'!Z23</f>
        <v>21</v>
      </c>
      <c r="Z4" s="138">
        <f>'FCD PROJETO'!AA23</f>
        <v>22</v>
      </c>
      <c r="AA4" s="138">
        <f>'FCD PROJETO'!AB23</f>
        <v>23</v>
      </c>
      <c r="AB4" s="138">
        <f>'FCD PROJETO'!AC23</f>
        <v>24</v>
      </c>
      <c r="AC4" s="138">
        <f>'FCD PROJETO'!AD23</f>
        <v>25</v>
      </c>
      <c r="AD4" s="138">
        <f>'FCD PROJETO'!AE23</f>
        <v>26</v>
      </c>
      <c r="AE4" s="138">
        <f>'FCD PROJETO'!AF23</f>
        <v>27</v>
      </c>
      <c r="AF4" s="138">
        <f>'FCD PROJETO'!AG23</f>
        <v>28</v>
      </c>
      <c r="AG4" s="138">
        <f>'FCD PROJETO'!AH23</f>
        <v>29</v>
      </c>
      <c r="AH4" s="138">
        <f>'FCD PROJETO'!AI23</f>
        <v>30</v>
      </c>
      <c r="AI4" s="138">
        <f>'FCD PROJETO'!AJ23</f>
        <v>31</v>
      </c>
      <c r="AJ4" s="138">
        <f>'FCD PROJETO'!AK23</f>
        <v>32</v>
      </c>
      <c r="AK4" s="138">
        <f>'FCD PROJETO'!AL23</f>
        <v>33</v>
      </c>
      <c r="AL4" s="138">
        <f>'FCD PROJETO'!AM23</f>
        <v>34</v>
      </c>
      <c r="AM4" s="138">
        <f>'FCD PROJETO'!AN23</f>
        <v>35</v>
      </c>
    </row>
    <row r="5" spans="1:39" s="18" customFormat="1" ht="12" x14ac:dyDescent="0.25">
      <c r="B5" s="1120"/>
      <c r="C5" s="1120"/>
      <c r="D5" s="1120"/>
      <c r="E5" s="138">
        <f>'FCD PROJETO'!F24</f>
        <v>2027</v>
      </c>
      <c r="F5" s="138">
        <f>'FCD PROJETO'!G24</f>
        <v>2028</v>
      </c>
      <c r="G5" s="138">
        <f>'FCD PROJETO'!H24</f>
        <v>2029</v>
      </c>
      <c r="H5" s="138">
        <f>'FCD PROJETO'!I24</f>
        <v>2030</v>
      </c>
      <c r="I5" s="138">
        <f>'FCD PROJETO'!J24</f>
        <v>2031</v>
      </c>
      <c r="J5" s="138">
        <f>'FCD PROJETO'!K24</f>
        <v>2032</v>
      </c>
      <c r="K5" s="138">
        <f>'FCD PROJETO'!L24</f>
        <v>2033</v>
      </c>
      <c r="L5" s="138">
        <f>'FCD PROJETO'!M24</f>
        <v>2034</v>
      </c>
      <c r="M5" s="138">
        <f>'FCD PROJETO'!N24</f>
        <v>2035</v>
      </c>
      <c r="N5" s="138">
        <f>'FCD PROJETO'!O24</f>
        <v>2036</v>
      </c>
      <c r="O5" s="138">
        <f>'FCD PROJETO'!P24</f>
        <v>2037</v>
      </c>
      <c r="P5" s="138">
        <f>'FCD PROJETO'!Q24</f>
        <v>2038</v>
      </c>
      <c r="Q5" s="138">
        <f>'FCD PROJETO'!R24</f>
        <v>2039</v>
      </c>
      <c r="R5" s="138">
        <f>'FCD PROJETO'!S24</f>
        <v>2040</v>
      </c>
      <c r="S5" s="138">
        <f>'FCD PROJETO'!T24</f>
        <v>2041</v>
      </c>
      <c r="T5" s="138">
        <f>'FCD PROJETO'!U24</f>
        <v>2042</v>
      </c>
      <c r="U5" s="138">
        <f>'FCD PROJETO'!V24</f>
        <v>2043</v>
      </c>
      <c r="V5" s="138">
        <f>'FCD PROJETO'!W24</f>
        <v>2044</v>
      </c>
      <c r="W5" s="138">
        <f>'FCD PROJETO'!X24</f>
        <v>2045</v>
      </c>
      <c r="X5" s="138">
        <f>'FCD PROJETO'!Y24</f>
        <v>2046</v>
      </c>
      <c r="Y5" s="138">
        <f>'FCD PROJETO'!Z24</f>
        <v>2047</v>
      </c>
      <c r="Z5" s="138">
        <f>'FCD PROJETO'!AA24</f>
        <v>2048</v>
      </c>
      <c r="AA5" s="138">
        <f>'FCD PROJETO'!AB24</f>
        <v>2049</v>
      </c>
      <c r="AB5" s="138">
        <f>'FCD PROJETO'!AC24</f>
        <v>2050</v>
      </c>
      <c r="AC5" s="138">
        <f>'FCD PROJETO'!AD24</f>
        <v>2051</v>
      </c>
      <c r="AD5" s="138">
        <f>'FCD PROJETO'!AE24</f>
        <v>2052</v>
      </c>
      <c r="AE5" s="138">
        <f>'FCD PROJETO'!AF24</f>
        <v>2053</v>
      </c>
      <c r="AF5" s="138">
        <f>'FCD PROJETO'!AG24</f>
        <v>2054</v>
      </c>
      <c r="AG5" s="138">
        <f>'FCD PROJETO'!AH24</f>
        <v>2055</v>
      </c>
      <c r="AH5" s="138">
        <f>'FCD PROJETO'!AI24</f>
        <v>2056</v>
      </c>
      <c r="AI5" s="138">
        <f>'FCD PROJETO'!AJ24</f>
        <v>2057</v>
      </c>
      <c r="AJ5" s="138">
        <f>'FCD PROJETO'!AK24</f>
        <v>2058</v>
      </c>
      <c r="AK5" s="138">
        <f>'FCD PROJETO'!AL24</f>
        <v>2059</v>
      </c>
      <c r="AL5" s="138">
        <f>'FCD PROJETO'!AM24</f>
        <v>2060</v>
      </c>
      <c r="AM5" s="138">
        <f>'FCD PROJETO'!AN24</f>
        <v>2061</v>
      </c>
    </row>
    <row r="6" spans="1:39" s="18" customFormat="1" ht="15" customHeight="1" x14ac:dyDescent="0.25">
      <c r="B6" s="1148" t="s">
        <v>3</v>
      </c>
      <c r="C6" s="20" t="s">
        <v>100</v>
      </c>
      <c r="D6" s="153" t="s">
        <v>222</v>
      </c>
      <c r="E6" s="265">
        <f>'FCD PROJETO'!F30</f>
        <v>21832163.018134557</v>
      </c>
      <c r="F6" s="265">
        <f>'FCD PROJETO'!G30</f>
        <v>23970568.815647997</v>
      </c>
      <c r="G6" s="265">
        <f>'FCD PROJETO'!H30</f>
        <v>24945294.209472001</v>
      </c>
      <c r="H6" s="265">
        <f>'FCD PROJETO'!I30</f>
        <v>25493243.342111997</v>
      </c>
      <c r="I6" s="265">
        <f>'FCD PROJETO'!J30</f>
        <v>26020880.042975999</v>
      </c>
      <c r="J6" s="265">
        <f>'FCD PROJETO'!K30</f>
        <v>26513992.159199998</v>
      </c>
      <c r="K6" s="265">
        <f>'FCD PROJETO'!L30</f>
        <v>26811090.712223995</v>
      </c>
      <c r="L6" s="265">
        <f>'FCD PROJETO'!M30</f>
        <v>27054970.881119996</v>
      </c>
      <c r="M6" s="265">
        <f>'FCD PROJETO'!N30</f>
        <v>27298944.612575997</v>
      </c>
      <c r="N6" s="265">
        <f>'FCD PROJETO'!O30</f>
        <v>27527059.490111995</v>
      </c>
      <c r="O6" s="265">
        <f>'FCD PROJETO'!P30</f>
        <v>27746660.174687997</v>
      </c>
      <c r="P6" s="265">
        <f>'FCD PROJETO'!Q30</f>
        <v>27959505.642432</v>
      </c>
      <c r="Q6" s="265">
        <f>'FCD PROJETO'!R30</f>
        <v>28157296.894271996</v>
      </c>
      <c r="R6" s="265">
        <f>'FCD PROJETO'!S30</f>
        <v>28352384.188128002</v>
      </c>
      <c r="S6" s="265">
        <f>'FCD PROJETO'!T30</f>
        <v>28539471.883103997</v>
      </c>
      <c r="T6" s="265">
        <f>'FCD PROJETO'!U30</f>
        <v>28716024.433823999</v>
      </c>
      <c r="U6" s="265">
        <f>'FCD PROJETO'!V30</f>
        <v>28883239.441055998</v>
      </c>
      <c r="V6" s="265">
        <f>'FCD PROJETO'!W30</f>
        <v>29050763.204735994</v>
      </c>
      <c r="W6" s="265">
        <f>'FCD PROJETO'!X30</f>
        <v>29195373.497471996</v>
      </c>
      <c r="X6" s="265">
        <f>'FCD PROJETO'!Y30</f>
        <v>29342107.660319999</v>
      </c>
      <c r="Y6" s="265">
        <f>'FCD PROJETO'!Z30</f>
        <v>29474966.495519999</v>
      </c>
      <c r="Z6" s="265">
        <f>'FCD PROJETO'!AA30</f>
        <v>29603699.221823994</v>
      </c>
      <c r="AA6" s="265">
        <f>'FCD PROJETO'!AB30</f>
        <v>29725124.712191999</v>
      </c>
      <c r="AB6" s="265">
        <f>'FCD PROJETO'!AC30</f>
        <v>29841890.787071995</v>
      </c>
      <c r="AC6" s="265">
        <f>'FCD PROJETO'!AD30</f>
        <v>29951892.288863998</v>
      </c>
      <c r="AD6" s="265">
        <f>'FCD PROJETO'!AE30</f>
        <v>30065907.624479998</v>
      </c>
      <c r="AE6" s="265">
        <f>'FCD PROJETO'!AF30</f>
        <v>30161790.535967998</v>
      </c>
      <c r="AF6" s="265">
        <f>'FCD PROJETO'!AG30</f>
        <v>30264185.401632</v>
      </c>
      <c r="AG6" s="265">
        <f>'FCD PROJETO'!AH30</f>
        <v>30352162.276799999</v>
      </c>
      <c r="AH6" s="265">
        <f>'FCD PROJETO'!AI30</f>
        <v>30439615.201631997</v>
      </c>
      <c r="AI6" s="265">
        <f>'FCD PROJETO'!AJ30</f>
        <v>30525178.162751995</v>
      </c>
      <c r="AJ6" s="265">
        <f>'FCD PROJETO'!AK30</f>
        <v>30598708.978656001</v>
      </c>
      <c r="AK6" s="265">
        <f>'FCD PROJETO'!AL30</f>
        <v>30677516.722943995</v>
      </c>
      <c r="AL6" s="265">
        <f>'FCD PROJETO'!AM30</f>
        <v>30750841.701215997</v>
      </c>
      <c r="AM6" s="265">
        <f>'FCD PROJETO'!AN30</f>
        <v>30678602.048639998</v>
      </c>
    </row>
    <row r="7" spans="1:39" s="18" customFormat="1" ht="12" x14ac:dyDescent="0.25">
      <c r="B7" s="1148"/>
      <c r="C7" s="20"/>
      <c r="D7" s="20" t="s">
        <v>312</v>
      </c>
      <c r="E7" s="262">
        <f>E6*($D$2+$D$3)</f>
        <v>218321.63018134556</v>
      </c>
      <c r="F7" s="262">
        <f t="shared" ref="F7:AH7" si="0">F6*($D$2+$D$3)</f>
        <v>239705.68815647997</v>
      </c>
      <c r="G7" s="262">
        <f t="shared" si="0"/>
        <v>249452.94209472</v>
      </c>
      <c r="H7" s="262">
        <f t="shared" si="0"/>
        <v>254932.43342111999</v>
      </c>
      <c r="I7" s="262">
        <f t="shared" si="0"/>
        <v>260208.80042976001</v>
      </c>
      <c r="J7" s="262">
        <f t="shared" si="0"/>
        <v>265139.921592</v>
      </c>
      <c r="K7" s="262">
        <f t="shared" si="0"/>
        <v>268110.90712223994</v>
      </c>
      <c r="L7" s="262">
        <f t="shared" si="0"/>
        <v>270549.70881119999</v>
      </c>
      <c r="M7" s="262">
        <f t="shared" si="0"/>
        <v>272989.44612575998</v>
      </c>
      <c r="N7" s="262">
        <f t="shared" si="0"/>
        <v>275270.59490111994</v>
      </c>
      <c r="O7" s="262">
        <f t="shared" si="0"/>
        <v>277466.60174687998</v>
      </c>
      <c r="P7" s="262">
        <f t="shared" si="0"/>
        <v>279595.05642432004</v>
      </c>
      <c r="Q7" s="262">
        <f t="shared" si="0"/>
        <v>281572.96894271998</v>
      </c>
      <c r="R7" s="262">
        <f t="shared" si="0"/>
        <v>283523.84188128001</v>
      </c>
      <c r="S7" s="262">
        <f t="shared" si="0"/>
        <v>285394.71883103997</v>
      </c>
      <c r="T7" s="262">
        <f t="shared" si="0"/>
        <v>287160.24433824001</v>
      </c>
      <c r="U7" s="262">
        <f t="shared" si="0"/>
        <v>288832.39441055997</v>
      </c>
      <c r="V7" s="262">
        <f t="shared" si="0"/>
        <v>290507.63204735995</v>
      </c>
      <c r="W7" s="262">
        <f t="shared" si="0"/>
        <v>291953.73497471999</v>
      </c>
      <c r="X7" s="262">
        <f t="shared" si="0"/>
        <v>293421.0766032</v>
      </c>
      <c r="Y7" s="262">
        <f t="shared" si="0"/>
        <v>294749.66495519999</v>
      </c>
      <c r="Z7" s="262">
        <f t="shared" si="0"/>
        <v>296036.99221823993</v>
      </c>
      <c r="AA7" s="262">
        <f t="shared" si="0"/>
        <v>297251.24712191999</v>
      </c>
      <c r="AB7" s="262">
        <f t="shared" si="0"/>
        <v>298418.90787071997</v>
      </c>
      <c r="AC7" s="262">
        <f t="shared" si="0"/>
        <v>299518.92288863997</v>
      </c>
      <c r="AD7" s="262">
        <f t="shared" si="0"/>
        <v>300659.0762448</v>
      </c>
      <c r="AE7" s="262">
        <f t="shared" si="0"/>
        <v>301617.90535968001</v>
      </c>
      <c r="AF7" s="262">
        <f t="shared" si="0"/>
        <v>302641.85401632002</v>
      </c>
      <c r="AG7" s="262">
        <f t="shared" si="0"/>
        <v>303521.622768</v>
      </c>
      <c r="AH7" s="262">
        <f t="shared" si="0"/>
        <v>304396.15201631997</v>
      </c>
      <c r="AI7" s="262">
        <f t="shared" ref="AI7:AM7" si="1">AI6*($D$2+$D$3)</f>
        <v>305251.78162751993</v>
      </c>
      <c r="AJ7" s="262">
        <f t="shared" si="1"/>
        <v>305987.08978656004</v>
      </c>
      <c r="AK7" s="262">
        <f t="shared" si="1"/>
        <v>306775.16722943995</v>
      </c>
      <c r="AL7" s="262">
        <f t="shared" si="1"/>
        <v>307508.41701216</v>
      </c>
      <c r="AM7" s="262">
        <f t="shared" si="1"/>
        <v>306786.0204864</v>
      </c>
    </row>
    <row r="8" spans="1:39" s="18" customFormat="1" ht="15" customHeight="1" x14ac:dyDescent="0.25">
      <c r="B8" s="1148" t="s">
        <v>4</v>
      </c>
      <c r="C8" s="20" t="s">
        <v>100</v>
      </c>
      <c r="D8" s="153" t="s">
        <v>308</v>
      </c>
      <c r="E8" s="260">
        <f>'FCD PROJETO'!F37</f>
        <v>0</v>
      </c>
      <c r="F8" s="260">
        <f>'FCD PROJETO'!G37</f>
        <v>4822878.6365759997</v>
      </c>
      <c r="G8" s="260">
        <f>'FCD PROJETO'!H37</f>
        <v>9977904.3611519989</v>
      </c>
      <c r="H8" s="260">
        <f>'FCD PROJETO'!I37</f>
        <v>15295841.2152</v>
      </c>
      <c r="I8" s="260">
        <f>'FCD PROJETO'!J37</f>
        <v>20816705.905632</v>
      </c>
      <c r="J8" s="260">
        <f>'FCD PROJETO'!K37</f>
        <v>22537302.671519998</v>
      </c>
      <c r="K8" s="260">
        <f>'FCD PROJETO'!L37</f>
        <v>24129868.430303998</v>
      </c>
      <c r="L8" s="260">
        <f>'FCD PROJETO'!M37</f>
        <v>24890803.374527998</v>
      </c>
      <c r="M8" s="260">
        <f>'FCD PROJETO'!N37</f>
        <v>25660860.668351997</v>
      </c>
      <c r="N8" s="260">
        <f>'FCD PROJETO'!O37</f>
        <v>26425734.596351996</v>
      </c>
      <c r="O8" s="260">
        <f>'FCD PROJETO'!P37</f>
        <v>27191721.918815996</v>
      </c>
      <c r="P8" s="260">
        <f>'FCD PROJETO'!Q37</f>
        <v>27959505.642432</v>
      </c>
      <c r="Q8" s="260">
        <f>'FCD PROJETO'!R37</f>
        <v>28157296.894271996</v>
      </c>
      <c r="R8" s="260">
        <f>'FCD PROJETO'!S37</f>
        <v>28352384.188128002</v>
      </c>
      <c r="S8" s="260">
        <f>'FCD PROJETO'!T37</f>
        <v>28539471.883103997</v>
      </c>
      <c r="T8" s="260">
        <f>'FCD PROJETO'!U37</f>
        <v>28716024.433823999</v>
      </c>
      <c r="U8" s="260">
        <f>'FCD PROJETO'!V37</f>
        <v>28883239.441055998</v>
      </c>
      <c r="V8" s="260">
        <f>'FCD PROJETO'!W37</f>
        <v>29050763.204735994</v>
      </c>
      <c r="W8" s="260">
        <f>'FCD PROJETO'!X37</f>
        <v>29195373.497471996</v>
      </c>
      <c r="X8" s="260">
        <f>'FCD PROJETO'!Y37</f>
        <v>29342107.660319999</v>
      </c>
      <c r="Y8" s="260">
        <f>'FCD PROJETO'!Z37</f>
        <v>29474966.495519999</v>
      </c>
      <c r="Z8" s="260">
        <f>'FCD PROJETO'!AA37</f>
        <v>29603699.221823994</v>
      </c>
      <c r="AA8" s="260">
        <f>'FCD PROJETO'!AB37</f>
        <v>29725124.712191999</v>
      </c>
      <c r="AB8" s="260">
        <f>'FCD PROJETO'!AC37</f>
        <v>29841890.787071995</v>
      </c>
      <c r="AC8" s="260">
        <f>'FCD PROJETO'!AD37</f>
        <v>29951892.288863998</v>
      </c>
      <c r="AD8" s="260">
        <f>'FCD PROJETO'!AE37</f>
        <v>30065907.624479998</v>
      </c>
      <c r="AE8" s="260">
        <f>'FCD PROJETO'!AF37</f>
        <v>30161790.535967998</v>
      </c>
      <c r="AF8" s="260">
        <f>'FCD PROJETO'!AG37</f>
        <v>30264185.401632</v>
      </c>
      <c r="AG8" s="260">
        <f>'FCD PROJETO'!AH37</f>
        <v>30352162.276799999</v>
      </c>
      <c r="AH8" s="260">
        <f>'FCD PROJETO'!AI37</f>
        <v>30439615.201631997</v>
      </c>
      <c r="AI8" s="260">
        <f>'FCD PROJETO'!AJ37</f>
        <v>30525178.162751995</v>
      </c>
      <c r="AJ8" s="260">
        <f>'FCD PROJETO'!AK37</f>
        <v>30598708.978656001</v>
      </c>
      <c r="AK8" s="260">
        <f>'FCD PROJETO'!AL37</f>
        <v>30677516.722943995</v>
      </c>
      <c r="AL8" s="260">
        <f>'FCD PROJETO'!AM37</f>
        <v>30750841.701215997</v>
      </c>
      <c r="AM8" s="260">
        <f>'FCD PROJETO'!AN37</f>
        <v>30678602.048639998</v>
      </c>
    </row>
    <row r="9" spans="1:39" s="18" customFormat="1" ht="12" x14ac:dyDescent="0.25">
      <c r="B9" s="1148"/>
      <c r="C9" s="20"/>
      <c r="D9" s="20" t="s">
        <v>312</v>
      </c>
      <c r="E9" s="262">
        <f>E8*($D$2+$D$3)</f>
        <v>0</v>
      </c>
      <c r="F9" s="262">
        <f t="shared" ref="F9:AH9" si="2">F8*($D$2+$D$3)</f>
        <v>48228.786365759996</v>
      </c>
      <c r="G9" s="262">
        <f t="shared" si="2"/>
        <v>99779.043611519985</v>
      </c>
      <c r="H9" s="262">
        <f t="shared" si="2"/>
        <v>152958.412152</v>
      </c>
      <c r="I9" s="262">
        <f t="shared" si="2"/>
        <v>208167.05905631999</v>
      </c>
      <c r="J9" s="262">
        <f t="shared" si="2"/>
        <v>225373.02671519999</v>
      </c>
      <c r="K9" s="262">
        <f t="shared" si="2"/>
        <v>241298.68430303998</v>
      </c>
      <c r="L9" s="262">
        <f t="shared" si="2"/>
        <v>248908.03374528</v>
      </c>
      <c r="M9" s="262">
        <f t="shared" si="2"/>
        <v>256608.60668351996</v>
      </c>
      <c r="N9" s="262">
        <f t="shared" si="2"/>
        <v>264257.34596351994</v>
      </c>
      <c r="O9" s="262">
        <f t="shared" si="2"/>
        <v>271917.21918815997</v>
      </c>
      <c r="P9" s="262">
        <f t="shared" si="2"/>
        <v>279595.05642432004</v>
      </c>
      <c r="Q9" s="262">
        <f t="shared" si="2"/>
        <v>281572.96894271998</v>
      </c>
      <c r="R9" s="262">
        <f t="shared" si="2"/>
        <v>283523.84188128001</v>
      </c>
      <c r="S9" s="262">
        <f t="shared" si="2"/>
        <v>285394.71883103997</v>
      </c>
      <c r="T9" s="262">
        <f t="shared" si="2"/>
        <v>287160.24433824001</v>
      </c>
      <c r="U9" s="262">
        <f t="shared" si="2"/>
        <v>288832.39441055997</v>
      </c>
      <c r="V9" s="262">
        <f t="shared" si="2"/>
        <v>290507.63204735995</v>
      </c>
      <c r="W9" s="262">
        <f t="shared" si="2"/>
        <v>291953.73497471999</v>
      </c>
      <c r="X9" s="262">
        <f t="shared" si="2"/>
        <v>293421.0766032</v>
      </c>
      <c r="Y9" s="262">
        <f t="shared" si="2"/>
        <v>294749.66495519999</v>
      </c>
      <c r="Z9" s="262">
        <f t="shared" si="2"/>
        <v>296036.99221823993</v>
      </c>
      <c r="AA9" s="262">
        <f t="shared" si="2"/>
        <v>297251.24712191999</v>
      </c>
      <c r="AB9" s="262">
        <f t="shared" si="2"/>
        <v>298418.90787071997</v>
      </c>
      <c r="AC9" s="262">
        <f t="shared" si="2"/>
        <v>299518.92288863997</v>
      </c>
      <c r="AD9" s="262">
        <f t="shared" si="2"/>
        <v>300659.0762448</v>
      </c>
      <c r="AE9" s="262">
        <f t="shared" si="2"/>
        <v>301617.90535968001</v>
      </c>
      <c r="AF9" s="262">
        <f t="shared" si="2"/>
        <v>302641.85401632002</v>
      </c>
      <c r="AG9" s="262">
        <f t="shared" si="2"/>
        <v>303521.622768</v>
      </c>
      <c r="AH9" s="262">
        <f t="shared" si="2"/>
        <v>304396.15201631997</v>
      </c>
      <c r="AI9" s="262">
        <f t="shared" ref="AI9:AM9" si="3">AI8*($D$2+$D$3)</f>
        <v>305251.78162751993</v>
      </c>
      <c r="AJ9" s="262">
        <f t="shared" si="3"/>
        <v>305987.08978656004</v>
      </c>
      <c r="AK9" s="262">
        <f t="shared" si="3"/>
        <v>306775.16722943995</v>
      </c>
      <c r="AL9" s="262">
        <f t="shared" si="3"/>
        <v>307508.41701216</v>
      </c>
      <c r="AM9" s="262">
        <f t="shared" si="3"/>
        <v>306786.0204864</v>
      </c>
    </row>
    <row r="10" spans="1:39" s="18" customFormat="1" ht="12" x14ac:dyDescent="0.25">
      <c r="A10" s="56"/>
      <c r="B10" s="1147" t="s">
        <v>5</v>
      </c>
      <c r="C10" s="1147"/>
      <c r="D10" s="1147"/>
      <c r="E10" s="264">
        <f t="shared" ref="E10:AM10" si="4">E7+E9</f>
        <v>218321.63018134556</v>
      </c>
      <c r="F10" s="264">
        <f t="shared" si="4"/>
        <v>287934.47452223999</v>
      </c>
      <c r="G10" s="264">
        <f t="shared" si="4"/>
        <v>349231.98570624</v>
      </c>
      <c r="H10" s="264">
        <f t="shared" si="4"/>
        <v>407890.84557311999</v>
      </c>
      <c r="I10" s="264">
        <f t="shared" si="4"/>
        <v>468375.85948608001</v>
      </c>
      <c r="J10" s="264">
        <f t="shared" si="4"/>
        <v>490512.94830719999</v>
      </c>
      <c r="K10" s="264">
        <f t="shared" si="4"/>
        <v>509409.59142527991</v>
      </c>
      <c r="L10" s="264">
        <f t="shared" si="4"/>
        <v>519457.74255647999</v>
      </c>
      <c r="M10" s="264">
        <f t="shared" si="4"/>
        <v>529598.05280927988</v>
      </c>
      <c r="N10" s="264">
        <f t="shared" si="4"/>
        <v>539527.94086463982</v>
      </c>
      <c r="O10" s="264">
        <f t="shared" si="4"/>
        <v>549383.82093504001</v>
      </c>
      <c r="P10" s="264">
        <f t="shared" si="4"/>
        <v>559190.11284864007</v>
      </c>
      <c r="Q10" s="264">
        <f t="shared" si="4"/>
        <v>563145.93788543995</v>
      </c>
      <c r="R10" s="264">
        <f t="shared" si="4"/>
        <v>567047.68376256002</v>
      </c>
      <c r="S10" s="264">
        <f t="shared" si="4"/>
        <v>570789.43766207993</v>
      </c>
      <c r="T10" s="264">
        <f t="shared" si="4"/>
        <v>574320.48867648002</v>
      </c>
      <c r="U10" s="264">
        <f t="shared" si="4"/>
        <v>577664.78882111993</v>
      </c>
      <c r="V10" s="264">
        <f t="shared" si="4"/>
        <v>581015.2640947199</v>
      </c>
      <c r="W10" s="264">
        <f t="shared" si="4"/>
        <v>583907.46994943998</v>
      </c>
      <c r="X10" s="264">
        <f t="shared" si="4"/>
        <v>586842.15320639999</v>
      </c>
      <c r="Y10" s="264">
        <f t="shared" si="4"/>
        <v>589499.32991039997</v>
      </c>
      <c r="Z10" s="264">
        <f t="shared" si="4"/>
        <v>592073.98443647986</v>
      </c>
      <c r="AA10" s="264">
        <f t="shared" si="4"/>
        <v>594502.49424383999</v>
      </c>
      <c r="AB10" s="264">
        <f t="shared" si="4"/>
        <v>596837.81574143993</v>
      </c>
      <c r="AC10" s="264">
        <f t="shared" si="4"/>
        <v>599037.84577727993</v>
      </c>
      <c r="AD10" s="264">
        <f t="shared" si="4"/>
        <v>601318.1524896</v>
      </c>
      <c r="AE10" s="264">
        <f t="shared" si="4"/>
        <v>603235.81071936002</v>
      </c>
      <c r="AF10" s="264">
        <f t="shared" si="4"/>
        <v>605283.70803264005</v>
      </c>
      <c r="AG10" s="264">
        <f t="shared" si="4"/>
        <v>607043.245536</v>
      </c>
      <c r="AH10" s="264">
        <f t="shared" si="4"/>
        <v>608792.30403263995</v>
      </c>
      <c r="AI10" s="264">
        <f t="shared" si="4"/>
        <v>610503.56325503986</v>
      </c>
      <c r="AJ10" s="264">
        <f t="shared" si="4"/>
        <v>611974.17957312008</v>
      </c>
      <c r="AK10" s="264">
        <f t="shared" si="4"/>
        <v>613550.33445887989</v>
      </c>
      <c r="AL10" s="264">
        <f t="shared" si="4"/>
        <v>615016.83402432001</v>
      </c>
      <c r="AM10" s="264">
        <f t="shared" si="4"/>
        <v>613572.04097279999</v>
      </c>
    </row>
    <row r="11" spans="1:39" s="18" customFormat="1" ht="12" x14ac:dyDescent="0.25"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</row>
    <row r="12" spans="1:39" s="18" customFormat="1" ht="12" x14ac:dyDescent="0.25"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</row>
    <row r="13" spans="1:39" s="18" customFormat="1" ht="12" x14ac:dyDescent="0.25"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</row>
  </sheetData>
  <mergeCells count="6">
    <mergeCell ref="B6:B7"/>
    <mergeCell ref="B8:B9"/>
    <mergeCell ref="B10:D10"/>
    <mergeCell ref="B1:C1"/>
    <mergeCell ref="B4:C5"/>
    <mergeCell ref="D4:D5"/>
  </mergeCells>
  <pageMargins left="0.511811024" right="0.511811024" top="0.78740157499999996" bottom="0.78740157499999996" header="0.31496062000000002" footer="0.3149606200000000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9C41F-B660-4A6E-AD2E-66DE11050859}">
  <dimension ref="A1:AW57"/>
  <sheetViews>
    <sheetView topLeftCell="H42" workbookViewId="0">
      <selection activeCell="O57" sqref="O57"/>
    </sheetView>
  </sheetViews>
  <sheetFormatPr defaultRowHeight="14.4" x14ac:dyDescent="0.3"/>
  <cols>
    <col min="1" max="1" width="7" customWidth="1"/>
    <col min="2" max="2" width="43.44140625" customWidth="1"/>
    <col min="3" max="3" width="9.88671875" customWidth="1"/>
    <col min="4" max="4" width="9.44140625" customWidth="1"/>
    <col min="5" max="5" width="16" customWidth="1"/>
    <col min="6" max="6" width="15.77734375" customWidth="1"/>
    <col min="7" max="7" width="17.21875" customWidth="1"/>
    <col min="8" max="8" width="13.88671875" customWidth="1"/>
    <col min="9" max="9" width="14.77734375" customWidth="1"/>
    <col min="10" max="10" width="12.21875" customWidth="1"/>
    <col min="11" max="11" width="43.21875" customWidth="1"/>
    <col min="12" max="12" width="20.6640625" customWidth="1"/>
    <col min="13" max="48" width="18.33203125" customWidth="1"/>
  </cols>
  <sheetData>
    <row r="1" spans="1:49" x14ac:dyDescent="0.3">
      <c r="D1" s="892" t="s">
        <v>932</v>
      </c>
      <c r="E1" s="892"/>
      <c r="F1" s="834">
        <v>1.0973999999999999</v>
      </c>
      <c r="L1" s="572">
        <f>'FCD PROJETO'!AO65</f>
        <v>-94407192.683259457</v>
      </c>
      <c r="M1" s="572">
        <f>'FCD PROJETO'!F65</f>
        <v>-1275370.6280921299</v>
      </c>
      <c r="N1" s="572">
        <f>'FCD PROJETO'!G65</f>
        <v>-1421350.0599742439</v>
      </c>
      <c r="O1" s="572">
        <f>'FCD PROJETO'!H65</f>
        <v>-1626088.277077693</v>
      </c>
      <c r="P1" s="572">
        <f>'FCD PROJETO'!I65</f>
        <v>-1845344.3123069834</v>
      </c>
      <c r="Q1" s="572">
        <f>'FCD PROJETO'!J65</f>
        <v>-2004824.4055511791</v>
      </c>
      <c r="R1" s="572">
        <f>'FCD PROJETO'!K65</f>
        <v>-2188278.1251114635</v>
      </c>
      <c r="S1" s="572">
        <f>'FCD PROJETO'!L65</f>
        <v>-2323266.1892217905</v>
      </c>
      <c r="T1" s="572">
        <f>'FCD PROJETO'!M65</f>
        <v>-2404967.6287356578</v>
      </c>
      <c r="U1" s="572">
        <f>'FCD PROJETO'!N65</f>
        <v>-2503586.9255912555</v>
      </c>
      <c r="V1" s="572">
        <f>'FCD PROJETO'!O65</f>
        <v>-2686746.0600624573</v>
      </c>
      <c r="W1" s="572">
        <f>'FCD PROJETO'!P65</f>
        <v>-2704612.0536642987</v>
      </c>
      <c r="X1" s="572">
        <f>'FCD PROJETO'!Q65</f>
        <v>-2723297.4666651208</v>
      </c>
      <c r="Y1" s="572">
        <f>'FCD PROJETO'!R65</f>
        <v>-2732890.3999461755</v>
      </c>
      <c r="Z1" s="572">
        <f>'FCD PROJETO'!S65</f>
        <v>-2764690.2573280851</v>
      </c>
      <c r="AA1" s="572">
        <f>'FCD PROJETO'!T65</f>
        <v>-2796521.5604518959</v>
      </c>
      <c r="AB1" s="572">
        <f>'FCD PROJETO'!U65</f>
        <v>-2749746.4494520132</v>
      </c>
      <c r="AC1" s="572">
        <f>'FCD PROJETO'!V65</f>
        <v>-2873112.3570604362</v>
      </c>
      <c r="AD1" s="572">
        <f>'FCD PROJETO'!W65</f>
        <v>-2851782.7624372635</v>
      </c>
      <c r="AE1" s="572">
        <f>'FCD PROJETO'!X65</f>
        <v>-2899795.7843833123</v>
      </c>
      <c r="AF1" s="572">
        <f>'FCD PROJETO'!Y65</f>
        <v>-2929024.2956725699</v>
      </c>
      <c r="AG1" s="572">
        <f>'FCD PROJETO'!Z65</f>
        <v>-2920934.2891944647</v>
      </c>
      <c r="AH1" s="572">
        <f>'FCD PROJETO'!AA65</f>
        <v>-2949866.7621213086</v>
      </c>
      <c r="AI1" s="572">
        <f>'FCD PROJETO'!AB65</f>
        <v>-2952725.2023766604</v>
      </c>
      <c r="AJ1" s="572">
        <f>'FCD PROJETO'!AC65</f>
        <v>-2981706.1249340852</v>
      </c>
      <c r="AK1" s="572">
        <f>'FCD PROJETO'!AD65</f>
        <v>-3004676.8363729222</v>
      </c>
      <c r="AL1" s="572">
        <f>'FCD PROJETO'!AE65</f>
        <v>-2996353.303382955</v>
      </c>
      <c r="AM1" s="572">
        <f>'FCD PROJETO'!AF65</f>
        <v>-3033860.3305200846</v>
      </c>
      <c r="AN1" s="572">
        <f>'FCD PROJETO'!AG65</f>
        <v>-3025029.5809258288</v>
      </c>
      <c r="AO1" s="572">
        <f>'FCD PROJETO'!AH65</f>
        <v>-3088562.760481209</v>
      </c>
      <c r="AP1" s="572">
        <f>'FCD PROJETO'!AI65</f>
        <v>-3118486.9033284518</v>
      </c>
      <c r="AQ1" s="572">
        <f>'FCD PROJETO'!AJ65</f>
        <v>-3148653.0008292622</v>
      </c>
      <c r="AR1" s="572">
        <f>'FCD PROJETO'!AK65</f>
        <v>-3178833.8212104142</v>
      </c>
      <c r="AS1" s="572">
        <f>'FCD PROJETO'!AL65</f>
        <v>-3209500.7745006518</v>
      </c>
      <c r="AT1" s="572">
        <f>'FCD PROJETO'!AM65</f>
        <v>-3233678.5170601867</v>
      </c>
      <c r="AU1" s="572">
        <f>'FCD PROJETO'!AN65</f>
        <v>-3259028.4772349573</v>
      </c>
      <c r="AV1" s="572">
        <f>SUM(M1:AU1)</f>
        <v>-94407192.683259457</v>
      </c>
    </row>
    <row r="2" spans="1:49" ht="15" thickBot="1" x14ac:dyDescent="0.35">
      <c r="L2" s="572">
        <f>L1+L6</f>
        <v>-8.2962960004806519E-3</v>
      </c>
      <c r="M2" s="572">
        <f t="shared" ref="M2:AV2" si="0">M1+M6</f>
        <v>-4.692095797508955E-3</v>
      </c>
      <c r="N2" s="572">
        <f t="shared" si="0"/>
        <v>-3.6042158026248217E-3</v>
      </c>
      <c r="O2" s="572">
        <f t="shared" si="0"/>
        <v>0</v>
      </c>
      <c r="P2" s="572">
        <f t="shared" si="0"/>
        <v>0</v>
      </c>
      <c r="Q2" s="572">
        <f t="shared" si="0"/>
        <v>0</v>
      </c>
      <c r="R2" s="572">
        <f t="shared" si="0"/>
        <v>0</v>
      </c>
      <c r="S2" s="572">
        <f t="shared" si="0"/>
        <v>0</v>
      </c>
      <c r="T2" s="572">
        <f t="shared" si="0"/>
        <v>0</v>
      </c>
      <c r="U2" s="572">
        <f t="shared" si="0"/>
        <v>0</v>
      </c>
      <c r="V2" s="572">
        <f t="shared" si="0"/>
        <v>0</v>
      </c>
      <c r="W2" s="572">
        <f t="shared" si="0"/>
        <v>0</v>
      </c>
      <c r="X2" s="572">
        <f t="shared" si="0"/>
        <v>0</v>
      </c>
      <c r="Y2" s="572">
        <f t="shared" si="0"/>
        <v>0</v>
      </c>
      <c r="Z2" s="572">
        <f t="shared" si="0"/>
        <v>0</v>
      </c>
      <c r="AA2" s="572">
        <f t="shared" si="0"/>
        <v>0</v>
      </c>
      <c r="AB2" s="572">
        <f t="shared" si="0"/>
        <v>0</v>
      </c>
      <c r="AC2" s="572">
        <f t="shared" si="0"/>
        <v>0</v>
      </c>
      <c r="AD2" s="572">
        <f t="shared" si="0"/>
        <v>0</v>
      </c>
      <c r="AE2" s="572">
        <f t="shared" si="0"/>
        <v>0</v>
      </c>
      <c r="AF2" s="572">
        <f t="shared" si="0"/>
        <v>0</v>
      </c>
      <c r="AG2" s="572">
        <f t="shared" si="0"/>
        <v>0</v>
      </c>
      <c r="AH2" s="572">
        <f t="shared" si="0"/>
        <v>0</v>
      </c>
      <c r="AI2" s="572">
        <f t="shared" si="0"/>
        <v>0</v>
      </c>
      <c r="AJ2" s="572">
        <f t="shared" si="0"/>
        <v>0</v>
      </c>
      <c r="AK2" s="572">
        <f t="shared" si="0"/>
        <v>0</v>
      </c>
      <c r="AL2" s="572">
        <f t="shared" si="0"/>
        <v>0</v>
      </c>
      <c r="AM2" s="572">
        <f t="shared" si="0"/>
        <v>0</v>
      </c>
      <c r="AN2" s="572">
        <f t="shared" si="0"/>
        <v>0</v>
      </c>
      <c r="AO2" s="572">
        <f t="shared" si="0"/>
        <v>0</v>
      </c>
      <c r="AP2" s="572">
        <f t="shared" si="0"/>
        <v>0</v>
      </c>
      <c r="AQ2" s="572">
        <f t="shared" si="0"/>
        <v>0</v>
      </c>
      <c r="AR2" s="572">
        <f t="shared" si="0"/>
        <v>0</v>
      </c>
      <c r="AS2" s="572">
        <f t="shared" si="0"/>
        <v>0</v>
      </c>
      <c r="AT2" s="572">
        <f t="shared" si="0"/>
        <v>0</v>
      </c>
      <c r="AU2" s="572">
        <f t="shared" si="0"/>
        <v>0</v>
      </c>
      <c r="AV2" s="572">
        <f t="shared" si="0"/>
        <v>-8.2962960004806519E-3</v>
      </c>
    </row>
    <row r="3" spans="1:49" ht="15" thickBot="1" x14ac:dyDescent="0.35">
      <c r="B3" s="1063" t="s">
        <v>89</v>
      </c>
      <c r="C3" s="1065" t="s">
        <v>1031</v>
      </c>
      <c r="D3" s="1065"/>
      <c r="E3" s="1065"/>
      <c r="F3" s="1065"/>
      <c r="G3" s="1065"/>
      <c r="H3" s="1065"/>
      <c r="I3" s="1066" t="s">
        <v>1032</v>
      </c>
      <c r="K3" s="1063" t="s">
        <v>89</v>
      </c>
      <c r="L3" s="1066" t="s">
        <v>1033</v>
      </c>
      <c r="M3" s="891">
        <f>'FCD PROJETO'!F23</f>
        <v>1</v>
      </c>
      <c r="N3" s="891">
        <f>'FCD PROJETO'!G23</f>
        <v>2</v>
      </c>
      <c r="O3" s="891">
        <f>'FCD PROJETO'!H23</f>
        <v>3</v>
      </c>
      <c r="P3" s="891">
        <f>'FCD PROJETO'!I23</f>
        <v>4</v>
      </c>
      <c r="Q3" s="891">
        <f>'FCD PROJETO'!J23</f>
        <v>5</v>
      </c>
      <c r="R3" s="891">
        <f>'FCD PROJETO'!K23</f>
        <v>6</v>
      </c>
      <c r="S3" s="891">
        <f>'FCD PROJETO'!L23</f>
        <v>7</v>
      </c>
      <c r="T3" s="891">
        <f>'FCD PROJETO'!M23</f>
        <v>8</v>
      </c>
      <c r="U3" s="891">
        <f>'FCD PROJETO'!N23</f>
        <v>9</v>
      </c>
      <c r="V3" s="891">
        <f>'FCD PROJETO'!O23</f>
        <v>10</v>
      </c>
      <c r="W3" s="891">
        <f>'FCD PROJETO'!P23</f>
        <v>11</v>
      </c>
      <c r="X3" s="891">
        <f>'FCD PROJETO'!Q23</f>
        <v>12</v>
      </c>
      <c r="Y3" s="891">
        <f>'FCD PROJETO'!R23</f>
        <v>13</v>
      </c>
      <c r="Z3" s="891">
        <f>'FCD PROJETO'!S23</f>
        <v>14</v>
      </c>
      <c r="AA3" s="891">
        <f>'FCD PROJETO'!T23</f>
        <v>15</v>
      </c>
      <c r="AB3" s="891">
        <f>'FCD PROJETO'!U23</f>
        <v>16</v>
      </c>
      <c r="AC3" s="891">
        <f>'FCD PROJETO'!V23</f>
        <v>17</v>
      </c>
      <c r="AD3" s="891">
        <f>'FCD PROJETO'!W23</f>
        <v>18</v>
      </c>
      <c r="AE3" s="891">
        <f>'FCD PROJETO'!X23</f>
        <v>19</v>
      </c>
      <c r="AF3" s="891">
        <f>'FCD PROJETO'!Y23</f>
        <v>20</v>
      </c>
      <c r="AG3" s="891">
        <f>'FCD PROJETO'!Z23</f>
        <v>21</v>
      </c>
      <c r="AH3" s="891">
        <f>'FCD PROJETO'!AA23</f>
        <v>22</v>
      </c>
      <c r="AI3" s="891">
        <f>'FCD PROJETO'!AB23</f>
        <v>23</v>
      </c>
      <c r="AJ3" s="891">
        <f>'FCD PROJETO'!AC23</f>
        <v>24</v>
      </c>
      <c r="AK3" s="891">
        <f>'FCD PROJETO'!AD23</f>
        <v>25</v>
      </c>
      <c r="AL3" s="891">
        <f>'FCD PROJETO'!AE23</f>
        <v>26</v>
      </c>
      <c r="AM3" s="891">
        <f>'FCD PROJETO'!AF23</f>
        <v>27</v>
      </c>
      <c r="AN3" s="891">
        <f>'FCD PROJETO'!AG23</f>
        <v>28</v>
      </c>
      <c r="AO3" s="891">
        <f>'FCD PROJETO'!AH23</f>
        <v>29</v>
      </c>
      <c r="AP3" s="891">
        <f>'FCD PROJETO'!AI23</f>
        <v>30</v>
      </c>
      <c r="AQ3" s="891">
        <f>'FCD PROJETO'!AJ23</f>
        <v>31</v>
      </c>
      <c r="AR3" s="891">
        <f>'FCD PROJETO'!AK23</f>
        <v>32</v>
      </c>
      <c r="AS3" s="891">
        <f>'FCD PROJETO'!AL23</f>
        <v>33</v>
      </c>
      <c r="AT3" s="891">
        <f>'FCD PROJETO'!AM23</f>
        <v>34</v>
      </c>
      <c r="AU3" s="891">
        <f>'FCD PROJETO'!AN23</f>
        <v>35</v>
      </c>
      <c r="AV3" s="497"/>
    </row>
    <row r="4" spans="1:49" ht="15" thickBot="1" x14ac:dyDescent="0.35">
      <c r="B4" s="1064"/>
      <c r="C4" s="873" t="s">
        <v>18</v>
      </c>
      <c r="D4" s="874" t="s">
        <v>1034</v>
      </c>
      <c r="E4" s="874" t="s">
        <v>1095</v>
      </c>
      <c r="F4" s="874" t="s">
        <v>1096</v>
      </c>
      <c r="G4" s="874" t="s">
        <v>5</v>
      </c>
      <c r="H4" s="875" t="s">
        <v>1035</v>
      </c>
      <c r="I4" s="1067"/>
      <c r="K4" s="1064"/>
      <c r="L4" s="1067"/>
      <c r="M4" s="890">
        <f>'FCD PROJETO'!F24</f>
        <v>2027</v>
      </c>
      <c r="N4" s="890">
        <f>'FCD PROJETO'!G24</f>
        <v>2028</v>
      </c>
      <c r="O4" s="890">
        <f>'FCD PROJETO'!H24</f>
        <v>2029</v>
      </c>
      <c r="P4" s="890">
        <f>'FCD PROJETO'!I24</f>
        <v>2030</v>
      </c>
      <c r="Q4" s="890">
        <f>'FCD PROJETO'!J24</f>
        <v>2031</v>
      </c>
      <c r="R4" s="890">
        <f>'FCD PROJETO'!K24</f>
        <v>2032</v>
      </c>
      <c r="S4" s="890">
        <f>'FCD PROJETO'!L24</f>
        <v>2033</v>
      </c>
      <c r="T4" s="890">
        <f>'FCD PROJETO'!M24</f>
        <v>2034</v>
      </c>
      <c r="U4" s="890">
        <f>'FCD PROJETO'!N24</f>
        <v>2035</v>
      </c>
      <c r="V4" s="890">
        <f>'FCD PROJETO'!O24</f>
        <v>2036</v>
      </c>
      <c r="W4" s="890">
        <f>'FCD PROJETO'!P24</f>
        <v>2037</v>
      </c>
      <c r="X4" s="890">
        <f>'FCD PROJETO'!Q24</f>
        <v>2038</v>
      </c>
      <c r="Y4" s="890">
        <f>'FCD PROJETO'!R24</f>
        <v>2039</v>
      </c>
      <c r="Z4" s="890">
        <f>'FCD PROJETO'!S24</f>
        <v>2040</v>
      </c>
      <c r="AA4" s="890">
        <f>'FCD PROJETO'!T24</f>
        <v>2041</v>
      </c>
      <c r="AB4" s="890">
        <f>'FCD PROJETO'!U24</f>
        <v>2042</v>
      </c>
      <c r="AC4" s="890">
        <f>'FCD PROJETO'!V24</f>
        <v>2043</v>
      </c>
      <c r="AD4" s="890">
        <f>'FCD PROJETO'!W24</f>
        <v>2044</v>
      </c>
      <c r="AE4" s="890">
        <f>'FCD PROJETO'!X24</f>
        <v>2045</v>
      </c>
      <c r="AF4" s="890">
        <f>'FCD PROJETO'!Y24</f>
        <v>2046</v>
      </c>
      <c r="AG4" s="890">
        <f>'FCD PROJETO'!Z24</f>
        <v>2047</v>
      </c>
      <c r="AH4" s="890">
        <f>'FCD PROJETO'!AA24</f>
        <v>2048</v>
      </c>
      <c r="AI4" s="890">
        <f>'FCD PROJETO'!AB24</f>
        <v>2049</v>
      </c>
      <c r="AJ4" s="890">
        <f>'FCD PROJETO'!AC24</f>
        <v>2050</v>
      </c>
      <c r="AK4" s="890">
        <f>'FCD PROJETO'!AD24</f>
        <v>2051</v>
      </c>
      <c r="AL4" s="890">
        <f>'FCD PROJETO'!AE24</f>
        <v>2052</v>
      </c>
      <c r="AM4" s="890">
        <f>'FCD PROJETO'!AF24</f>
        <v>2053</v>
      </c>
      <c r="AN4" s="890">
        <f>'FCD PROJETO'!AG24</f>
        <v>2054</v>
      </c>
      <c r="AO4" s="890">
        <f>'FCD PROJETO'!AH24</f>
        <v>2055</v>
      </c>
      <c r="AP4" s="890">
        <f>'FCD PROJETO'!AI24</f>
        <v>2056</v>
      </c>
      <c r="AQ4" s="890">
        <f>'FCD PROJETO'!AJ24</f>
        <v>2057</v>
      </c>
      <c r="AR4" s="890">
        <f>'FCD PROJETO'!AK24</f>
        <v>2058</v>
      </c>
      <c r="AS4" s="890">
        <f>'FCD PROJETO'!AL24</f>
        <v>2059</v>
      </c>
      <c r="AT4" s="890">
        <f>'FCD PROJETO'!AM24</f>
        <v>2060</v>
      </c>
      <c r="AU4" s="890">
        <f>'FCD PROJETO'!AN24</f>
        <v>2061</v>
      </c>
      <c r="AV4" s="500" t="s">
        <v>23</v>
      </c>
    </row>
    <row r="5" spans="1:49" x14ac:dyDescent="0.3">
      <c r="B5" s="913" t="s">
        <v>1036</v>
      </c>
      <c r="C5" s="876"/>
      <c r="D5" s="504"/>
      <c r="E5" s="893"/>
      <c r="F5" s="893"/>
      <c r="G5" s="504"/>
      <c r="H5" s="887"/>
      <c r="I5" s="909"/>
      <c r="K5" s="924" t="s">
        <v>1036</v>
      </c>
      <c r="L5" s="877"/>
      <c r="M5" s="878"/>
      <c r="N5" s="878"/>
      <c r="O5" s="878"/>
      <c r="P5" s="878"/>
      <c r="Q5" s="878"/>
      <c r="R5" s="878"/>
      <c r="S5" s="878"/>
      <c r="T5" s="878"/>
      <c r="U5" s="878"/>
      <c r="V5" s="878"/>
      <c r="W5" s="878"/>
      <c r="X5" s="878"/>
      <c r="Y5" s="878"/>
      <c r="Z5" s="878"/>
      <c r="AA5" s="878"/>
      <c r="AB5" s="878"/>
      <c r="AC5" s="878"/>
      <c r="AD5" s="878"/>
      <c r="AE5" s="878"/>
      <c r="AF5" s="878"/>
      <c r="AG5" s="878"/>
      <c r="AH5" s="878"/>
      <c r="AI5" s="878"/>
      <c r="AJ5" s="878"/>
      <c r="AK5" s="878"/>
      <c r="AL5" s="878"/>
      <c r="AM5" s="878"/>
      <c r="AN5" s="878"/>
      <c r="AO5" s="878"/>
      <c r="AP5" s="878"/>
      <c r="AQ5" s="878"/>
      <c r="AR5" s="878"/>
      <c r="AS5" s="878"/>
      <c r="AT5" s="878"/>
      <c r="AU5" s="878"/>
      <c r="AV5" s="879"/>
    </row>
    <row r="6" spans="1:49" x14ac:dyDescent="0.3">
      <c r="B6" s="913"/>
      <c r="C6" s="876"/>
      <c r="D6" s="504"/>
      <c r="E6" s="893"/>
      <c r="F6" s="893"/>
      <c r="G6" s="880"/>
      <c r="H6" s="887"/>
      <c r="I6" s="909"/>
      <c r="K6" s="924"/>
      <c r="L6" s="508">
        <f>AV6</f>
        <v>94407192.674963161</v>
      </c>
      <c r="M6" s="508">
        <f>M8+M14+M21+M30+M38+M50</f>
        <v>1275370.6234000342</v>
      </c>
      <c r="N6" s="508">
        <f t="shared" ref="N6:AU6" si="1">N8+N14+N21+N30+N38+N50</f>
        <v>1421350.0563700281</v>
      </c>
      <c r="O6" s="508">
        <f t="shared" si="1"/>
        <v>1626088.277077693</v>
      </c>
      <c r="P6" s="508">
        <f t="shared" si="1"/>
        <v>1845344.3123069836</v>
      </c>
      <c r="Q6" s="508">
        <f t="shared" si="1"/>
        <v>2004824.4055511791</v>
      </c>
      <c r="R6" s="508">
        <f t="shared" si="1"/>
        <v>2188278.1251114635</v>
      </c>
      <c r="S6" s="508">
        <f t="shared" si="1"/>
        <v>2323266.1892217905</v>
      </c>
      <c r="T6" s="508">
        <f t="shared" si="1"/>
        <v>2404967.6287356578</v>
      </c>
      <c r="U6" s="508">
        <f t="shared" si="1"/>
        <v>2503586.9255912555</v>
      </c>
      <c r="V6" s="508">
        <f t="shared" si="1"/>
        <v>2686746.0600624573</v>
      </c>
      <c r="W6" s="508">
        <f t="shared" si="1"/>
        <v>2704612.0536642987</v>
      </c>
      <c r="X6" s="508">
        <f t="shared" si="1"/>
        <v>2723297.4666651213</v>
      </c>
      <c r="Y6" s="508">
        <f t="shared" si="1"/>
        <v>2732890.399946176</v>
      </c>
      <c r="Z6" s="508">
        <f t="shared" si="1"/>
        <v>2764690.2573280851</v>
      </c>
      <c r="AA6" s="508">
        <f t="shared" si="1"/>
        <v>2796521.5604518959</v>
      </c>
      <c r="AB6" s="508">
        <f t="shared" si="1"/>
        <v>2749746.4494520132</v>
      </c>
      <c r="AC6" s="508">
        <f t="shared" si="1"/>
        <v>2873112.3570604357</v>
      </c>
      <c r="AD6" s="508">
        <f t="shared" si="1"/>
        <v>2851782.762437264</v>
      </c>
      <c r="AE6" s="508">
        <f t="shared" si="1"/>
        <v>2899795.7843833123</v>
      </c>
      <c r="AF6" s="508">
        <f t="shared" si="1"/>
        <v>2929024.2956725699</v>
      </c>
      <c r="AG6" s="508">
        <f t="shared" si="1"/>
        <v>2920934.2891944647</v>
      </c>
      <c r="AH6" s="508">
        <f t="shared" si="1"/>
        <v>2949866.7621213086</v>
      </c>
      <c r="AI6" s="508">
        <f t="shared" si="1"/>
        <v>2952725.2023766604</v>
      </c>
      <c r="AJ6" s="508">
        <f t="shared" si="1"/>
        <v>2981706.1249340852</v>
      </c>
      <c r="AK6" s="508">
        <f t="shared" si="1"/>
        <v>3004676.8363729222</v>
      </c>
      <c r="AL6" s="508">
        <f t="shared" si="1"/>
        <v>2996353.3033829546</v>
      </c>
      <c r="AM6" s="508">
        <f t="shared" si="1"/>
        <v>3033860.3305200846</v>
      </c>
      <c r="AN6" s="508">
        <f t="shared" si="1"/>
        <v>3025029.5809258288</v>
      </c>
      <c r="AO6" s="508">
        <f t="shared" si="1"/>
        <v>3088562.760481209</v>
      </c>
      <c r="AP6" s="508">
        <f t="shared" si="1"/>
        <v>3118486.9033284518</v>
      </c>
      <c r="AQ6" s="508">
        <f t="shared" si="1"/>
        <v>3148653.0008292627</v>
      </c>
      <c r="AR6" s="508">
        <f t="shared" si="1"/>
        <v>3178833.8212104142</v>
      </c>
      <c r="AS6" s="508">
        <f t="shared" si="1"/>
        <v>3209500.7745006513</v>
      </c>
      <c r="AT6" s="508">
        <f t="shared" si="1"/>
        <v>3233678.5170601867</v>
      </c>
      <c r="AU6" s="508">
        <f t="shared" si="1"/>
        <v>3259028.4772349568</v>
      </c>
      <c r="AV6" s="879">
        <f>+SUM(M6:AU6)</f>
        <v>94407192.674963161</v>
      </c>
      <c r="AW6" s="2">
        <f>-AV1/AV6</f>
        <v>1.0000000000878777</v>
      </c>
    </row>
    <row r="7" spans="1:49" x14ac:dyDescent="0.3">
      <c r="B7" s="913"/>
      <c r="C7" s="876"/>
      <c r="D7" s="504"/>
      <c r="E7" s="893"/>
      <c r="F7" s="893"/>
      <c r="G7" s="880"/>
      <c r="H7" s="887"/>
      <c r="I7" s="909"/>
      <c r="K7" s="924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</row>
    <row r="8" spans="1:49" x14ac:dyDescent="0.3">
      <c r="A8" s="66"/>
      <c r="B8" s="914" t="s">
        <v>1037</v>
      </c>
      <c r="C8" s="881"/>
      <c r="D8" s="4"/>
      <c r="E8" s="886"/>
      <c r="F8" s="886"/>
      <c r="G8" s="882">
        <f>SUM(G9:G12)</f>
        <v>264608.9289</v>
      </c>
      <c r="H8" s="928"/>
      <c r="I8" s="910"/>
      <c r="K8" s="925" t="s">
        <v>1037</v>
      </c>
      <c r="L8" s="883">
        <f>AV8</f>
        <v>13650722.28287673</v>
      </c>
      <c r="M8" s="508">
        <f>SUM(M9:M12)</f>
        <v>289723.13172873145</v>
      </c>
      <c r="N8" s="508">
        <f t="shared" ref="N8:AU8" si="2">SUM(N9:N12)</f>
        <v>305077.31498467061</v>
      </c>
      <c r="O8" s="508">
        <f t="shared" si="2"/>
        <v>313262.50975098822</v>
      </c>
      <c r="P8" s="508">
        <f t="shared" si="2"/>
        <v>319527.08440071391</v>
      </c>
      <c r="Q8" s="508">
        <f t="shared" si="2"/>
        <v>325714.05826606078</v>
      </c>
      <c r="R8" s="508">
        <f t="shared" si="2"/>
        <v>331824.56995763455</v>
      </c>
      <c r="S8" s="508">
        <f t="shared" si="2"/>
        <v>337840.94600099814</v>
      </c>
      <c r="T8" s="508">
        <f t="shared" si="2"/>
        <v>343737.17956232233</v>
      </c>
      <c r="U8" s="508">
        <f t="shared" si="2"/>
        <v>349584.12552004738</v>
      </c>
      <c r="V8" s="508">
        <f t="shared" si="2"/>
        <v>355301.16345850169</v>
      </c>
      <c r="W8" s="508">
        <f t="shared" si="2"/>
        <v>360898.9962335187</v>
      </c>
      <c r="X8" s="508">
        <f t="shared" si="2"/>
        <v>366414.12216924969</v>
      </c>
      <c r="Y8" s="508">
        <f t="shared" si="2"/>
        <v>371766.37476014579</v>
      </c>
      <c r="Z8" s="508">
        <f t="shared" si="2"/>
        <v>377012.96234816092</v>
      </c>
      <c r="AA8" s="508">
        <f t="shared" si="2"/>
        <v>382146.61612250895</v>
      </c>
      <c r="AB8" s="508">
        <f t="shared" si="2"/>
        <v>387165.06198519241</v>
      </c>
      <c r="AC8" s="508">
        <f t="shared" si="2"/>
        <v>392045.96084620315</v>
      </c>
      <c r="AD8" s="508">
        <f t="shared" si="2"/>
        <v>396811.75389761064</v>
      </c>
      <c r="AE8" s="508">
        <f t="shared" si="2"/>
        <v>401421.1970555585</v>
      </c>
      <c r="AF8" s="508">
        <f t="shared" si="2"/>
        <v>405944.98518628825</v>
      </c>
      <c r="AG8" s="508">
        <f t="shared" si="2"/>
        <v>410310.86650612531</v>
      </c>
      <c r="AH8" s="508">
        <f t="shared" si="2"/>
        <v>414554.67100894975</v>
      </c>
      <c r="AI8" s="508">
        <f t="shared" si="2"/>
        <v>418660.17292598117</v>
      </c>
      <c r="AJ8" s="508">
        <f t="shared" si="2"/>
        <v>422643.99270145019</v>
      </c>
      <c r="AK8" s="508">
        <f t="shared" si="2"/>
        <v>426485.89470526209</v>
      </c>
      <c r="AL8" s="508">
        <f t="shared" si="2"/>
        <v>430247.76621283474</v>
      </c>
      <c r="AM8" s="508">
        <f t="shared" si="2"/>
        <v>433834.67316324904</v>
      </c>
      <c r="AN8" s="508">
        <f t="shared" si="2"/>
        <v>437323.22668693704</v>
      </c>
      <c r="AO8" s="508">
        <f t="shared" si="2"/>
        <v>440675.75411891803</v>
      </c>
      <c r="AP8" s="508">
        <f t="shared" si="2"/>
        <v>443917.70269918628</v>
      </c>
      <c r="AQ8" s="508">
        <f t="shared" si="2"/>
        <v>447042.55648282683</v>
      </c>
      <c r="AR8" s="508">
        <f t="shared" si="2"/>
        <v>450041.16219135252</v>
      </c>
      <c r="AS8" s="508">
        <f t="shared" si="2"/>
        <v>452930.7161593932</v>
      </c>
      <c r="AT8" s="508">
        <f t="shared" si="2"/>
        <v>453294.24677597953</v>
      </c>
      <c r="AU8" s="508">
        <f t="shared" si="2"/>
        <v>455538.76630317734</v>
      </c>
      <c r="AV8" s="884">
        <f>+SUM(M8:AU8)</f>
        <v>13650722.28287673</v>
      </c>
    </row>
    <row r="9" spans="1:49" ht="43.2" x14ac:dyDescent="0.3">
      <c r="B9" s="915" t="s">
        <v>1038</v>
      </c>
      <c r="C9" s="885" t="s">
        <v>1039</v>
      </c>
      <c r="D9" s="930">
        <f>10*3*10</f>
        <v>300</v>
      </c>
      <c r="E9" s="916">
        <v>113</v>
      </c>
      <c r="F9" s="916">
        <f>E9*$F$1</f>
        <v>124.00619999999999</v>
      </c>
      <c r="G9" s="917">
        <f>D9*F9</f>
        <v>37201.86</v>
      </c>
      <c r="H9" s="929">
        <f>2.6*F1</f>
        <v>2.85324</v>
      </c>
      <c r="I9" s="911" t="s">
        <v>1040</v>
      </c>
      <c r="J9" s="521"/>
      <c r="K9" s="926" t="s">
        <v>1038</v>
      </c>
      <c r="L9" s="101">
        <f>AV9</f>
        <v>1917443.4324948406</v>
      </c>
      <c r="M9" s="148">
        <f>$H$9*('Base Física'!F52)</f>
        <v>40695.847784694859</v>
      </c>
      <c r="N9" s="148">
        <f>$H$9*('Base Física'!G52)</f>
        <v>42852.567204761937</v>
      </c>
      <c r="O9" s="148">
        <f>$H$9*('Base Física'!H52)</f>
        <v>44002.297425854638</v>
      </c>
      <c r="P9" s="148">
        <f>$H$9*('Base Física'!I52)</f>
        <v>44882.248484162948</v>
      </c>
      <c r="Q9" s="148">
        <f>$H$9*('Base Física'!J52)</f>
        <v>45751.299378268945</v>
      </c>
      <c r="R9" s="148">
        <f>$H$9*('Base Física'!K52)</f>
        <v>46609.610042671513</v>
      </c>
      <c r="S9" s="148">
        <f>$H$9*('Base Física'!L52)</f>
        <v>47454.697979610755</v>
      </c>
      <c r="T9" s="148">
        <f>$H$9*('Base Física'!M52)</f>
        <v>48282.910149218696</v>
      </c>
      <c r="U9" s="148">
        <f>$H$9*('Base Física'!N52)</f>
        <v>49104.199154625785</v>
      </c>
      <c r="V9" s="148">
        <f>$H$9*('Base Física'!O52)</f>
        <v>49907.240680286573</v>
      </c>
      <c r="W9" s="148">
        <f>$H$9*('Base Física'!P52)</f>
        <v>50693.538098711433</v>
      </c>
      <c r="X9" s="148">
        <f>$H$9*('Base Física'!Q52)</f>
        <v>51468.218132903785</v>
      </c>
      <c r="Y9" s="148">
        <f>$H$9*('Base Física'!R52)</f>
        <v>52220.020225628257</v>
      </c>
      <c r="Z9" s="148">
        <f>$H$9*('Base Física'!S52)</f>
        <v>52956.980124539084</v>
      </c>
      <c r="AA9" s="148">
        <f>$H$9*('Base Física'!T52)</f>
        <v>53678.076818936963</v>
      </c>
      <c r="AB9" s="148">
        <f>$H$9*('Base Física'!U52)</f>
        <v>54382.990878525132</v>
      </c>
      <c r="AC9" s="148">
        <f>$H$9*('Base Física'!V52)</f>
        <v>55068.584451654686</v>
      </c>
      <c r="AD9" s="148">
        <f>$H$9*('Base Física'!W52)</f>
        <v>55738.009731701124</v>
      </c>
      <c r="AE9" s="148">
        <f>$H$9*('Base Física'!X52)</f>
        <v>56385.473384357218</v>
      </c>
      <c r="AF9" s="148">
        <f>$H$9*('Base Física'!Y52)</f>
        <v>57020.90553670175</v>
      </c>
      <c r="AG9" s="148">
        <f>$H$9*('Base Física'!Z52)</f>
        <v>57634.157369850123</v>
      </c>
      <c r="AH9" s="148">
        <f>$H$9*('Base Física'!AA52)</f>
        <v>58230.261730052371</v>
      </c>
      <c r="AI9" s="148">
        <f>$H$9*('Base Física'!AB52)</f>
        <v>58806.939470964397</v>
      </c>
      <c r="AJ9" s="148">
        <f>$H$9*('Base Física'!AC52)</f>
        <v>59366.525176864961</v>
      </c>
      <c r="AK9" s="148">
        <f>$H$9*('Base Física'!AD52)</f>
        <v>59906.176457789377</v>
      </c>
      <c r="AL9" s="148">
        <f>$H$9*('Base Física'!AE52)</f>
        <v>60434.586285973543</v>
      </c>
      <c r="AM9" s="148">
        <f>$H$9*('Base Física'!AF52)</f>
        <v>60938.419785221369</v>
      </c>
      <c r="AN9" s="148">
        <f>$H$9*('Base Física'!AG52)</f>
        <v>61428.438108375813</v>
      </c>
      <c r="AO9" s="148">
        <f>$H$9*('Base Física'!AH52)</f>
        <v>61899.349579102483</v>
      </c>
      <c r="AP9" s="148">
        <f>$H$9*('Base Física'!AI52)</f>
        <v>62354.728634137457</v>
      </c>
      <c r="AQ9" s="148">
        <f>$H$9*('Base Física'!AJ52)</f>
        <v>62793.660013795234</v>
      </c>
      <c r="AR9" s="148">
        <f>$H$9*('Base Física'!AK52)</f>
        <v>63214.858006348812</v>
      </c>
      <c r="AS9" s="148">
        <f>$H$9*('Base Física'!AL52)</f>
        <v>63620.738088299418</v>
      </c>
      <c r="AT9" s="148">
        <f>$H$9*('Base Física'!AM52)</f>
        <v>63671.801275934449</v>
      </c>
      <c r="AU9" s="148">
        <f>$H$9*('Base Física'!AN52)</f>
        <v>63987.076844314484</v>
      </c>
      <c r="AV9" s="468">
        <f>+SUM(M9:AU9)</f>
        <v>1917443.4324948406</v>
      </c>
    </row>
    <row r="10" spans="1:49" ht="43.2" x14ac:dyDescent="0.3">
      <c r="B10" s="915" t="s">
        <v>1041</v>
      </c>
      <c r="C10" s="885" t="s">
        <v>1042</v>
      </c>
      <c r="D10" s="930">
        <f>2*12</f>
        <v>24</v>
      </c>
      <c r="E10" s="916">
        <v>1250</v>
      </c>
      <c r="F10" s="916">
        <f>E10*$F$1</f>
        <v>1371.75</v>
      </c>
      <c r="G10" s="917">
        <f>D10*F10</f>
        <v>32922</v>
      </c>
      <c r="H10" s="929">
        <f>2.3*F1</f>
        <v>2.5240199999999997</v>
      </c>
      <c r="I10" s="911" t="s">
        <v>1043</v>
      </c>
      <c r="J10" s="521"/>
      <c r="K10" s="926" t="s">
        <v>1041</v>
      </c>
      <c r="L10" s="101">
        <f t="shared" ref="L10:L53" si="3">AV10</f>
        <v>1696199.9595146666</v>
      </c>
      <c r="M10" s="148">
        <f>$H$10*('Base Física'!F52)</f>
        <v>36000.173040306989</v>
      </c>
      <c r="N10" s="148">
        <f>$H$10*('Base Física'!G52)</f>
        <v>37908.040219597096</v>
      </c>
      <c r="O10" s="148">
        <f>$H$10*('Base Física'!H52)</f>
        <v>38925.109261332946</v>
      </c>
      <c r="P10" s="148">
        <f>$H$10*('Base Física'!I52)</f>
        <v>39703.527505221064</v>
      </c>
      <c r="Q10" s="148">
        <f>$H$10*('Base Física'!J52)</f>
        <v>40472.303296160986</v>
      </c>
      <c r="R10" s="148">
        <f>$H$10*('Base Física'!K52)</f>
        <v>41231.578114670949</v>
      </c>
      <c r="S10" s="148">
        <f>$H$10*('Base Física'!L52)</f>
        <v>41979.155905040279</v>
      </c>
      <c r="T10" s="148">
        <f>$H$10*('Base Física'!M52)</f>
        <v>42711.805132001151</v>
      </c>
      <c r="U10" s="148">
        <f>$H$10*('Base Física'!N52)</f>
        <v>43438.330021399728</v>
      </c>
      <c r="V10" s="148">
        <f>$H$10*('Base Física'!O52)</f>
        <v>44148.712909484268</v>
      </c>
      <c r="W10" s="148">
        <f>$H$10*('Base Física'!P52)</f>
        <v>44844.283702706263</v>
      </c>
      <c r="X10" s="148">
        <f>$H$10*('Base Física'!Q52)</f>
        <v>45529.577579107194</v>
      </c>
      <c r="Y10" s="148">
        <f>$H$10*('Base Física'!R52)</f>
        <v>46194.633276517299</v>
      </c>
      <c r="Z10" s="148">
        <f>$H$10*('Base Física'!S52)</f>
        <v>46846.559340938416</v>
      </c>
      <c r="AA10" s="148">
        <f>$H$10*('Base Física'!T52)</f>
        <v>47484.452570598078</v>
      </c>
      <c r="AB10" s="148">
        <f>$H$10*('Base Física'!U52)</f>
        <v>48108.030392541463</v>
      </c>
      <c r="AC10" s="148">
        <f>$H$10*('Base Física'!V52)</f>
        <v>48714.517014925295</v>
      </c>
      <c r="AD10" s="148">
        <f>$H$10*('Base Física'!W52)</f>
        <v>49306.700916504829</v>
      </c>
      <c r="AE10" s="148">
        <f>$H$10*('Base Física'!X52)</f>
        <v>49879.457224623686</v>
      </c>
      <c r="AF10" s="148">
        <f>$H$10*('Base Física'!Y52)</f>
        <v>50441.570282466928</v>
      </c>
      <c r="AG10" s="148">
        <f>$H$10*('Base Física'!Z52)</f>
        <v>50984.062288713561</v>
      </c>
      <c r="AH10" s="148">
        <f>$H$10*('Base Física'!AA52)</f>
        <v>51511.385376584782</v>
      </c>
      <c r="AI10" s="148">
        <f>$H$10*('Base Física'!AB52)</f>
        <v>52021.523378160811</v>
      </c>
      <c r="AJ10" s="148">
        <f>$H$10*('Base Física'!AC52)</f>
        <v>52516.541502611311</v>
      </c>
      <c r="AK10" s="148">
        <f>$H$10*('Base Física'!AD52)</f>
        <v>52993.925328044446</v>
      </c>
      <c r="AL10" s="148">
        <f>$H$10*('Base Física'!AE52)</f>
        <v>53461.364791438129</v>
      </c>
      <c r="AM10" s="148">
        <f>$H$10*('Base Física'!AF52)</f>
        <v>53907.063656157356</v>
      </c>
      <c r="AN10" s="148">
        <f>$H$10*('Base Física'!AG52)</f>
        <v>54340.541403563213</v>
      </c>
      <c r="AO10" s="148">
        <f>$H$10*('Base Física'!AH52)</f>
        <v>54757.116935359882</v>
      </c>
      <c r="AP10" s="148">
        <f>$H$10*('Base Física'!AI52)</f>
        <v>55159.952253275434</v>
      </c>
      <c r="AQ10" s="148">
        <f>$H$10*('Base Física'!AJ52)</f>
        <v>55548.237704511164</v>
      </c>
      <c r="AR10" s="148">
        <f>$H$10*('Base Física'!AK52)</f>
        <v>55920.835928693174</v>
      </c>
      <c r="AS10" s="148">
        <f>$H$10*('Base Física'!AL52)</f>
        <v>56279.883693495634</v>
      </c>
      <c r="AT10" s="148">
        <f>$H$10*('Base Física'!AM52)</f>
        <v>56325.054974865088</v>
      </c>
      <c r="AU10" s="148">
        <f>$H$10*('Base Física'!AN52)</f>
        <v>56603.952593047419</v>
      </c>
      <c r="AV10" s="468">
        <f t="shared" ref="AV10:AV12" si="4">+SUM(M10:AU10)</f>
        <v>1696199.9595146666</v>
      </c>
    </row>
    <row r="11" spans="1:49" ht="28.8" x14ac:dyDescent="0.3">
      <c r="B11" s="915" t="s">
        <v>1044</v>
      </c>
      <c r="C11" s="885" t="s">
        <v>18</v>
      </c>
      <c r="D11" s="930">
        <v>24</v>
      </c>
      <c r="E11" s="916">
        <v>2500</v>
      </c>
      <c r="F11" s="916">
        <f>E11*$F$1</f>
        <v>2743.5</v>
      </c>
      <c r="G11" s="917">
        <f>D11*F11</f>
        <v>65844</v>
      </c>
      <c r="H11" s="929">
        <f>4.61*F1</f>
        <v>5.0590140000000003</v>
      </c>
      <c r="I11" s="911" t="s">
        <v>1045</v>
      </c>
      <c r="J11" s="521"/>
      <c r="K11" s="926" t="s">
        <v>1044</v>
      </c>
      <c r="L11" s="101">
        <f t="shared" si="3"/>
        <v>3399774.7014620062</v>
      </c>
      <c r="M11" s="148">
        <f>$H$11*('Base Física'!F52)</f>
        <v>72156.868572093575</v>
      </c>
      <c r="N11" s="148">
        <f>$H$11*('Base Física'!G52)</f>
        <v>75980.898005366369</v>
      </c>
      <c r="O11" s="148">
        <f>$H$11*('Base Física'!H52)</f>
        <v>78019.458128149956</v>
      </c>
      <c r="P11" s="148">
        <f>$H$11*('Base Física'!I52)</f>
        <v>79579.679043073542</v>
      </c>
      <c r="Q11" s="148">
        <f>$H$11*('Base Física'!J52)</f>
        <v>81120.573128392251</v>
      </c>
      <c r="R11" s="148">
        <f>$H$11*('Base Física'!K52)</f>
        <v>82642.423960275264</v>
      </c>
      <c r="S11" s="148">
        <f>$H$11*('Base Física'!L52)</f>
        <v>84140.829879232915</v>
      </c>
      <c r="T11" s="148">
        <f>$H$11*('Base Física'!M52)</f>
        <v>85609.313764576233</v>
      </c>
      <c r="U11" s="148">
        <f>$H$11*('Base Física'!N52)</f>
        <v>87065.522347240345</v>
      </c>
      <c r="V11" s="148">
        <f>$H$11*('Base Física'!O52)</f>
        <v>88489.37674466196</v>
      </c>
      <c r="W11" s="148">
        <f>$H$11*('Base Física'!P52)</f>
        <v>89883.542551946055</v>
      </c>
      <c r="X11" s="148">
        <f>$H$11*('Base Física'!Q52)</f>
        <v>91257.10984334095</v>
      </c>
      <c r="Y11" s="148">
        <f>$H$11*('Base Física'!R52)</f>
        <v>92590.112784671655</v>
      </c>
      <c r="Z11" s="148">
        <f>$H$11*('Base Física'!S52)</f>
        <v>93896.799374663533</v>
      </c>
      <c r="AA11" s="148">
        <f>$H$11*('Base Física'!T52)</f>
        <v>95175.359282807476</v>
      </c>
      <c r="AB11" s="148">
        <f>$H$11*('Base Física'!U52)</f>
        <v>96425.226134615732</v>
      </c>
      <c r="AC11" s="148">
        <f>$H$11*('Base Física'!V52)</f>
        <v>97640.83627774159</v>
      </c>
      <c r="AD11" s="148">
        <f>$H$11*('Base Física'!W52)</f>
        <v>98827.77879351622</v>
      </c>
      <c r="AE11" s="148">
        <f>$H$11*('Base Física'!X52)</f>
        <v>99975.781654571838</v>
      </c>
      <c r="AF11" s="148">
        <f>$H$11*('Base Física'!Y52)</f>
        <v>101102.45174007503</v>
      </c>
      <c r="AG11" s="148">
        <f>$H$11*('Base Física'!Z52)</f>
        <v>102189.79441346503</v>
      </c>
      <c r="AH11" s="148">
        <f>$H$11*('Base Física'!AA52)</f>
        <v>103246.73329828518</v>
      </c>
      <c r="AI11" s="148">
        <f>$H$11*('Base Física'!AB52)</f>
        <v>104269.22729274843</v>
      </c>
      <c r="AJ11" s="148">
        <f>$H$11*('Base Física'!AC52)</f>
        <v>105261.41579436442</v>
      </c>
      <c r="AK11" s="148">
        <f>$H$11*('Base Física'!AD52)</f>
        <v>106218.25902708041</v>
      </c>
      <c r="AL11" s="148">
        <f>$H$11*('Base Física'!AE52)</f>
        <v>107155.17029936079</v>
      </c>
      <c r="AM11" s="148">
        <f>$H$11*('Base Física'!AF52)</f>
        <v>108048.5058499502</v>
      </c>
      <c r="AN11" s="148">
        <f>$H$11*('Base Física'!AG52)</f>
        <v>108917.34603062019</v>
      </c>
      <c r="AO11" s="148">
        <f>$H$11*('Base Física'!AH52)</f>
        <v>109752.30829217787</v>
      </c>
      <c r="AP11" s="148">
        <f>$H$11*('Base Física'!AI52)</f>
        <v>110559.73038591296</v>
      </c>
      <c r="AQ11" s="148">
        <f>$H$11*('Base Física'!AJ52)</f>
        <v>111337.98948599848</v>
      </c>
      <c r="AR11" s="148">
        <f>$H$11*('Base Física'!AK52)</f>
        <v>112084.80592664157</v>
      </c>
      <c r="AS11" s="148">
        <f>$H$11*('Base Física'!AL52)</f>
        <v>112804.46253348475</v>
      </c>
      <c r="AT11" s="148">
        <f>$H$11*('Base Física'!AM52)</f>
        <v>112895.00149309917</v>
      </c>
      <c r="AU11" s="148">
        <f>$H$11*('Base Física'!AN52)</f>
        <v>113454.00932780377</v>
      </c>
      <c r="AV11" s="468">
        <f t="shared" si="4"/>
        <v>3399774.7014620062</v>
      </c>
    </row>
    <row r="12" spans="1:49" ht="28.8" x14ac:dyDescent="0.3">
      <c r="B12" s="915" t="s">
        <v>1046</v>
      </c>
      <c r="C12" s="885" t="s">
        <v>1047</v>
      </c>
      <c r="D12" s="931">
        <v>78149</v>
      </c>
      <c r="E12" s="916">
        <f>1.5</f>
        <v>1.5</v>
      </c>
      <c r="F12" s="916">
        <f>E12*$F$1</f>
        <v>1.6460999999999999</v>
      </c>
      <c r="G12" s="917">
        <f>D12*F12</f>
        <v>128641.0689</v>
      </c>
      <c r="H12" s="929">
        <f>9*F1</f>
        <v>9.8765999999999998</v>
      </c>
      <c r="I12" s="911" t="s">
        <v>1045</v>
      </c>
      <c r="J12" s="521"/>
      <c r="K12" s="926" t="s">
        <v>1046</v>
      </c>
      <c r="L12" s="101">
        <f t="shared" si="3"/>
        <v>6637304.1894052168</v>
      </c>
      <c r="M12" s="148">
        <f>$H$12*('Base Física'!F52)</f>
        <v>140870.24233163605</v>
      </c>
      <c r="N12" s="148">
        <f>$H$12*('Base Física'!G52)</f>
        <v>148335.80955494518</v>
      </c>
      <c r="O12" s="148">
        <f>$H$12*('Base Física'!H52)</f>
        <v>152315.64493565066</v>
      </c>
      <c r="P12" s="148">
        <f>$H$12*('Base Física'!I52)</f>
        <v>155361.62936825634</v>
      </c>
      <c r="Q12" s="148">
        <f>$H$12*('Base Física'!J52)</f>
        <v>158369.88246323864</v>
      </c>
      <c r="R12" s="148">
        <f>$H$12*('Base Física'!K52)</f>
        <v>161340.95784001678</v>
      </c>
      <c r="S12" s="148">
        <f>$H$12*('Base Física'!L52)</f>
        <v>164266.26223711416</v>
      </c>
      <c r="T12" s="148">
        <f>$H$12*('Base Física'!M52)</f>
        <v>167133.15051652625</v>
      </c>
      <c r="U12" s="148">
        <f>$H$12*('Base Física'!N52)</f>
        <v>169976.07399678158</v>
      </c>
      <c r="V12" s="148">
        <f>$H$12*('Base Física'!O52)</f>
        <v>172755.83312406889</v>
      </c>
      <c r="W12" s="148">
        <f>$H$12*('Base Física'!P52)</f>
        <v>175477.63188015498</v>
      </c>
      <c r="X12" s="148">
        <f>$H$12*('Base Física'!Q52)</f>
        <v>178159.21661389773</v>
      </c>
      <c r="Y12" s="148">
        <f>$H$12*('Base Física'!R52)</f>
        <v>180761.60847332858</v>
      </c>
      <c r="Z12" s="148">
        <f>$H$12*('Base Física'!S52)</f>
        <v>183312.6235080199</v>
      </c>
      <c r="AA12" s="148">
        <f>$H$12*('Base Física'!T52)</f>
        <v>185808.72745016642</v>
      </c>
      <c r="AB12" s="148">
        <f>$H$12*('Base Física'!U52)</f>
        <v>188248.81457951007</v>
      </c>
      <c r="AC12" s="148">
        <f>$H$12*('Base Física'!V52)</f>
        <v>190622.02310188161</v>
      </c>
      <c r="AD12" s="148">
        <f>$H$12*('Base Física'!W52)</f>
        <v>192939.26445588848</v>
      </c>
      <c r="AE12" s="148">
        <f>$H$12*('Base Física'!X52)</f>
        <v>195180.48479200574</v>
      </c>
      <c r="AF12" s="148">
        <f>$H$12*('Base Física'!Y52)</f>
        <v>197380.05762704453</v>
      </c>
      <c r="AG12" s="148">
        <f>$H$12*('Base Física'!Z52)</f>
        <v>199502.85243409657</v>
      </c>
      <c r="AH12" s="148">
        <f>$H$12*('Base Física'!AA52)</f>
        <v>201566.29060402742</v>
      </c>
      <c r="AI12" s="148">
        <f>$H$12*('Base Física'!AB52)</f>
        <v>203562.48278410753</v>
      </c>
      <c r="AJ12" s="148">
        <f>$H$12*('Base Física'!AC52)</f>
        <v>205499.51022760948</v>
      </c>
      <c r="AK12" s="148">
        <f>$H$12*('Base Física'!AD52)</f>
        <v>207367.53389234786</v>
      </c>
      <c r="AL12" s="148">
        <f>$H$12*('Base Física'!AE52)</f>
        <v>209196.64483606225</v>
      </c>
      <c r="AM12" s="148">
        <f>$H$12*('Base Física'!AF52)</f>
        <v>210940.68387192013</v>
      </c>
      <c r="AN12" s="148">
        <f>$H$12*('Base Física'!AG52)</f>
        <v>212636.9011443778</v>
      </c>
      <c r="AO12" s="148">
        <f>$H$12*('Base Física'!AH52)</f>
        <v>214266.97931227781</v>
      </c>
      <c r="AP12" s="148">
        <f>$H$12*('Base Física'!AI52)</f>
        <v>215843.29142586043</v>
      </c>
      <c r="AQ12" s="148">
        <f>$H$12*('Base Física'!AJ52)</f>
        <v>217362.66927852196</v>
      </c>
      <c r="AR12" s="148">
        <f>$H$12*('Base Física'!AK52)</f>
        <v>218820.66232966896</v>
      </c>
      <c r="AS12" s="148">
        <f>$H$12*('Base Física'!AL52)</f>
        <v>220225.63184411338</v>
      </c>
      <c r="AT12" s="148">
        <f>$H$12*('Base Física'!AM52)</f>
        <v>220402.3890320808</v>
      </c>
      <c r="AU12" s="148">
        <f>$H$12*('Base Física'!AN52)</f>
        <v>221493.72753801168</v>
      </c>
      <c r="AV12" s="468">
        <f t="shared" si="4"/>
        <v>6637304.1894052168</v>
      </c>
    </row>
    <row r="13" spans="1:49" x14ac:dyDescent="0.3">
      <c r="B13" s="915"/>
      <c r="C13" s="919"/>
      <c r="D13" s="382"/>
      <c r="E13" s="916"/>
      <c r="F13" s="916"/>
      <c r="G13" s="920"/>
      <c r="H13" s="927"/>
      <c r="I13" s="911"/>
      <c r="J13" s="521"/>
      <c r="K13" s="926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101"/>
      <c r="AN13" s="101"/>
      <c r="AO13" s="101"/>
      <c r="AP13" s="101"/>
      <c r="AQ13" s="512"/>
      <c r="AR13" s="512"/>
      <c r="AS13" s="512"/>
      <c r="AT13" s="512"/>
      <c r="AU13" s="512"/>
      <c r="AV13" s="510"/>
    </row>
    <row r="14" spans="1:49" x14ac:dyDescent="0.3">
      <c r="B14" s="914" t="s">
        <v>1048</v>
      </c>
      <c r="C14" s="282"/>
      <c r="D14" s="382"/>
      <c r="E14" s="916"/>
      <c r="F14" s="916"/>
      <c r="G14" s="921">
        <f>SUM(G15:G19)</f>
        <v>313699.62419601553</v>
      </c>
      <c r="H14" s="927"/>
      <c r="I14" s="911"/>
      <c r="J14" s="521"/>
      <c r="K14" s="925" t="s">
        <v>1048</v>
      </c>
      <c r="L14" s="508">
        <f t="shared" si="3"/>
        <v>16172897.874850713</v>
      </c>
      <c r="M14" s="508">
        <f>SUM(M15:M19)</f>
        <v>343253.82381475321</v>
      </c>
      <c r="N14" s="508">
        <f t="shared" ref="N14:AU14" si="5">SUM(N15:N19)</f>
        <v>361444.92261554976</v>
      </c>
      <c r="O14" s="508">
        <f t="shared" si="5"/>
        <v>371142.45482653548</v>
      </c>
      <c r="P14" s="508">
        <f t="shared" si="5"/>
        <v>378564.50356065127</v>
      </c>
      <c r="Q14" s="508">
        <f t="shared" si="5"/>
        <v>385894.6136020915</v>
      </c>
      <c r="R14" s="508">
        <f t="shared" si="5"/>
        <v>393134.13393684081</v>
      </c>
      <c r="S14" s="508">
        <f t="shared" si="5"/>
        <v>400262.12565110152</v>
      </c>
      <c r="T14" s="508">
        <f t="shared" si="5"/>
        <v>407247.77675860235</v>
      </c>
      <c r="U14" s="508">
        <f t="shared" si="5"/>
        <v>414175.03363882442</v>
      </c>
      <c r="V14" s="508">
        <f t="shared" si="5"/>
        <v>420948.38004564791</v>
      </c>
      <c r="W14" s="508">
        <f t="shared" si="5"/>
        <v>427580.49634797761</v>
      </c>
      <c r="X14" s="508">
        <f t="shared" si="5"/>
        <v>434114.62448253081</v>
      </c>
      <c r="Y14" s="508">
        <f t="shared" si="5"/>
        <v>440455.78598001064</v>
      </c>
      <c r="Z14" s="508">
        <f t="shared" si="5"/>
        <v>446671.75928120851</v>
      </c>
      <c r="AA14" s="508">
        <f t="shared" si="5"/>
        <v>452753.93255357223</v>
      </c>
      <c r="AB14" s="508">
        <f t="shared" si="5"/>
        <v>458699.61152540625</v>
      </c>
      <c r="AC14" s="508">
        <f t="shared" si="5"/>
        <v>464482.32962491817</v>
      </c>
      <c r="AD14" s="508">
        <f t="shared" si="5"/>
        <v>470128.67439084826</v>
      </c>
      <c r="AE14" s="508">
        <f t="shared" si="5"/>
        <v>475589.78127652069</v>
      </c>
      <c r="AF14" s="508">
        <f t="shared" si="5"/>
        <v>480949.40708456514</v>
      </c>
      <c r="AG14" s="508">
        <f t="shared" si="5"/>
        <v>486121.95043108199</v>
      </c>
      <c r="AH14" s="508">
        <f t="shared" si="5"/>
        <v>491149.86143848015</v>
      </c>
      <c r="AI14" s="508">
        <f t="shared" si="5"/>
        <v>496013.91638394201</v>
      </c>
      <c r="AJ14" s="508">
        <f t="shared" si="5"/>
        <v>500733.80658794177</v>
      </c>
      <c r="AK14" s="508">
        <f t="shared" si="5"/>
        <v>505285.55758435425</v>
      </c>
      <c r="AL14" s="508">
        <f t="shared" si="5"/>
        <v>509742.49125053838</v>
      </c>
      <c r="AM14" s="508">
        <f t="shared" si="5"/>
        <v>513992.1330345787</v>
      </c>
      <c r="AN14" s="508">
        <f t="shared" si="5"/>
        <v>518125.24912180065</v>
      </c>
      <c r="AO14" s="508">
        <f t="shared" si="5"/>
        <v>522097.20625758357</v>
      </c>
      <c r="AP14" s="508">
        <f t="shared" si="5"/>
        <v>525938.1534410133</v>
      </c>
      <c r="AQ14" s="508">
        <f t="shared" si="5"/>
        <v>529640.37080866517</v>
      </c>
      <c r="AR14" s="508">
        <f t="shared" si="5"/>
        <v>533193.01387662673</v>
      </c>
      <c r="AS14" s="508">
        <f t="shared" si="5"/>
        <v>536616.45626015624</v>
      </c>
      <c r="AT14" s="508">
        <f t="shared" si="5"/>
        <v>537047.15460817015</v>
      </c>
      <c r="AU14" s="508">
        <f t="shared" si="5"/>
        <v>539706.38276762178</v>
      </c>
      <c r="AV14" s="884">
        <f>+SUM(M14:AU14)</f>
        <v>16172897.874850713</v>
      </c>
    </row>
    <row r="15" spans="1:49" ht="30.6" customHeight="1" x14ac:dyDescent="0.3">
      <c r="B15" s="915" t="s">
        <v>1049</v>
      </c>
      <c r="C15" s="885" t="s">
        <v>1050</v>
      </c>
      <c r="D15" s="382">
        <v>1</v>
      </c>
      <c r="E15" s="916">
        <v>72337.138870070645</v>
      </c>
      <c r="F15" s="916">
        <f>E15*$F$1</f>
        <v>79382.776196015519</v>
      </c>
      <c r="G15" s="917">
        <f>D15*F15</f>
        <v>79382.776196015519</v>
      </c>
      <c r="H15" s="927">
        <f>5.55*F1</f>
        <v>6.0905699999999996</v>
      </c>
      <c r="I15" s="911" t="s">
        <v>1045</v>
      </c>
      <c r="J15" s="521"/>
      <c r="K15" s="926" t="s">
        <v>1049</v>
      </c>
      <c r="L15" s="101">
        <f t="shared" si="3"/>
        <v>4093004.2501332154</v>
      </c>
      <c r="M15" s="148">
        <f>$H$15*('Base Física'!F52)</f>
        <v>86869.982771175564</v>
      </c>
      <c r="N15" s="148">
        <f>$H$15*('Base Física'!G52)</f>
        <v>91473.749225549516</v>
      </c>
      <c r="O15" s="148">
        <f>$H$15*('Base Física'!H52)</f>
        <v>93927.981043651249</v>
      </c>
      <c r="P15" s="148">
        <f>$H$15*('Base Física'!I52)</f>
        <v>95806.338110424738</v>
      </c>
      <c r="Q15" s="148">
        <f>$H$15*('Base Física'!J52)</f>
        <v>97661.427518997152</v>
      </c>
      <c r="R15" s="148">
        <f>$H$15*('Base Física'!K52)</f>
        <v>99493.590668010336</v>
      </c>
      <c r="S15" s="148">
        <f>$H$15*('Base Física'!L52)</f>
        <v>101297.52837955373</v>
      </c>
      <c r="T15" s="148">
        <f>$H$15*('Base Física'!M52)</f>
        <v>103065.44281852452</v>
      </c>
      <c r="U15" s="148">
        <f>$H$15*('Base Física'!N52)</f>
        <v>104818.57896468196</v>
      </c>
      <c r="V15" s="148">
        <f>$H$15*('Base Física'!O52)</f>
        <v>106532.76375984248</v>
      </c>
      <c r="W15" s="148">
        <f>$H$15*('Base Física'!P52)</f>
        <v>108211.20632609556</v>
      </c>
      <c r="X15" s="148">
        <f>$H$15*('Base Física'!Q52)</f>
        <v>109864.85024523693</v>
      </c>
      <c r="Y15" s="148">
        <f>$H$15*('Base Física'!R52)</f>
        <v>111469.65855855262</v>
      </c>
      <c r="Z15" s="148">
        <f>$H$15*('Base Física'!S52)</f>
        <v>113042.78449661226</v>
      </c>
      <c r="AA15" s="148">
        <f>$H$15*('Base Física'!T52)</f>
        <v>114582.04859426928</v>
      </c>
      <c r="AB15" s="148">
        <f>$H$15*('Base Física'!U52)</f>
        <v>116086.76899069788</v>
      </c>
      <c r="AC15" s="148">
        <f>$H$15*('Base Física'!V52)</f>
        <v>117550.24757949365</v>
      </c>
      <c r="AD15" s="148">
        <f>$H$15*('Base Física'!W52)</f>
        <v>118979.21308113122</v>
      </c>
      <c r="AE15" s="148">
        <f>$H$15*('Base Física'!X52)</f>
        <v>120361.2989550702</v>
      </c>
      <c r="AF15" s="148">
        <f>$H$15*('Base Física'!Y52)</f>
        <v>121717.70220334412</v>
      </c>
      <c r="AG15" s="148">
        <f>$H$15*('Base Física'!Z52)</f>
        <v>123026.75900102621</v>
      </c>
      <c r="AH15" s="148">
        <f>$H$15*('Base Física'!AA52)</f>
        <v>124299.21253915025</v>
      </c>
      <c r="AI15" s="148">
        <f>$H$15*('Base Física'!AB52)</f>
        <v>125530.19771686631</v>
      </c>
      <c r="AJ15" s="148">
        <f>$H$15*('Base Física'!AC52)</f>
        <v>126724.69797369251</v>
      </c>
      <c r="AK15" s="148">
        <f>$H$15*('Base Física'!AD52)</f>
        <v>127876.64590028116</v>
      </c>
      <c r="AL15" s="148">
        <f>$H$15*('Base Física'!AE52)</f>
        <v>129004.59764890505</v>
      </c>
      <c r="AM15" s="148">
        <f>$H$15*('Base Física'!AF52)</f>
        <v>130080.08838768407</v>
      </c>
      <c r="AN15" s="148">
        <f>$H$15*('Base Física'!AG52)</f>
        <v>131126.08903903296</v>
      </c>
      <c r="AO15" s="148">
        <f>$H$15*('Base Física'!AH52)</f>
        <v>132131.30390923799</v>
      </c>
      <c r="AP15" s="148">
        <f>$H$15*('Base Física'!AI52)</f>
        <v>133103.36304594725</v>
      </c>
      <c r="AQ15" s="148">
        <f>$H$15*('Base Física'!AJ52)</f>
        <v>134040.31272175521</v>
      </c>
      <c r="AR15" s="148">
        <f>$H$15*('Base Física'!AK52)</f>
        <v>134939.40843662919</v>
      </c>
      <c r="AS15" s="148">
        <f>$H$15*('Base Física'!AL52)</f>
        <v>135805.8063038699</v>
      </c>
      <c r="AT15" s="148">
        <f>$H$15*('Base Física'!AM52)</f>
        <v>135914.80656978316</v>
      </c>
      <c r="AU15" s="148">
        <f>$H$15*('Base Física'!AN52)</f>
        <v>136587.79864844051</v>
      </c>
      <c r="AV15" s="468">
        <f t="shared" ref="AV15:AV19" si="6">+SUM(M15:AU15)</f>
        <v>4093004.2501332154</v>
      </c>
    </row>
    <row r="16" spans="1:49" ht="28.8" x14ac:dyDescent="0.3">
      <c r="B16" s="915" t="s">
        <v>1051</v>
      </c>
      <c r="C16" s="885" t="s">
        <v>1052</v>
      </c>
      <c r="D16" s="918">
        <v>2653</v>
      </c>
      <c r="E16" s="916">
        <v>20</v>
      </c>
      <c r="F16" s="916">
        <f>E16*$F$1</f>
        <v>21.948</v>
      </c>
      <c r="G16" s="917">
        <f>D16*F16</f>
        <v>58228.044000000002</v>
      </c>
      <c r="H16" s="927">
        <f>4.07*F1</f>
        <v>4.466418</v>
      </c>
      <c r="I16" s="911" t="s">
        <v>1045</v>
      </c>
      <c r="J16" s="521"/>
      <c r="K16" s="926" t="s">
        <v>1051</v>
      </c>
      <c r="L16" s="101">
        <f t="shared" si="3"/>
        <v>3001536.4500976922</v>
      </c>
      <c r="M16" s="148">
        <f>$H$16*('Base Física'!F52)</f>
        <v>63704.654032195416</v>
      </c>
      <c r="N16" s="148">
        <f>$H$16*('Base Física'!G52)</f>
        <v>67080.749432069657</v>
      </c>
      <c r="O16" s="148">
        <f>$H$16*('Base Física'!H52)</f>
        <v>68880.519432010915</v>
      </c>
      <c r="P16" s="148">
        <f>$H$16*('Base Física'!I52)</f>
        <v>70257.981280978143</v>
      </c>
      <c r="Q16" s="148">
        <f>$H$16*('Base Física'!J52)</f>
        <v>71618.380180597916</v>
      </c>
      <c r="R16" s="148">
        <f>$H$16*('Base Física'!K52)</f>
        <v>72961.966489874249</v>
      </c>
      <c r="S16" s="148">
        <f>$H$16*('Base Física'!L52)</f>
        <v>74284.854145006073</v>
      </c>
      <c r="T16" s="148">
        <f>$H$16*('Base Física'!M52)</f>
        <v>75581.324733584654</v>
      </c>
      <c r="U16" s="148">
        <f>$H$16*('Base Física'!N52)</f>
        <v>76866.957907433447</v>
      </c>
      <c r="V16" s="148">
        <f>$H$16*('Base Física'!O52)</f>
        <v>78124.026757217827</v>
      </c>
      <c r="W16" s="148">
        <f>$H$16*('Base Física'!P52)</f>
        <v>79354.884639136755</v>
      </c>
      <c r="X16" s="148">
        <f>$H$16*('Base Física'!Q52)</f>
        <v>80567.556846507083</v>
      </c>
      <c r="Y16" s="148">
        <f>$H$16*('Base Física'!R52)</f>
        <v>81744.416276271935</v>
      </c>
      <c r="Z16" s="148">
        <f>$H$16*('Base Física'!S52)</f>
        <v>82898.041964182339</v>
      </c>
      <c r="AA16" s="148">
        <f>$H$16*('Base Física'!T52)</f>
        <v>84026.835635797484</v>
      </c>
      <c r="AB16" s="148">
        <f>$H$16*('Base Física'!U52)</f>
        <v>85130.297259845116</v>
      </c>
      <c r="AC16" s="148">
        <f>$H$16*('Base Física'!V52)</f>
        <v>86203.514891628685</v>
      </c>
      <c r="AD16" s="148">
        <f>$H$16*('Base Física'!W52)</f>
        <v>87251.422926162908</v>
      </c>
      <c r="AE16" s="148">
        <f>$H$16*('Base Física'!X52)</f>
        <v>88264.952567051485</v>
      </c>
      <c r="AF16" s="148">
        <f>$H$16*('Base Física'!Y52)</f>
        <v>89259.648282452355</v>
      </c>
      <c r="AG16" s="148">
        <f>$H$16*('Base Física'!Z52)</f>
        <v>90219.623267419229</v>
      </c>
      <c r="AH16" s="148">
        <f>$H$16*('Base Física'!AA52)</f>
        <v>91152.755862043516</v>
      </c>
      <c r="AI16" s="148">
        <f>$H$16*('Base Física'!AB52)</f>
        <v>92055.478325701959</v>
      </c>
      <c r="AJ16" s="148">
        <f>$H$16*('Base Física'!AC52)</f>
        <v>92931.445180707844</v>
      </c>
      <c r="AK16" s="148">
        <f>$H$16*('Base Física'!AD52)</f>
        <v>93776.206993539527</v>
      </c>
      <c r="AL16" s="148">
        <f>$H$16*('Base Física'!AE52)</f>
        <v>94603.371609197042</v>
      </c>
      <c r="AM16" s="148">
        <f>$H$16*('Base Física'!AF52)</f>
        <v>95392.064817634993</v>
      </c>
      <c r="AN16" s="148">
        <f>$H$16*('Base Física'!AG52)</f>
        <v>96159.131961957522</v>
      </c>
      <c r="AO16" s="148">
        <f>$H$16*('Base Física'!AH52)</f>
        <v>96896.289533441188</v>
      </c>
      <c r="AP16" s="148">
        <f>$H$16*('Base Física'!AI52)</f>
        <v>97609.132900361321</v>
      </c>
      <c r="AQ16" s="148">
        <f>$H$16*('Base Física'!AJ52)</f>
        <v>98296.229329287162</v>
      </c>
      <c r="AR16" s="148">
        <f>$H$16*('Base Física'!AK52)</f>
        <v>98955.566186861412</v>
      </c>
      <c r="AS16" s="148">
        <f>$H$16*('Base Física'!AL52)</f>
        <v>99590.924622837934</v>
      </c>
      <c r="AT16" s="148">
        <f>$H$16*('Base Física'!AM52)</f>
        <v>99670.85815117431</v>
      </c>
      <c r="AU16" s="148">
        <f>$H$16*('Base Física'!AN52)</f>
        <v>100164.38567552305</v>
      </c>
      <c r="AV16" s="468">
        <f t="shared" si="6"/>
        <v>3001536.4500976922</v>
      </c>
    </row>
    <row r="17" spans="2:48" ht="28.8" x14ac:dyDescent="0.3">
      <c r="B17" s="915" t="s">
        <v>1053</v>
      </c>
      <c r="C17" s="885" t="s">
        <v>1052</v>
      </c>
      <c r="D17" s="918">
        <f>D16</f>
        <v>2653</v>
      </c>
      <c r="E17" s="916">
        <v>20</v>
      </c>
      <c r="F17" s="916">
        <f>E17*$F$1</f>
        <v>21.948</v>
      </c>
      <c r="G17" s="917">
        <f>D17*F17</f>
        <v>58228.044000000002</v>
      </c>
      <c r="H17" s="927">
        <f>4.07*F1</f>
        <v>4.466418</v>
      </c>
      <c r="I17" s="911" t="s">
        <v>1045</v>
      </c>
      <c r="J17" s="521"/>
      <c r="K17" s="926" t="s">
        <v>1053</v>
      </c>
      <c r="L17" s="101">
        <f t="shared" si="3"/>
        <v>3001536.4500976922</v>
      </c>
      <c r="M17" s="148">
        <f>$H$17*('Base Física'!F52)</f>
        <v>63704.654032195416</v>
      </c>
      <c r="N17" s="148">
        <f>$H$17*('Base Física'!G52)</f>
        <v>67080.749432069657</v>
      </c>
      <c r="O17" s="148">
        <f>$H$17*('Base Física'!H52)</f>
        <v>68880.519432010915</v>
      </c>
      <c r="P17" s="148">
        <f>$H$17*('Base Física'!I52)</f>
        <v>70257.981280978143</v>
      </c>
      <c r="Q17" s="148">
        <f>$H$17*('Base Física'!J52)</f>
        <v>71618.380180597916</v>
      </c>
      <c r="R17" s="148">
        <f>$H$17*('Base Física'!K52)</f>
        <v>72961.966489874249</v>
      </c>
      <c r="S17" s="148">
        <f>$H$17*('Base Física'!L52)</f>
        <v>74284.854145006073</v>
      </c>
      <c r="T17" s="148">
        <f>$H$17*('Base Física'!M52)</f>
        <v>75581.324733584654</v>
      </c>
      <c r="U17" s="148">
        <f>$H$17*('Base Física'!N52)</f>
        <v>76866.957907433447</v>
      </c>
      <c r="V17" s="148">
        <f>$H$17*('Base Física'!O52)</f>
        <v>78124.026757217827</v>
      </c>
      <c r="W17" s="148">
        <f>$H$17*('Base Física'!P52)</f>
        <v>79354.884639136755</v>
      </c>
      <c r="X17" s="148">
        <f>$H$17*('Base Física'!Q52)</f>
        <v>80567.556846507083</v>
      </c>
      <c r="Y17" s="148">
        <f>$H$17*('Base Física'!R52)</f>
        <v>81744.416276271935</v>
      </c>
      <c r="Z17" s="148">
        <f>$H$17*('Base Física'!S52)</f>
        <v>82898.041964182339</v>
      </c>
      <c r="AA17" s="148">
        <f>$H$17*('Base Física'!T52)</f>
        <v>84026.835635797484</v>
      </c>
      <c r="AB17" s="148">
        <f>$H$17*('Base Física'!U52)</f>
        <v>85130.297259845116</v>
      </c>
      <c r="AC17" s="148">
        <f>$H$17*('Base Física'!V52)</f>
        <v>86203.514891628685</v>
      </c>
      <c r="AD17" s="148">
        <f>$H$17*('Base Física'!W52)</f>
        <v>87251.422926162908</v>
      </c>
      <c r="AE17" s="148">
        <f>$H$17*('Base Física'!X52)</f>
        <v>88264.952567051485</v>
      </c>
      <c r="AF17" s="148">
        <f>$H$17*('Base Física'!Y52)</f>
        <v>89259.648282452355</v>
      </c>
      <c r="AG17" s="148">
        <f>$H$17*('Base Física'!Z52)</f>
        <v>90219.623267419229</v>
      </c>
      <c r="AH17" s="148">
        <f>$H$17*('Base Física'!AA52)</f>
        <v>91152.755862043516</v>
      </c>
      <c r="AI17" s="148">
        <f>$H$17*('Base Física'!AB52)</f>
        <v>92055.478325701959</v>
      </c>
      <c r="AJ17" s="148">
        <f>$H$17*('Base Física'!AC52)</f>
        <v>92931.445180707844</v>
      </c>
      <c r="AK17" s="148">
        <f>$H$17*('Base Física'!AD52)</f>
        <v>93776.206993539527</v>
      </c>
      <c r="AL17" s="148">
        <f>$H$17*('Base Física'!AE52)</f>
        <v>94603.371609197042</v>
      </c>
      <c r="AM17" s="148">
        <f>$H$17*('Base Física'!AF52)</f>
        <v>95392.064817634993</v>
      </c>
      <c r="AN17" s="148">
        <f>$H$17*('Base Física'!AG52)</f>
        <v>96159.131961957522</v>
      </c>
      <c r="AO17" s="148">
        <f>$H$17*('Base Física'!AH52)</f>
        <v>96896.289533441188</v>
      </c>
      <c r="AP17" s="148">
        <f>$H$17*('Base Física'!AI52)</f>
        <v>97609.132900361321</v>
      </c>
      <c r="AQ17" s="148">
        <f>$H$17*('Base Física'!AJ52)</f>
        <v>98296.229329287162</v>
      </c>
      <c r="AR17" s="148">
        <f>$H$17*('Base Física'!AK52)</f>
        <v>98955.566186861412</v>
      </c>
      <c r="AS17" s="148">
        <f>$H$17*('Base Física'!AL52)</f>
        <v>99590.924622837934</v>
      </c>
      <c r="AT17" s="148">
        <f>$H$17*('Base Física'!AM52)</f>
        <v>99670.85815117431</v>
      </c>
      <c r="AU17" s="148">
        <f>$H$17*('Base Física'!AN52)</f>
        <v>100164.38567552305</v>
      </c>
      <c r="AV17" s="468">
        <f t="shared" si="6"/>
        <v>3001536.4500976922</v>
      </c>
    </row>
    <row r="18" spans="2:48" ht="28.8" x14ac:dyDescent="0.3">
      <c r="B18" s="915" t="s">
        <v>1054</v>
      </c>
      <c r="C18" s="885" t="s">
        <v>407</v>
      </c>
      <c r="D18" s="382">
        <v>12</v>
      </c>
      <c r="E18" s="916">
        <v>6450</v>
      </c>
      <c r="F18" s="916">
        <f>E18*$F$1</f>
        <v>7078.23</v>
      </c>
      <c r="G18" s="917">
        <f>D18*F18</f>
        <v>84938.76</v>
      </c>
      <c r="H18" s="927">
        <f>5.94*F1</f>
        <v>6.5185560000000002</v>
      </c>
      <c r="I18" s="911" t="s">
        <v>1045</v>
      </c>
      <c r="J18" s="521"/>
      <c r="K18" s="926" t="s">
        <v>1054</v>
      </c>
      <c r="L18" s="101">
        <f t="shared" si="3"/>
        <v>4380620.7650074437</v>
      </c>
      <c r="M18" s="148">
        <f>$H$18*('Base Física'!F52)</f>
        <v>92974.359938879803</v>
      </c>
      <c r="N18" s="148">
        <f>$H$18*('Base Física'!G52)</f>
        <v>97901.634306263819</v>
      </c>
      <c r="O18" s="148">
        <f>$H$18*('Base Física'!H52)</f>
        <v>100528.32565752945</v>
      </c>
      <c r="P18" s="148">
        <f>$H$18*('Base Física'!I52)</f>
        <v>102538.67538304919</v>
      </c>
      <c r="Q18" s="148">
        <f>$H$18*('Base Física'!J52)</f>
        <v>104524.12242573751</v>
      </c>
      <c r="R18" s="148">
        <f>$H$18*('Base Física'!K52)</f>
        <v>106485.03217441108</v>
      </c>
      <c r="S18" s="148">
        <f>$H$18*('Base Física'!L52)</f>
        <v>108415.73307649535</v>
      </c>
      <c r="T18" s="148">
        <f>$H$18*('Base Física'!M52)</f>
        <v>110307.87934090734</v>
      </c>
      <c r="U18" s="148">
        <f>$H$18*('Base Física'!N52)</f>
        <v>112184.20883787585</v>
      </c>
      <c r="V18" s="148">
        <f>$H$18*('Base Física'!O52)</f>
        <v>114018.84986188548</v>
      </c>
      <c r="W18" s="148">
        <f>$H$18*('Base Física'!P52)</f>
        <v>115815.23704090228</v>
      </c>
      <c r="X18" s="148">
        <f>$H$18*('Base Física'!Q52)</f>
        <v>117585.08296517251</v>
      </c>
      <c r="Y18" s="148">
        <f>$H$18*('Base Física'!R52)</f>
        <v>119302.66159239688</v>
      </c>
      <c r="Z18" s="148">
        <f>$H$18*('Base Física'!S52)</f>
        <v>120986.33151529315</v>
      </c>
      <c r="AA18" s="148">
        <f>$H$18*('Base Física'!T52)</f>
        <v>122633.76011710984</v>
      </c>
      <c r="AB18" s="148">
        <f>$H$18*('Base Física'!U52)</f>
        <v>124244.21762247666</v>
      </c>
      <c r="AC18" s="148">
        <f>$H$18*('Base Física'!V52)</f>
        <v>125810.53524724186</v>
      </c>
      <c r="AD18" s="148">
        <f>$H$18*('Base Física'!W52)</f>
        <v>127339.91454088641</v>
      </c>
      <c r="AE18" s="148">
        <f>$H$18*('Base Física'!X52)</f>
        <v>128819.11996272379</v>
      </c>
      <c r="AF18" s="148">
        <f>$H$18*('Base Física'!Y52)</f>
        <v>130270.83803384939</v>
      </c>
      <c r="AG18" s="148">
        <f>$H$18*('Base Física'!Z52)</f>
        <v>131671.88260650376</v>
      </c>
      <c r="AH18" s="148">
        <f>$H$18*('Base Física'!AA52)</f>
        <v>133033.75179865811</v>
      </c>
      <c r="AI18" s="148">
        <f>$H$18*('Base Física'!AB52)</f>
        <v>134351.23863751098</v>
      </c>
      <c r="AJ18" s="148">
        <f>$H$18*('Base Física'!AC52)</f>
        <v>135629.67675022228</v>
      </c>
      <c r="AK18" s="148">
        <f>$H$18*('Base Física'!AD52)</f>
        <v>136862.57236894959</v>
      </c>
      <c r="AL18" s="148">
        <f>$H$18*('Base Física'!AE52)</f>
        <v>138069.7855918011</v>
      </c>
      <c r="AM18" s="148">
        <f>$H$18*('Base Física'!AF52)</f>
        <v>139220.85135546728</v>
      </c>
      <c r="AN18" s="148">
        <f>$H$18*('Base Física'!AG52)</f>
        <v>140340.35475528936</v>
      </c>
      <c r="AO18" s="148">
        <f>$H$18*('Base Física'!AH52)</f>
        <v>141416.20634610337</v>
      </c>
      <c r="AP18" s="148">
        <f>$H$18*('Base Física'!AI52)</f>
        <v>142456.57234106789</v>
      </c>
      <c r="AQ18" s="148">
        <f>$H$18*('Base Física'!AJ52)</f>
        <v>143459.36172382449</v>
      </c>
      <c r="AR18" s="148">
        <f>$H$18*('Base Física'!AK52)</f>
        <v>144421.63713758154</v>
      </c>
      <c r="AS18" s="148">
        <f>$H$18*('Base Física'!AL52)</f>
        <v>145348.91701711484</v>
      </c>
      <c r="AT18" s="148">
        <f>$H$18*('Base Física'!AM52)</f>
        <v>145465.57676117332</v>
      </c>
      <c r="AU18" s="148">
        <f>$H$18*('Base Física'!AN52)</f>
        <v>146185.8601750877</v>
      </c>
      <c r="AV18" s="468">
        <f t="shared" si="6"/>
        <v>4380620.7650074437</v>
      </c>
    </row>
    <row r="19" spans="2:48" ht="28.8" x14ac:dyDescent="0.3">
      <c r="B19" s="915" t="s">
        <v>1055</v>
      </c>
      <c r="C19" s="885" t="s">
        <v>407</v>
      </c>
      <c r="D19" s="382">
        <v>12</v>
      </c>
      <c r="E19" s="916">
        <v>2500</v>
      </c>
      <c r="F19" s="916">
        <f>E19*$F$1</f>
        <v>2743.5</v>
      </c>
      <c r="G19" s="917">
        <f>D19*F19</f>
        <v>32922</v>
      </c>
      <c r="H19" s="927">
        <f>2.3*F1</f>
        <v>2.5240199999999997</v>
      </c>
      <c r="I19" s="911" t="s">
        <v>1045</v>
      </c>
      <c r="J19" s="521"/>
      <c r="K19" s="926" t="s">
        <v>1055</v>
      </c>
      <c r="L19" s="101">
        <f t="shared" si="3"/>
        <v>1696199.9595146666</v>
      </c>
      <c r="M19" s="148">
        <f>$H$19*('Base Física'!F52)</f>
        <v>36000.173040306989</v>
      </c>
      <c r="N19" s="148">
        <f>$H$19*('Base Física'!G52)</f>
        <v>37908.040219597096</v>
      </c>
      <c r="O19" s="148">
        <f>$H$19*('Base Física'!H52)</f>
        <v>38925.109261332946</v>
      </c>
      <c r="P19" s="148">
        <f>$H$19*('Base Física'!I52)</f>
        <v>39703.527505221064</v>
      </c>
      <c r="Q19" s="148">
        <f>$H$19*('Base Física'!J52)</f>
        <v>40472.303296160986</v>
      </c>
      <c r="R19" s="148">
        <f>$H$19*('Base Física'!K52)</f>
        <v>41231.578114670949</v>
      </c>
      <c r="S19" s="148">
        <f>$H$19*('Base Física'!L52)</f>
        <v>41979.155905040279</v>
      </c>
      <c r="T19" s="148">
        <f>$H$19*('Base Física'!M52)</f>
        <v>42711.805132001151</v>
      </c>
      <c r="U19" s="148">
        <f>$H$19*('Base Física'!N52)</f>
        <v>43438.330021399728</v>
      </c>
      <c r="V19" s="148">
        <f>$H$19*('Base Física'!O52)</f>
        <v>44148.712909484268</v>
      </c>
      <c r="W19" s="148">
        <f>$H$19*('Base Física'!P52)</f>
        <v>44844.283702706263</v>
      </c>
      <c r="X19" s="148">
        <f>$H$19*('Base Física'!Q52)</f>
        <v>45529.577579107194</v>
      </c>
      <c r="Y19" s="148">
        <f>$H$19*('Base Física'!R52)</f>
        <v>46194.633276517299</v>
      </c>
      <c r="Z19" s="148">
        <f>$H$19*('Base Física'!S52)</f>
        <v>46846.559340938416</v>
      </c>
      <c r="AA19" s="148">
        <f>$H$19*('Base Física'!T52)</f>
        <v>47484.452570598078</v>
      </c>
      <c r="AB19" s="148">
        <f>$H$19*('Base Física'!U52)</f>
        <v>48108.030392541463</v>
      </c>
      <c r="AC19" s="148">
        <f>$H$19*('Base Física'!V52)</f>
        <v>48714.517014925295</v>
      </c>
      <c r="AD19" s="148">
        <f>$H$19*('Base Física'!W52)</f>
        <v>49306.700916504829</v>
      </c>
      <c r="AE19" s="148">
        <f>$H$19*('Base Física'!X52)</f>
        <v>49879.457224623686</v>
      </c>
      <c r="AF19" s="148">
        <f>$H$19*('Base Física'!Y52)</f>
        <v>50441.570282466928</v>
      </c>
      <c r="AG19" s="148">
        <f>$H$19*('Base Física'!Z52)</f>
        <v>50984.062288713561</v>
      </c>
      <c r="AH19" s="148">
        <f>$H$19*('Base Física'!AA52)</f>
        <v>51511.385376584782</v>
      </c>
      <c r="AI19" s="148">
        <f>$H$19*('Base Física'!AB52)</f>
        <v>52021.523378160811</v>
      </c>
      <c r="AJ19" s="148">
        <f>$H$19*('Base Física'!AC52)</f>
        <v>52516.541502611311</v>
      </c>
      <c r="AK19" s="148">
        <f>$H$19*('Base Física'!AD52)</f>
        <v>52993.925328044446</v>
      </c>
      <c r="AL19" s="148">
        <f>$H$19*('Base Física'!AE52)</f>
        <v>53461.364791438129</v>
      </c>
      <c r="AM19" s="148">
        <f>$H$19*('Base Física'!AF52)</f>
        <v>53907.063656157356</v>
      </c>
      <c r="AN19" s="148">
        <f>$H$19*('Base Física'!AG52)</f>
        <v>54340.541403563213</v>
      </c>
      <c r="AO19" s="148">
        <f>$H$19*('Base Física'!AH52)</f>
        <v>54757.116935359882</v>
      </c>
      <c r="AP19" s="148">
        <f>$H$19*('Base Física'!AI52)</f>
        <v>55159.952253275434</v>
      </c>
      <c r="AQ19" s="148">
        <f>$H$19*('Base Física'!AJ52)</f>
        <v>55548.237704511164</v>
      </c>
      <c r="AR19" s="148">
        <f>$H$19*('Base Física'!AK52)</f>
        <v>55920.835928693174</v>
      </c>
      <c r="AS19" s="148">
        <f>$H$19*('Base Física'!AL52)</f>
        <v>56279.883693495634</v>
      </c>
      <c r="AT19" s="148">
        <f>$H$19*('Base Física'!AM52)</f>
        <v>56325.054974865088</v>
      </c>
      <c r="AU19" s="148">
        <f>$H$19*('Base Física'!AN52)</f>
        <v>56603.952593047419</v>
      </c>
      <c r="AV19" s="468">
        <f t="shared" si="6"/>
        <v>1696199.9595146666</v>
      </c>
    </row>
    <row r="20" spans="2:48" x14ac:dyDescent="0.3">
      <c r="B20" s="915"/>
      <c r="C20" s="919"/>
      <c r="D20" s="382"/>
      <c r="E20" s="916"/>
      <c r="F20" s="916"/>
      <c r="G20" s="920"/>
      <c r="H20" s="927"/>
      <c r="I20" s="912"/>
      <c r="J20" s="908"/>
      <c r="K20" s="926"/>
      <c r="L20" s="101">
        <f t="shared" si="3"/>
        <v>0</v>
      </c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101"/>
      <c r="AF20" s="101"/>
      <c r="AG20" s="101"/>
      <c r="AH20" s="101"/>
      <c r="AI20" s="101"/>
      <c r="AJ20" s="101"/>
      <c r="AK20" s="101"/>
      <c r="AL20" s="101"/>
      <c r="AM20" s="101"/>
      <c r="AN20" s="101"/>
      <c r="AO20" s="101"/>
      <c r="AP20" s="101"/>
      <c r="AQ20" s="512"/>
      <c r="AR20" s="512"/>
      <c r="AS20" s="512"/>
      <c r="AT20" s="512"/>
      <c r="AU20" s="512"/>
      <c r="AV20" s="510"/>
    </row>
    <row r="21" spans="2:48" x14ac:dyDescent="0.3">
      <c r="B21" s="925" t="s">
        <v>1056</v>
      </c>
      <c r="C21" s="282"/>
      <c r="D21" s="382"/>
      <c r="E21" s="916"/>
      <c r="F21" s="916"/>
      <c r="G21" s="921">
        <f>SUM(G22:G26)</f>
        <v>421809.83279999997</v>
      </c>
      <c r="H21" s="927"/>
      <c r="I21" s="912"/>
      <c r="J21" s="908"/>
      <c r="K21" s="925" t="s">
        <v>1056</v>
      </c>
      <c r="L21" s="508">
        <f t="shared" si="3"/>
        <v>22945379.963332567</v>
      </c>
      <c r="M21" s="508">
        <f>SUM(M22:M28)</f>
        <v>0</v>
      </c>
      <c r="N21" s="508">
        <f t="shared" ref="N21:AT21" si="7">SUM(N22:N28)</f>
        <v>548924.2108043778</v>
      </c>
      <c r="O21" s="508">
        <f>SUM(O22:O28)</f>
        <v>611893.29315609008</v>
      </c>
      <c r="P21" s="508">
        <f>SUM(P22:P28)</f>
        <v>499256.83617796609</v>
      </c>
      <c r="Q21" s="508">
        <f t="shared" si="7"/>
        <v>509240.89626261807</v>
      </c>
      <c r="R21" s="508">
        <f>SUM(R22:R28)</f>
        <v>606284.14234685292</v>
      </c>
      <c r="S21" s="508">
        <f>SUM(S22:S28)</f>
        <v>654521.27920160256</v>
      </c>
      <c r="T21" s="508">
        <f>SUM(T22:T28)</f>
        <v>538428.30399942969</v>
      </c>
      <c r="U21" s="508">
        <f t="shared" si="7"/>
        <v>547825.32669305836</v>
      </c>
      <c r="V21" s="508">
        <f t="shared" si="7"/>
        <v>644326.65904013254</v>
      </c>
      <c r="W21" s="508">
        <f>SUM(W22:W28)</f>
        <v>691936.7037437734</v>
      </c>
      <c r="X21" s="508">
        <f t="shared" si="7"/>
        <v>575176.68227384123</v>
      </c>
      <c r="Y21" s="508">
        <f t="shared" si="7"/>
        <v>583966.32112333144</v>
      </c>
      <c r="Z21" s="508">
        <f t="shared" si="7"/>
        <v>679679.24426881445</v>
      </c>
      <c r="AA21" s="508">
        <f>SUM(AA22:AA28)</f>
        <v>726539.51666894613</v>
      </c>
      <c r="AB21" s="508">
        <f t="shared" si="7"/>
        <v>609039.71775332326</v>
      </c>
      <c r="AC21" s="508">
        <f t="shared" si="7"/>
        <v>617037.78112172743</v>
      </c>
      <c r="AD21" s="508">
        <f t="shared" si="7"/>
        <v>711999.4922179603</v>
      </c>
      <c r="AE21" s="508">
        <f>SUM(AE22:AE28)</f>
        <v>758093.50644251541</v>
      </c>
      <c r="AF21" s="508">
        <f t="shared" si="7"/>
        <v>639758.25570712995</v>
      </c>
      <c r="AG21" s="508">
        <f t="shared" si="7"/>
        <v>646967.96666642372</v>
      </c>
      <c r="AH21" s="508">
        <f t="shared" si="7"/>
        <v>741108.87725133169</v>
      </c>
      <c r="AI21" s="508">
        <f>SUM(AI22:AI28)</f>
        <v>786370.98103919299</v>
      </c>
      <c r="AJ21" s="508">
        <f t="shared" si="7"/>
        <v>667232.58245901903</v>
      </c>
      <c r="AK21" s="508">
        <f t="shared" si="7"/>
        <v>673581.72796827566</v>
      </c>
      <c r="AL21" s="508">
        <f t="shared" si="7"/>
        <v>766887.55536448862</v>
      </c>
      <c r="AM21" s="508">
        <f>SUM(AM22:AM28)</f>
        <v>811381.58657752944</v>
      </c>
      <c r="AN21" s="508">
        <f t="shared" si="7"/>
        <v>691416.68602462707</v>
      </c>
      <c r="AO21" s="508">
        <f t="shared" si="7"/>
        <v>696976.50930657168</v>
      </c>
      <c r="AP21" s="508">
        <f t="shared" si="7"/>
        <v>789502.4042409258</v>
      </c>
      <c r="AQ21" s="508">
        <f>SUM(AQ22:AQ28)</f>
        <v>833167.81706631242</v>
      </c>
      <c r="AR21" s="508">
        <f t="shared" si="7"/>
        <v>712466.52707959968</v>
      </c>
      <c r="AS21" s="508">
        <f t="shared" si="7"/>
        <v>717245.50430280378</v>
      </c>
      <c r="AT21" s="508">
        <f t="shared" si="7"/>
        <v>809033.54309527564</v>
      </c>
      <c r="AU21" s="508">
        <f>SUM(AU22:AU28)</f>
        <v>848111.5258867013</v>
      </c>
      <c r="AV21" s="884">
        <f>+SUM(M21:AU21)</f>
        <v>22945379.963332567</v>
      </c>
    </row>
    <row r="22" spans="2:48" ht="28.8" x14ac:dyDescent="0.3">
      <c r="B22" s="915" t="s">
        <v>1057</v>
      </c>
      <c r="C22" s="885" t="s">
        <v>407</v>
      </c>
      <c r="D22" s="382">
        <v>12</v>
      </c>
      <c r="E22" s="916">
        <v>8587.7999999999993</v>
      </c>
      <c r="F22" s="916">
        <f t="shared" ref="F22:F28" si="8">E22*$F$1</f>
        <v>9424.2517199999984</v>
      </c>
      <c r="G22" s="917">
        <f t="shared" ref="G22:G28" si="9">D22*F22</f>
        <v>113091.02063999997</v>
      </c>
      <c r="H22" s="927">
        <f>7.91*F1</f>
        <v>8.680434</v>
      </c>
      <c r="I22" s="911" t="s">
        <v>1058</v>
      </c>
      <c r="J22" s="521"/>
      <c r="K22" s="926" t="s">
        <v>1057</v>
      </c>
      <c r="L22" s="101">
        <f t="shared" si="3"/>
        <v>5638784.5281521771</v>
      </c>
      <c r="M22" s="148"/>
      <c r="N22" s="148">
        <f>$H$22*('Base Física'!F52)</f>
        <v>123809.29076036013</v>
      </c>
      <c r="O22" s="148">
        <f>$H$22*('Base Física'!G52)</f>
        <v>130370.6948421796</v>
      </c>
      <c r="P22" s="148">
        <f>$H$22*('Base Física'!H52)</f>
        <v>133868.52793788855</v>
      </c>
      <c r="Q22" s="148">
        <f>$H$22*('Base Física'!I52)</f>
        <v>136545.6098114342</v>
      </c>
      <c r="R22" s="148">
        <f>$H$22*('Base Física'!J52)</f>
        <v>139189.53003157975</v>
      </c>
      <c r="S22" s="148">
        <f>$H$22*('Base Física'!K52)</f>
        <v>141800.77516828143</v>
      </c>
      <c r="T22" s="148">
        <f>$H$22*('Base Física'!L52)</f>
        <v>144371.79269950811</v>
      </c>
      <c r="U22" s="148">
        <f>$H$22*('Base Física'!M52)</f>
        <v>146891.46895396919</v>
      </c>
      <c r="V22" s="148">
        <f>$H$22*('Base Física'!N52)</f>
        <v>149390.08281272691</v>
      </c>
      <c r="W22" s="148">
        <f>$H$22*('Base Física'!O52)</f>
        <v>151833.18222348724</v>
      </c>
      <c r="X22" s="148">
        <f>$H$22*('Base Física'!P52)</f>
        <v>154225.34090800287</v>
      </c>
      <c r="Y22" s="148">
        <f>$H$22*('Base Física'!Q52)</f>
        <v>156582.15593510345</v>
      </c>
      <c r="Z22" s="148">
        <f>$H$22*('Base Física'!R52)</f>
        <v>158869.36922489211</v>
      </c>
      <c r="AA22" s="148">
        <f>$H$22*('Base Física'!S52)</f>
        <v>161111.42799427084</v>
      </c>
      <c r="AB22" s="148">
        <f>$H$22*('Base Física'!T52)</f>
        <v>163305.22601453515</v>
      </c>
      <c r="AC22" s="148">
        <f>$H$22*('Base Física'!U52)</f>
        <v>165449.79148043608</v>
      </c>
      <c r="AD22" s="148">
        <f>$H$22*('Base Física'!V52)</f>
        <v>167535.57808176483</v>
      </c>
      <c r="AE22" s="148">
        <f>$H$22*('Base Física'!W52)</f>
        <v>169572.17576067534</v>
      </c>
      <c r="AF22" s="148">
        <f>$H$22*('Base Física'!X52)</f>
        <v>171541.95941164059</v>
      </c>
      <c r="AG22" s="148">
        <f>$H$22*('Base Física'!Y52)</f>
        <v>173475.13953665801</v>
      </c>
      <c r="AH22" s="148">
        <f>$H$22*('Base Física'!Z52)</f>
        <v>175340.84030596711</v>
      </c>
      <c r="AI22" s="148">
        <f>$H$22*('Base Física'!AA52)</f>
        <v>177154.37318642857</v>
      </c>
      <c r="AJ22" s="148">
        <f>$H$22*('Base Física'!AB52)</f>
        <v>178908.80431358784</v>
      </c>
      <c r="AK22" s="148">
        <f>$H$22*('Base Física'!AC52)</f>
        <v>180611.23621115455</v>
      </c>
      <c r="AL22" s="148">
        <f>$H$22*('Base Física'!AD52)</f>
        <v>182253.0214542746</v>
      </c>
      <c r="AM22" s="148">
        <f>$H$22*('Base Física'!AE52)</f>
        <v>183860.60673925027</v>
      </c>
      <c r="AN22" s="148">
        <f>$H$22*('Base Física'!AF52)</f>
        <v>185393.42326965425</v>
      </c>
      <c r="AO22" s="148">
        <f>$H$22*('Base Física'!AG52)</f>
        <v>186884.2097835587</v>
      </c>
      <c r="AP22" s="148">
        <f>$H$22*('Base Física'!AH52)</f>
        <v>188316.86737334641</v>
      </c>
      <c r="AQ22" s="148">
        <f>$H$22*('Base Física'!AI52)</f>
        <v>189702.27057539512</v>
      </c>
      <c r="AR22" s="148">
        <f>$H$22*('Base Física'!AJ52)</f>
        <v>191037.6348881232</v>
      </c>
      <c r="AS22" s="148">
        <f>$H$22*('Base Física'!AK52)</f>
        <v>192319.04878085351</v>
      </c>
      <c r="AT22" s="148">
        <f>$H$22*('Base Física'!AL52)</f>
        <v>193553.8608763263</v>
      </c>
      <c r="AU22" s="148">
        <f>$H$22*('Base Física'!AM52)</f>
        <v>193709.21080486212</v>
      </c>
      <c r="AV22" s="468">
        <f t="shared" ref="AV22:AV26" si="10">+SUM(M22:AU22)</f>
        <v>5638784.5281521771</v>
      </c>
    </row>
    <row r="23" spans="2:48" ht="28.8" x14ac:dyDescent="0.3">
      <c r="B23" s="915" t="s">
        <v>1059</v>
      </c>
      <c r="C23" s="885" t="s">
        <v>407</v>
      </c>
      <c r="D23" s="382">
        <v>12</v>
      </c>
      <c r="E23" s="916">
        <v>7144.2</v>
      </c>
      <c r="F23" s="916">
        <f t="shared" si="8"/>
        <v>7840.045079999999</v>
      </c>
      <c r="G23" s="917">
        <f t="shared" si="9"/>
        <v>94080.540959999984</v>
      </c>
      <c r="H23" s="927">
        <f>6.58*F1</f>
        <v>7.2208919999999992</v>
      </c>
      <c r="I23" s="911" t="s">
        <v>1058</v>
      </c>
      <c r="J23" s="521"/>
      <c r="K23" s="926" t="s">
        <v>1059</v>
      </c>
      <c r="L23" s="101">
        <f t="shared" si="3"/>
        <v>4690670.3154540239</v>
      </c>
      <c r="M23" s="148"/>
      <c r="N23" s="148">
        <f>$H$23*('Base Física'!F52)</f>
        <v>102991.79939357391</v>
      </c>
      <c r="O23" s="148">
        <f>$H$23*('Base Física'!G52)</f>
        <v>108449.95854128213</v>
      </c>
      <c r="P23" s="148">
        <f>$H$23*('Base Física'!H52)</f>
        <v>111359.66040850904</v>
      </c>
      <c r="Q23" s="148">
        <f>$H$23*('Base Física'!I52)</f>
        <v>113586.61347145852</v>
      </c>
      <c r="R23" s="148">
        <f>$H$23*('Base Física'!J52)</f>
        <v>115785.98073423446</v>
      </c>
      <c r="S23" s="148">
        <f>$H$23*('Base Física'!K52)</f>
        <v>117958.16695414559</v>
      </c>
      <c r="T23" s="148">
        <f>$H$23*('Base Física'!L52)</f>
        <v>120096.88950224567</v>
      </c>
      <c r="U23" s="148">
        <f>$H$23*('Base Física'!M52)</f>
        <v>122192.90337763808</v>
      </c>
      <c r="V23" s="148">
        <f>$H$23*('Base Física'!N52)</f>
        <v>124271.3963220914</v>
      </c>
      <c r="W23" s="148">
        <f>$H$23*('Base Física'!O52)</f>
        <v>126303.70910626369</v>
      </c>
      <c r="X23" s="148">
        <f>$H$23*('Base Física'!P52)</f>
        <v>128293.64641904662</v>
      </c>
      <c r="Y23" s="148">
        <f>$H$23*('Base Física'!Q52)</f>
        <v>130254.18281327188</v>
      </c>
      <c r="Z23" s="148">
        <f>$H$23*('Base Física'!R52)</f>
        <v>132156.82041716689</v>
      </c>
      <c r="AA23" s="148">
        <f>$H$23*('Base Física'!S52)</f>
        <v>134021.89585364121</v>
      </c>
      <c r="AB23" s="148">
        <f>$H$23*('Base Física'!T52)</f>
        <v>135846.82518023276</v>
      </c>
      <c r="AC23" s="148">
        <f>$H$23*('Base Física'!U52)</f>
        <v>137630.79999257514</v>
      </c>
      <c r="AD23" s="148">
        <f>$H$23*('Base Física'!V52)</f>
        <v>139365.87911226455</v>
      </c>
      <c r="AE23" s="148">
        <f>$H$23*('Base Física'!W52)</f>
        <v>141060.04001330512</v>
      </c>
      <c r="AF23" s="148">
        <f>$H$23*('Base Física'!X52)</f>
        <v>142698.62110348864</v>
      </c>
      <c r="AG23" s="148">
        <f>$H$23*('Base Física'!Y52)</f>
        <v>144306.75324288366</v>
      </c>
      <c r="AH23" s="148">
        <f>$H$23*('Base Física'!Z52)</f>
        <v>145858.75211292837</v>
      </c>
      <c r="AI23" s="148">
        <f>$H$23*('Base Física'!AA52)</f>
        <v>147367.35468605559</v>
      </c>
      <c r="AJ23" s="148">
        <f>$H$23*('Base Física'!AB52)</f>
        <v>148826.79296882526</v>
      </c>
      <c r="AK23" s="148">
        <f>$H$23*('Base Física'!AC52)</f>
        <v>150242.97525529671</v>
      </c>
      <c r="AL23" s="148">
        <f>$H$23*('Base Física'!AD52)</f>
        <v>151608.70811240541</v>
      </c>
      <c r="AM23" s="148">
        <f>$H$23*('Base Física'!AE52)</f>
        <v>152945.99144680996</v>
      </c>
      <c r="AN23" s="148">
        <f>$H$23*('Base Física'!AF52)</f>
        <v>154221.07776413715</v>
      </c>
      <c r="AO23" s="148">
        <f>$H$23*('Base Física'!AG52)</f>
        <v>155461.20105888954</v>
      </c>
      <c r="AP23" s="148">
        <f>$H$23*('Base Física'!AH52)</f>
        <v>156652.96931942087</v>
      </c>
      <c r="AQ23" s="148">
        <f>$H$23*('Base Física'!AI52)</f>
        <v>157805.42862024016</v>
      </c>
      <c r="AR23" s="148">
        <f>$H$23*('Base Física'!AJ52)</f>
        <v>158916.26265029714</v>
      </c>
      <c r="AS23" s="148">
        <f>$H$23*('Base Física'!AK52)</f>
        <v>159982.21756991351</v>
      </c>
      <c r="AT23" s="148">
        <f>$H$23*('Base Física'!AL52)</f>
        <v>161009.4063926962</v>
      </c>
      <c r="AU23" s="148">
        <f>$H$23*('Base Física'!AM52)</f>
        <v>161138.63553678794</v>
      </c>
      <c r="AV23" s="468">
        <f t="shared" si="10"/>
        <v>4690670.3154540239</v>
      </c>
    </row>
    <row r="24" spans="2:48" ht="28.8" x14ac:dyDescent="0.3">
      <c r="B24" s="915" t="s">
        <v>1060</v>
      </c>
      <c r="C24" s="885" t="s">
        <v>407</v>
      </c>
      <c r="D24" s="382">
        <v>12</v>
      </c>
      <c r="E24" s="916">
        <v>6321.4</v>
      </c>
      <c r="F24" s="916">
        <f t="shared" si="8"/>
        <v>6937.1043599999994</v>
      </c>
      <c r="G24" s="917">
        <f t="shared" si="9"/>
        <v>83245.25232</v>
      </c>
      <c r="H24" s="927">
        <f>5.82*F1</f>
        <v>6.3868679999999998</v>
      </c>
      <c r="I24" s="911" t="s">
        <v>1058</v>
      </c>
      <c r="J24" s="521"/>
      <c r="K24" s="926" t="s">
        <v>1060</v>
      </c>
      <c r="L24" s="101">
        <f t="shared" si="3"/>
        <v>4148890.765340792</v>
      </c>
      <c r="M24" s="148"/>
      <c r="N24" s="148">
        <f>$H$24*('Base Física'!F52)</f>
        <v>91096.09004112464</v>
      </c>
      <c r="O24" s="148">
        <f>$H$24*('Base Física'!G52)</f>
        <v>95923.82351219788</v>
      </c>
      <c r="P24" s="148">
        <f>$H$24*('Base Física'!H52)</f>
        <v>98497.450391720762</v>
      </c>
      <c r="Q24" s="148">
        <f>$H$24*('Base Física'!I52)</f>
        <v>100467.18699147244</v>
      </c>
      <c r="R24" s="148">
        <f>$H$24*('Base Física'!J52)</f>
        <v>102412.52399289432</v>
      </c>
      <c r="S24" s="148">
        <f>$H$24*('Base Física'!K52)</f>
        <v>104333.81940321084</v>
      </c>
      <c r="T24" s="148">
        <f>$H$24*('Base Física'!L52)</f>
        <v>106225.51624666715</v>
      </c>
      <c r="U24" s="148">
        <f>$H$24*('Base Física'!M52)</f>
        <v>108079.43733402032</v>
      </c>
      <c r="V24" s="148">
        <f>$H$24*('Base Física'!N52)</f>
        <v>109917.86118458542</v>
      </c>
      <c r="W24" s="148">
        <f>$H$24*('Base Física'!O52)</f>
        <v>111715.43875356455</v>
      </c>
      <c r="X24" s="148">
        <f>$H$24*('Base Física'!P52)</f>
        <v>113475.5352825002</v>
      </c>
      <c r="Y24" s="148">
        <f>$H$24*('Base Física'!Q52)</f>
        <v>115209.62674365386</v>
      </c>
      <c r="Z24" s="148">
        <f>$H$24*('Base Física'!R52)</f>
        <v>116892.50681275249</v>
      </c>
      <c r="AA24" s="148">
        <f>$H$24*('Base Física'!S52)</f>
        <v>118542.16320185288</v>
      </c>
      <c r="AB24" s="148">
        <f>$H$24*('Base Física'!T52)</f>
        <v>120156.31041777428</v>
      </c>
      <c r="AC24" s="148">
        <f>$H$24*('Base Física'!U52)</f>
        <v>121734.23342808319</v>
      </c>
      <c r="AD24" s="148">
        <f>$H$24*('Base Física'!V52)</f>
        <v>123268.90827255011</v>
      </c>
      <c r="AE24" s="148">
        <f>$H$24*('Base Física'!W52)</f>
        <v>124767.39101480789</v>
      </c>
      <c r="AF24" s="148">
        <f>$H$24*('Base Física'!X52)</f>
        <v>126216.71349883037</v>
      </c>
      <c r="AG24" s="148">
        <f>$H$24*('Base Física'!Y52)</f>
        <v>127639.10393215546</v>
      </c>
      <c r="AH24" s="148">
        <f>$H$24*('Base Física'!Z52)</f>
        <v>129011.84457404912</v>
      </c>
      <c r="AI24" s="148">
        <f>$H$24*('Base Física'!AA52)</f>
        <v>130346.20125727107</v>
      </c>
      <c r="AJ24" s="148">
        <f>$H$24*('Base Física'!AB52)</f>
        <v>131637.07220038955</v>
      </c>
      <c r="AK24" s="148">
        <f>$H$24*('Base Física'!AC52)</f>
        <v>132889.68328052081</v>
      </c>
      <c r="AL24" s="148">
        <f>$H$24*('Base Física'!AD52)</f>
        <v>134097.6719170516</v>
      </c>
      <c r="AM24" s="148">
        <f>$H$24*('Base Física'!AE52)</f>
        <v>135280.49699398692</v>
      </c>
      <c r="AN24" s="148">
        <f>$H$24*('Base Física'!AF52)</f>
        <v>136408.30890384168</v>
      </c>
      <c r="AO24" s="148">
        <f>$H$24*('Base Física'!AG52)</f>
        <v>137505.19607336432</v>
      </c>
      <c r="AP24" s="148">
        <f>$H$24*('Base Física'!AH52)</f>
        <v>138559.31328860632</v>
      </c>
      <c r="AQ24" s="148">
        <f>$H$24*('Base Física'!AI52)</f>
        <v>139578.66178872308</v>
      </c>
      <c r="AR24" s="148">
        <f>$H$24*('Base Física'!AJ52)</f>
        <v>140561.19280011088</v>
      </c>
      <c r="AS24" s="148">
        <f>$H$24*('Base Física'!AK52)</f>
        <v>141504.02830651926</v>
      </c>
      <c r="AT24" s="148">
        <f>$H$24*('Base Física'!AL52)</f>
        <v>142412.57525919331</v>
      </c>
      <c r="AU24" s="148">
        <f>$H$24*('Base Física'!AM52)</f>
        <v>142526.87824074557</v>
      </c>
      <c r="AV24" s="468">
        <f t="shared" si="10"/>
        <v>4148890.765340792</v>
      </c>
    </row>
    <row r="25" spans="2:48" ht="28.8" x14ac:dyDescent="0.3">
      <c r="B25" s="915" t="s">
        <v>1061</v>
      </c>
      <c r="C25" s="885" t="s">
        <v>407</v>
      </c>
      <c r="D25" s="382">
        <v>12</v>
      </c>
      <c r="E25" s="916">
        <v>4833.3999999999996</v>
      </c>
      <c r="F25" s="916">
        <f t="shared" si="8"/>
        <v>5304.1731599999994</v>
      </c>
      <c r="G25" s="917">
        <f t="shared" si="9"/>
        <v>63650.077919999996</v>
      </c>
      <c r="H25" s="927">
        <f>4.45*F1</f>
        <v>4.8834299999999997</v>
      </c>
      <c r="I25" s="911" t="s">
        <v>1058</v>
      </c>
      <c r="J25" s="521"/>
      <c r="K25" s="926" t="s">
        <v>1061</v>
      </c>
      <c r="L25" s="101">
        <f t="shared" si="3"/>
        <v>3172261.8394787847</v>
      </c>
      <c r="M25" s="148"/>
      <c r="N25" s="148">
        <f>$H$25*('Base Física'!F52)</f>
        <v>69652.50870842005</v>
      </c>
      <c r="O25" s="148">
        <f>$H$25*('Base Física'!G52)</f>
        <v>73343.816946611783</v>
      </c>
      <c r="P25" s="148">
        <f>$H$25*('Base Física'!H52)</f>
        <v>75311.624440405052</v>
      </c>
      <c r="Q25" s="148">
        <f>$H$25*('Base Física'!I52)</f>
        <v>76817.694520971185</v>
      </c>
      <c r="R25" s="148">
        <f>$H$25*('Base Física'!J52)</f>
        <v>78305.108551267986</v>
      </c>
      <c r="S25" s="148">
        <f>$H$25*('Base Física'!K52)</f>
        <v>79774.14026534163</v>
      </c>
      <c r="T25" s="148">
        <f>$H$25*('Base Física'!L52)</f>
        <v>81220.540772795328</v>
      </c>
      <c r="U25" s="148">
        <f>$H$25*('Base Física'!M52)</f>
        <v>82638.057755393544</v>
      </c>
      <c r="V25" s="148">
        <f>$H$25*('Base Física'!N52)</f>
        <v>84043.725476186446</v>
      </c>
      <c r="W25" s="148">
        <f>$H$25*('Base Física'!O52)</f>
        <v>85418.161933567404</v>
      </c>
      <c r="X25" s="148">
        <f>$H$25*('Base Física'!P52)</f>
        <v>86763.940207409949</v>
      </c>
      <c r="Y25" s="148">
        <f>$H$25*('Base Física'!Q52)</f>
        <v>88089.834881316099</v>
      </c>
      <c r="Z25" s="148">
        <f>$H$25*('Base Física'!R52)</f>
        <v>89376.573078479138</v>
      </c>
      <c r="AA25" s="148">
        <f>$H$25*('Base Física'!S52)</f>
        <v>90637.908290076506</v>
      </c>
      <c r="AB25" s="148">
        <f>$H$25*('Base Física'!T52)</f>
        <v>91872.093017026724</v>
      </c>
      <c r="AC25" s="148">
        <f>$H$25*('Base Física'!U52)</f>
        <v>93078.580542091091</v>
      </c>
      <c r="AD25" s="148">
        <f>$H$25*('Base Física'!V52)</f>
        <v>94252.000311485899</v>
      </c>
      <c r="AE25" s="148">
        <f>$H$25*('Base Física'!W52)</f>
        <v>95397.747425411522</v>
      </c>
      <c r="AF25" s="148">
        <f>$H$25*('Base Física'!X52)</f>
        <v>96505.906369380609</v>
      </c>
      <c r="AG25" s="148">
        <f>$H$25*('Base Física'!Y52)</f>
        <v>97593.472937816448</v>
      </c>
      <c r="AH25" s="148">
        <f>$H$25*('Base Física'!Z52)</f>
        <v>98643.077036858856</v>
      </c>
      <c r="AI25" s="148">
        <f>$H$25*('Base Física'!AA52)</f>
        <v>99663.332576435787</v>
      </c>
      <c r="AJ25" s="148">
        <f>$H$25*('Base Física'!AB52)</f>
        <v>100650.33870991983</v>
      </c>
      <c r="AK25" s="148">
        <f>$H$25*('Base Física'!AC52)</f>
        <v>101608.09116809579</v>
      </c>
      <c r="AL25" s="148">
        <f>$H$25*('Base Física'!AD52)</f>
        <v>102531.72509121643</v>
      </c>
      <c r="AM25" s="148">
        <f>$H$25*('Base Física'!AE52)</f>
        <v>103436.11883560856</v>
      </c>
      <c r="AN25" s="148">
        <f>$H$25*('Base Física'!AF52)</f>
        <v>104298.44924778273</v>
      </c>
      <c r="AO25" s="148">
        <f>$H$25*('Base Física'!AG52)</f>
        <v>105137.13445472013</v>
      </c>
      <c r="AP25" s="148">
        <f>$H$25*('Base Física'!AH52)</f>
        <v>105943.11754884847</v>
      </c>
      <c r="AQ25" s="148">
        <f>$H$25*('Base Física'!AI52)</f>
        <v>106722.51631611987</v>
      </c>
      <c r="AR25" s="148">
        <f>$H$25*('Base Física'!AJ52)</f>
        <v>107473.76425438029</v>
      </c>
      <c r="AS25" s="148">
        <f>$H$25*('Base Física'!AK52)</f>
        <v>108194.66081855854</v>
      </c>
      <c r="AT25" s="148">
        <f>$H$25*('Base Física'!AL52)</f>
        <v>108889.34018958939</v>
      </c>
      <c r="AU25" s="148">
        <f>$H$25*('Base Física'!AM52)</f>
        <v>108976.7367991955</v>
      </c>
      <c r="AV25" s="468">
        <f t="shared" si="10"/>
        <v>3172261.8394787847</v>
      </c>
    </row>
    <row r="26" spans="2:48" ht="28.8" x14ac:dyDescent="0.3">
      <c r="B26" s="915" t="s">
        <v>1062</v>
      </c>
      <c r="C26" s="885" t="s">
        <v>407</v>
      </c>
      <c r="D26" s="382">
        <v>12</v>
      </c>
      <c r="E26" s="916">
        <v>5144.2</v>
      </c>
      <c r="F26" s="916">
        <f t="shared" si="8"/>
        <v>5645.2450799999997</v>
      </c>
      <c r="G26" s="917">
        <f t="shared" si="9"/>
        <v>67742.940959999993</v>
      </c>
      <c r="H26" s="927">
        <f>4.74*F1</f>
        <v>5.201676</v>
      </c>
      <c r="I26" s="911" t="s">
        <v>1058</v>
      </c>
      <c r="J26" s="521"/>
      <c r="K26" s="926" t="s">
        <v>1062</v>
      </c>
      <c r="L26" s="101">
        <f t="shared" si="3"/>
        <v>3378993.5099167279</v>
      </c>
      <c r="M26" s="148"/>
      <c r="N26" s="148">
        <f>$H$26*('Base Física'!F52)</f>
        <v>74191.660961328322</v>
      </c>
      <c r="O26" s="148">
        <f>$H$26*('Base Física'!G52)</f>
        <v>78123.526365604455</v>
      </c>
      <c r="P26" s="148">
        <f>$H$26*('Base Física'!H52)</f>
        <v>80219.57299944268</v>
      </c>
      <c r="Q26" s="148">
        <f>$H$26*('Base Física'!I52)</f>
        <v>81823.791467281684</v>
      </c>
      <c r="R26" s="148">
        <f>$H$26*('Base Física'!J52)</f>
        <v>83408.13809730568</v>
      </c>
      <c r="S26" s="148">
        <f>$H$26*('Base Física'!K52)</f>
        <v>84972.904462408842</v>
      </c>
      <c r="T26" s="148">
        <f>$H$26*('Base Física'!L52)</f>
        <v>86513.564778213447</v>
      </c>
      <c r="U26" s="148">
        <f>$H$26*('Base Física'!M52)</f>
        <v>88023.459272037173</v>
      </c>
      <c r="V26" s="148">
        <f>$H$26*('Base Física'!N52)</f>
        <v>89520.732304971636</v>
      </c>
      <c r="W26" s="148">
        <f>$H$26*('Base Física'!O52)</f>
        <v>90984.738778676285</v>
      </c>
      <c r="X26" s="148">
        <f>$H$26*('Base Física'!P52)</f>
        <v>92418.219456881619</v>
      </c>
      <c r="Y26" s="148">
        <f>$H$26*('Base Física'!Q52)</f>
        <v>93830.520749986143</v>
      </c>
      <c r="Z26" s="148">
        <f>$H$26*('Base Física'!R52)</f>
        <v>95201.113795953061</v>
      </c>
      <c r="AA26" s="148">
        <f>$H$26*('Base Física'!S52)</f>
        <v>96544.648380890489</v>
      </c>
      <c r="AB26" s="148">
        <f>$H$26*('Base Física'!T52)</f>
        <v>97859.26312375431</v>
      </c>
      <c r="AC26" s="148">
        <f>$H$26*('Base Física'!U52)</f>
        <v>99144.375678541983</v>
      </c>
      <c r="AD26" s="148">
        <f>$H$26*('Base Física'!V52)</f>
        <v>100394.26550032431</v>
      </c>
      <c r="AE26" s="148">
        <f>$H$26*('Base Física'!W52)</f>
        <v>101614.67928010128</v>
      </c>
      <c r="AF26" s="148">
        <f>$H$26*('Base Física'!X52)</f>
        <v>102795.0553237897</v>
      </c>
      <c r="AG26" s="148">
        <f>$H$26*('Base Física'!Y52)</f>
        <v>103953.49701691011</v>
      </c>
      <c r="AH26" s="148">
        <f>$H$26*('Base Física'!Z52)</f>
        <v>105071.50228195752</v>
      </c>
      <c r="AI26" s="148">
        <f>$H$26*('Base Física'!AA52)</f>
        <v>106158.24638478778</v>
      </c>
      <c r="AJ26" s="148">
        <f>$H$26*('Base Física'!AB52)</f>
        <v>107209.57426629664</v>
      </c>
      <c r="AK26" s="148">
        <f>$H$26*('Base Física'!AC52)</f>
        <v>108229.74205320766</v>
      </c>
      <c r="AL26" s="148">
        <f>$H$26*('Base Física'!AD52)</f>
        <v>109213.56784996987</v>
      </c>
      <c r="AM26" s="148">
        <f>$H$26*('Base Física'!AE52)</f>
        <v>110176.89961365945</v>
      </c>
      <c r="AN26" s="148">
        <f>$H$26*('Base Física'!AF52)</f>
        <v>111095.42683921127</v>
      </c>
      <c r="AO26" s="148">
        <f>$H$26*('Base Física'!AG52)</f>
        <v>111988.76793603897</v>
      </c>
      <c r="AP26" s="148">
        <f>$H$26*('Base Física'!AH52)</f>
        <v>112847.27577113299</v>
      </c>
      <c r="AQ26" s="148">
        <f>$H$26*('Base Física'!AI52)</f>
        <v>113677.46681761982</v>
      </c>
      <c r="AR26" s="148">
        <f>$H$26*('Base Física'!AJ52)</f>
        <v>114477.67248668823</v>
      </c>
      <c r="AS26" s="148">
        <f>$H$26*('Base Física'!AK52)</f>
        <v>115245.54882695898</v>
      </c>
      <c r="AT26" s="148">
        <f>$H$26*('Base Física'!AL52)</f>
        <v>115985.49943789971</v>
      </c>
      <c r="AU26" s="148">
        <f>$H$26*('Base Física'!AM52)</f>
        <v>116078.59155689589</v>
      </c>
      <c r="AV26" s="468">
        <f t="shared" si="10"/>
        <v>3378993.5099167279</v>
      </c>
    </row>
    <row r="27" spans="2:48" ht="28.8" x14ac:dyDescent="0.3">
      <c r="B27" s="915" t="s">
        <v>1063</v>
      </c>
      <c r="C27" s="885" t="s">
        <v>1050</v>
      </c>
      <c r="D27" s="382">
        <v>1</v>
      </c>
      <c r="E27" s="916">
        <f>79444.9252228638</f>
        <v>79444.925222863807</v>
      </c>
      <c r="F27" s="916">
        <f t="shared" si="8"/>
        <v>87182.860939570732</v>
      </c>
      <c r="G27" s="917">
        <f t="shared" si="9"/>
        <v>87182.860939570732</v>
      </c>
      <c r="H27" s="927">
        <f>6.1*F1</f>
        <v>6.6941399999999991</v>
      </c>
      <c r="I27" s="911" t="s">
        <v>1058</v>
      </c>
      <c r="J27" s="521"/>
      <c r="K27" s="926" t="s">
        <v>1063</v>
      </c>
      <c r="L27" s="101">
        <f t="shared" si="3"/>
        <v>784645.74845613644</v>
      </c>
      <c r="M27" s="148"/>
      <c r="N27" s="148">
        <f>F27</f>
        <v>87182.860939570732</v>
      </c>
      <c r="O27" s="148"/>
      <c r="P27" s="148"/>
      <c r="Q27" s="148"/>
      <c r="R27" s="148">
        <f>N27</f>
        <v>87182.860939570732</v>
      </c>
      <c r="S27" s="148"/>
      <c r="T27" s="148"/>
      <c r="U27" s="148"/>
      <c r="V27" s="148">
        <f>R27</f>
        <v>87182.860939570732</v>
      </c>
      <c r="W27" s="148"/>
      <c r="X27" s="148"/>
      <c r="Y27" s="148"/>
      <c r="Z27" s="148">
        <f>V27</f>
        <v>87182.860939570732</v>
      </c>
      <c r="AA27" s="148"/>
      <c r="AB27" s="148"/>
      <c r="AC27" s="148"/>
      <c r="AD27" s="148">
        <f>Z27</f>
        <v>87182.860939570732</v>
      </c>
      <c r="AE27" s="148"/>
      <c r="AF27" s="148"/>
      <c r="AG27" s="148"/>
      <c r="AH27" s="148">
        <f>AD27</f>
        <v>87182.860939570732</v>
      </c>
      <c r="AI27" s="148"/>
      <c r="AJ27" s="148"/>
      <c r="AK27" s="148"/>
      <c r="AL27" s="148">
        <f>AH27</f>
        <v>87182.860939570732</v>
      </c>
      <c r="AM27" s="148"/>
      <c r="AN27" s="148"/>
      <c r="AO27" s="148"/>
      <c r="AP27" s="148">
        <f>AL27</f>
        <v>87182.860939570732</v>
      </c>
      <c r="AQ27" s="148"/>
      <c r="AR27" s="283"/>
      <c r="AS27" s="283"/>
      <c r="AT27" s="148">
        <f>AP27</f>
        <v>87182.860939570732</v>
      </c>
      <c r="AU27" s="148"/>
      <c r="AV27" s="468">
        <f>+SUM(N27:AU27)</f>
        <v>784645.74845613644</v>
      </c>
    </row>
    <row r="28" spans="2:48" ht="28.8" x14ac:dyDescent="0.3">
      <c r="B28" s="915" t="s">
        <v>1064</v>
      </c>
      <c r="C28" s="885" t="s">
        <v>1050</v>
      </c>
      <c r="D28" s="382">
        <v>1</v>
      </c>
      <c r="E28" s="916">
        <f>114526.583696204</f>
        <v>114526.583696204</v>
      </c>
      <c r="F28" s="916">
        <f t="shared" si="8"/>
        <v>125681.47294821427</v>
      </c>
      <c r="G28" s="917">
        <f t="shared" si="9"/>
        <v>125681.47294821427</v>
      </c>
      <c r="H28" s="927">
        <f>8.79*F1</f>
        <v>9.6461459999999981</v>
      </c>
      <c r="I28" s="911" t="s">
        <v>1058</v>
      </c>
      <c r="J28" s="521"/>
      <c r="K28" s="926" t="s">
        <v>1064</v>
      </c>
      <c r="L28" s="101">
        <f t="shared" si="3"/>
        <v>1131133.2565339284</v>
      </c>
      <c r="M28" s="148"/>
      <c r="N28" s="148"/>
      <c r="O28" s="148">
        <f>F28</f>
        <v>125681.47294821427</v>
      </c>
      <c r="P28" s="888"/>
      <c r="Q28" s="888"/>
      <c r="R28" s="148"/>
      <c r="S28" s="148">
        <f>O28</f>
        <v>125681.47294821427</v>
      </c>
      <c r="T28" s="148"/>
      <c r="U28" s="148"/>
      <c r="V28" s="148"/>
      <c r="W28" s="148">
        <f>S28</f>
        <v>125681.47294821427</v>
      </c>
      <c r="X28" s="148"/>
      <c r="Y28" s="148"/>
      <c r="Z28" s="148"/>
      <c r="AA28" s="148">
        <f>W28</f>
        <v>125681.47294821427</v>
      </c>
      <c r="AB28" s="148"/>
      <c r="AC28" s="148"/>
      <c r="AD28" s="148"/>
      <c r="AE28" s="148">
        <f>AA28</f>
        <v>125681.47294821427</v>
      </c>
      <c r="AF28" s="148"/>
      <c r="AG28" s="148"/>
      <c r="AH28" s="148"/>
      <c r="AI28" s="148">
        <f>AE28</f>
        <v>125681.47294821427</v>
      </c>
      <c r="AJ28" s="148"/>
      <c r="AK28" s="148"/>
      <c r="AL28" s="148"/>
      <c r="AM28" s="148">
        <f>AI28</f>
        <v>125681.47294821427</v>
      </c>
      <c r="AN28" s="148"/>
      <c r="AO28" s="148"/>
      <c r="AP28" s="148"/>
      <c r="AQ28" s="148">
        <f>AM28</f>
        <v>125681.47294821427</v>
      </c>
      <c r="AR28" s="283"/>
      <c r="AS28" s="283"/>
      <c r="AT28" s="148"/>
      <c r="AU28" s="148">
        <f>AQ28</f>
        <v>125681.47294821427</v>
      </c>
      <c r="AV28" s="468">
        <f>+SUM(N28:AU28)</f>
        <v>1131133.2565339284</v>
      </c>
    </row>
    <row r="29" spans="2:48" x14ac:dyDescent="0.3">
      <c r="B29" s="914"/>
      <c r="C29" s="282"/>
      <c r="D29" s="922"/>
      <c r="E29" s="923"/>
      <c r="F29" s="923"/>
      <c r="G29" s="920"/>
      <c r="H29" s="927"/>
      <c r="I29" s="912"/>
      <c r="J29" s="908"/>
      <c r="K29" s="925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512"/>
      <c r="AR29" s="512"/>
      <c r="AS29" s="512"/>
      <c r="AT29" s="512"/>
      <c r="AU29" s="512"/>
      <c r="AV29" s="510"/>
    </row>
    <row r="30" spans="2:48" ht="28.8" x14ac:dyDescent="0.3">
      <c r="B30" s="914" t="s">
        <v>1065</v>
      </c>
      <c r="C30" s="282"/>
      <c r="D30" s="922"/>
      <c r="E30" s="923"/>
      <c r="F30" s="923"/>
      <c r="G30" s="921">
        <f>SUM(G31:G34)</f>
        <v>302843.30444558221</v>
      </c>
      <c r="H30" s="927"/>
      <c r="I30" s="911"/>
      <c r="J30" s="521"/>
      <c r="K30" s="925" t="s">
        <v>1065</v>
      </c>
      <c r="L30" s="508">
        <f t="shared" si="3"/>
        <v>14227772.804698823</v>
      </c>
      <c r="M30" s="508">
        <f>SUM(M31:M35)</f>
        <v>0</v>
      </c>
      <c r="N30" s="508">
        <f>SUM(N31:N35)</f>
        <v>0</v>
      </c>
      <c r="O30" s="508">
        <f>SUM(O31:O35)</f>
        <v>0</v>
      </c>
      <c r="P30" s="508">
        <f>SUM(P31:P35)</f>
        <v>262786.60219434887</v>
      </c>
      <c r="Q30" s="508">
        <f>SUM(Q31:Q34)</f>
        <v>298157.69871745724</v>
      </c>
      <c r="R30" s="508">
        <f>SUM(R31:R36)</f>
        <v>322735.69599931355</v>
      </c>
      <c r="S30" s="508">
        <f t="shared" ref="S30:AU30" si="11">SUM(S31:S35)</f>
        <v>347915.94341820781</v>
      </c>
      <c r="T30" s="508">
        <f t="shared" si="11"/>
        <v>361854.41307831375</v>
      </c>
      <c r="U30" s="508">
        <f>SUM(U31:U34)</f>
        <v>376009.7391574136</v>
      </c>
      <c r="V30" s="508">
        <f>SUM(V31:V34)</f>
        <v>390289.97819389653</v>
      </c>
      <c r="W30" s="508">
        <f t="shared" si="11"/>
        <v>404698.21315080539</v>
      </c>
      <c r="X30" s="508">
        <f t="shared" si="11"/>
        <v>419268.02309803932</v>
      </c>
      <c r="Y30" s="508">
        <f>SUM(Y31:Y34)</f>
        <v>425392.31860723329</v>
      </c>
      <c r="Z30" s="508">
        <f>SUM(Z31:Z34)</f>
        <v>431395.70732220681</v>
      </c>
      <c r="AA30" s="508">
        <f t="shared" si="11"/>
        <v>437269.8719327249</v>
      </c>
      <c r="AB30" s="508">
        <f t="shared" si="11"/>
        <v>443012.21031044709</v>
      </c>
      <c r="AC30" s="508">
        <f>SUM(AC31:AC34)</f>
        <v>448597.16103309469</v>
      </c>
      <c r="AD30" s="508">
        <f>SUM(AD31:AD34)</f>
        <v>454050.40235285758</v>
      </c>
      <c r="AE30" s="508">
        <f t="shared" si="11"/>
        <v>459324.74087718682</v>
      </c>
      <c r="AF30" s="508">
        <f t="shared" si="11"/>
        <v>464501.06894897809</v>
      </c>
      <c r="AG30" s="508">
        <f>SUM(AG31:AG34)</f>
        <v>469496.71272824053</v>
      </c>
      <c r="AH30" s="508">
        <f>SUM(AH31:AH34)</f>
        <v>474352.67055481113</v>
      </c>
      <c r="AI30" s="508">
        <f t="shared" si="11"/>
        <v>479050.37615193304</v>
      </c>
      <c r="AJ30" s="508">
        <f t="shared" si="11"/>
        <v>483608.84740230767</v>
      </c>
      <c r="AK30" s="508">
        <f>SUM(AK31:AK34)</f>
        <v>488004.92975999194</v>
      </c>
      <c r="AL30" s="508">
        <f>SUM(AL31:AL34)</f>
        <v>492309.43751419988</v>
      </c>
      <c r="AM30" s="508">
        <f t="shared" si="11"/>
        <v>496413.74271191866</v>
      </c>
      <c r="AN30" s="508">
        <f t="shared" si="11"/>
        <v>500405.50735976902</v>
      </c>
      <c r="AO30" s="508">
        <f>SUM(AO31:AO34)</f>
        <v>504241.62464822712</v>
      </c>
      <c r="AP30" s="508">
        <f>SUM(AP31:AP34)</f>
        <v>507951.2124888582</v>
      </c>
      <c r="AQ30" s="508">
        <f t="shared" si="11"/>
        <v>511526.81503545499</v>
      </c>
      <c r="AR30" s="508">
        <f t="shared" si="11"/>
        <v>514957.9586824876</v>
      </c>
      <c r="AS30" s="508">
        <f>SUM(AS31:AS34)</f>
        <v>518264.32027314685</v>
      </c>
      <c r="AT30" s="508">
        <f>SUM(AT31:AT34)</f>
        <v>518680.28885549679</v>
      </c>
      <c r="AU30" s="508">
        <f t="shared" si="11"/>
        <v>521248.57213945413</v>
      </c>
      <c r="AV30" s="884">
        <f>+SUM(M30:AU30)</f>
        <v>14227772.804698823</v>
      </c>
    </row>
    <row r="31" spans="2:48" ht="28.8" x14ac:dyDescent="0.3">
      <c r="B31" s="915" t="s">
        <v>1066</v>
      </c>
      <c r="C31" s="885" t="s">
        <v>407</v>
      </c>
      <c r="D31" s="382">
        <v>12</v>
      </c>
      <c r="E31" s="916">
        <v>7698.0311984070086</v>
      </c>
      <c r="F31" s="916">
        <f t="shared" ref="F31:F36" si="12">E31*$F$1</f>
        <v>8447.8194371318514</v>
      </c>
      <c r="G31" s="917">
        <f t="shared" ref="G31:G36" si="13">D31*F31</f>
        <v>101373.83324558221</v>
      </c>
      <c r="H31" s="927">
        <f>7.09*F1</f>
        <v>7.7805659999999994</v>
      </c>
      <c r="I31" s="911" t="s">
        <v>1058</v>
      </c>
      <c r="J31" s="521"/>
      <c r="K31" s="926" t="s">
        <v>1066</v>
      </c>
      <c r="L31" s="101">
        <f t="shared" si="3"/>
        <v>4748210.0980308158</v>
      </c>
      <c r="M31" s="148"/>
      <c r="N31" s="148"/>
      <c r="O31" s="148"/>
      <c r="P31" s="148">
        <f>$H$31*('Base Física'!I53)</f>
        <v>73434.263481395843</v>
      </c>
      <c r="Q31" s="148">
        <f>$H$31*('Base Física'!J53)</f>
        <v>99808.219259054385</v>
      </c>
      <c r="R31" s="148">
        <f>$H$31*('Base Física'!K53)</f>
        <v>108035.69804698456</v>
      </c>
      <c r="S31" s="148">
        <f>$H$31*('Base Física'!L53)</f>
        <v>116464.77992611393</v>
      </c>
      <c r="T31" s="148">
        <f>$H$31*('Base Física'!M53)</f>
        <v>121130.67935435526</v>
      </c>
      <c r="U31" s="148">
        <f>$H$31*('Base Física'!N53)</f>
        <v>125869.17141766111</v>
      </c>
      <c r="V31" s="148">
        <f>$H$31*('Base Física'!O53)</f>
        <v>130649.47806396254</v>
      </c>
      <c r="W31" s="148">
        <f>$H$31*('Base Física'!P53)</f>
        <v>135472.6313144103</v>
      </c>
      <c r="X31" s="148">
        <f>$H$31*('Base Física'!Q53)</f>
        <v>140349.8717547261</v>
      </c>
      <c r="Y31" s="148">
        <f>$H$31*('Base Física'!R53)</f>
        <v>142399.97823065551</v>
      </c>
      <c r="Z31" s="148">
        <f>$H$31*('Base Física'!S53)</f>
        <v>144409.61118576233</v>
      </c>
      <c r="AA31" s="148">
        <f>$H$31*('Base Física'!T53)</f>
        <v>146375.98640240886</v>
      </c>
      <c r="AB31" s="148">
        <f>$H$31*('Base Física'!U53)</f>
        <v>148298.23281874738</v>
      </c>
      <c r="AC31" s="148">
        <f>$H$31*('Base Física'!V53)</f>
        <v>150167.7937547045</v>
      </c>
      <c r="AD31" s="148">
        <f>$H$31*('Base Física'!W53)</f>
        <v>151993.2649991388</v>
      </c>
      <c r="AE31" s="148">
        <f>$H$31*('Base Física'!X53)</f>
        <v>153758.84857503563</v>
      </c>
      <c r="AF31" s="148">
        <f>$H$31*('Base Física'!Y53)</f>
        <v>155491.62317508284</v>
      </c>
      <c r="AG31" s="148">
        <f>$H$31*('Base Física'!Z53)</f>
        <v>157163.91375086052</v>
      </c>
      <c r="AH31" s="148">
        <f>$H$31*('Base Física'!AA53)</f>
        <v>158789.4444869505</v>
      </c>
      <c r="AI31" s="148">
        <f>$H$31*('Base Física'!AB53)</f>
        <v>160362.00032659137</v>
      </c>
      <c r="AJ31" s="148">
        <f>$H$31*('Base Física'!AC53)</f>
        <v>161887.9475015279</v>
      </c>
      <c r="AK31" s="148">
        <f>$H$31*('Base Física'!AD53)</f>
        <v>163359.53503297179</v>
      </c>
      <c r="AL31" s="148">
        <f>$H$31*('Base Física'!AE53)</f>
        <v>164800.46798752015</v>
      </c>
      <c r="AM31" s="148">
        <f>$H$31*('Base Física'!AF53)</f>
        <v>166174.38318354596</v>
      </c>
      <c r="AN31" s="148">
        <f>$H$31*('Base Física'!AG53)</f>
        <v>167510.62545707094</v>
      </c>
      <c r="AO31" s="148">
        <f>$H$31*('Base Física'!AH53)</f>
        <v>168794.76481378329</v>
      </c>
      <c r="AP31" s="148">
        <f>$H$31*('Base Física'!AI53)</f>
        <v>170036.54846770558</v>
      </c>
      <c r="AQ31" s="148">
        <f>$H$31*('Base Física'!AJ53)</f>
        <v>171233.48057608007</v>
      </c>
      <c r="AR31" s="148">
        <f>$H$31*('Base Física'!AK53)</f>
        <v>172382.0551019281</v>
      </c>
      <c r="AS31" s="148">
        <f>$H$31*('Base Física'!AL53)</f>
        <v>173488.85886386264</v>
      </c>
      <c r="AT31" s="148">
        <f>$H$31*('Base Física'!AM53)</f>
        <v>173628.10424860587</v>
      </c>
      <c r="AU31" s="148">
        <f>$H$31*('Base Física'!AN53)</f>
        <v>174487.8364716114</v>
      </c>
      <c r="AV31" s="468">
        <f t="shared" ref="AV31:AV36" si="14">+SUM(M31:AU31)</f>
        <v>4748210.0980308158</v>
      </c>
    </row>
    <row r="32" spans="2:48" ht="28.8" x14ac:dyDescent="0.3">
      <c r="B32" s="915" t="s">
        <v>1067</v>
      </c>
      <c r="C32" s="885" t="s">
        <v>407</v>
      </c>
      <c r="D32" s="382">
        <v>12</v>
      </c>
      <c r="E32" s="916">
        <v>5144.2</v>
      </c>
      <c r="F32" s="916">
        <f t="shared" si="12"/>
        <v>5645.2450799999997</v>
      </c>
      <c r="G32" s="917">
        <f t="shared" si="13"/>
        <v>67742.940959999993</v>
      </c>
      <c r="H32" s="927">
        <f>4.74*F1</f>
        <v>5.201676</v>
      </c>
      <c r="I32" s="911" t="s">
        <v>1058</v>
      </c>
      <c r="J32" s="521"/>
      <c r="K32" s="926" t="s">
        <v>1067</v>
      </c>
      <c r="L32" s="101">
        <f t="shared" si="3"/>
        <v>3174402.8017864698</v>
      </c>
      <c r="M32" s="148"/>
      <c r="N32" s="148"/>
      <c r="O32" s="148"/>
      <c r="P32" s="148">
        <f>$H$32*('Base Física'!I53)</f>
        <v>49094.274880369012</v>
      </c>
      <c r="Q32" s="148">
        <f>$H$32*('Base Física'!J53)</f>
        <v>66726.510477844538</v>
      </c>
      <c r="R32" s="148">
        <f>$H$32*('Base Física'!K53)</f>
        <v>72226.968793047505</v>
      </c>
      <c r="S32" s="148">
        <f>$H$32*('Base Física'!L53)</f>
        <v>77862.208300392114</v>
      </c>
      <c r="T32" s="148">
        <f>$H$32*('Base Física'!M53)</f>
        <v>80981.582530274187</v>
      </c>
      <c r="U32" s="148">
        <f>$H$32*('Base Física'!N53)</f>
        <v>84149.488366673293</v>
      </c>
      <c r="V32" s="148">
        <f>$H$32*('Base Física'!O53)</f>
        <v>87345.349227529266</v>
      </c>
      <c r="W32" s="148">
        <f>$H$32*('Base Física'!P53)</f>
        <v>90569.855067743993</v>
      </c>
      <c r="X32" s="148">
        <f>$H$32*('Base Física'!Q53)</f>
        <v>93830.520749986143</v>
      </c>
      <c r="Y32" s="148">
        <f>$H$32*('Base Física'!R53)</f>
        <v>95201.113795953061</v>
      </c>
      <c r="Z32" s="148">
        <f>$H$32*('Base Física'!S53)</f>
        <v>96544.648380890489</v>
      </c>
      <c r="AA32" s="148">
        <f>$H$32*('Base Física'!T53)</f>
        <v>97859.26312375431</v>
      </c>
      <c r="AB32" s="148">
        <f>$H$32*('Base Física'!U53)</f>
        <v>99144.375678541983</v>
      </c>
      <c r="AC32" s="148">
        <f>$H$32*('Base Física'!V53)</f>
        <v>100394.26550032431</v>
      </c>
      <c r="AD32" s="148">
        <f>$H$32*('Base Física'!W53)</f>
        <v>101614.67928010128</v>
      </c>
      <c r="AE32" s="148">
        <f>$H$32*('Base Física'!X53)</f>
        <v>102795.0553237897</v>
      </c>
      <c r="AF32" s="148">
        <f>$H$32*('Base Física'!Y53)</f>
        <v>103953.49701691011</v>
      </c>
      <c r="AG32" s="148">
        <f>$H$32*('Base Física'!Z53)</f>
        <v>105071.50228195752</v>
      </c>
      <c r="AH32" s="148">
        <f>$H$32*('Base Física'!AA53)</f>
        <v>106158.24638478778</v>
      </c>
      <c r="AI32" s="148">
        <f>$H$32*('Base Física'!AB53)</f>
        <v>107209.57426629664</v>
      </c>
      <c r="AJ32" s="148">
        <f>$H$32*('Base Física'!AC53)</f>
        <v>108229.74205320766</v>
      </c>
      <c r="AK32" s="148">
        <f>$H$32*('Base Física'!AD53)</f>
        <v>109213.56784996987</v>
      </c>
      <c r="AL32" s="148">
        <f>$H$32*('Base Física'!AE53)</f>
        <v>110176.89961365945</v>
      </c>
      <c r="AM32" s="148">
        <f>$H$32*('Base Física'!AF53)</f>
        <v>111095.42683921127</v>
      </c>
      <c r="AN32" s="148">
        <f>$H$32*('Base Física'!AG53)</f>
        <v>111988.76793603897</v>
      </c>
      <c r="AO32" s="148">
        <f>$H$32*('Base Física'!AH53)</f>
        <v>112847.27577113299</v>
      </c>
      <c r="AP32" s="148">
        <f>$H$32*('Base Física'!AI53)</f>
        <v>113677.46681761982</v>
      </c>
      <c r="AQ32" s="148">
        <f>$H$32*('Base Física'!AJ53)</f>
        <v>114477.67248668823</v>
      </c>
      <c r="AR32" s="148">
        <f>$H$32*('Base Física'!AK53)</f>
        <v>115245.54882695898</v>
      </c>
      <c r="AS32" s="148">
        <f>$H$32*('Base Física'!AL53)</f>
        <v>115985.49943789971</v>
      </c>
      <c r="AT32" s="148">
        <f>$H$32*('Base Física'!AM53)</f>
        <v>116078.59155689589</v>
      </c>
      <c r="AU32" s="148">
        <f>$H$32*('Base Física'!AN53)</f>
        <v>116653.36317001948</v>
      </c>
      <c r="AV32" s="468">
        <f t="shared" si="14"/>
        <v>3174402.8017864698</v>
      </c>
    </row>
    <row r="33" spans="2:48" ht="28.8" x14ac:dyDescent="0.3">
      <c r="B33" s="915" t="s">
        <v>1068</v>
      </c>
      <c r="C33" s="885" t="s">
        <v>407</v>
      </c>
      <c r="D33" s="382">
        <v>12</v>
      </c>
      <c r="E33" s="916">
        <v>5321.4</v>
      </c>
      <c r="F33" s="916">
        <f t="shared" si="12"/>
        <v>5839.7043599999988</v>
      </c>
      <c r="G33" s="917">
        <f t="shared" si="13"/>
        <v>70076.452319999982</v>
      </c>
      <c r="H33" s="927">
        <f>4.9*F1</f>
        <v>5.3772599999999997</v>
      </c>
      <c r="I33" s="911" t="s">
        <v>1058</v>
      </c>
      <c r="J33" s="521"/>
      <c r="K33" s="926" t="s">
        <v>1068</v>
      </c>
      <c r="L33" s="101">
        <f t="shared" si="3"/>
        <v>3281555.6389775733</v>
      </c>
      <c r="M33" s="148"/>
      <c r="N33" s="148"/>
      <c r="O33" s="148"/>
      <c r="P33" s="148">
        <f>$H$33*('Base Física'!I53)</f>
        <v>50751.465593630412</v>
      </c>
      <c r="Q33" s="148">
        <f>$H$33*('Base Física'!J53)</f>
        <v>68978.88213954393</v>
      </c>
      <c r="R33" s="148">
        <f>$H$33*('Base Física'!K53)</f>
        <v>74665.009933741094</v>
      </c>
      <c r="S33" s="148">
        <f>$H$33*('Base Física'!L53)</f>
        <v>80490.468496185931</v>
      </c>
      <c r="T33" s="148">
        <f>$H$33*('Base Física'!M53)</f>
        <v>83715.138058722252</v>
      </c>
      <c r="U33" s="148">
        <f>$H$33*('Base Física'!N53)</f>
        <v>86989.977425463949</v>
      </c>
      <c r="V33" s="148">
        <f>$H$33*('Base Física'!O53)</f>
        <v>90293.715446180038</v>
      </c>
      <c r="W33" s="148">
        <f>$H$33*('Base Física'!P53)</f>
        <v>93627.065365389353</v>
      </c>
      <c r="X33" s="148">
        <f>$H$33*('Base Física'!Q53)</f>
        <v>96997.795712010979</v>
      </c>
      <c r="Y33" s="148">
        <f>$H$33*('Base Física'!R53)</f>
        <v>98414.653502145564</v>
      </c>
      <c r="Z33" s="148">
        <f>$H$33*('Base Física'!S53)</f>
        <v>99803.539465477501</v>
      </c>
      <c r="AA33" s="148">
        <f>$H$33*('Base Física'!T53)</f>
        <v>101162.52938953505</v>
      </c>
      <c r="AB33" s="148">
        <f>$H$33*('Base Física'!U53)</f>
        <v>102491.02127106659</v>
      </c>
      <c r="AC33" s="148">
        <f>$H$33*('Base Física'!V53)</f>
        <v>103783.10146657997</v>
      </c>
      <c r="AD33" s="148">
        <f>$H$33*('Base Física'!W53)</f>
        <v>105044.71064820595</v>
      </c>
      <c r="AE33" s="148">
        <f>$H$33*('Base Física'!X53)</f>
        <v>106264.9306089809</v>
      </c>
      <c r="AF33" s="148">
        <f>$H$33*('Base Física'!Y53)</f>
        <v>107462.47581916869</v>
      </c>
      <c r="AG33" s="148">
        <f>$H$33*('Base Física'!Z53)</f>
        <v>108618.21965856368</v>
      </c>
      <c r="AH33" s="148">
        <f>$H$33*('Base Física'!AA53)</f>
        <v>109741.64710663716</v>
      </c>
      <c r="AI33" s="148">
        <f>$H$33*('Base Física'!AB53)</f>
        <v>110828.46284912521</v>
      </c>
      <c r="AJ33" s="148">
        <f>$H$33*('Base Física'!AC53)</f>
        <v>111883.06667947627</v>
      </c>
      <c r="AK33" s="148">
        <f>$H$33*('Base Física'!AD53)</f>
        <v>112900.10178583382</v>
      </c>
      <c r="AL33" s="148">
        <f>$H$33*('Base Física'!AE53)</f>
        <v>113895.95107741166</v>
      </c>
      <c r="AM33" s="148">
        <f>$H$33*('Base Física'!AF53)</f>
        <v>114845.48344137873</v>
      </c>
      <c r="AN33" s="148">
        <f>$H$33*('Base Física'!AG53)</f>
        <v>115768.97951193902</v>
      </c>
      <c r="AO33" s="148">
        <f>$H$33*('Base Física'!AH53)</f>
        <v>116656.46651446236</v>
      </c>
      <c r="AP33" s="148">
        <f>$H$33*('Base Física'!AI53)</f>
        <v>117514.68088741289</v>
      </c>
      <c r="AQ33" s="148">
        <f>$H$33*('Base Física'!AJ53)</f>
        <v>118341.8977183064</v>
      </c>
      <c r="AR33" s="148">
        <f>$H$33*('Base Física'!AK53)</f>
        <v>119135.69393504199</v>
      </c>
      <c r="AS33" s="148">
        <f>$H$33*('Base Física'!AL53)</f>
        <v>119900.62178179505</v>
      </c>
      <c r="AT33" s="148">
        <f>$H$33*('Base Física'!AM53)</f>
        <v>119996.85625079954</v>
      </c>
      <c r="AU33" s="148">
        <f>$H$33*('Base Física'!AN53)</f>
        <v>120591.02943736191</v>
      </c>
      <c r="AV33" s="468">
        <f t="shared" si="14"/>
        <v>3281555.6389775733</v>
      </c>
    </row>
    <row r="34" spans="2:48" ht="43.2" x14ac:dyDescent="0.3">
      <c r="B34" s="915" t="s">
        <v>1069</v>
      </c>
      <c r="C34" s="885" t="s">
        <v>407</v>
      </c>
      <c r="D34" s="382">
        <v>12</v>
      </c>
      <c r="E34" s="916">
        <v>4833.3999999999996</v>
      </c>
      <c r="F34" s="916">
        <f t="shared" si="12"/>
        <v>5304.1731599999994</v>
      </c>
      <c r="G34" s="917">
        <f t="shared" si="13"/>
        <v>63650.077919999996</v>
      </c>
      <c r="H34" s="927">
        <f>4.45*F1</f>
        <v>4.8834299999999997</v>
      </c>
      <c r="I34" s="911" t="s">
        <v>1058</v>
      </c>
      <c r="J34" s="521"/>
      <c r="K34" s="926" t="s">
        <v>1069</v>
      </c>
      <c r="L34" s="101">
        <f t="shared" si="3"/>
        <v>2980188.2843775931</v>
      </c>
      <c r="M34" s="148"/>
      <c r="N34" s="148"/>
      <c r="O34" s="148"/>
      <c r="P34" s="148">
        <f>$H$34*('Base Física'!I53)</f>
        <v>46090.61671258272</v>
      </c>
      <c r="Q34" s="148">
        <f>$H$34*('Base Física'!J53)</f>
        <v>62644.086841014388</v>
      </c>
      <c r="R34" s="148">
        <f>$H$34*('Base Física'!K53)</f>
        <v>67808.019225540382</v>
      </c>
      <c r="S34" s="148">
        <f>$H$34*('Base Física'!L53)</f>
        <v>73098.486695515792</v>
      </c>
      <c r="T34" s="148">
        <f>$H$34*('Base Física'!M53)</f>
        <v>76027.01313496205</v>
      </c>
      <c r="U34" s="148">
        <f>$H$34*('Base Física'!N53)</f>
        <v>79001.101947615229</v>
      </c>
      <c r="V34" s="148">
        <f>$H$34*('Base Física'!O53)</f>
        <v>82001.435456224717</v>
      </c>
      <c r="W34" s="148">
        <f>$H$34*('Base Física'!P53)</f>
        <v>85028.661403261765</v>
      </c>
      <c r="X34" s="148">
        <f>$H$34*('Base Física'!Q53)</f>
        <v>88089.834881316099</v>
      </c>
      <c r="Y34" s="148">
        <f>$H$34*('Base Física'!R53)</f>
        <v>89376.573078479138</v>
      </c>
      <c r="Z34" s="148">
        <f>$H$34*('Base Física'!S53)</f>
        <v>90637.908290076506</v>
      </c>
      <c r="AA34" s="148">
        <f>$H$34*('Base Física'!T53)</f>
        <v>91872.093017026724</v>
      </c>
      <c r="AB34" s="148">
        <f>$H$34*('Base Física'!U53)</f>
        <v>93078.580542091091</v>
      </c>
      <c r="AC34" s="148">
        <f>$H$34*('Base Física'!V53)</f>
        <v>94252.000311485899</v>
      </c>
      <c r="AD34" s="148">
        <f>$H$34*('Base Física'!W53)</f>
        <v>95397.747425411522</v>
      </c>
      <c r="AE34" s="148">
        <f>$H$34*('Base Física'!X53)</f>
        <v>96505.906369380609</v>
      </c>
      <c r="AF34" s="148">
        <f>$H$34*('Base Física'!Y53)</f>
        <v>97593.472937816448</v>
      </c>
      <c r="AG34" s="148">
        <f>$H$34*('Base Física'!Z53)</f>
        <v>98643.077036858856</v>
      </c>
      <c r="AH34" s="148">
        <f>$H$34*('Base Física'!AA53)</f>
        <v>99663.332576435787</v>
      </c>
      <c r="AI34" s="148">
        <f>$H$34*('Base Física'!AB53)</f>
        <v>100650.33870991983</v>
      </c>
      <c r="AJ34" s="148">
        <f>$H$34*('Base Física'!AC53)</f>
        <v>101608.09116809579</v>
      </c>
      <c r="AK34" s="148">
        <f>$H$34*('Base Física'!AD53)</f>
        <v>102531.72509121643</v>
      </c>
      <c r="AL34" s="148">
        <f>$H$34*('Base Física'!AE53)</f>
        <v>103436.11883560856</v>
      </c>
      <c r="AM34" s="148">
        <f>$H$34*('Base Física'!AF53)</f>
        <v>104298.44924778273</v>
      </c>
      <c r="AN34" s="148">
        <f>$H$34*('Base Física'!AG53)</f>
        <v>105137.13445472013</v>
      </c>
      <c r="AO34" s="148">
        <f>$H$34*('Base Física'!AH53)</f>
        <v>105943.11754884847</v>
      </c>
      <c r="AP34" s="148">
        <f>$H$34*('Base Física'!AI53)</f>
        <v>106722.51631611987</v>
      </c>
      <c r="AQ34" s="148">
        <f>$H$34*('Base Física'!AJ53)</f>
        <v>107473.76425438029</v>
      </c>
      <c r="AR34" s="148">
        <f>$H$34*('Base Física'!AK53)</f>
        <v>108194.66081855854</v>
      </c>
      <c r="AS34" s="148">
        <f>$H$34*('Base Física'!AL53)</f>
        <v>108889.34018958939</v>
      </c>
      <c r="AT34" s="148">
        <f>$H$34*('Base Física'!AM53)</f>
        <v>108976.7367991955</v>
      </c>
      <c r="AU34" s="148">
        <f>$H$34*('Base Física'!AN53)</f>
        <v>109516.34306046132</v>
      </c>
      <c r="AV34" s="468">
        <f t="shared" si="14"/>
        <v>2980188.2843775931</v>
      </c>
    </row>
    <row r="35" spans="2:48" ht="28.8" x14ac:dyDescent="0.3">
      <c r="B35" s="915" t="s">
        <v>1070</v>
      </c>
      <c r="C35" s="885" t="s">
        <v>1050</v>
      </c>
      <c r="D35" s="382">
        <v>1</v>
      </c>
      <c r="E35" s="916">
        <v>39562.585681037774</v>
      </c>
      <c r="F35" s="916">
        <f t="shared" si="12"/>
        <v>43415.981526370851</v>
      </c>
      <c r="G35" s="917">
        <f t="shared" si="13"/>
        <v>43415.981526370851</v>
      </c>
      <c r="H35" s="927">
        <f>3.04*F1</f>
        <v>3.336096</v>
      </c>
      <c r="I35" s="911" t="s">
        <v>1058</v>
      </c>
      <c r="J35" s="521"/>
      <c r="K35" s="926" t="s">
        <v>1070</v>
      </c>
      <c r="L35" s="101">
        <f t="shared" si="3"/>
        <v>347327.85221096681</v>
      </c>
      <c r="M35" s="148"/>
      <c r="N35" s="148"/>
      <c r="O35" s="148"/>
      <c r="P35" s="148">
        <f>G35</f>
        <v>43415.981526370851</v>
      </c>
      <c r="Q35" s="148"/>
      <c r="R35" s="148"/>
      <c r="S35" s="148"/>
      <c r="T35" s="148"/>
      <c r="U35" s="148">
        <f>P35</f>
        <v>43415.981526370851</v>
      </c>
      <c r="V35" s="148"/>
      <c r="W35" s="148"/>
      <c r="X35" s="148"/>
      <c r="Y35" s="148">
        <f>U35</f>
        <v>43415.981526370851</v>
      </c>
      <c r="Z35" s="148"/>
      <c r="AA35" s="148"/>
      <c r="AB35" s="148"/>
      <c r="AC35" s="148">
        <f>Y35</f>
        <v>43415.981526370851</v>
      </c>
      <c r="AD35" s="148"/>
      <c r="AE35" s="148"/>
      <c r="AF35" s="148"/>
      <c r="AG35" s="148">
        <f>AC35</f>
        <v>43415.981526370851</v>
      </c>
      <c r="AH35" s="148"/>
      <c r="AI35" s="148"/>
      <c r="AJ35" s="148"/>
      <c r="AK35" s="148">
        <f>AG35</f>
        <v>43415.981526370851</v>
      </c>
      <c r="AL35" s="148"/>
      <c r="AM35" s="148"/>
      <c r="AN35" s="148"/>
      <c r="AO35" s="148">
        <f>AK35</f>
        <v>43415.981526370851</v>
      </c>
      <c r="AP35" s="148"/>
      <c r="AQ35" s="148"/>
      <c r="AR35" s="148"/>
      <c r="AS35" s="148">
        <f>AO35</f>
        <v>43415.981526370851</v>
      </c>
      <c r="AT35" s="148"/>
      <c r="AU35" s="148"/>
      <c r="AV35" s="468">
        <f t="shared" si="14"/>
        <v>347327.85221096681</v>
      </c>
    </row>
    <row r="36" spans="2:48" ht="28.8" x14ac:dyDescent="0.3">
      <c r="B36" s="915" t="s">
        <v>1071</v>
      </c>
      <c r="C36" s="885" t="s">
        <v>1050</v>
      </c>
      <c r="D36" s="382">
        <v>1</v>
      </c>
      <c r="E36" s="916">
        <v>60910.213303987694</v>
      </c>
      <c r="F36" s="916">
        <f t="shared" si="12"/>
        <v>66842.868079796084</v>
      </c>
      <c r="G36" s="917">
        <f t="shared" si="13"/>
        <v>66842.868079796084</v>
      </c>
      <c r="H36" s="927">
        <f>4.68*F1</f>
        <v>5.1358319999999997</v>
      </c>
      <c r="I36" s="911" t="s">
        <v>1058</v>
      </c>
      <c r="J36" s="521"/>
      <c r="K36" s="926" t="s">
        <v>1071</v>
      </c>
      <c r="L36" s="101">
        <f t="shared" si="3"/>
        <v>534742.94463836867</v>
      </c>
      <c r="M36" s="148"/>
      <c r="N36" s="148"/>
      <c r="O36" s="148"/>
      <c r="P36" s="148"/>
      <c r="Q36" s="148">
        <f>G36</f>
        <v>66842.868079796084</v>
      </c>
      <c r="R36" s="148"/>
      <c r="S36" s="148"/>
      <c r="T36" s="148"/>
      <c r="U36" s="148"/>
      <c r="V36" s="148">
        <f>Q36</f>
        <v>66842.868079796084</v>
      </c>
      <c r="W36" s="148"/>
      <c r="X36" s="148"/>
      <c r="Y36" s="148"/>
      <c r="Z36" s="148">
        <f>V36</f>
        <v>66842.868079796084</v>
      </c>
      <c r="AA36" s="148"/>
      <c r="AB36" s="148"/>
      <c r="AC36" s="148"/>
      <c r="AD36" s="148">
        <f>Z36</f>
        <v>66842.868079796084</v>
      </c>
      <c r="AE36" s="148"/>
      <c r="AF36" s="148"/>
      <c r="AG36" s="148"/>
      <c r="AH36" s="148">
        <f>AD36</f>
        <v>66842.868079796084</v>
      </c>
      <c r="AI36" s="148"/>
      <c r="AJ36" s="148"/>
      <c r="AK36" s="148"/>
      <c r="AL36" s="148">
        <f>AH36</f>
        <v>66842.868079796084</v>
      </c>
      <c r="AM36" s="148"/>
      <c r="AN36" s="148"/>
      <c r="AO36" s="148"/>
      <c r="AP36" s="148">
        <f>AL36</f>
        <v>66842.868079796084</v>
      </c>
      <c r="AQ36" s="148"/>
      <c r="AR36" s="148"/>
      <c r="AS36" s="148"/>
      <c r="AT36" s="148">
        <f>AP36</f>
        <v>66842.868079796084</v>
      </c>
      <c r="AU36" s="283"/>
      <c r="AV36" s="468">
        <f t="shared" si="14"/>
        <v>534742.94463836867</v>
      </c>
    </row>
    <row r="37" spans="2:48" x14ac:dyDescent="0.3">
      <c r="B37" s="914"/>
      <c r="C37" s="282"/>
      <c r="D37" s="922"/>
      <c r="E37" s="923"/>
      <c r="F37" s="923"/>
      <c r="G37" s="920"/>
      <c r="H37" s="927"/>
      <c r="I37" s="912"/>
      <c r="J37" s="908"/>
      <c r="K37" s="925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  <c r="AB37" s="101"/>
      <c r="AC37" s="101"/>
      <c r="AD37" s="101"/>
      <c r="AE37" s="101"/>
      <c r="AF37" s="101"/>
      <c r="AG37" s="101"/>
      <c r="AH37" s="101"/>
      <c r="AI37" s="101"/>
      <c r="AJ37" s="101"/>
      <c r="AK37" s="101"/>
      <c r="AL37" s="101"/>
      <c r="AM37" s="101"/>
      <c r="AN37" s="101"/>
      <c r="AO37" s="101"/>
      <c r="AP37" s="101"/>
      <c r="AQ37" s="512"/>
      <c r="AR37" s="512"/>
      <c r="AS37" s="512"/>
      <c r="AT37" s="512"/>
      <c r="AU37" s="512"/>
      <c r="AV37" s="510"/>
    </row>
    <row r="38" spans="2:48" ht="28.8" x14ac:dyDescent="0.3">
      <c r="B38" s="914" t="s">
        <v>1072</v>
      </c>
      <c r="C38" s="282"/>
      <c r="D38" s="922"/>
      <c r="E38" s="923"/>
      <c r="F38" s="923"/>
      <c r="G38" s="921">
        <f>SUM(G39:G48)</f>
        <v>13212349.28723163</v>
      </c>
      <c r="H38" s="927"/>
      <c r="I38" s="912"/>
      <c r="J38" s="908"/>
      <c r="K38" s="925" t="s">
        <v>1072</v>
      </c>
      <c r="L38" s="508">
        <f t="shared" si="3"/>
        <v>24313888.357334994</v>
      </c>
      <c r="M38" s="508">
        <f>SUM(M39:M48)</f>
        <v>527682.79204232874</v>
      </c>
      <c r="N38" s="508">
        <f t="shared" ref="N38:AU38" si="15">SUM(N39:N48)</f>
        <v>114283.45547999999</v>
      </c>
      <c r="O38" s="508">
        <f t="shared" si="15"/>
        <v>229966.07460944561</v>
      </c>
      <c r="P38" s="508">
        <f t="shared" si="15"/>
        <v>297155.65080828097</v>
      </c>
      <c r="Q38" s="508">
        <f t="shared" si="15"/>
        <v>398645.45620090462</v>
      </c>
      <c r="R38" s="508">
        <f t="shared" si="15"/>
        <v>447127.89620232838</v>
      </c>
      <c r="S38" s="508">
        <f t="shared" si="15"/>
        <v>495554.20411976561</v>
      </c>
      <c r="T38" s="508">
        <f t="shared" si="15"/>
        <v>666528.25866940443</v>
      </c>
      <c r="U38" s="508">
        <f t="shared" si="15"/>
        <v>728821.00052122679</v>
      </c>
      <c r="V38" s="508">
        <f t="shared" si="15"/>
        <v>788708.17411705642</v>
      </c>
      <c r="W38" s="508">
        <f t="shared" si="15"/>
        <v>732325.9438263335</v>
      </c>
      <c r="X38" s="508">
        <f t="shared" si="15"/>
        <v>841152.30492733512</v>
      </c>
      <c r="Y38" s="508">
        <f t="shared" si="15"/>
        <v>824137.89122350095</v>
      </c>
      <c r="Z38" s="508">
        <f t="shared" si="15"/>
        <v>742758.88284922636</v>
      </c>
      <c r="AA38" s="508">
        <f t="shared" si="15"/>
        <v>710639.9246758892</v>
      </c>
      <c r="AB38" s="508">
        <f t="shared" si="15"/>
        <v>764658.14473721443</v>
      </c>
      <c r="AC38" s="508">
        <f t="shared" si="15"/>
        <v>863777.41277602909</v>
      </c>
      <c r="AD38" s="508">
        <f t="shared" si="15"/>
        <v>731620.73927669984</v>
      </c>
      <c r="AE38" s="508">
        <f t="shared" si="15"/>
        <v>718194.85958402639</v>
      </c>
      <c r="AF38" s="508">
        <f t="shared" si="15"/>
        <v>850698.86821107881</v>
      </c>
      <c r="AG38" s="508">
        <f t="shared" si="15"/>
        <v>820865.08489189576</v>
      </c>
      <c r="AH38" s="508">
        <f t="shared" si="15"/>
        <v>741528.98071496235</v>
      </c>
      <c r="AI38" s="508">
        <f t="shared" si="15"/>
        <v>685458.05954141624</v>
      </c>
      <c r="AJ38" s="508">
        <f t="shared" si="15"/>
        <v>820315.18785992579</v>
      </c>
      <c r="AK38" s="508">
        <f t="shared" si="15"/>
        <v>824147.01810230047</v>
      </c>
      <c r="AL38" s="508">
        <f t="shared" si="15"/>
        <v>709994.35459811729</v>
      </c>
      <c r="AM38" s="508">
        <f t="shared" si="15"/>
        <v>691066.49821664032</v>
      </c>
      <c r="AN38" s="508">
        <f t="shared" si="15"/>
        <v>790587.20636399405</v>
      </c>
      <c r="AO38" s="508">
        <f t="shared" si="15"/>
        <v>837399.95675825037</v>
      </c>
      <c r="AP38" s="508">
        <f t="shared" si="15"/>
        <v>764005.72737410571</v>
      </c>
      <c r="AQ38" s="508">
        <f t="shared" si="15"/>
        <v>740103.74040571076</v>
      </c>
      <c r="AR38" s="508">
        <f t="shared" si="15"/>
        <v>881003.44624152686</v>
      </c>
      <c r="AS38" s="508">
        <f t="shared" si="15"/>
        <v>897272.06296825083</v>
      </c>
      <c r="AT38" s="508">
        <f t="shared" si="15"/>
        <v>828451.57510260481</v>
      </c>
      <c r="AU38" s="508">
        <f t="shared" si="15"/>
        <v>807251.52333721681</v>
      </c>
      <c r="AV38" s="884">
        <f>+SUM(M38:AU38)</f>
        <v>24313888.357334994</v>
      </c>
    </row>
    <row r="39" spans="2:48" ht="43.2" x14ac:dyDescent="0.3">
      <c r="B39" s="915" t="s">
        <v>1073</v>
      </c>
      <c r="C39" s="885" t="s">
        <v>407</v>
      </c>
      <c r="D39" s="382">
        <v>12</v>
      </c>
      <c r="E39" s="916">
        <v>8678.35</v>
      </c>
      <c r="F39" s="916">
        <f t="shared" ref="F39:F48" si="16">E39*$F$1</f>
        <v>9523.6212899999991</v>
      </c>
      <c r="G39" s="917">
        <f t="shared" ref="G39:G48" si="17">D39*F39</f>
        <v>114283.45547999999</v>
      </c>
      <c r="H39" s="927"/>
      <c r="I39" s="911" t="s">
        <v>1058</v>
      </c>
      <c r="J39" s="521"/>
      <c r="K39" s="926" t="s">
        <v>1073</v>
      </c>
      <c r="L39" s="101">
        <f t="shared" si="3"/>
        <v>3999920.9417999997</v>
      </c>
      <c r="M39" s="148">
        <f>$G$39</f>
        <v>114283.45547999999</v>
      </c>
      <c r="N39" s="148">
        <f t="shared" ref="N39:AU39" si="18">$G$39</f>
        <v>114283.45547999999</v>
      </c>
      <c r="O39" s="148">
        <f t="shared" si="18"/>
        <v>114283.45547999999</v>
      </c>
      <c r="P39" s="148">
        <f t="shared" si="18"/>
        <v>114283.45547999999</v>
      </c>
      <c r="Q39" s="148">
        <f t="shared" si="18"/>
        <v>114283.45547999999</v>
      </c>
      <c r="R39" s="148">
        <f t="shared" si="18"/>
        <v>114283.45547999999</v>
      </c>
      <c r="S39" s="148">
        <f t="shared" si="18"/>
        <v>114283.45547999999</v>
      </c>
      <c r="T39" s="148">
        <f t="shared" si="18"/>
        <v>114283.45547999999</v>
      </c>
      <c r="U39" s="148">
        <f t="shared" si="18"/>
        <v>114283.45547999999</v>
      </c>
      <c r="V39" s="148">
        <f t="shared" si="18"/>
        <v>114283.45547999999</v>
      </c>
      <c r="W39" s="148">
        <f t="shared" si="18"/>
        <v>114283.45547999999</v>
      </c>
      <c r="X39" s="148">
        <f t="shared" si="18"/>
        <v>114283.45547999999</v>
      </c>
      <c r="Y39" s="148">
        <f t="shared" si="18"/>
        <v>114283.45547999999</v>
      </c>
      <c r="Z39" s="148">
        <f t="shared" si="18"/>
        <v>114283.45547999999</v>
      </c>
      <c r="AA39" s="148">
        <f t="shared" si="18"/>
        <v>114283.45547999999</v>
      </c>
      <c r="AB39" s="148">
        <f t="shared" si="18"/>
        <v>114283.45547999999</v>
      </c>
      <c r="AC39" s="148">
        <f t="shared" si="18"/>
        <v>114283.45547999999</v>
      </c>
      <c r="AD39" s="148">
        <f t="shared" si="18"/>
        <v>114283.45547999999</v>
      </c>
      <c r="AE39" s="148">
        <f t="shared" si="18"/>
        <v>114283.45547999999</v>
      </c>
      <c r="AF39" s="148">
        <f t="shared" si="18"/>
        <v>114283.45547999999</v>
      </c>
      <c r="AG39" s="148">
        <f t="shared" si="18"/>
        <v>114283.45547999999</v>
      </c>
      <c r="AH39" s="148">
        <f t="shared" si="18"/>
        <v>114283.45547999999</v>
      </c>
      <c r="AI39" s="148">
        <f t="shared" si="18"/>
        <v>114283.45547999999</v>
      </c>
      <c r="AJ39" s="148">
        <f t="shared" si="18"/>
        <v>114283.45547999999</v>
      </c>
      <c r="AK39" s="148">
        <f t="shared" si="18"/>
        <v>114283.45547999999</v>
      </c>
      <c r="AL39" s="148">
        <f t="shared" si="18"/>
        <v>114283.45547999999</v>
      </c>
      <c r="AM39" s="148">
        <f t="shared" si="18"/>
        <v>114283.45547999999</v>
      </c>
      <c r="AN39" s="148">
        <f t="shared" si="18"/>
        <v>114283.45547999999</v>
      </c>
      <c r="AO39" s="148">
        <f t="shared" si="18"/>
        <v>114283.45547999999</v>
      </c>
      <c r="AP39" s="148">
        <f t="shared" si="18"/>
        <v>114283.45547999999</v>
      </c>
      <c r="AQ39" s="148">
        <f t="shared" si="18"/>
        <v>114283.45547999999</v>
      </c>
      <c r="AR39" s="148">
        <f t="shared" si="18"/>
        <v>114283.45547999999</v>
      </c>
      <c r="AS39" s="148">
        <f t="shared" si="18"/>
        <v>114283.45547999999</v>
      </c>
      <c r="AT39" s="148">
        <f t="shared" si="18"/>
        <v>114283.45547999999</v>
      </c>
      <c r="AU39" s="148">
        <f t="shared" si="18"/>
        <v>114283.45547999999</v>
      </c>
      <c r="AV39" s="468">
        <f t="shared" ref="AV39:AV48" si="19">+SUM(M39:AU39)</f>
        <v>3999920.9417999997</v>
      </c>
    </row>
    <row r="40" spans="2:48" ht="28.8" x14ac:dyDescent="0.3">
      <c r="B40" s="915" t="s">
        <v>1074</v>
      </c>
      <c r="C40" s="885" t="s">
        <v>1075</v>
      </c>
      <c r="D40" s="382">
        <f>91</f>
        <v>91</v>
      </c>
      <c r="E40" s="916">
        <v>250</v>
      </c>
      <c r="F40" s="916">
        <f t="shared" si="16"/>
        <v>274.34999999999997</v>
      </c>
      <c r="G40" s="917">
        <f t="shared" si="17"/>
        <v>24965.85</v>
      </c>
      <c r="H40" s="927"/>
      <c r="I40" s="911" t="s">
        <v>1076</v>
      </c>
      <c r="J40" s="521"/>
      <c r="K40" s="926" t="s">
        <v>1074</v>
      </c>
      <c r="L40" s="101">
        <f t="shared" si="3"/>
        <v>24965.85</v>
      </c>
      <c r="M40" s="148">
        <f>$G$40</f>
        <v>24965.85</v>
      </c>
      <c r="N40" s="148"/>
      <c r="O40" s="148"/>
      <c r="P40" s="148"/>
      <c r="Q40" s="148"/>
      <c r="R40" s="148"/>
      <c r="S40" s="148"/>
      <c r="T40" s="148"/>
      <c r="U40" s="148"/>
      <c r="V40" s="148"/>
      <c r="W40" s="148"/>
      <c r="X40" s="148"/>
      <c r="Y40" s="148"/>
      <c r="Z40" s="148"/>
      <c r="AA40" s="148"/>
      <c r="AB40" s="148"/>
      <c r="AC40" s="148"/>
      <c r="AD40" s="148"/>
      <c r="AE40" s="148"/>
      <c r="AF40" s="148"/>
      <c r="AG40" s="148"/>
      <c r="AH40" s="148"/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468">
        <f t="shared" si="19"/>
        <v>24965.85</v>
      </c>
    </row>
    <row r="41" spans="2:48" ht="28.8" x14ac:dyDescent="0.3">
      <c r="B41" s="915" t="s">
        <v>1077</v>
      </c>
      <c r="C41" s="885" t="s">
        <v>1078</v>
      </c>
      <c r="D41" s="382">
        <v>7893</v>
      </c>
      <c r="E41" s="916">
        <v>35.800440817374977</v>
      </c>
      <c r="F41" s="916">
        <f t="shared" si="16"/>
        <v>39.287403752987295</v>
      </c>
      <c r="G41" s="917">
        <f t="shared" si="17"/>
        <v>310095.47782232874</v>
      </c>
      <c r="H41" s="927"/>
      <c r="I41" s="911" t="s">
        <v>1079</v>
      </c>
      <c r="J41" s="521"/>
      <c r="K41" s="926" t="s">
        <v>1077</v>
      </c>
      <c r="L41" s="101">
        <f t="shared" si="3"/>
        <v>310095.47782232874</v>
      </c>
      <c r="M41" s="148">
        <f>G41</f>
        <v>310095.47782232874</v>
      </c>
      <c r="N41" s="148"/>
      <c r="O41" s="148"/>
      <c r="P41" s="148"/>
      <c r="Q41" s="148"/>
      <c r="R41" s="148"/>
      <c r="S41" s="148"/>
      <c r="T41" s="148"/>
      <c r="U41" s="148"/>
      <c r="V41" s="148"/>
      <c r="W41" s="148"/>
      <c r="X41" s="148"/>
      <c r="Y41" s="148"/>
      <c r="Z41" s="148"/>
      <c r="AA41" s="148"/>
      <c r="AB41" s="148"/>
      <c r="AC41" s="148"/>
      <c r="AD41" s="148"/>
      <c r="AE41" s="148"/>
      <c r="AF41" s="148"/>
      <c r="AG41" s="148"/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468">
        <f t="shared" si="19"/>
        <v>310095.47782232874</v>
      </c>
    </row>
    <row r="42" spans="2:48" ht="28.8" x14ac:dyDescent="0.3">
      <c r="B42" s="915" t="s">
        <v>1080</v>
      </c>
      <c r="C42" s="885" t="s">
        <v>1078</v>
      </c>
      <c r="D42" s="382">
        <v>757</v>
      </c>
      <c r="E42" s="916">
        <v>94.3</v>
      </c>
      <c r="F42" s="916">
        <f t="shared" si="16"/>
        <v>103.48481999999998</v>
      </c>
      <c r="G42" s="917">
        <f t="shared" si="17"/>
        <v>78338.00873999999</v>
      </c>
      <c r="H42" s="927"/>
      <c r="I42" s="911" t="s">
        <v>1081</v>
      </c>
      <c r="J42" s="521"/>
      <c r="K42" s="926" t="s">
        <v>1080</v>
      </c>
      <c r="L42" s="101">
        <f t="shared" si="3"/>
        <v>78338.00873999999</v>
      </c>
      <c r="M42" s="148">
        <f>G42</f>
        <v>78338.00873999999</v>
      </c>
      <c r="N42" s="148"/>
      <c r="O42" s="148"/>
      <c r="P42" s="148"/>
      <c r="Q42" s="148"/>
      <c r="R42" s="148"/>
      <c r="S42" s="148"/>
      <c r="T42" s="148"/>
      <c r="U42" s="148"/>
      <c r="V42" s="148"/>
      <c r="W42" s="148"/>
      <c r="X42" s="148"/>
      <c r="Y42" s="148"/>
      <c r="Z42" s="148"/>
      <c r="AA42" s="148"/>
      <c r="AB42" s="148"/>
      <c r="AC42" s="148"/>
      <c r="AD42" s="148"/>
      <c r="AE42" s="148"/>
      <c r="AF42" s="148"/>
      <c r="AG42" s="148"/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468">
        <f t="shared" si="19"/>
        <v>78338.00873999999</v>
      </c>
    </row>
    <row r="43" spans="2:48" ht="28.8" x14ac:dyDescent="0.3">
      <c r="B43" s="915" t="s">
        <v>1082</v>
      </c>
      <c r="C43" s="885" t="s">
        <v>1075</v>
      </c>
      <c r="D43" s="382">
        <v>483.08554572159295</v>
      </c>
      <c r="E43" s="916">
        <v>21949.7575</v>
      </c>
      <c r="F43" s="916">
        <f t="shared" si="16"/>
        <v>24087.663880499997</v>
      </c>
      <c r="G43" s="917">
        <f t="shared" si="17"/>
        <v>11636402.250869645</v>
      </c>
      <c r="H43" s="927"/>
      <c r="I43" s="911" t="s">
        <v>1076</v>
      </c>
      <c r="J43" s="521"/>
      <c r="K43" s="926" t="s">
        <v>1082</v>
      </c>
      <c r="L43" s="101">
        <f t="shared" si="3"/>
        <v>14992719.185806332</v>
      </c>
      <c r="M43" s="888"/>
      <c r="N43" s="888"/>
      <c r="O43" s="932">
        <f t="shared" ref="O43:AU43" si="20">$G$43*O55</f>
        <v>73055.786057454403</v>
      </c>
      <c r="P43" s="932">
        <f t="shared" si="20"/>
        <v>140245.36225628975</v>
      </c>
      <c r="Q43" s="932">
        <f t="shared" si="20"/>
        <v>241735.1676489134</v>
      </c>
      <c r="R43" s="932">
        <f t="shared" si="20"/>
        <v>290217.60765033716</v>
      </c>
      <c r="S43" s="932">
        <f t="shared" si="20"/>
        <v>338643.91556777438</v>
      </c>
      <c r="T43" s="932">
        <f t="shared" si="20"/>
        <v>406571.07326774817</v>
      </c>
      <c r="U43" s="932">
        <f t="shared" si="20"/>
        <v>446054.54511957045</v>
      </c>
      <c r="V43" s="932">
        <f t="shared" si="20"/>
        <v>505941.71871540014</v>
      </c>
      <c r="W43" s="932">
        <f t="shared" si="20"/>
        <v>449559.48842467717</v>
      </c>
      <c r="X43" s="932">
        <f t="shared" si="20"/>
        <v>558385.84952567879</v>
      </c>
      <c r="Y43" s="932">
        <f t="shared" si="20"/>
        <v>541371.43582184461</v>
      </c>
      <c r="Z43" s="932">
        <f t="shared" si="20"/>
        <v>459992.42744757002</v>
      </c>
      <c r="AA43" s="932">
        <f t="shared" si="20"/>
        <v>427873.46927423286</v>
      </c>
      <c r="AB43" s="932">
        <f t="shared" si="20"/>
        <v>481891.68933555816</v>
      </c>
      <c r="AC43" s="932">
        <f t="shared" si="20"/>
        <v>581010.95737437275</v>
      </c>
      <c r="AD43" s="932">
        <f t="shared" si="20"/>
        <v>448854.28387504356</v>
      </c>
      <c r="AE43" s="932">
        <f t="shared" si="20"/>
        <v>435428.40418237011</v>
      </c>
      <c r="AF43" s="932">
        <f t="shared" si="20"/>
        <v>567932.41280942247</v>
      </c>
      <c r="AG43" s="932">
        <f t="shared" si="20"/>
        <v>538098.62949023943</v>
      </c>
      <c r="AH43" s="932">
        <f t="shared" si="20"/>
        <v>458762.52531330608</v>
      </c>
      <c r="AI43" s="932">
        <f t="shared" si="20"/>
        <v>402691.60413975996</v>
      </c>
      <c r="AJ43" s="932">
        <f t="shared" si="20"/>
        <v>537548.73245826946</v>
      </c>
      <c r="AK43" s="932">
        <f t="shared" si="20"/>
        <v>541380.56270064414</v>
      </c>
      <c r="AL43" s="932">
        <f t="shared" si="20"/>
        <v>427227.89919646102</v>
      </c>
      <c r="AM43" s="932">
        <f t="shared" si="20"/>
        <v>408300.04281498399</v>
      </c>
      <c r="AN43" s="932">
        <f t="shared" si="20"/>
        <v>507820.75096233771</v>
      </c>
      <c r="AO43" s="932">
        <f t="shared" si="20"/>
        <v>554633.50135659403</v>
      </c>
      <c r="AP43" s="932">
        <f t="shared" si="20"/>
        <v>481239.27197244938</v>
      </c>
      <c r="AQ43" s="932">
        <f t="shared" si="20"/>
        <v>457337.28500405443</v>
      </c>
      <c r="AR43" s="932">
        <f t="shared" si="20"/>
        <v>598236.99083987053</v>
      </c>
      <c r="AS43" s="932">
        <f t="shared" si="20"/>
        <v>614505.6075665945</v>
      </c>
      <c r="AT43" s="932">
        <f t="shared" si="20"/>
        <v>545685.11970094847</v>
      </c>
      <c r="AU43" s="932">
        <f t="shared" si="20"/>
        <v>524485.06793556048</v>
      </c>
      <c r="AV43" s="468">
        <f t="shared" si="19"/>
        <v>14992719.185806332</v>
      </c>
    </row>
    <row r="44" spans="2:48" ht="28.8" x14ac:dyDescent="0.3">
      <c r="B44" s="915" t="s">
        <v>1083</v>
      </c>
      <c r="C44" s="885" t="s">
        <v>1084</v>
      </c>
      <c r="D44" s="382">
        <v>1</v>
      </c>
      <c r="E44" s="916">
        <v>24053.286758553746</v>
      </c>
      <c r="F44" s="916">
        <f t="shared" si="16"/>
        <v>26396.07688883688</v>
      </c>
      <c r="G44" s="917">
        <f t="shared" si="17"/>
        <v>26396.07688883688</v>
      </c>
      <c r="H44" s="927"/>
      <c r="I44" s="911" t="s">
        <v>1076</v>
      </c>
      <c r="J44" s="521"/>
      <c r="K44" s="926" t="s">
        <v>1083</v>
      </c>
      <c r="L44" s="101">
        <f t="shared" si="3"/>
        <v>739090.15288743284</v>
      </c>
      <c r="M44" s="148"/>
      <c r="N44" s="148"/>
      <c r="O44" s="148"/>
      <c r="P44" s="148"/>
      <c r="Q44" s="148"/>
      <c r="R44" s="148"/>
      <c r="S44" s="148"/>
      <c r="T44" s="148">
        <f>G44</f>
        <v>26396.07688883688</v>
      </c>
      <c r="U44" s="148">
        <f>T44</f>
        <v>26396.07688883688</v>
      </c>
      <c r="V44" s="148">
        <f t="shared" ref="V44:AU45" si="21">U44</f>
        <v>26396.07688883688</v>
      </c>
      <c r="W44" s="148">
        <f t="shared" si="21"/>
        <v>26396.07688883688</v>
      </c>
      <c r="X44" s="148">
        <f t="shared" si="21"/>
        <v>26396.07688883688</v>
      </c>
      <c r="Y44" s="148">
        <f t="shared" si="21"/>
        <v>26396.07688883688</v>
      </c>
      <c r="Z44" s="148">
        <f t="shared" si="21"/>
        <v>26396.07688883688</v>
      </c>
      <c r="AA44" s="148">
        <f t="shared" si="21"/>
        <v>26396.07688883688</v>
      </c>
      <c r="AB44" s="148">
        <f t="shared" si="21"/>
        <v>26396.07688883688</v>
      </c>
      <c r="AC44" s="148">
        <f t="shared" si="21"/>
        <v>26396.07688883688</v>
      </c>
      <c r="AD44" s="148">
        <f t="shared" si="21"/>
        <v>26396.07688883688</v>
      </c>
      <c r="AE44" s="148">
        <f t="shared" si="21"/>
        <v>26396.07688883688</v>
      </c>
      <c r="AF44" s="148">
        <f t="shared" si="21"/>
        <v>26396.07688883688</v>
      </c>
      <c r="AG44" s="148">
        <f t="shared" si="21"/>
        <v>26396.07688883688</v>
      </c>
      <c r="AH44" s="148">
        <f t="shared" si="21"/>
        <v>26396.07688883688</v>
      </c>
      <c r="AI44" s="148">
        <f t="shared" si="21"/>
        <v>26396.07688883688</v>
      </c>
      <c r="AJ44" s="148">
        <f t="shared" si="21"/>
        <v>26396.07688883688</v>
      </c>
      <c r="AK44" s="148">
        <f t="shared" si="21"/>
        <v>26396.07688883688</v>
      </c>
      <c r="AL44" s="148">
        <f t="shared" si="21"/>
        <v>26396.07688883688</v>
      </c>
      <c r="AM44" s="148">
        <f t="shared" si="21"/>
        <v>26396.07688883688</v>
      </c>
      <c r="AN44" s="148">
        <f t="shared" si="21"/>
        <v>26396.07688883688</v>
      </c>
      <c r="AO44" s="148">
        <f t="shared" si="21"/>
        <v>26396.07688883688</v>
      </c>
      <c r="AP44" s="148">
        <f t="shared" si="21"/>
        <v>26396.07688883688</v>
      </c>
      <c r="AQ44" s="148">
        <f t="shared" si="21"/>
        <v>26396.07688883688</v>
      </c>
      <c r="AR44" s="148">
        <f t="shared" si="21"/>
        <v>26396.07688883688</v>
      </c>
      <c r="AS44" s="148">
        <f t="shared" si="21"/>
        <v>26396.07688883688</v>
      </c>
      <c r="AT44" s="148">
        <f t="shared" si="21"/>
        <v>26396.07688883688</v>
      </c>
      <c r="AU44" s="148">
        <f t="shared" si="21"/>
        <v>26396.07688883688</v>
      </c>
      <c r="AV44" s="468">
        <f t="shared" si="19"/>
        <v>739090.15288743284</v>
      </c>
    </row>
    <row r="45" spans="2:48" ht="31.2" customHeight="1" x14ac:dyDescent="0.3">
      <c r="B45" s="915" t="s">
        <v>1085</v>
      </c>
      <c r="C45" s="885" t="s">
        <v>1084</v>
      </c>
      <c r="D45" s="382">
        <v>1</v>
      </c>
      <c r="E45" s="916">
        <v>24053.286758553746</v>
      </c>
      <c r="F45" s="916">
        <f t="shared" si="16"/>
        <v>26396.07688883688</v>
      </c>
      <c r="G45" s="917">
        <f t="shared" si="17"/>
        <v>26396.07688883688</v>
      </c>
      <c r="H45" s="927"/>
      <c r="I45" s="911" t="s">
        <v>1076</v>
      </c>
      <c r="J45" s="521"/>
      <c r="K45" s="926" t="s">
        <v>1085</v>
      </c>
      <c r="L45" s="101">
        <f t="shared" si="3"/>
        <v>739090.15288743284</v>
      </c>
      <c r="M45" s="148"/>
      <c r="N45" s="148"/>
      <c r="O45" s="148"/>
      <c r="P45" s="148"/>
      <c r="Q45" s="148"/>
      <c r="R45" s="148"/>
      <c r="S45" s="148"/>
      <c r="T45" s="148">
        <f>G45</f>
        <v>26396.07688883688</v>
      </c>
      <c r="U45" s="148">
        <f>T45</f>
        <v>26396.07688883688</v>
      </c>
      <c r="V45" s="148">
        <f t="shared" si="21"/>
        <v>26396.07688883688</v>
      </c>
      <c r="W45" s="148">
        <f t="shared" si="21"/>
        <v>26396.07688883688</v>
      </c>
      <c r="X45" s="148">
        <f t="shared" si="21"/>
        <v>26396.07688883688</v>
      </c>
      <c r="Y45" s="148">
        <f t="shared" si="21"/>
        <v>26396.07688883688</v>
      </c>
      <c r="Z45" s="148">
        <f t="shared" si="21"/>
        <v>26396.07688883688</v>
      </c>
      <c r="AA45" s="148">
        <f t="shared" si="21"/>
        <v>26396.07688883688</v>
      </c>
      <c r="AB45" s="148">
        <f t="shared" si="21"/>
        <v>26396.07688883688</v>
      </c>
      <c r="AC45" s="148">
        <f t="shared" si="21"/>
        <v>26396.07688883688</v>
      </c>
      <c r="AD45" s="148">
        <f t="shared" si="21"/>
        <v>26396.07688883688</v>
      </c>
      <c r="AE45" s="148">
        <f t="shared" si="21"/>
        <v>26396.07688883688</v>
      </c>
      <c r="AF45" s="148">
        <f t="shared" si="21"/>
        <v>26396.07688883688</v>
      </c>
      <c r="AG45" s="148">
        <f t="shared" si="21"/>
        <v>26396.07688883688</v>
      </c>
      <c r="AH45" s="148">
        <f t="shared" si="21"/>
        <v>26396.07688883688</v>
      </c>
      <c r="AI45" s="148">
        <f t="shared" si="21"/>
        <v>26396.07688883688</v>
      </c>
      <c r="AJ45" s="148">
        <f t="shared" si="21"/>
        <v>26396.07688883688</v>
      </c>
      <c r="AK45" s="148">
        <f t="shared" si="21"/>
        <v>26396.07688883688</v>
      </c>
      <c r="AL45" s="148">
        <f t="shared" si="21"/>
        <v>26396.07688883688</v>
      </c>
      <c r="AM45" s="148">
        <f t="shared" si="21"/>
        <v>26396.07688883688</v>
      </c>
      <c r="AN45" s="148">
        <f t="shared" si="21"/>
        <v>26396.07688883688</v>
      </c>
      <c r="AO45" s="148">
        <f t="shared" si="21"/>
        <v>26396.07688883688</v>
      </c>
      <c r="AP45" s="148">
        <f t="shared" si="21"/>
        <v>26396.07688883688</v>
      </c>
      <c r="AQ45" s="148">
        <f t="shared" si="21"/>
        <v>26396.07688883688</v>
      </c>
      <c r="AR45" s="148">
        <f t="shared" si="21"/>
        <v>26396.07688883688</v>
      </c>
      <c r="AS45" s="148">
        <f t="shared" si="21"/>
        <v>26396.07688883688</v>
      </c>
      <c r="AT45" s="148">
        <f t="shared" si="21"/>
        <v>26396.07688883688</v>
      </c>
      <c r="AU45" s="148">
        <f t="shared" si="21"/>
        <v>26396.07688883688</v>
      </c>
      <c r="AV45" s="468">
        <f t="shared" si="19"/>
        <v>739090.15288743284</v>
      </c>
    </row>
    <row r="46" spans="2:48" x14ac:dyDescent="0.3">
      <c r="B46" s="915" t="s">
        <v>1086</v>
      </c>
      <c r="C46" s="885" t="s">
        <v>1078</v>
      </c>
      <c r="D46" s="382">
        <v>1085</v>
      </c>
      <c r="E46" s="916">
        <v>35.800440817374977</v>
      </c>
      <c r="F46" s="916">
        <f t="shared" si="16"/>
        <v>39.287403752987295</v>
      </c>
      <c r="G46" s="917">
        <f t="shared" si="17"/>
        <v>42626.833071991212</v>
      </c>
      <c r="H46" s="927"/>
      <c r="I46" s="911" t="s">
        <v>1087</v>
      </c>
      <c r="J46" s="521"/>
      <c r="K46" s="926" t="s">
        <v>1086</v>
      </c>
      <c r="L46" s="101">
        <f t="shared" si="3"/>
        <v>1406685.4913757092</v>
      </c>
      <c r="M46" s="148"/>
      <c r="N46" s="148"/>
      <c r="O46" s="148">
        <f t="shared" ref="O46:AU46" si="22">$G$46</f>
        <v>42626.833071991212</v>
      </c>
      <c r="P46" s="148">
        <f t="shared" si="22"/>
        <v>42626.833071991212</v>
      </c>
      <c r="Q46" s="148">
        <f t="shared" si="22"/>
        <v>42626.833071991212</v>
      </c>
      <c r="R46" s="148">
        <f t="shared" si="22"/>
        <v>42626.833071991212</v>
      </c>
      <c r="S46" s="148">
        <f t="shared" si="22"/>
        <v>42626.833071991212</v>
      </c>
      <c r="T46" s="148">
        <f t="shared" si="22"/>
        <v>42626.833071991212</v>
      </c>
      <c r="U46" s="148">
        <f t="shared" si="22"/>
        <v>42626.833071991212</v>
      </c>
      <c r="V46" s="148">
        <f t="shared" si="22"/>
        <v>42626.833071991212</v>
      </c>
      <c r="W46" s="148">
        <f t="shared" si="22"/>
        <v>42626.833071991212</v>
      </c>
      <c r="X46" s="148">
        <f t="shared" si="22"/>
        <v>42626.833071991212</v>
      </c>
      <c r="Y46" s="148">
        <f t="shared" si="22"/>
        <v>42626.833071991212</v>
      </c>
      <c r="Z46" s="148">
        <f t="shared" si="22"/>
        <v>42626.833071991212</v>
      </c>
      <c r="AA46" s="148">
        <f t="shared" si="22"/>
        <v>42626.833071991212</v>
      </c>
      <c r="AB46" s="148">
        <f t="shared" si="22"/>
        <v>42626.833071991212</v>
      </c>
      <c r="AC46" s="148">
        <f t="shared" si="22"/>
        <v>42626.833071991212</v>
      </c>
      <c r="AD46" s="148">
        <f t="shared" si="22"/>
        <v>42626.833071991212</v>
      </c>
      <c r="AE46" s="148">
        <f t="shared" si="22"/>
        <v>42626.833071991212</v>
      </c>
      <c r="AF46" s="148">
        <f t="shared" si="22"/>
        <v>42626.833071991212</v>
      </c>
      <c r="AG46" s="148">
        <f t="shared" si="22"/>
        <v>42626.833071991212</v>
      </c>
      <c r="AH46" s="148">
        <f t="shared" si="22"/>
        <v>42626.833071991212</v>
      </c>
      <c r="AI46" s="148">
        <f t="shared" si="22"/>
        <v>42626.833071991212</v>
      </c>
      <c r="AJ46" s="148">
        <f t="shared" si="22"/>
        <v>42626.833071991212</v>
      </c>
      <c r="AK46" s="148">
        <f t="shared" si="22"/>
        <v>42626.833071991212</v>
      </c>
      <c r="AL46" s="148">
        <f t="shared" si="22"/>
        <v>42626.833071991212</v>
      </c>
      <c r="AM46" s="148">
        <f t="shared" si="22"/>
        <v>42626.833071991212</v>
      </c>
      <c r="AN46" s="148">
        <f t="shared" si="22"/>
        <v>42626.833071991212</v>
      </c>
      <c r="AO46" s="148">
        <f t="shared" si="22"/>
        <v>42626.833071991212</v>
      </c>
      <c r="AP46" s="148">
        <f t="shared" si="22"/>
        <v>42626.833071991212</v>
      </c>
      <c r="AQ46" s="148">
        <f t="shared" si="22"/>
        <v>42626.833071991212</v>
      </c>
      <c r="AR46" s="148">
        <f t="shared" si="22"/>
        <v>42626.833071991212</v>
      </c>
      <c r="AS46" s="148">
        <f t="shared" si="22"/>
        <v>42626.833071991212</v>
      </c>
      <c r="AT46" s="148">
        <f t="shared" si="22"/>
        <v>42626.833071991212</v>
      </c>
      <c r="AU46" s="148">
        <f t="shared" si="22"/>
        <v>42626.833071991212</v>
      </c>
      <c r="AV46" s="468">
        <f t="shared" si="19"/>
        <v>1406685.4913757092</v>
      </c>
    </row>
    <row r="47" spans="2:48" ht="28.8" x14ac:dyDescent="0.3">
      <c r="B47" s="915" t="s">
        <v>1088</v>
      </c>
      <c r="C47" s="885" t="s">
        <v>1078</v>
      </c>
      <c r="D47" s="382">
        <v>1085</v>
      </c>
      <c r="E47" s="916">
        <v>35.800440817374977</v>
      </c>
      <c r="F47" s="916">
        <f t="shared" si="16"/>
        <v>39.287403752987295</v>
      </c>
      <c r="G47" s="917">
        <f t="shared" si="17"/>
        <v>42626.833071991212</v>
      </c>
      <c r="H47" s="927"/>
      <c r="I47" s="911" t="s">
        <v>1087</v>
      </c>
      <c r="J47" s="521"/>
      <c r="K47" s="926" t="s">
        <v>1088</v>
      </c>
      <c r="L47" s="101">
        <f t="shared" si="3"/>
        <v>1193551.3260157537</v>
      </c>
      <c r="M47" s="148"/>
      <c r="N47" s="148"/>
      <c r="O47" s="148"/>
      <c r="P47" s="148"/>
      <c r="Q47" s="148"/>
      <c r="R47" s="148"/>
      <c r="S47" s="148"/>
      <c r="T47" s="148">
        <f>$G$47</f>
        <v>42626.833071991212</v>
      </c>
      <c r="U47" s="148">
        <f t="shared" ref="U47:AU47" si="23">T47</f>
        <v>42626.833071991212</v>
      </c>
      <c r="V47" s="148">
        <f t="shared" si="23"/>
        <v>42626.833071991212</v>
      </c>
      <c r="W47" s="148">
        <f t="shared" si="23"/>
        <v>42626.833071991212</v>
      </c>
      <c r="X47" s="148">
        <f t="shared" si="23"/>
        <v>42626.833071991212</v>
      </c>
      <c r="Y47" s="148">
        <f t="shared" si="23"/>
        <v>42626.833071991212</v>
      </c>
      <c r="Z47" s="148">
        <f t="shared" si="23"/>
        <v>42626.833071991212</v>
      </c>
      <c r="AA47" s="148">
        <f t="shared" si="23"/>
        <v>42626.833071991212</v>
      </c>
      <c r="AB47" s="148">
        <f t="shared" si="23"/>
        <v>42626.833071991212</v>
      </c>
      <c r="AC47" s="148">
        <f t="shared" si="23"/>
        <v>42626.833071991212</v>
      </c>
      <c r="AD47" s="148">
        <f t="shared" si="23"/>
        <v>42626.833071991212</v>
      </c>
      <c r="AE47" s="148">
        <f t="shared" si="23"/>
        <v>42626.833071991212</v>
      </c>
      <c r="AF47" s="148">
        <f t="shared" si="23"/>
        <v>42626.833071991212</v>
      </c>
      <c r="AG47" s="148">
        <f t="shared" si="23"/>
        <v>42626.833071991212</v>
      </c>
      <c r="AH47" s="148">
        <f t="shared" si="23"/>
        <v>42626.833071991212</v>
      </c>
      <c r="AI47" s="148">
        <f t="shared" si="23"/>
        <v>42626.833071991212</v>
      </c>
      <c r="AJ47" s="148">
        <f t="shared" si="23"/>
        <v>42626.833071991212</v>
      </c>
      <c r="AK47" s="148">
        <f t="shared" si="23"/>
        <v>42626.833071991212</v>
      </c>
      <c r="AL47" s="148">
        <f t="shared" si="23"/>
        <v>42626.833071991212</v>
      </c>
      <c r="AM47" s="148">
        <f t="shared" si="23"/>
        <v>42626.833071991212</v>
      </c>
      <c r="AN47" s="148">
        <f t="shared" si="23"/>
        <v>42626.833071991212</v>
      </c>
      <c r="AO47" s="148">
        <f t="shared" si="23"/>
        <v>42626.833071991212</v>
      </c>
      <c r="AP47" s="148">
        <f t="shared" si="23"/>
        <v>42626.833071991212</v>
      </c>
      <c r="AQ47" s="148">
        <f t="shared" si="23"/>
        <v>42626.833071991212</v>
      </c>
      <c r="AR47" s="148">
        <f t="shared" si="23"/>
        <v>42626.833071991212</v>
      </c>
      <c r="AS47" s="148">
        <f t="shared" si="23"/>
        <v>42626.833071991212</v>
      </c>
      <c r="AT47" s="148">
        <f t="shared" si="23"/>
        <v>42626.833071991212</v>
      </c>
      <c r="AU47" s="148">
        <f t="shared" si="23"/>
        <v>42626.833071991212</v>
      </c>
      <c r="AV47" s="468">
        <f t="shared" si="19"/>
        <v>1193551.3260157537</v>
      </c>
    </row>
    <row r="48" spans="2:48" ht="28.8" x14ac:dyDescent="0.3">
      <c r="B48" s="915" t="s">
        <v>1089</v>
      </c>
      <c r="C48" s="885" t="s">
        <v>1050</v>
      </c>
      <c r="D48" s="382">
        <v>1</v>
      </c>
      <c r="E48" s="916">
        <v>829431.77</v>
      </c>
      <c r="F48" s="916">
        <f t="shared" si="16"/>
        <v>910218.424398</v>
      </c>
      <c r="G48" s="917">
        <f t="shared" si="17"/>
        <v>910218.424398</v>
      </c>
      <c r="H48" s="927"/>
      <c r="I48" s="911" t="s">
        <v>1076</v>
      </c>
      <c r="J48" s="521"/>
      <c r="K48" s="926" t="s">
        <v>1089</v>
      </c>
      <c r="L48" s="101">
        <f t="shared" si="3"/>
        <v>829431.77000000048</v>
      </c>
      <c r="M48" s="148"/>
      <c r="N48" s="148"/>
      <c r="O48" s="148"/>
      <c r="P48" s="148"/>
      <c r="Q48" s="148"/>
      <c r="R48" s="148"/>
      <c r="S48" s="148"/>
      <c r="T48" s="148">
        <v>7627.91</v>
      </c>
      <c r="U48" s="148">
        <v>30437.18</v>
      </c>
      <c r="V48" s="148">
        <v>30437.18</v>
      </c>
      <c r="W48" s="148">
        <v>30437.18</v>
      </c>
      <c r="X48" s="148">
        <v>30437.18</v>
      </c>
      <c r="Y48" s="148">
        <v>30437.18</v>
      </c>
      <c r="Z48" s="148">
        <v>30437.18</v>
      </c>
      <c r="AA48" s="148">
        <v>30437.18</v>
      </c>
      <c r="AB48" s="148">
        <v>30437.18</v>
      </c>
      <c r="AC48" s="148">
        <v>30437.18</v>
      </c>
      <c r="AD48" s="148">
        <v>30437.18</v>
      </c>
      <c r="AE48" s="148">
        <v>30437.18</v>
      </c>
      <c r="AF48" s="148">
        <v>30437.18</v>
      </c>
      <c r="AG48" s="148">
        <v>30437.18</v>
      </c>
      <c r="AH48" s="148">
        <v>30437.18</v>
      </c>
      <c r="AI48" s="148">
        <v>30437.18</v>
      </c>
      <c r="AJ48" s="148">
        <v>30437.18</v>
      </c>
      <c r="AK48" s="148">
        <v>30437.18</v>
      </c>
      <c r="AL48" s="148">
        <v>30437.18</v>
      </c>
      <c r="AM48" s="148">
        <v>30437.18</v>
      </c>
      <c r="AN48" s="148">
        <v>30437.18</v>
      </c>
      <c r="AO48" s="148">
        <v>30437.18</v>
      </c>
      <c r="AP48" s="148">
        <v>30437.18</v>
      </c>
      <c r="AQ48" s="148">
        <v>30437.18</v>
      </c>
      <c r="AR48" s="148">
        <v>30437.18</v>
      </c>
      <c r="AS48" s="148">
        <v>30437.18</v>
      </c>
      <c r="AT48" s="148">
        <v>30437.18</v>
      </c>
      <c r="AU48" s="148">
        <v>30437.18</v>
      </c>
      <c r="AV48" s="468">
        <f t="shared" si="19"/>
        <v>829431.77000000048</v>
      </c>
    </row>
    <row r="49" spans="2:48" x14ac:dyDescent="0.3">
      <c r="B49" s="914"/>
      <c r="C49" s="282"/>
      <c r="D49" s="922"/>
      <c r="E49" s="923"/>
      <c r="F49" s="923"/>
      <c r="G49" s="920"/>
      <c r="H49" s="927"/>
      <c r="I49" s="912"/>
      <c r="J49" s="908"/>
      <c r="K49" s="925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512"/>
    </row>
    <row r="50" spans="2:48" x14ac:dyDescent="0.3">
      <c r="B50" s="914" t="s">
        <v>1090</v>
      </c>
      <c r="C50" s="282"/>
      <c r="D50" s="922"/>
      <c r="E50" s="923"/>
      <c r="F50" s="923"/>
      <c r="G50" s="921">
        <f>SUM(G51:G53)</f>
        <v>132693.6046848</v>
      </c>
      <c r="H50" s="927"/>
      <c r="I50" s="912"/>
      <c r="J50" s="908"/>
      <c r="K50" s="925" t="s">
        <v>1090</v>
      </c>
      <c r="L50" s="508">
        <f t="shared" si="3"/>
        <v>3096531.391869328</v>
      </c>
      <c r="M50" s="889">
        <f t="shared" ref="M50:AU50" si="24">SUM(M51:M55)</f>
        <v>114710.87581422058</v>
      </c>
      <c r="N50" s="889">
        <f t="shared" si="24"/>
        <v>91620.15248543011</v>
      </c>
      <c r="O50" s="889">
        <f t="shared" si="24"/>
        <v>99823.944734633551</v>
      </c>
      <c r="P50" s="889">
        <f t="shared" si="24"/>
        <v>88053.635165022351</v>
      </c>
      <c r="Q50" s="889">
        <f t="shared" si="24"/>
        <v>87171.682502047028</v>
      </c>
      <c r="R50" s="889">
        <f t="shared" si="24"/>
        <v>87171.686668492883</v>
      </c>
      <c r="S50" s="889">
        <f t="shared" si="24"/>
        <v>87171.690830114909</v>
      </c>
      <c r="T50" s="889">
        <f t="shared" si="24"/>
        <v>87171.696667585653</v>
      </c>
      <c r="U50" s="889">
        <f t="shared" si="24"/>
        <v>87171.700060685253</v>
      </c>
      <c r="V50" s="889">
        <f t="shared" si="24"/>
        <v>87171.705207222156</v>
      </c>
      <c r="W50" s="889">
        <f t="shared" si="24"/>
        <v>87171.700361890325</v>
      </c>
      <c r="X50" s="889">
        <f t="shared" si="24"/>
        <v>87171.709714124692</v>
      </c>
      <c r="Y50" s="889">
        <f t="shared" si="24"/>
        <v>87171.708251953372</v>
      </c>
      <c r="Z50" s="889">
        <f t="shared" si="24"/>
        <v>87171.701258468049</v>
      </c>
      <c r="AA50" s="889">
        <f t="shared" si="24"/>
        <v>87171.698498254234</v>
      </c>
      <c r="AB50" s="889">
        <f t="shared" si="24"/>
        <v>87171.703140429614</v>
      </c>
      <c r="AC50" s="889">
        <f t="shared" si="24"/>
        <v>87171.71165846345</v>
      </c>
      <c r="AD50" s="889">
        <f t="shared" si="24"/>
        <v>87171.700301287012</v>
      </c>
      <c r="AE50" s="889">
        <f t="shared" si="24"/>
        <v>87171.699147504303</v>
      </c>
      <c r="AF50" s="889">
        <f t="shared" si="24"/>
        <v>87171.71053452976</v>
      </c>
      <c r="AG50" s="889">
        <f t="shared" si="24"/>
        <v>87171.707970697506</v>
      </c>
      <c r="AH50" s="889">
        <f t="shared" si="24"/>
        <v>87171.701152773676</v>
      </c>
      <c r="AI50" s="889">
        <f t="shared" si="24"/>
        <v>87171.696334194887</v>
      </c>
      <c r="AJ50" s="889">
        <f t="shared" si="24"/>
        <v>87171.707923440888</v>
      </c>
      <c r="AK50" s="889">
        <f t="shared" si="24"/>
        <v>87171.708252737706</v>
      </c>
      <c r="AL50" s="889">
        <f t="shared" si="24"/>
        <v>87171.698442775742</v>
      </c>
      <c r="AM50" s="889">
        <f t="shared" si="24"/>
        <v>87171.696816168478</v>
      </c>
      <c r="AN50" s="889">
        <f t="shared" si="24"/>
        <v>87171.705368700961</v>
      </c>
      <c r="AO50" s="889">
        <f t="shared" si="24"/>
        <v>87171.70939165834</v>
      </c>
      <c r="AP50" s="889">
        <f t="shared" si="24"/>
        <v>87171.703084362685</v>
      </c>
      <c r="AQ50" s="889">
        <f t="shared" si="24"/>
        <v>87171.701030292505</v>
      </c>
      <c r="AR50" s="889">
        <f t="shared" si="24"/>
        <v>87171.713138820793</v>
      </c>
      <c r="AS50" s="889">
        <f t="shared" si="24"/>
        <v>87171.714536900399</v>
      </c>
      <c r="AT50" s="889">
        <f t="shared" si="24"/>
        <v>87171.708622659353</v>
      </c>
      <c r="AU50" s="889">
        <f t="shared" si="24"/>
        <v>87171.706800785949</v>
      </c>
      <c r="AV50" s="884">
        <f>+SUM(M50:AU50)</f>
        <v>3096531.391869328</v>
      </c>
    </row>
    <row r="51" spans="2:48" ht="43.2" x14ac:dyDescent="0.3">
      <c r="B51" s="915" t="s">
        <v>1091</v>
      </c>
      <c r="C51" s="885" t="s">
        <v>1078</v>
      </c>
      <c r="D51" s="382">
        <f>72</f>
        <v>72</v>
      </c>
      <c r="E51" s="916">
        <v>1030.8800000000001</v>
      </c>
      <c r="F51" s="916">
        <f>E51*$F$1</f>
        <v>1131.2877120000001</v>
      </c>
      <c r="G51" s="917">
        <f>D51*F51</f>
        <v>81452.715263999999</v>
      </c>
      <c r="H51" s="927"/>
      <c r="I51" s="911" t="s">
        <v>1092</v>
      </c>
      <c r="J51" s="521"/>
      <c r="K51" s="926" t="s">
        <v>1091</v>
      </c>
      <c r="L51" s="101">
        <f t="shared" si="3"/>
        <v>2850845.0342399999</v>
      </c>
      <c r="M51" s="284">
        <f>$G$51</f>
        <v>81452.715263999999</v>
      </c>
      <c r="N51" s="284">
        <f t="shared" ref="N51:AU51" si="25">$G$51</f>
        <v>81452.715263999999</v>
      </c>
      <c r="O51" s="284">
        <f t="shared" si="25"/>
        <v>81452.715263999999</v>
      </c>
      <c r="P51" s="284">
        <f t="shared" si="25"/>
        <v>81452.715263999999</v>
      </c>
      <c r="Q51" s="284">
        <f t="shared" si="25"/>
        <v>81452.715263999999</v>
      </c>
      <c r="R51" s="284">
        <f t="shared" si="25"/>
        <v>81452.715263999999</v>
      </c>
      <c r="S51" s="284">
        <f t="shared" si="25"/>
        <v>81452.715263999999</v>
      </c>
      <c r="T51" s="284">
        <f t="shared" si="25"/>
        <v>81452.715263999999</v>
      </c>
      <c r="U51" s="284">
        <f t="shared" si="25"/>
        <v>81452.715263999999</v>
      </c>
      <c r="V51" s="284">
        <f t="shared" si="25"/>
        <v>81452.715263999999</v>
      </c>
      <c r="W51" s="284">
        <f t="shared" si="25"/>
        <v>81452.715263999999</v>
      </c>
      <c r="X51" s="284">
        <f t="shared" si="25"/>
        <v>81452.715263999999</v>
      </c>
      <c r="Y51" s="284">
        <f t="shared" si="25"/>
        <v>81452.715263999999</v>
      </c>
      <c r="Z51" s="284">
        <f t="shared" si="25"/>
        <v>81452.715263999999</v>
      </c>
      <c r="AA51" s="284">
        <f t="shared" si="25"/>
        <v>81452.715263999999</v>
      </c>
      <c r="AB51" s="284">
        <f t="shared" si="25"/>
        <v>81452.715263999999</v>
      </c>
      <c r="AC51" s="284">
        <f t="shared" si="25"/>
        <v>81452.715263999999</v>
      </c>
      <c r="AD51" s="284">
        <f t="shared" si="25"/>
        <v>81452.715263999999</v>
      </c>
      <c r="AE51" s="284">
        <f t="shared" si="25"/>
        <v>81452.715263999999</v>
      </c>
      <c r="AF51" s="284">
        <f t="shared" si="25"/>
        <v>81452.715263999999</v>
      </c>
      <c r="AG51" s="284">
        <f t="shared" si="25"/>
        <v>81452.715263999999</v>
      </c>
      <c r="AH51" s="284">
        <f t="shared" si="25"/>
        <v>81452.715263999999</v>
      </c>
      <c r="AI51" s="284">
        <f t="shared" si="25"/>
        <v>81452.715263999999</v>
      </c>
      <c r="AJ51" s="284">
        <f t="shared" si="25"/>
        <v>81452.715263999999</v>
      </c>
      <c r="AK51" s="284">
        <f t="shared" si="25"/>
        <v>81452.715263999999</v>
      </c>
      <c r="AL51" s="284">
        <f t="shared" si="25"/>
        <v>81452.715263999999</v>
      </c>
      <c r="AM51" s="284">
        <f t="shared" si="25"/>
        <v>81452.715263999999</v>
      </c>
      <c r="AN51" s="284">
        <f t="shared" si="25"/>
        <v>81452.715263999999</v>
      </c>
      <c r="AO51" s="284">
        <f t="shared" si="25"/>
        <v>81452.715263999999</v>
      </c>
      <c r="AP51" s="284">
        <f t="shared" si="25"/>
        <v>81452.715263999999</v>
      </c>
      <c r="AQ51" s="284">
        <f t="shared" si="25"/>
        <v>81452.715263999999</v>
      </c>
      <c r="AR51" s="284">
        <f t="shared" si="25"/>
        <v>81452.715263999999</v>
      </c>
      <c r="AS51" s="284">
        <f t="shared" si="25"/>
        <v>81452.715263999999</v>
      </c>
      <c r="AT51" s="284">
        <f t="shared" si="25"/>
        <v>81452.715263999999</v>
      </c>
      <c r="AU51" s="284">
        <f t="shared" si="25"/>
        <v>81452.715263999999</v>
      </c>
      <c r="AV51" s="468">
        <f t="shared" ref="AV51:AV53" si="26">+SUM(M51:AU51)</f>
        <v>2850845.0342399999</v>
      </c>
    </row>
    <row r="52" spans="2:48" ht="28.8" x14ac:dyDescent="0.3">
      <c r="B52" s="915" t="s">
        <v>1093</v>
      </c>
      <c r="C52" s="885" t="s">
        <v>1078</v>
      </c>
      <c r="D52" s="382">
        <f>72</f>
        <v>72</v>
      </c>
      <c r="E52" s="916">
        <v>72.38</v>
      </c>
      <c r="F52" s="916">
        <f>E52*$F$1</f>
        <v>79.429811999999984</v>
      </c>
      <c r="G52" s="917">
        <f>D52*F52</f>
        <v>5718.9464639999987</v>
      </c>
      <c r="H52" s="927"/>
      <c r="I52" s="911" t="s">
        <v>1092</v>
      </c>
      <c r="J52" s="521"/>
      <c r="K52" s="926" t="s">
        <v>1093</v>
      </c>
      <c r="L52" s="101">
        <f t="shared" si="3"/>
        <v>200163.12624000001</v>
      </c>
      <c r="M52" s="284">
        <f>$G$52</f>
        <v>5718.9464639999987</v>
      </c>
      <c r="N52" s="284">
        <f t="shared" ref="N52:AU52" si="27">$G$52</f>
        <v>5718.9464639999987</v>
      </c>
      <c r="O52" s="284">
        <f t="shared" si="27"/>
        <v>5718.9464639999987</v>
      </c>
      <c r="P52" s="284">
        <f t="shared" si="27"/>
        <v>5718.9464639999987</v>
      </c>
      <c r="Q52" s="284">
        <f t="shared" si="27"/>
        <v>5718.9464639999987</v>
      </c>
      <c r="R52" s="284">
        <f t="shared" si="27"/>
        <v>5718.9464639999987</v>
      </c>
      <c r="S52" s="284">
        <f t="shared" si="27"/>
        <v>5718.9464639999987</v>
      </c>
      <c r="T52" s="284">
        <f t="shared" si="27"/>
        <v>5718.9464639999987</v>
      </c>
      <c r="U52" s="284">
        <f t="shared" si="27"/>
        <v>5718.9464639999987</v>
      </c>
      <c r="V52" s="284">
        <f t="shared" si="27"/>
        <v>5718.9464639999987</v>
      </c>
      <c r="W52" s="284">
        <f t="shared" si="27"/>
        <v>5718.9464639999987</v>
      </c>
      <c r="X52" s="284">
        <f t="shared" si="27"/>
        <v>5718.9464639999987</v>
      </c>
      <c r="Y52" s="284">
        <f t="shared" si="27"/>
        <v>5718.9464639999987</v>
      </c>
      <c r="Z52" s="284">
        <f t="shared" si="27"/>
        <v>5718.9464639999987</v>
      </c>
      <c r="AA52" s="284">
        <f t="shared" si="27"/>
        <v>5718.9464639999987</v>
      </c>
      <c r="AB52" s="284">
        <f t="shared" si="27"/>
        <v>5718.9464639999987</v>
      </c>
      <c r="AC52" s="284">
        <f t="shared" si="27"/>
        <v>5718.9464639999987</v>
      </c>
      <c r="AD52" s="284">
        <f t="shared" si="27"/>
        <v>5718.9464639999987</v>
      </c>
      <c r="AE52" s="284">
        <f t="shared" si="27"/>
        <v>5718.9464639999987</v>
      </c>
      <c r="AF52" s="284">
        <f t="shared" si="27"/>
        <v>5718.9464639999987</v>
      </c>
      <c r="AG52" s="284">
        <f t="shared" si="27"/>
        <v>5718.9464639999987</v>
      </c>
      <c r="AH52" s="284">
        <f t="shared" si="27"/>
        <v>5718.9464639999987</v>
      </c>
      <c r="AI52" s="284">
        <f t="shared" si="27"/>
        <v>5718.9464639999987</v>
      </c>
      <c r="AJ52" s="284">
        <f t="shared" si="27"/>
        <v>5718.9464639999987</v>
      </c>
      <c r="AK52" s="284">
        <f t="shared" si="27"/>
        <v>5718.9464639999987</v>
      </c>
      <c r="AL52" s="284">
        <f t="shared" si="27"/>
        <v>5718.9464639999987</v>
      </c>
      <c r="AM52" s="284">
        <f t="shared" si="27"/>
        <v>5718.9464639999987</v>
      </c>
      <c r="AN52" s="284">
        <f t="shared" si="27"/>
        <v>5718.9464639999987</v>
      </c>
      <c r="AO52" s="284">
        <f t="shared" si="27"/>
        <v>5718.9464639999987</v>
      </c>
      <c r="AP52" s="284">
        <f t="shared" si="27"/>
        <v>5718.9464639999987</v>
      </c>
      <c r="AQ52" s="284">
        <f t="shared" si="27"/>
        <v>5718.9464639999987</v>
      </c>
      <c r="AR52" s="284">
        <f t="shared" si="27"/>
        <v>5718.9464639999987</v>
      </c>
      <c r="AS52" s="284">
        <f t="shared" si="27"/>
        <v>5718.9464639999987</v>
      </c>
      <c r="AT52" s="284">
        <f t="shared" si="27"/>
        <v>5718.9464639999987</v>
      </c>
      <c r="AU52" s="284">
        <f t="shared" si="27"/>
        <v>5718.9464639999987</v>
      </c>
      <c r="AV52" s="468">
        <f t="shared" si="26"/>
        <v>200163.12624000001</v>
      </c>
    </row>
    <row r="53" spans="2:48" ht="28.8" x14ac:dyDescent="0.3">
      <c r="B53" s="915" t="s">
        <v>1331</v>
      </c>
      <c r="C53" s="885" t="s">
        <v>126</v>
      </c>
      <c r="D53" s="382">
        <v>51852.04</v>
      </c>
      <c r="E53" s="916">
        <v>0.8</v>
      </c>
      <c r="F53" s="916">
        <f>E53*$F$1</f>
        <v>0.87792000000000003</v>
      </c>
      <c r="G53" s="917">
        <f>D53*F53</f>
        <v>45521.942956800005</v>
      </c>
      <c r="H53" s="927"/>
      <c r="I53" s="911" t="s">
        <v>1094</v>
      </c>
      <c r="J53" s="521"/>
      <c r="K53" s="926" t="s">
        <v>1330</v>
      </c>
      <c r="L53" s="101">
        <f t="shared" si="3"/>
        <v>45521.942956800005</v>
      </c>
      <c r="M53" s="888">
        <f>G53*0.6049657</f>
        <v>27539.214086220589</v>
      </c>
      <c r="N53" s="284">
        <f>G53*0.0977219</f>
        <v>4448.4907574301142</v>
      </c>
      <c r="O53" s="284">
        <f>G53*0.277937976866007</f>
        <v>12652.27672842277</v>
      </c>
      <c r="P53" s="284">
        <f>G53-M53-N53-O53</f>
        <v>881.96138472653183</v>
      </c>
      <c r="Q53" s="888"/>
      <c r="R53" s="888"/>
      <c r="S53" s="888"/>
      <c r="T53" s="888"/>
      <c r="U53" s="888"/>
      <c r="V53" s="888"/>
      <c r="W53" s="888"/>
      <c r="X53" s="888"/>
      <c r="Y53" s="888"/>
      <c r="Z53" s="888"/>
      <c r="AA53" s="888"/>
      <c r="AB53" s="888"/>
      <c r="AC53" s="888"/>
      <c r="AD53" s="888"/>
      <c r="AE53" s="888"/>
      <c r="AF53" s="888"/>
      <c r="AG53" s="888"/>
      <c r="AH53" s="888"/>
      <c r="AI53" s="888"/>
      <c r="AJ53" s="888"/>
      <c r="AK53" s="888"/>
      <c r="AL53" s="888"/>
      <c r="AM53" s="888"/>
      <c r="AN53" s="888"/>
      <c r="AO53" s="888"/>
      <c r="AP53" s="888"/>
      <c r="AQ53" s="888"/>
      <c r="AR53" s="888"/>
      <c r="AS53" s="888"/>
      <c r="AT53" s="888"/>
      <c r="AU53" s="888"/>
      <c r="AV53" s="468">
        <f t="shared" si="26"/>
        <v>45521.942956800005</v>
      </c>
    </row>
    <row r="55" spans="2:48" x14ac:dyDescent="0.3">
      <c r="K55" s="572" t="s">
        <v>1332</v>
      </c>
      <c r="L55" s="572" t="s">
        <v>15</v>
      </c>
      <c r="M55" s="572">
        <v>0</v>
      </c>
      <c r="N55" s="572">
        <v>0</v>
      </c>
      <c r="O55" s="572">
        <v>6.278210780483684E-3</v>
      </c>
      <c r="P55" s="572">
        <v>1.2052295824150332E-2</v>
      </c>
      <c r="Q55" s="572">
        <v>2.0774047032522218E-2</v>
      </c>
      <c r="R55" s="572">
        <v>2.4940492894068508E-2</v>
      </c>
      <c r="S55" s="572">
        <v>2.9102114920654783E-2</v>
      </c>
      <c r="T55" s="572">
        <v>3.4939585664234246E-2</v>
      </c>
      <c r="U55" s="572">
        <v>3.8332685266722767E-2</v>
      </c>
      <c r="V55" s="572">
        <v>4.3479222169170773E-2</v>
      </c>
      <c r="W55" s="572">
        <v>3.863389033247621E-2</v>
      </c>
      <c r="X55" s="572">
        <v>4.7986124704819985E-2</v>
      </c>
      <c r="Y55" s="572">
        <v>4.6523953379265945E-2</v>
      </c>
      <c r="Z55" s="572">
        <v>3.9530468054521969E-2</v>
      </c>
      <c r="AA55" s="572">
        <v>3.6770254246088457E-2</v>
      </c>
      <c r="AB55" s="572">
        <v>4.141242962785547E-2</v>
      </c>
      <c r="AC55" s="572">
        <v>4.9930463458407084E-2</v>
      </c>
      <c r="AD55" s="572">
        <v>3.8573287017600176E-2</v>
      </c>
      <c r="AE55" s="572">
        <v>3.7419504310262947E-2</v>
      </c>
      <c r="AF55" s="572">
        <v>4.8806529764556579E-2</v>
      </c>
      <c r="AG55" s="572">
        <v>4.6242697518472667E-2</v>
      </c>
      <c r="AH55" s="572">
        <v>3.9424773690598443E-2</v>
      </c>
      <c r="AI55" s="572">
        <v>3.460619489238307E-2</v>
      </c>
      <c r="AJ55" s="572">
        <v>4.6195440899105725E-2</v>
      </c>
      <c r="AK55" s="572">
        <v>4.6524737717810002E-2</v>
      </c>
      <c r="AL55" s="572">
        <v>3.6714775751631672E-2</v>
      </c>
      <c r="AM55" s="572">
        <v>3.5088168491637504E-2</v>
      </c>
      <c r="AN55" s="572">
        <v>4.364070096703522E-2</v>
      </c>
      <c r="AO55" s="572">
        <v>4.7663658354122604E-2</v>
      </c>
      <c r="AP55" s="572">
        <v>4.1356362696767728E-2</v>
      </c>
      <c r="AQ55" s="572">
        <v>3.9302292507967865E-2</v>
      </c>
      <c r="AR55" s="572">
        <v>5.1410820796880009E-2</v>
      </c>
      <c r="AS55" s="572">
        <v>5.2808900407397781E-2</v>
      </c>
      <c r="AT55" s="572">
        <v>4.6894659357463064E-2</v>
      </c>
      <c r="AU55" s="572">
        <v>4.5072785954641884E-2</v>
      </c>
      <c r="AV55" s="933"/>
    </row>
    <row r="57" spans="2:48" x14ac:dyDescent="0.3">
      <c r="M57" s="934"/>
      <c r="N57" s="934"/>
      <c r="O57" s="934"/>
      <c r="P57" s="934"/>
      <c r="Q57" s="934"/>
      <c r="R57" s="934"/>
      <c r="S57" s="934"/>
      <c r="T57" s="934"/>
      <c r="U57" s="934"/>
      <c r="V57" s="934"/>
      <c r="W57" s="934"/>
      <c r="X57" s="934"/>
      <c r="Y57" s="934"/>
      <c r="Z57" s="934"/>
      <c r="AA57" s="934"/>
      <c r="AB57" s="934"/>
      <c r="AC57" s="934"/>
      <c r="AD57" s="934"/>
      <c r="AE57" s="934"/>
      <c r="AF57" s="934"/>
      <c r="AG57" s="934"/>
      <c r="AH57" s="934"/>
      <c r="AI57" s="934"/>
      <c r="AJ57" s="934"/>
      <c r="AK57" s="934"/>
      <c r="AL57" s="934"/>
      <c r="AM57" s="934"/>
      <c r="AN57" s="934"/>
      <c r="AO57" s="934"/>
      <c r="AP57" s="934"/>
      <c r="AQ57" s="934"/>
      <c r="AR57" s="934"/>
      <c r="AS57" s="934"/>
      <c r="AT57" s="934"/>
      <c r="AU57" s="934"/>
      <c r="AV57" s="934"/>
    </row>
  </sheetData>
  <mergeCells count="5">
    <mergeCell ref="B3:B4"/>
    <mergeCell ref="C3:H3"/>
    <mergeCell ref="I3:I4"/>
    <mergeCell ref="L3:L4"/>
    <mergeCell ref="K3:K4"/>
  </mergeCells>
  <pageMargins left="0.511811024" right="0.511811024" top="0.78740157499999996" bottom="0.78740157499999996" header="0.31496062000000002" footer="0.3149606200000000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M21"/>
  <sheetViews>
    <sheetView showGridLines="0" workbookViewId="0">
      <selection activeCell="G3" sqref="G3"/>
    </sheetView>
  </sheetViews>
  <sheetFormatPr defaultRowHeight="14.4" x14ac:dyDescent="0.3"/>
  <cols>
    <col min="1" max="1" width="14.88671875" bestFit="1" customWidth="1"/>
    <col min="2" max="2" width="6.5546875" customWidth="1"/>
    <col min="3" max="3" width="33" customWidth="1"/>
    <col min="4" max="4" width="14.109375" customWidth="1"/>
    <col min="5" max="34" width="15.6640625" customWidth="1"/>
    <col min="35" max="39" width="12.109375" bestFit="1" customWidth="1"/>
  </cols>
  <sheetData>
    <row r="1" spans="1:39" x14ac:dyDescent="0.3">
      <c r="A1" s="318" t="s">
        <v>522</v>
      </c>
      <c r="B1" s="1149" t="s">
        <v>370</v>
      </c>
      <c r="C1" s="1149"/>
      <c r="D1" s="129" t="s">
        <v>230</v>
      </c>
      <c r="E1" s="18"/>
      <c r="F1" s="18"/>
      <c r="G1" s="18"/>
      <c r="H1" s="84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</row>
    <row r="2" spans="1:39" x14ac:dyDescent="0.3">
      <c r="A2" s="147" t="s">
        <v>528</v>
      </c>
      <c r="B2" s="130">
        <v>1</v>
      </c>
      <c r="C2" s="130" t="s">
        <v>338</v>
      </c>
      <c r="D2" s="366">
        <f>0.0403783712976836*G2</f>
        <v>4.4405710050914565E-2</v>
      </c>
      <c r="E2" s="18"/>
      <c r="F2" s="833" t="s">
        <v>932</v>
      </c>
      <c r="G2" s="834">
        <v>1.0997399999999999</v>
      </c>
      <c r="H2" s="84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</row>
    <row r="3" spans="1:39" x14ac:dyDescent="0.3">
      <c r="A3" s="222" t="s">
        <v>524</v>
      </c>
      <c r="B3" s="268">
        <v>2</v>
      </c>
      <c r="C3" s="268" t="s">
        <v>339</v>
      </c>
      <c r="D3" s="269">
        <f>D2*0.5</f>
        <v>2.2202855025457283E-2</v>
      </c>
      <c r="E3" s="18"/>
      <c r="F3" s="18"/>
      <c r="G3" s="18"/>
      <c r="H3" s="84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</row>
    <row r="4" spans="1:39" x14ac:dyDescent="0.3">
      <c r="B4" s="1120" t="s">
        <v>215</v>
      </c>
      <c r="C4" s="1120"/>
      <c r="D4" s="1120" t="s">
        <v>216</v>
      </c>
      <c r="E4" s="138">
        <f>'FCD PROJETO'!F23</f>
        <v>1</v>
      </c>
      <c r="F4" s="138">
        <f>'FCD PROJETO'!G23</f>
        <v>2</v>
      </c>
      <c r="G4" s="138">
        <f>'FCD PROJETO'!H23</f>
        <v>3</v>
      </c>
      <c r="H4" s="138">
        <f>'FCD PROJETO'!I23</f>
        <v>4</v>
      </c>
      <c r="I4" s="138">
        <f>'FCD PROJETO'!J23</f>
        <v>5</v>
      </c>
      <c r="J4" s="138">
        <f>'FCD PROJETO'!K23</f>
        <v>6</v>
      </c>
      <c r="K4" s="138">
        <f>'FCD PROJETO'!L23</f>
        <v>7</v>
      </c>
      <c r="L4" s="138">
        <f>'FCD PROJETO'!M23</f>
        <v>8</v>
      </c>
      <c r="M4" s="138">
        <f>'FCD PROJETO'!N23</f>
        <v>9</v>
      </c>
      <c r="N4" s="138">
        <f>'FCD PROJETO'!O23</f>
        <v>10</v>
      </c>
      <c r="O4" s="138">
        <f>'FCD PROJETO'!P23</f>
        <v>11</v>
      </c>
      <c r="P4" s="138">
        <f>'FCD PROJETO'!Q23</f>
        <v>12</v>
      </c>
      <c r="Q4" s="138">
        <f>'FCD PROJETO'!R23</f>
        <v>13</v>
      </c>
      <c r="R4" s="138">
        <f>'FCD PROJETO'!S23</f>
        <v>14</v>
      </c>
      <c r="S4" s="138">
        <f>'FCD PROJETO'!T23</f>
        <v>15</v>
      </c>
      <c r="T4" s="138">
        <f>'FCD PROJETO'!U23</f>
        <v>16</v>
      </c>
      <c r="U4" s="138">
        <f>'FCD PROJETO'!V23</f>
        <v>17</v>
      </c>
      <c r="V4" s="138">
        <f>'FCD PROJETO'!W23</f>
        <v>18</v>
      </c>
      <c r="W4" s="138">
        <f>'FCD PROJETO'!X23</f>
        <v>19</v>
      </c>
      <c r="X4" s="138">
        <f>'FCD PROJETO'!Y23</f>
        <v>20</v>
      </c>
      <c r="Y4" s="138">
        <f>'FCD PROJETO'!Z23</f>
        <v>21</v>
      </c>
      <c r="Z4" s="138">
        <f>'FCD PROJETO'!AA23</f>
        <v>22</v>
      </c>
      <c r="AA4" s="138">
        <f>'FCD PROJETO'!AB23</f>
        <v>23</v>
      </c>
      <c r="AB4" s="138">
        <f>'FCD PROJETO'!AC23</f>
        <v>24</v>
      </c>
      <c r="AC4" s="138">
        <f>'FCD PROJETO'!AD23</f>
        <v>25</v>
      </c>
      <c r="AD4" s="138">
        <f>'FCD PROJETO'!AE23</f>
        <v>26</v>
      </c>
      <c r="AE4" s="138">
        <f>'FCD PROJETO'!AF23</f>
        <v>27</v>
      </c>
      <c r="AF4" s="138">
        <f>'FCD PROJETO'!AG23</f>
        <v>28</v>
      </c>
      <c r="AG4" s="138">
        <f>'FCD PROJETO'!AH23</f>
        <v>29</v>
      </c>
      <c r="AH4" s="138">
        <f>'FCD PROJETO'!AI23</f>
        <v>30</v>
      </c>
      <c r="AI4" s="138">
        <f>'FCD PROJETO'!AJ23</f>
        <v>31</v>
      </c>
      <c r="AJ4" s="138">
        <f>'FCD PROJETO'!AK23</f>
        <v>32</v>
      </c>
      <c r="AK4" s="138">
        <f>'FCD PROJETO'!AL23</f>
        <v>33</v>
      </c>
      <c r="AL4" s="138">
        <f>'FCD PROJETO'!AM23</f>
        <v>34</v>
      </c>
      <c r="AM4" s="138">
        <f>'FCD PROJETO'!AN23</f>
        <v>35</v>
      </c>
    </row>
    <row r="5" spans="1:39" x14ac:dyDescent="0.3">
      <c r="B5" s="1120"/>
      <c r="C5" s="1120"/>
      <c r="D5" s="1120"/>
      <c r="E5" s="138">
        <f>'FCD PROJETO'!F24</f>
        <v>2027</v>
      </c>
      <c r="F5" s="138">
        <f>'FCD PROJETO'!G24</f>
        <v>2028</v>
      </c>
      <c r="G5" s="138">
        <f>'FCD PROJETO'!H24</f>
        <v>2029</v>
      </c>
      <c r="H5" s="138">
        <f>'FCD PROJETO'!I24</f>
        <v>2030</v>
      </c>
      <c r="I5" s="138">
        <f>'FCD PROJETO'!J24</f>
        <v>2031</v>
      </c>
      <c r="J5" s="138">
        <f>'FCD PROJETO'!K24</f>
        <v>2032</v>
      </c>
      <c r="K5" s="138">
        <f>'FCD PROJETO'!L24</f>
        <v>2033</v>
      </c>
      <c r="L5" s="138">
        <f>'FCD PROJETO'!M24</f>
        <v>2034</v>
      </c>
      <c r="M5" s="138">
        <f>'FCD PROJETO'!N24</f>
        <v>2035</v>
      </c>
      <c r="N5" s="138">
        <f>'FCD PROJETO'!O24</f>
        <v>2036</v>
      </c>
      <c r="O5" s="138">
        <f>'FCD PROJETO'!P24</f>
        <v>2037</v>
      </c>
      <c r="P5" s="138">
        <f>'FCD PROJETO'!Q24</f>
        <v>2038</v>
      </c>
      <c r="Q5" s="138">
        <f>'FCD PROJETO'!R24</f>
        <v>2039</v>
      </c>
      <c r="R5" s="138">
        <f>'FCD PROJETO'!S24</f>
        <v>2040</v>
      </c>
      <c r="S5" s="138">
        <f>'FCD PROJETO'!T24</f>
        <v>2041</v>
      </c>
      <c r="T5" s="138">
        <f>'FCD PROJETO'!U24</f>
        <v>2042</v>
      </c>
      <c r="U5" s="138">
        <f>'FCD PROJETO'!V24</f>
        <v>2043</v>
      </c>
      <c r="V5" s="138">
        <f>'FCD PROJETO'!W24</f>
        <v>2044</v>
      </c>
      <c r="W5" s="138">
        <f>'FCD PROJETO'!X24</f>
        <v>2045</v>
      </c>
      <c r="X5" s="138">
        <f>'FCD PROJETO'!Y24</f>
        <v>2046</v>
      </c>
      <c r="Y5" s="138">
        <f>'FCD PROJETO'!Z24</f>
        <v>2047</v>
      </c>
      <c r="Z5" s="138">
        <f>'FCD PROJETO'!AA24</f>
        <v>2048</v>
      </c>
      <c r="AA5" s="138">
        <f>'FCD PROJETO'!AB24</f>
        <v>2049</v>
      </c>
      <c r="AB5" s="138">
        <f>'FCD PROJETO'!AC24</f>
        <v>2050</v>
      </c>
      <c r="AC5" s="138">
        <f>'FCD PROJETO'!AD24</f>
        <v>2051</v>
      </c>
      <c r="AD5" s="138">
        <f>'FCD PROJETO'!AE24</f>
        <v>2052</v>
      </c>
      <c r="AE5" s="138">
        <f>'FCD PROJETO'!AF24</f>
        <v>2053</v>
      </c>
      <c r="AF5" s="138">
        <f>'FCD PROJETO'!AG24</f>
        <v>2054</v>
      </c>
      <c r="AG5" s="138">
        <f>'FCD PROJETO'!AH24</f>
        <v>2055</v>
      </c>
      <c r="AH5" s="138">
        <f>'FCD PROJETO'!AI24</f>
        <v>2056</v>
      </c>
      <c r="AI5" s="138">
        <f>'FCD PROJETO'!AJ24</f>
        <v>2057</v>
      </c>
      <c r="AJ5" s="138">
        <f>'FCD PROJETO'!AK24</f>
        <v>2058</v>
      </c>
      <c r="AK5" s="138">
        <f>'FCD PROJETO'!AL24</f>
        <v>2059</v>
      </c>
      <c r="AL5" s="138">
        <f>'FCD PROJETO'!AM24</f>
        <v>2060</v>
      </c>
      <c r="AM5" s="138">
        <f>'FCD PROJETO'!AN24</f>
        <v>2061</v>
      </c>
    </row>
    <row r="6" spans="1:39" x14ac:dyDescent="0.3">
      <c r="B6" s="1137" t="s">
        <v>3</v>
      </c>
      <c r="C6" s="20" t="s">
        <v>127</v>
      </c>
      <c r="D6" s="153" t="s">
        <v>308</v>
      </c>
      <c r="E6" s="260">
        <f>'Base Física'!F59</f>
        <v>4405538</v>
      </c>
      <c r="F6" s="260">
        <f>'Base Física'!G59</f>
        <v>4371270</v>
      </c>
      <c r="G6" s="260">
        <f>'Base Física'!H59</f>
        <v>4313218</v>
      </c>
      <c r="H6" s="260">
        <f>'Base Física'!I59</f>
        <v>4208509</v>
      </c>
      <c r="I6" s="260">
        <f>'Base Física'!J59</f>
        <v>4124800</v>
      </c>
      <c r="J6" s="260">
        <f>'Base Física'!K59</f>
        <v>4055727</v>
      </c>
      <c r="K6" s="260">
        <f>'Base Física'!L59</f>
        <v>3973603</v>
      </c>
      <c r="L6" s="260">
        <f>'Base Física'!M59</f>
        <v>3983034</v>
      </c>
      <c r="M6" s="260">
        <f>'Base Física'!N59</f>
        <v>3993054</v>
      </c>
      <c r="N6" s="260">
        <f>'Base Física'!O59</f>
        <v>4000961</v>
      </c>
      <c r="O6" s="260">
        <f>'Base Física'!P59</f>
        <v>4008210</v>
      </c>
      <c r="P6" s="260">
        <f>'Base Física'!Q59</f>
        <v>4014843</v>
      </c>
      <c r="Q6" s="260">
        <f>'Base Física'!R59</f>
        <v>4019601</v>
      </c>
      <c r="R6" s="260">
        <f>'Base Física'!S59</f>
        <v>4024281</v>
      </c>
      <c r="S6" s="260">
        <f>'Base Física'!T59</f>
        <v>4028529</v>
      </c>
      <c r="T6" s="260">
        <f>'Base Física'!U59</f>
        <v>4031530</v>
      </c>
      <c r="U6" s="260">
        <f>'Base Física'!V59</f>
        <v>4033829</v>
      </c>
      <c r="V6" s="260">
        <f>'Base Física'!W59</f>
        <v>4036341</v>
      </c>
      <c r="W6" s="260">
        <f>'Base Física'!X59</f>
        <v>4056535</v>
      </c>
      <c r="X6" s="260">
        <f>'Base Física'!Y59</f>
        <v>4076975</v>
      </c>
      <c r="Y6" s="260">
        <f>'Base Física'!Z59</f>
        <v>4095487</v>
      </c>
      <c r="Z6" s="260">
        <f>'Base Física'!AA59</f>
        <v>4113166</v>
      </c>
      <c r="AA6" s="260">
        <f>'Base Física'!AB59</f>
        <v>4130089</v>
      </c>
      <c r="AB6" s="260">
        <f>'Base Física'!AC59</f>
        <v>4146314</v>
      </c>
      <c r="AC6" s="260">
        <f>'Base Física'!AD59</f>
        <v>4161650</v>
      </c>
      <c r="AD6" s="260">
        <f>'Base Física'!AE59</f>
        <v>4177701</v>
      </c>
      <c r="AE6" s="260">
        <f>'Base Física'!AF59</f>
        <v>4190762</v>
      </c>
      <c r="AF6" s="260">
        <f>'Base Física'!AG59</f>
        <v>4205040</v>
      </c>
      <c r="AG6" s="260">
        <f>'Base Física'!AH59</f>
        <v>4217159</v>
      </c>
      <c r="AH6" s="260">
        <f>'Base Física'!AI59</f>
        <v>4229523</v>
      </c>
      <c r="AI6" s="260">
        <f>'Base Física'!AJ59</f>
        <v>4241358</v>
      </c>
      <c r="AJ6" s="260">
        <f>'Base Física'!AK59</f>
        <v>4251736</v>
      </c>
      <c r="AK6" s="260">
        <f>'Base Física'!AL59</f>
        <v>4262364</v>
      </c>
      <c r="AL6" s="260">
        <f>'Base Física'!AM59</f>
        <v>4272767</v>
      </c>
      <c r="AM6" s="260">
        <f>'Base Física'!AN59</f>
        <v>4262515</v>
      </c>
    </row>
    <row r="7" spans="1:39" x14ac:dyDescent="0.3">
      <c r="B7" s="1137"/>
      <c r="C7" s="20"/>
      <c r="D7" s="20" t="s">
        <v>312</v>
      </c>
      <c r="E7" s="262">
        <f>E6*$D$2</f>
        <v>195631.04304628604</v>
      </c>
      <c r="F7" s="262">
        <f t="shared" ref="F7:AH7" si="0">F6*$D$2</f>
        <v>194109.34817426131</v>
      </c>
      <c r="G7" s="262">
        <f t="shared" si="0"/>
        <v>191531.50789438561</v>
      </c>
      <c r="H7" s="262">
        <f t="shared" si="0"/>
        <v>186881.83040066442</v>
      </c>
      <c r="I7" s="262">
        <f t="shared" si="0"/>
        <v>183164.67281801239</v>
      </c>
      <c r="J7" s="262">
        <f t="shared" si="0"/>
        <v>180097.43720766559</v>
      </c>
      <c r="K7" s="262">
        <f t="shared" si="0"/>
        <v>176450.66267544427</v>
      </c>
      <c r="L7" s="262">
        <f t="shared" si="0"/>
        <v>176869.45292693443</v>
      </c>
      <c r="M7" s="262">
        <f t="shared" si="0"/>
        <v>177314.3981416446</v>
      </c>
      <c r="N7" s="262">
        <f t="shared" si="0"/>
        <v>177665.51409101719</v>
      </c>
      <c r="O7" s="262">
        <f t="shared" si="0"/>
        <v>177987.41108317627</v>
      </c>
      <c r="P7" s="262">
        <f t="shared" si="0"/>
        <v>178281.95415794398</v>
      </c>
      <c r="Q7" s="262">
        <f t="shared" si="0"/>
        <v>178493.23652636624</v>
      </c>
      <c r="R7" s="262">
        <f t="shared" si="0"/>
        <v>178701.05524940451</v>
      </c>
      <c r="S7" s="262">
        <f t="shared" si="0"/>
        <v>178889.69070570081</v>
      </c>
      <c r="T7" s="262">
        <f t="shared" si="0"/>
        <v>179022.95224156359</v>
      </c>
      <c r="U7" s="262">
        <f t="shared" si="0"/>
        <v>179125.04096897066</v>
      </c>
      <c r="V7" s="262">
        <f t="shared" si="0"/>
        <v>179236.58811261854</v>
      </c>
      <c r="W7" s="262">
        <f t="shared" si="0"/>
        <v>180133.31702138673</v>
      </c>
      <c r="X7" s="262">
        <f t="shared" si="0"/>
        <v>181040.96973482741</v>
      </c>
      <c r="Y7" s="262">
        <f t="shared" si="0"/>
        <v>181863.00823928995</v>
      </c>
      <c r="Z7" s="262">
        <f t="shared" si="0"/>
        <v>182648.05678728005</v>
      </c>
      <c r="AA7" s="262">
        <f t="shared" si="0"/>
        <v>183399.53461847169</v>
      </c>
      <c r="AB7" s="262">
        <f t="shared" si="0"/>
        <v>184120.01726404778</v>
      </c>
      <c r="AC7" s="262">
        <f t="shared" si="0"/>
        <v>184801.02323338861</v>
      </c>
      <c r="AD7" s="262">
        <f t="shared" si="0"/>
        <v>185513.77928541583</v>
      </c>
      <c r="AE7" s="262">
        <f t="shared" si="0"/>
        <v>186093.76226439083</v>
      </c>
      <c r="AF7" s="262">
        <f t="shared" si="0"/>
        <v>186727.78699249777</v>
      </c>
      <c r="AG7" s="262">
        <f t="shared" si="0"/>
        <v>187265.93979260483</v>
      </c>
      <c r="AH7" s="262">
        <f t="shared" si="0"/>
        <v>187814.97199167433</v>
      </c>
      <c r="AI7" s="262">
        <f t="shared" ref="AI7:AM7" si="1">AI6*$D$2</f>
        <v>188340.5135701269</v>
      </c>
      <c r="AJ7" s="262">
        <f t="shared" si="1"/>
        <v>188801.35602903529</v>
      </c>
      <c r="AK7" s="262">
        <f t="shared" si="1"/>
        <v>189273.29991545642</v>
      </c>
      <c r="AL7" s="262">
        <f t="shared" si="1"/>
        <v>189735.25251711608</v>
      </c>
      <c r="AM7" s="262">
        <f t="shared" si="1"/>
        <v>189280.00517767409</v>
      </c>
    </row>
    <row r="8" spans="1:39" x14ac:dyDescent="0.3">
      <c r="B8" s="1137" t="s">
        <v>4</v>
      </c>
      <c r="C8" s="20" t="s">
        <v>329</v>
      </c>
      <c r="D8" s="153" t="s">
        <v>308</v>
      </c>
      <c r="E8" s="260">
        <f>'Base Física'!F68</f>
        <v>0</v>
      </c>
      <c r="F8" s="260">
        <f>'Base Física'!G68</f>
        <v>606526</v>
      </c>
      <c r="G8" s="260">
        <f>'Base Física'!H68</f>
        <v>1229379</v>
      </c>
      <c r="H8" s="260">
        <f>'Base Física'!I68</f>
        <v>1867572</v>
      </c>
      <c r="I8" s="260">
        <f>'Base Física'!J68</f>
        <v>2521015</v>
      </c>
      <c r="J8" s="260">
        <f>'Base Física'!K68</f>
        <v>2710188</v>
      </c>
      <c r="K8" s="260">
        <f>'Base Física'!L68</f>
        <v>2902038</v>
      </c>
      <c r="L8" s="260">
        <f>'Base Física'!M68</f>
        <v>2998684</v>
      </c>
      <c r="M8" s="260">
        <f>'Base Física'!N68</f>
        <v>3096500</v>
      </c>
      <c r="N8" s="260">
        <f>'Base Física'!O68</f>
        <v>3194080</v>
      </c>
      <c r="O8" s="260">
        <f>'Base Física'!P68</f>
        <v>3291967</v>
      </c>
      <c r="P8" s="260">
        <f>'Base Física'!Q68</f>
        <v>3390282</v>
      </c>
      <c r="Q8" s="260">
        <f>'Base Física'!R68</f>
        <v>3419692</v>
      </c>
      <c r="R8" s="260">
        <f>'Base Física'!S68</f>
        <v>3448570</v>
      </c>
      <c r="S8" s="260">
        <f>'Base Física'!T68</f>
        <v>3476602</v>
      </c>
      <c r="T8" s="260">
        <f>'Base Física'!U68</f>
        <v>3503419</v>
      </c>
      <c r="U8" s="260">
        <f>'Base Física'!V68</f>
        <v>3529071</v>
      </c>
      <c r="V8" s="260">
        <f>'Base Física'!W68</f>
        <v>3554438</v>
      </c>
      <c r="W8" s="260">
        <f>'Base Física'!X68</f>
        <v>3578227</v>
      </c>
      <c r="X8" s="260">
        <f>'Base Física'!Y68</f>
        <v>3601963</v>
      </c>
      <c r="Y8" s="260">
        <f>'Base Física'!Z68</f>
        <v>3624271</v>
      </c>
      <c r="Z8" s="260">
        <f>'Base Física'!AA68</f>
        <v>3645596</v>
      </c>
      <c r="AA8" s="260">
        <f>'Base Física'!AB68</f>
        <v>3666106</v>
      </c>
      <c r="AB8" s="260">
        <f>'Base Física'!AC68</f>
        <v>3685903</v>
      </c>
      <c r="AC8" s="260">
        <f>'Base Física'!AD68</f>
        <v>3704930</v>
      </c>
      <c r="AD8" s="260">
        <f>'Base Física'!AE68</f>
        <v>3723924</v>
      </c>
      <c r="AE8" s="260">
        <f>'Base Física'!AF68</f>
        <v>3740778</v>
      </c>
      <c r="AF8" s="260">
        <f>'Base Física'!AG68</f>
        <v>3758258</v>
      </c>
      <c r="AG8" s="260">
        <f>'Base Física'!AH68</f>
        <v>3773842</v>
      </c>
      <c r="AH8" s="260">
        <f>'Base Física'!AI68</f>
        <v>3789428</v>
      </c>
      <c r="AI8" s="260">
        <f>'Base Física'!AJ68</f>
        <v>3804235</v>
      </c>
      <c r="AJ8" s="260">
        <f>'Base Física'!AK68</f>
        <v>3818028</v>
      </c>
      <c r="AK8" s="260">
        <f>'Base Física'!AL68</f>
        <v>3831667</v>
      </c>
      <c r="AL8" s="260">
        <f>'Base Física'!AM68</f>
        <v>3839331</v>
      </c>
      <c r="AM8" s="260">
        <f>'Base Física'!AN68</f>
        <v>3837780</v>
      </c>
    </row>
    <row r="9" spans="1:39" x14ac:dyDescent="0.3">
      <c r="B9" s="1137"/>
      <c r="C9" s="20"/>
      <c r="D9" s="20" t="s">
        <v>312</v>
      </c>
      <c r="E9" s="262">
        <f>E8*$D$3</f>
        <v>0</v>
      </c>
      <c r="F9" s="262">
        <f t="shared" ref="F9:AH9" si="2">F8*$D$3</f>
        <v>13466.608847170504</v>
      </c>
      <c r="G9" s="262">
        <f t="shared" si="2"/>
        <v>27295.723708341648</v>
      </c>
      <c r="H9" s="262">
        <f t="shared" si="2"/>
        <v>41465.430365603308</v>
      </c>
      <c r="I9" s="262">
        <f t="shared" si="2"/>
        <v>55973.730562003191</v>
      </c>
      <c r="J9" s="262">
        <f t="shared" si="2"/>
        <v>60173.91125573402</v>
      </c>
      <c r="K9" s="262">
        <f t="shared" si="2"/>
        <v>64433.528992368003</v>
      </c>
      <c r="L9" s="262">
        <f t="shared" si="2"/>
        <v>66579.346119158348</v>
      </c>
      <c r="M9" s="262">
        <f t="shared" si="2"/>
        <v>68751.140586328474</v>
      </c>
      <c r="N9" s="262">
        <f t="shared" si="2"/>
        <v>70917.695179712595</v>
      </c>
      <c r="O9" s="262">
        <f t="shared" si="2"/>
        <v>73091.066049589528</v>
      </c>
      <c r="P9" s="262">
        <f t="shared" si="2"/>
        <v>75273.939741417373</v>
      </c>
      <c r="Q9" s="262">
        <f t="shared" si="2"/>
        <v>75926.925707716073</v>
      </c>
      <c r="R9" s="262">
        <f t="shared" si="2"/>
        <v>76568.099755141215</v>
      </c>
      <c r="S9" s="262">
        <f t="shared" si="2"/>
        <v>77190.490187214833</v>
      </c>
      <c r="T9" s="262">
        <f t="shared" si="2"/>
        <v>77785.904150432529</v>
      </c>
      <c r="U9" s="262">
        <f t="shared" si="2"/>
        <v>78355.451787545564</v>
      </c>
      <c r="V9" s="262">
        <f t="shared" si="2"/>
        <v>78918.671610976337</v>
      </c>
      <c r="W9" s="262">
        <f t="shared" si="2"/>
        <v>79446.855329176935</v>
      </c>
      <c r="X9" s="262">
        <f t="shared" si="2"/>
        <v>79973.862296061183</v>
      </c>
      <c r="Y9" s="262">
        <f t="shared" si="2"/>
        <v>80469.163585969087</v>
      </c>
      <c r="Z9" s="262">
        <f t="shared" si="2"/>
        <v>80942.639469386966</v>
      </c>
      <c r="AA9" s="262">
        <f t="shared" si="2"/>
        <v>81398.020025959093</v>
      </c>
      <c r="AB9" s="262">
        <f t="shared" si="2"/>
        <v>81837.569946898075</v>
      </c>
      <c r="AC9" s="262">
        <f t="shared" si="2"/>
        <v>82260.023669467453</v>
      </c>
      <c r="AD9" s="262">
        <f t="shared" si="2"/>
        <v>82681.744697820992</v>
      </c>
      <c r="AE9" s="262">
        <f t="shared" si="2"/>
        <v>83055.951616420047</v>
      </c>
      <c r="AF9" s="262">
        <f t="shared" si="2"/>
        <v>83444.057522265037</v>
      </c>
      <c r="AG9" s="262">
        <f t="shared" si="2"/>
        <v>83790.066814981765</v>
      </c>
      <c r="AH9" s="262">
        <f t="shared" si="2"/>
        <v>84136.120513408547</v>
      </c>
      <c r="AI9" s="262">
        <f t="shared" ref="AI9:AM9" si="3">AI8*$D$3</f>
        <v>84464.87818777049</v>
      </c>
      <c r="AJ9" s="262">
        <f t="shared" si="3"/>
        <v>84771.122167136622</v>
      </c>
      <c r="AK9" s="262">
        <f t="shared" si="3"/>
        <v>85073.946906828831</v>
      </c>
      <c r="AL9" s="262">
        <f t="shared" si="3"/>
        <v>85244.109587743937</v>
      </c>
      <c r="AM9" s="262">
        <f t="shared" si="3"/>
        <v>85209.672959599455</v>
      </c>
    </row>
    <row r="10" spans="1:39" x14ac:dyDescent="0.3">
      <c r="A10" s="46"/>
      <c r="B10" s="1147" t="s">
        <v>318</v>
      </c>
      <c r="C10" s="1147"/>
      <c r="D10" s="1147"/>
      <c r="E10" s="264">
        <f t="shared" ref="E10:AM10" si="4">E7+E9</f>
        <v>195631.04304628604</v>
      </c>
      <c r="F10" s="264">
        <f t="shared" si="4"/>
        <v>207575.95702143182</v>
      </c>
      <c r="G10" s="264">
        <f t="shared" si="4"/>
        <v>218827.23160272726</v>
      </c>
      <c r="H10" s="264">
        <f t="shared" si="4"/>
        <v>228347.26076626772</v>
      </c>
      <c r="I10" s="264">
        <f t="shared" si="4"/>
        <v>239138.40338001557</v>
      </c>
      <c r="J10" s="264">
        <f t="shared" si="4"/>
        <v>240271.3484633996</v>
      </c>
      <c r="K10" s="264">
        <f t="shared" si="4"/>
        <v>240884.19166781227</v>
      </c>
      <c r="L10" s="264">
        <f t="shared" si="4"/>
        <v>243448.79904609278</v>
      </c>
      <c r="M10" s="264">
        <f t="shared" si="4"/>
        <v>246065.53872797306</v>
      </c>
      <c r="N10" s="264">
        <f t="shared" si="4"/>
        <v>248583.2092707298</v>
      </c>
      <c r="O10" s="264">
        <f t="shared" si="4"/>
        <v>251078.47713276581</v>
      </c>
      <c r="P10" s="264">
        <f t="shared" si="4"/>
        <v>253555.89389936137</v>
      </c>
      <c r="Q10" s="264">
        <f t="shared" si="4"/>
        <v>254420.16223408229</v>
      </c>
      <c r="R10" s="264">
        <f t="shared" si="4"/>
        <v>255269.15500454573</v>
      </c>
      <c r="S10" s="264">
        <f t="shared" si="4"/>
        <v>256080.18089291564</v>
      </c>
      <c r="T10" s="264">
        <f t="shared" si="4"/>
        <v>256808.85639199612</v>
      </c>
      <c r="U10" s="264">
        <f t="shared" si="4"/>
        <v>257480.49275651621</v>
      </c>
      <c r="V10" s="264">
        <f t="shared" si="4"/>
        <v>258155.25972359488</v>
      </c>
      <c r="W10" s="264">
        <f t="shared" si="4"/>
        <v>259580.17235056366</v>
      </c>
      <c r="X10" s="264">
        <f t="shared" si="4"/>
        <v>261014.83203088859</v>
      </c>
      <c r="Y10" s="264">
        <f t="shared" si="4"/>
        <v>262332.17182525905</v>
      </c>
      <c r="Z10" s="264">
        <f t="shared" si="4"/>
        <v>263590.69625666703</v>
      </c>
      <c r="AA10" s="264">
        <f t="shared" si="4"/>
        <v>264797.55464443075</v>
      </c>
      <c r="AB10" s="264">
        <f t="shared" si="4"/>
        <v>265957.58721094584</v>
      </c>
      <c r="AC10" s="264">
        <f t="shared" si="4"/>
        <v>267061.04690285609</v>
      </c>
      <c r="AD10" s="264">
        <f t="shared" si="4"/>
        <v>268195.52398323681</v>
      </c>
      <c r="AE10" s="264">
        <f t="shared" si="4"/>
        <v>269149.71388081089</v>
      </c>
      <c r="AF10" s="264">
        <f t="shared" si="4"/>
        <v>270171.84451476281</v>
      </c>
      <c r="AG10" s="264">
        <f t="shared" si="4"/>
        <v>271056.00660758658</v>
      </c>
      <c r="AH10" s="264">
        <f t="shared" si="4"/>
        <v>271951.0925050829</v>
      </c>
      <c r="AI10" s="264">
        <f t="shared" si="4"/>
        <v>272805.39175789739</v>
      </c>
      <c r="AJ10" s="264">
        <f t="shared" si="4"/>
        <v>273572.47819617193</v>
      </c>
      <c r="AK10" s="264">
        <f t="shared" si="4"/>
        <v>274347.24682228523</v>
      </c>
      <c r="AL10" s="264">
        <f t="shared" si="4"/>
        <v>274979.36210486002</v>
      </c>
      <c r="AM10" s="264">
        <f t="shared" si="4"/>
        <v>274489.67813727353</v>
      </c>
    </row>
    <row r="11" spans="1:39" x14ac:dyDescent="0.3">
      <c r="B11" s="18"/>
      <c r="C11" s="18"/>
      <c r="D11" s="18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</row>
    <row r="12" spans="1:39" x14ac:dyDescent="0.3">
      <c r="B12" s="18"/>
      <c r="C12" s="18"/>
      <c r="D12" s="18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</row>
    <row r="13" spans="1:39" x14ac:dyDescent="0.3">
      <c r="B13" s="18"/>
      <c r="C13" s="18"/>
      <c r="D13" s="18"/>
      <c r="E13" s="23"/>
      <c r="F13" s="23"/>
      <c r="G13" s="23"/>
      <c r="H13" s="75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</row>
    <row r="14" spans="1:39" x14ac:dyDescent="0.3"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</row>
    <row r="15" spans="1:39" x14ac:dyDescent="0.3"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</row>
    <row r="16" spans="1:39" x14ac:dyDescent="0.3"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</row>
    <row r="17" spans="2:34" x14ac:dyDescent="0.3"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</row>
    <row r="18" spans="2:34" x14ac:dyDescent="0.3"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</row>
    <row r="19" spans="2:34" x14ac:dyDescent="0.3"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</row>
    <row r="20" spans="2:34" x14ac:dyDescent="0.3"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</row>
    <row r="21" spans="2:34" x14ac:dyDescent="0.3"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</row>
  </sheetData>
  <mergeCells count="6">
    <mergeCell ref="B1:C1"/>
    <mergeCell ref="B6:B7"/>
    <mergeCell ref="B8:B9"/>
    <mergeCell ref="B10:D10"/>
    <mergeCell ref="B4:C5"/>
    <mergeCell ref="D4:D5"/>
  </mergeCells>
  <pageMargins left="0.511811024" right="0.511811024" top="0.78740157499999996" bottom="0.78740157499999996" header="0.31496062000000002" footer="0.3149606200000000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B46"/>
  <sheetViews>
    <sheetView showGridLines="0" zoomScaleNormal="100" workbookViewId="0">
      <selection activeCell="D22" sqref="D22"/>
    </sheetView>
  </sheetViews>
  <sheetFormatPr defaultRowHeight="14.4" x14ac:dyDescent="0.3"/>
  <cols>
    <col min="1" max="1" width="23.33203125" customWidth="1"/>
    <col min="2" max="2" width="55.88671875" bestFit="1" customWidth="1"/>
    <col min="3" max="3" width="5.109375" customWidth="1"/>
    <col min="4" max="33" width="18.6640625" customWidth="1"/>
    <col min="34" max="38" width="22.44140625" customWidth="1"/>
    <col min="39" max="44" width="16.44140625" bestFit="1" customWidth="1"/>
    <col min="45" max="46" width="15.44140625" bestFit="1" customWidth="1"/>
    <col min="47" max="47" width="10.6640625" bestFit="1" customWidth="1"/>
  </cols>
  <sheetData>
    <row r="1" spans="1:54" x14ac:dyDescent="0.3">
      <c r="A1" s="318" t="s">
        <v>522</v>
      </c>
    </row>
    <row r="2" spans="1:54" x14ac:dyDescent="0.3">
      <c r="A2" s="147" t="s">
        <v>523</v>
      </c>
    </row>
    <row r="3" spans="1:54" x14ac:dyDescent="0.3">
      <c r="A3" s="1150" t="s">
        <v>237</v>
      </c>
      <c r="B3" s="1150"/>
      <c r="C3" s="40"/>
      <c r="D3" s="40" t="s">
        <v>238</v>
      </c>
      <c r="E3" s="40" t="s">
        <v>239</v>
      </c>
      <c r="F3" s="96" t="s">
        <v>240</v>
      </c>
      <c r="G3" s="40" t="s">
        <v>241</v>
      </c>
      <c r="H3" s="4"/>
      <c r="I3" s="40" t="s">
        <v>242</v>
      </c>
    </row>
    <row r="4" spans="1:54" x14ac:dyDescent="0.3">
      <c r="A4" s="966" t="s">
        <v>243</v>
      </c>
      <c r="B4" s="4" t="s">
        <v>244</v>
      </c>
      <c r="C4" s="4"/>
      <c r="D4" s="319">
        <v>5.0000000000000001E-3</v>
      </c>
      <c r="E4" s="319">
        <v>1</v>
      </c>
      <c r="F4" s="4" t="s">
        <v>267</v>
      </c>
      <c r="G4" s="4" t="s">
        <v>245</v>
      </c>
      <c r="H4" s="4"/>
      <c r="I4" s="273">
        <f>D4*E4+D5*E5</f>
        <v>5.3500000000000006E-3</v>
      </c>
      <c r="K4" s="70"/>
    </row>
    <row r="5" spans="1:54" x14ac:dyDescent="0.3">
      <c r="A5" s="966"/>
      <c r="B5" s="4" t="s">
        <v>246</v>
      </c>
      <c r="C5" s="4"/>
      <c r="D5" s="319">
        <v>5.0000000000000001E-3</v>
      </c>
      <c r="E5" s="319">
        <v>7.0000000000000007E-2</v>
      </c>
      <c r="F5" s="4" t="s">
        <v>267</v>
      </c>
      <c r="G5" s="4" t="s">
        <v>245</v>
      </c>
      <c r="H5" s="4"/>
      <c r="I5" s="270"/>
      <c r="AW5" s="71"/>
      <c r="AX5" s="71"/>
      <c r="AY5" s="71"/>
      <c r="AZ5" s="71"/>
      <c r="BA5" s="71"/>
      <c r="BB5" s="71"/>
    </row>
    <row r="6" spans="1:54" x14ac:dyDescent="0.3">
      <c r="A6" s="966"/>
      <c r="B6" s="4" t="s">
        <v>247</v>
      </c>
      <c r="C6" s="4"/>
      <c r="D6" s="319">
        <v>8.8000000000000005E-3</v>
      </c>
      <c r="E6" s="319">
        <v>0.16</v>
      </c>
      <c r="F6" s="4" t="s">
        <v>266</v>
      </c>
      <c r="G6" s="4" t="s">
        <v>266</v>
      </c>
      <c r="H6" s="4"/>
      <c r="I6" s="273">
        <f>+D6*E6</f>
        <v>1.4080000000000002E-3</v>
      </c>
      <c r="AW6" s="71"/>
      <c r="AX6" s="71"/>
      <c r="AY6" s="71"/>
      <c r="AZ6" s="71"/>
      <c r="BA6" s="71"/>
      <c r="BB6" s="71"/>
    </row>
    <row r="7" spans="1:54" x14ac:dyDescent="0.3">
      <c r="A7" s="966"/>
      <c r="B7" s="4" t="s">
        <v>248</v>
      </c>
      <c r="C7" s="4"/>
      <c r="D7" s="319">
        <v>5.0000000000000001E-3</v>
      </c>
      <c r="E7" s="319">
        <v>0.01</v>
      </c>
      <c r="F7" s="4" t="s">
        <v>265</v>
      </c>
      <c r="G7" s="4" t="s">
        <v>249</v>
      </c>
      <c r="H7" s="4"/>
      <c r="I7" s="273">
        <f>D7*E7</f>
        <v>5.0000000000000002E-5</v>
      </c>
      <c r="K7" s="70"/>
      <c r="AW7" s="71"/>
      <c r="AX7" s="71"/>
      <c r="AY7" s="71"/>
      <c r="AZ7" s="71"/>
      <c r="BA7" s="71"/>
      <c r="BB7" s="71"/>
    </row>
    <row r="8" spans="1:54" x14ac:dyDescent="0.3">
      <c r="A8" s="966" t="s">
        <v>250</v>
      </c>
      <c r="B8" s="1151" t="s">
        <v>251</v>
      </c>
      <c r="C8" s="271"/>
      <c r="D8" s="319">
        <v>7.4999999999999997E-3</v>
      </c>
      <c r="E8" s="319">
        <v>0.05</v>
      </c>
      <c r="F8" s="4" t="s">
        <v>265</v>
      </c>
      <c r="G8" s="4" t="s">
        <v>252</v>
      </c>
      <c r="H8" s="4"/>
      <c r="I8" s="273">
        <f>D8*E8</f>
        <v>3.7500000000000001E-4</v>
      </c>
      <c r="J8" s="72"/>
      <c r="AW8" s="71"/>
      <c r="AX8" s="71"/>
      <c r="AY8" s="71"/>
      <c r="AZ8" s="71"/>
      <c r="BA8" s="71"/>
      <c r="BB8" s="71"/>
    </row>
    <row r="9" spans="1:54" x14ac:dyDescent="0.3">
      <c r="A9" s="966"/>
      <c r="B9" s="1151"/>
      <c r="C9" s="271"/>
      <c r="D9" s="319">
        <v>7.4999999999999997E-3</v>
      </c>
      <c r="E9" s="319">
        <v>0.02</v>
      </c>
      <c r="F9" s="4" t="s">
        <v>265</v>
      </c>
      <c r="G9" s="4" t="s">
        <v>256</v>
      </c>
      <c r="H9" s="272"/>
      <c r="I9" s="273">
        <f>D9*E9</f>
        <v>1.4999999999999999E-4</v>
      </c>
      <c r="AW9" s="71"/>
      <c r="AX9" s="71"/>
      <c r="AY9" s="71"/>
      <c r="AZ9" s="71"/>
      <c r="BA9" s="71"/>
      <c r="BB9" s="71"/>
    </row>
    <row r="10" spans="1:54" x14ac:dyDescent="0.3">
      <c r="A10" s="966"/>
      <c r="B10" s="1151"/>
      <c r="C10" s="271"/>
      <c r="D10" s="319">
        <v>7.4999999999999997E-3</v>
      </c>
      <c r="E10" s="319">
        <v>0.03</v>
      </c>
      <c r="F10" s="4" t="s">
        <v>265</v>
      </c>
      <c r="G10" s="4" t="s">
        <v>530</v>
      </c>
      <c r="H10" s="4"/>
      <c r="I10" s="273">
        <f>D10*E10</f>
        <v>2.2499999999999999E-4</v>
      </c>
    </row>
    <row r="19" spans="2:40" x14ac:dyDescent="0.3"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</row>
    <row r="20" spans="2:40" x14ac:dyDescent="0.3"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</row>
    <row r="21" spans="2:40" ht="25.5" customHeight="1" x14ac:dyDescent="0.3">
      <c r="B21" s="127" t="s">
        <v>63</v>
      </c>
      <c r="C21" s="127"/>
      <c r="D21" s="128">
        <f>Cronograma!C3</f>
        <v>1</v>
      </c>
      <c r="E21" s="128">
        <f>D21+1</f>
        <v>2</v>
      </c>
      <c r="F21" s="128">
        <f t="shared" ref="F21:AG21" si="0">E21+1</f>
        <v>3</v>
      </c>
      <c r="G21" s="128">
        <f t="shared" si="0"/>
        <v>4</v>
      </c>
      <c r="H21" s="128">
        <f t="shared" si="0"/>
        <v>5</v>
      </c>
      <c r="I21" s="128">
        <f t="shared" si="0"/>
        <v>6</v>
      </c>
      <c r="J21" s="128">
        <f t="shared" si="0"/>
        <v>7</v>
      </c>
      <c r="K21" s="128">
        <f t="shared" si="0"/>
        <v>8</v>
      </c>
      <c r="L21" s="128">
        <f t="shared" si="0"/>
        <v>9</v>
      </c>
      <c r="M21" s="128">
        <f t="shared" si="0"/>
        <v>10</v>
      </c>
      <c r="N21" s="128">
        <f t="shared" si="0"/>
        <v>11</v>
      </c>
      <c r="O21" s="128">
        <f t="shared" si="0"/>
        <v>12</v>
      </c>
      <c r="P21" s="128">
        <f t="shared" si="0"/>
        <v>13</v>
      </c>
      <c r="Q21" s="128">
        <f t="shared" si="0"/>
        <v>14</v>
      </c>
      <c r="R21" s="128">
        <f t="shared" si="0"/>
        <v>15</v>
      </c>
      <c r="S21" s="128">
        <f t="shared" si="0"/>
        <v>16</v>
      </c>
      <c r="T21" s="128">
        <f t="shared" si="0"/>
        <v>17</v>
      </c>
      <c r="U21" s="128">
        <f t="shared" si="0"/>
        <v>18</v>
      </c>
      <c r="V21" s="128">
        <f t="shared" si="0"/>
        <v>19</v>
      </c>
      <c r="W21" s="128">
        <f t="shared" si="0"/>
        <v>20</v>
      </c>
      <c r="X21" s="128">
        <f t="shared" si="0"/>
        <v>21</v>
      </c>
      <c r="Y21" s="128">
        <f t="shared" si="0"/>
        <v>22</v>
      </c>
      <c r="Z21" s="128">
        <f t="shared" si="0"/>
        <v>23</v>
      </c>
      <c r="AA21" s="128">
        <f t="shared" si="0"/>
        <v>24</v>
      </c>
      <c r="AB21" s="128">
        <f t="shared" si="0"/>
        <v>25</v>
      </c>
      <c r="AC21" s="128">
        <f t="shared" si="0"/>
        <v>26</v>
      </c>
      <c r="AD21" s="128">
        <f t="shared" si="0"/>
        <v>27</v>
      </c>
      <c r="AE21" s="128">
        <f t="shared" si="0"/>
        <v>28</v>
      </c>
      <c r="AF21" s="128">
        <f t="shared" si="0"/>
        <v>29</v>
      </c>
      <c r="AG21" s="128">
        <f t="shared" si="0"/>
        <v>30</v>
      </c>
      <c r="AH21" s="128">
        <f t="shared" ref="AH21" si="1">AG21+1</f>
        <v>31</v>
      </c>
      <c r="AI21" s="128">
        <f t="shared" ref="AI21" si="2">AH21+1</f>
        <v>32</v>
      </c>
      <c r="AJ21" s="128">
        <f t="shared" ref="AJ21" si="3">AI21+1</f>
        <v>33</v>
      </c>
      <c r="AK21" s="128">
        <f t="shared" ref="AK21:AL21" si="4">AJ21+1</f>
        <v>34</v>
      </c>
      <c r="AL21" s="128">
        <f t="shared" si="4"/>
        <v>35</v>
      </c>
      <c r="AM21" s="14"/>
      <c r="AN21" s="71"/>
    </row>
    <row r="22" spans="2:40" x14ac:dyDescent="0.3">
      <c r="B22" s="274" t="s">
        <v>98</v>
      </c>
      <c r="C22" s="275"/>
      <c r="D22" s="148">
        <f>'FCD PROJETO'!F42</f>
        <v>23178854.462399997</v>
      </c>
      <c r="E22" s="148">
        <f>'FCD PROJETO'!G42</f>
        <v>29381068.828799997</v>
      </c>
      <c r="F22" s="148">
        <f>'FCD PROJETO'!H42</f>
        <v>35635916.908799998</v>
      </c>
      <c r="G22" s="148">
        <f>'FCD PROJETO'!I42</f>
        <v>41621514.854400001</v>
      </c>
      <c r="H22" s="148">
        <f>'FCD PROJETO'!J42</f>
        <v>47793455.049599998</v>
      </c>
      <c r="I22" s="148">
        <f>'FCD PROJETO'!K42</f>
        <v>50052341.663999997</v>
      </c>
      <c r="J22" s="148">
        <f>'FCD PROJETO'!L42</f>
        <v>51980570.553599998</v>
      </c>
      <c r="K22" s="148">
        <f>'FCD PROJETO'!M42</f>
        <v>53005892.097599998</v>
      </c>
      <c r="L22" s="148">
        <f>'FCD PROJETO'!N42</f>
        <v>54040617.633599997</v>
      </c>
      <c r="M22" s="148">
        <f>'FCD PROJETO'!O42</f>
        <v>55053871.516800001</v>
      </c>
      <c r="N22" s="148">
        <f>'FCD PROJETO'!P42</f>
        <v>56059573.564799987</v>
      </c>
      <c r="O22" s="148">
        <f>'FCD PROJETO'!Q42</f>
        <v>57060215.596799999</v>
      </c>
      <c r="P22" s="148">
        <f>'FCD PROJETO'!R42</f>
        <v>57463871.212799989</v>
      </c>
      <c r="Q22" s="148">
        <f>'FCD PROJETO'!S42</f>
        <v>57862008.547200002</v>
      </c>
      <c r="R22" s="148">
        <f>'FCD PROJETO'!T42</f>
        <v>58243820.169600002</v>
      </c>
      <c r="S22" s="148">
        <f>'FCD PROJETO'!U42</f>
        <v>58604131.497599989</v>
      </c>
      <c r="T22" s="148">
        <f>'FCD PROJETO'!V42</f>
        <v>58945386.614399999</v>
      </c>
      <c r="U22" s="148">
        <f>'FCD PROJETO'!W42</f>
        <v>59287271.846399993</v>
      </c>
      <c r="V22" s="148">
        <f>'FCD PROJETO'!X42</f>
        <v>59582394.892799996</v>
      </c>
      <c r="W22" s="148">
        <f>'FCD PROJETO'!Y42</f>
        <v>59881852.368000001</v>
      </c>
      <c r="X22" s="148">
        <f>'FCD PROJETO'!Z42</f>
        <v>60152992.847999997</v>
      </c>
      <c r="Y22" s="148">
        <f>'FCD PROJETO'!AA42</f>
        <v>60415712.697599992</v>
      </c>
      <c r="Z22" s="148">
        <f>'FCD PROJETO'!AB42</f>
        <v>60663519.820799999</v>
      </c>
      <c r="AA22" s="148">
        <f>'FCD PROJETO'!AC42</f>
        <v>60901817.932799987</v>
      </c>
      <c r="AB22" s="148">
        <f>'FCD PROJETO'!AD42</f>
        <v>61126310.7936</v>
      </c>
      <c r="AC22" s="148">
        <f>'FCD PROJETO'!AE42</f>
        <v>61358995.151999995</v>
      </c>
      <c r="AD22" s="148">
        <f>'FCD PROJETO'!AF42</f>
        <v>61554674.563199997</v>
      </c>
      <c r="AE22" s="148">
        <f>'FCD PROJETO'!AG42</f>
        <v>61763643.67679999</v>
      </c>
      <c r="AF22" s="148">
        <f>'FCD PROJETO'!AH42</f>
        <v>61943188.319999993</v>
      </c>
      <c r="AG22" s="148">
        <f>'FCD PROJETO'!AI42</f>
        <v>62121663.67679999</v>
      </c>
      <c r="AH22" s="148">
        <f>'FCD PROJETO'!AJ42</f>
        <v>62296281.964799993</v>
      </c>
      <c r="AI22" s="148">
        <f>'FCD PROJETO'!AK42</f>
        <v>62446344.854400001</v>
      </c>
      <c r="AJ22" s="148">
        <f>'FCD PROJETO'!AL42</f>
        <v>62607176.985599995</v>
      </c>
      <c r="AK22" s="148">
        <f>'FCD PROJETO'!AM42</f>
        <v>62756819.798399992</v>
      </c>
      <c r="AL22" s="148">
        <f>'FCD PROJETO'!AN42</f>
        <v>62609391.936000004</v>
      </c>
      <c r="AM22" s="71"/>
      <c r="AN22" s="71"/>
    </row>
    <row r="23" spans="2:40" x14ac:dyDescent="0.3">
      <c r="B23" s="283">
        <f>SUM(D22:AL22)</f>
        <v>1949453164.9007998</v>
      </c>
      <c r="C23" s="276"/>
      <c r="D23" s="148">
        <f>D22</f>
        <v>23178854.462399997</v>
      </c>
      <c r="E23" s="148">
        <f>E22+D23</f>
        <v>52559923.291199997</v>
      </c>
      <c r="F23" s="148">
        <f t="shared" ref="F23:AG23" si="5">F22+E23</f>
        <v>88195840.199999988</v>
      </c>
      <c r="G23" s="148">
        <f t="shared" si="5"/>
        <v>129817355.0544</v>
      </c>
      <c r="H23" s="148">
        <f t="shared" si="5"/>
        <v>177610810.104</v>
      </c>
      <c r="I23" s="148">
        <f t="shared" si="5"/>
        <v>227663151.76800001</v>
      </c>
      <c r="J23" s="148">
        <f t="shared" si="5"/>
        <v>279643722.32160002</v>
      </c>
      <c r="K23" s="148">
        <f t="shared" si="5"/>
        <v>332649614.4192</v>
      </c>
      <c r="L23" s="148">
        <f t="shared" si="5"/>
        <v>386690232.0528</v>
      </c>
      <c r="M23" s="148">
        <f t="shared" si="5"/>
        <v>441744103.56959999</v>
      </c>
      <c r="N23" s="148">
        <f t="shared" si="5"/>
        <v>497803677.13439995</v>
      </c>
      <c r="O23" s="148">
        <f t="shared" si="5"/>
        <v>554863892.73119998</v>
      </c>
      <c r="P23" s="148">
        <f t="shared" si="5"/>
        <v>612327763.94400001</v>
      </c>
      <c r="Q23" s="148">
        <f t="shared" si="5"/>
        <v>670189772.49119997</v>
      </c>
      <c r="R23" s="148">
        <f t="shared" si="5"/>
        <v>728433592.66079998</v>
      </c>
      <c r="S23" s="148">
        <f t="shared" si="5"/>
        <v>787037724.15839994</v>
      </c>
      <c r="T23" s="148">
        <f t="shared" si="5"/>
        <v>845983110.77279997</v>
      </c>
      <c r="U23" s="148">
        <f t="shared" si="5"/>
        <v>905270382.61919999</v>
      </c>
      <c r="V23" s="148">
        <f t="shared" si="5"/>
        <v>964852777.51199996</v>
      </c>
      <c r="W23" s="148">
        <f t="shared" si="5"/>
        <v>1024734629.88</v>
      </c>
      <c r="X23" s="148">
        <f t="shared" si="5"/>
        <v>1084887622.7279999</v>
      </c>
      <c r="Y23" s="148">
        <f t="shared" si="5"/>
        <v>1145303335.4255998</v>
      </c>
      <c r="Z23" s="148">
        <f t="shared" si="5"/>
        <v>1205966855.2463999</v>
      </c>
      <c r="AA23" s="148">
        <f t="shared" si="5"/>
        <v>1266868673.1791999</v>
      </c>
      <c r="AB23" s="148">
        <f t="shared" si="5"/>
        <v>1327994983.9728</v>
      </c>
      <c r="AC23" s="148">
        <f t="shared" si="5"/>
        <v>1389353979.1248</v>
      </c>
      <c r="AD23" s="148">
        <f t="shared" si="5"/>
        <v>1450908653.688</v>
      </c>
      <c r="AE23" s="148">
        <f t="shared" si="5"/>
        <v>1512672297.3648</v>
      </c>
      <c r="AF23" s="148">
        <f t="shared" si="5"/>
        <v>1574615485.6847999</v>
      </c>
      <c r="AG23" s="148">
        <f t="shared" si="5"/>
        <v>1636737149.3615999</v>
      </c>
      <c r="AH23" s="148">
        <f t="shared" ref="AH23" si="6">AH22+AG23</f>
        <v>1699033431.3263998</v>
      </c>
      <c r="AI23" s="148">
        <f t="shared" ref="AI23" si="7">AI22+AH23</f>
        <v>1761479776.1807997</v>
      </c>
      <c r="AJ23" s="148">
        <f t="shared" ref="AJ23" si="8">AJ22+AI23</f>
        <v>1824086953.1663997</v>
      </c>
      <c r="AK23" s="148">
        <f t="shared" ref="AK23:AL23" si="9">AK22+AJ23</f>
        <v>1886843772.9647996</v>
      </c>
      <c r="AL23" s="148">
        <f t="shared" si="9"/>
        <v>1949453164.9007998</v>
      </c>
      <c r="AM23" s="71"/>
      <c r="AN23" s="71"/>
    </row>
    <row r="24" spans="2:40" x14ac:dyDescent="0.3">
      <c r="B24" s="274" t="s">
        <v>257</v>
      </c>
      <c r="C24" s="275"/>
      <c r="D24" s="148">
        <f>B23</f>
        <v>1949453164.9007998</v>
      </c>
      <c r="E24" s="148">
        <f>D24-D22</f>
        <v>1926274310.4383998</v>
      </c>
      <c r="F24" s="148">
        <f t="shared" ref="F24:AG24" si="10">E24-E22</f>
        <v>1896893241.6095998</v>
      </c>
      <c r="G24" s="148">
        <f t="shared" si="10"/>
        <v>1861257324.7007999</v>
      </c>
      <c r="H24" s="148">
        <f t="shared" si="10"/>
        <v>1819635809.8464</v>
      </c>
      <c r="I24" s="148">
        <f t="shared" si="10"/>
        <v>1771842354.7968001</v>
      </c>
      <c r="J24" s="148">
        <f t="shared" si="10"/>
        <v>1721790013.1328001</v>
      </c>
      <c r="K24" s="148">
        <f t="shared" si="10"/>
        <v>1669809442.5792</v>
      </c>
      <c r="L24" s="148">
        <f t="shared" si="10"/>
        <v>1616803550.4816</v>
      </c>
      <c r="M24" s="148">
        <f t="shared" si="10"/>
        <v>1562762932.848</v>
      </c>
      <c r="N24" s="148">
        <f t="shared" si="10"/>
        <v>1507709061.3312001</v>
      </c>
      <c r="O24" s="148">
        <f t="shared" si="10"/>
        <v>1451649487.7664001</v>
      </c>
      <c r="P24" s="148">
        <f t="shared" si="10"/>
        <v>1394589272.1696</v>
      </c>
      <c r="Q24" s="148">
        <f t="shared" si="10"/>
        <v>1337125400.9568</v>
      </c>
      <c r="R24" s="148">
        <f t="shared" si="10"/>
        <v>1279263392.4096</v>
      </c>
      <c r="S24" s="148">
        <f t="shared" si="10"/>
        <v>1221019572.24</v>
      </c>
      <c r="T24" s="148">
        <f t="shared" si="10"/>
        <v>1162415440.7423999</v>
      </c>
      <c r="U24" s="148">
        <f t="shared" si="10"/>
        <v>1103470054.128</v>
      </c>
      <c r="V24" s="148">
        <f t="shared" si="10"/>
        <v>1044182782.2816</v>
      </c>
      <c r="W24" s="148">
        <f t="shared" si="10"/>
        <v>984600387.38880002</v>
      </c>
      <c r="X24" s="148">
        <f t="shared" si="10"/>
        <v>924718535.02079999</v>
      </c>
      <c r="Y24" s="148">
        <f t="shared" si="10"/>
        <v>864565542.17279994</v>
      </c>
      <c r="Z24" s="148">
        <f t="shared" si="10"/>
        <v>804149829.47519994</v>
      </c>
      <c r="AA24" s="148">
        <f t="shared" si="10"/>
        <v>743486309.65439999</v>
      </c>
      <c r="AB24" s="148">
        <f t="shared" si="10"/>
        <v>682584491.72160006</v>
      </c>
      <c r="AC24" s="148">
        <f t="shared" si="10"/>
        <v>621458180.92800009</v>
      </c>
      <c r="AD24" s="148">
        <f t="shared" si="10"/>
        <v>560099185.77600014</v>
      </c>
      <c r="AE24" s="148">
        <f t="shared" si="10"/>
        <v>498544511.21280015</v>
      </c>
      <c r="AF24" s="148">
        <f t="shared" si="10"/>
        <v>436780867.53600013</v>
      </c>
      <c r="AG24" s="148">
        <f t="shared" si="10"/>
        <v>374837679.21600014</v>
      </c>
      <c r="AH24" s="148">
        <f t="shared" ref="AH24" si="11">AG24-AG22</f>
        <v>312716015.53920013</v>
      </c>
      <c r="AI24" s="148">
        <f t="shared" ref="AI24" si="12">AH24-AH22</f>
        <v>250419733.57440013</v>
      </c>
      <c r="AJ24" s="148">
        <f t="shared" ref="AJ24" si="13">AI24-AI22</f>
        <v>187973388.72000012</v>
      </c>
      <c r="AK24" s="148">
        <f t="shared" ref="AK24:AL24" si="14">AJ24-AJ22</f>
        <v>125366211.73440012</v>
      </c>
      <c r="AL24" s="148">
        <f t="shared" si="14"/>
        <v>62609391.936000131</v>
      </c>
      <c r="AM24" s="71"/>
      <c r="AN24" s="71"/>
    </row>
    <row r="25" spans="2:40" x14ac:dyDescent="0.3">
      <c r="B25" s="274"/>
      <c r="C25" s="275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  <c r="AH25" s="101"/>
      <c r="AI25" s="101"/>
      <c r="AJ25" s="101"/>
      <c r="AK25" s="101"/>
      <c r="AL25" s="101"/>
      <c r="AM25" s="71"/>
      <c r="AN25" s="71"/>
    </row>
    <row r="26" spans="2:40" x14ac:dyDescent="0.3">
      <c r="B26" s="274" t="s">
        <v>248</v>
      </c>
      <c r="C26" s="275"/>
      <c r="D26" s="284">
        <f>$I$7*$B$23</f>
        <v>97472.658245039987</v>
      </c>
      <c r="E26" s="284">
        <f t="shared" ref="E26:AL26" si="15">$I$7*$B$23</f>
        <v>97472.658245039987</v>
      </c>
      <c r="F26" s="284">
        <f t="shared" si="15"/>
        <v>97472.658245039987</v>
      </c>
      <c r="G26" s="284">
        <f t="shared" si="15"/>
        <v>97472.658245039987</v>
      </c>
      <c r="H26" s="284">
        <f t="shared" si="15"/>
        <v>97472.658245039987</v>
      </c>
      <c r="I26" s="284">
        <f t="shared" si="15"/>
        <v>97472.658245039987</v>
      </c>
      <c r="J26" s="284">
        <f t="shared" si="15"/>
        <v>97472.658245039987</v>
      </c>
      <c r="K26" s="284">
        <f t="shared" si="15"/>
        <v>97472.658245039987</v>
      </c>
      <c r="L26" s="284">
        <f t="shared" si="15"/>
        <v>97472.658245039987</v>
      </c>
      <c r="M26" s="284">
        <f t="shared" si="15"/>
        <v>97472.658245039987</v>
      </c>
      <c r="N26" s="284">
        <f t="shared" si="15"/>
        <v>97472.658245039987</v>
      </c>
      <c r="O26" s="284">
        <f t="shared" si="15"/>
        <v>97472.658245039987</v>
      </c>
      <c r="P26" s="284">
        <f t="shared" si="15"/>
        <v>97472.658245039987</v>
      </c>
      <c r="Q26" s="284">
        <f t="shared" si="15"/>
        <v>97472.658245039987</v>
      </c>
      <c r="R26" s="284">
        <f t="shared" si="15"/>
        <v>97472.658245039987</v>
      </c>
      <c r="S26" s="284">
        <f t="shared" si="15"/>
        <v>97472.658245039987</v>
      </c>
      <c r="T26" s="284">
        <f t="shared" si="15"/>
        <v>97472.658245039987</v>
      </c>
      <c r="U26" s="284">
        <f t="shared" si="15"/>
        <v>97472.658245039987</v>
      </c>
      <c r="V26" s="284">
        <f t="shared" si="15"/>
        <v>97472.658245039987</v>
      </c>
      <c r="W26" s="284">
        <f t="shared" si="15"/>
        <v>97472.658245039987</v>
      </c>
      <c r="X26" s="284">
        <f t="shared" si="15"/>
        <v>97472.658245039987</v>
      </c>
      <c r="Y26" s="284">
        <f t="shared" si="15"/>
        <v>97472.658245039987</v>
      </c>
      <c r="Z26" s="284">
        <f t="shared" si="15"/>
        <v>97472.658245039987</v>
      </c>
      <c r="AA26" s="284">
        <f t="shared" si="15"/>
        <v>97472.658245039987</v>
      </c>
      <c r="AB26" s="284">
        <f t="shared" si="15"/>
        <v>97472.658245039987</v>
      </c>
      <c r="AC26" s="284">
        <f t="shared" si="15"/>
        <v>97472.658245039987</v>
      </c>
      <c r="AD26" s="284">
        <f t="shared" si="15"/>
        <v>97472.658245039987</v>
      </c>
      <c r="AE26" s="284">
        <f t="shared" si="15"/>
        <v>97472.658245039987</v>
      </c>
      <c r="AF26" s="284">
        <f t="shared" si="15"/>
        <v>97472.658245039987</v>
      </c>
      <c r="AG26" s="284">
        <f t="shared" si="15"/>
        <v>97472.658245039987</v>
      </c>
      <c r="AH26" s="284">
        <f t="shared" si="15"/>
        <v>97472.658245039987</v>
      </c>
      <c r="AI26" s="284">
        <f t="shared" si="15"/>
        <v>97472.658245039987</v>
      </c>
      <c r="AJ26" s="284">
        <f t="shared" si="15"/>
        <v>97472.658245039987</v>
      </c>
      <c r="AK26" s="284">
        <f t="shared" si="15"/>
        <v>97472.658245039987</v>
      </c>
      <c r="AL26" s="284">
        <f t="shared" si="15"/>
        <v>97472.658245039987</v>
      </c>
      <c r="AM26" s="3"/>
      <c r="AN26" s="3"/>
    </row>
    <row r="27" spans="2:40" x14ac:dyDescent="0.3">
      <c r="B27" s="274"/>
      <c r="C27" s="275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3"/>
      <c r="AN27" s="3"/>
    </row>
    <row r="28" spans="2:40" x14ac:dyDescent="0.3">
      <c r="B28" s="274" t="s">
        <v>253</v>
      </c>
      <c r="C28" s="275"/>
      <c r="D28" s="367">
        <v>0.05</v>
      </c>
      <c r="E28" s="367">
        <v>0.05</v>
      </c>
      <c r="F28" s="367">
        <v>0.05</v>
      </c>
      <c r="G28" s="367">
        <v>0.05</v>
      </c>
      <c r="H28" s="367">
        <v>0.05</v>
      </c>
      <c r="I28" s="367">
        <v>0.05</v>
      </c>
      <c r="J28" s="367">
        <v>0.05</v>
      </c>
      <c r="K28" s="367">
        <v>0.05</v>
      </c>
      <c r="L28" s="367">
        <v>0.05</v>
      </c>
      <c r="M28" s="367">
        <v>0.05</v>
      </c>
      <c r="N28" s="367">
        <v>0.02</v>
      </c>
      <c r="O28" s="367">
        <v>0.02</v>
      </c>
      <c r="P28" s="367">
        <v>0.02</v>
      </c>
      <c r="Q28" s="367">
        <v>0.02</v>
      </c>
      <c r="R28" s="367">
        <v>0.02</v>
      </c>
      <c r="S28" s="367">
        <v>0.02</v>
      </c>
      <c r="T28" s="367">
        <v>0.02</v>
      </c>
      <c r="U28" s="367">
        <v>0.02</v>
      </c>
      <c r="V28" s="367">
        <v>0.02</v>
      </c>
      <c r="W28" s="367">
        <v>0.02</v>
      </c>
      <c r="X28" s="367">
        <v>0.02</v>
      </c>
      <c r="Y28" s="367">
        <v>0.02</v>
      </c>
      <c r="Z28" s="367">
        <v>0.02</v>
      </c>
      <c r="AA28" s="367">
        <v>0.02</v>
      </c>
      <c r="AB28" s="367">
        <v>0.02</v>
      </c>
      <c r="AC28" s="367">
        <v>0.03</v>
      </c>
      <c r="AD28" s="367">
        <f>AC28</f>
        <v>0.03</v>
      </c>
      <c r="AE28" s="367">
        <f>AD28</f>
        <v>0.03</v>
      </c>
      <c r="AF28" s="367">
        <f>AE28</f>
        <v>0.03</v>
      </c>
      <c r="AG28" s="367">
        <f>AF28</f>
        <v>0.03</v>
      </c>
      <c r="AH28" s="367">
        <f t="shared" ref="AH28:AK28" si="16">AG28</f>
        <v>0.03</v>
      </c>
      <c r="AI28" s="367">
        <f t="shared" si="16"/>
        <v>0.03</v>
      </c>
      <c r="AJ28" s="367">
        <f t="shared" si="16"/>
        <v>0.03</v>
      </c>
      <c r="AK28" s="367">
        <f t="shared" si="16"/>
        <v>0.03</v>
      </c>
      <c r="AL28" s="367">
        <f t="shared" ref="AL28" si="17">AK28</f>
        <v>0.03</v>
      </c>
      <c r="AM28" s="73"/>
    </row>
    <row r="29" spans="2:40" x14ac:dyDescent="0.3">
      <c r="B29" s="274" t="s">
        <v>254</v>
      </c>
      <c r="C29" s="275"/>
      <c r="D29" s="148">
        <f>D28*$B$23</f>
        <v>97472658.245039999</v>
      </c>
      <c r="E29" s="148">
        <f t="shared" ref="E29:AK29" si="18">E28*$B$23</f>
        <v>97472658.245039999</v>
      </c>
      <c r="F29" s="148">
        <f t="shared" si="18"/>
        <v>97472658.245039999</v>
      </c>
      <c r="G29" s="148">
        <f t="shared" si="18"/>
        <v>97472658.245039999</v>
      </c>
      <c r="H29" s="148">
        <f t="shared" si="18"/>
        <v>97472658.245039999</v>
      </c>
      <c r="I29" s="148">
        <f t="shared" si="18"/>
        <v>97472658.245039999</v>
      </c>
      <c r="J29" s="148">
        <f t="shared" si="18"/>
        <v>97472658.245039999</v>
      </c>
      <c r="K29" s="148">
        <f t="shared" si="18"/>
        <v>97472658.245039999</v>
      </c>
      <c r="L29" s="148">
        <f t="shared" si="18"/>
        <v>97472658.245039999</v>
      </c>
      <c r="M29" s="148">
        <f t="shared" si="18"/>
        <v>97472658.245039999</v>
      </c>
      <c r="N29" s="148">
        <f t="shared" si="18"/>
        <v>38989063.298015997</v>
      </c>
      <c r="O29" s="148">
        <f t="shared" si="18"/>
        <v>38989063.298015997</v>
      </c>
      <c r="P29" s="148">
        <f t="shared" si="18"/>
        <v>38989063.298015997</v>
      </c>
      <c r="Q29" s="148">
        <f t="shared" si="18"/>
        <v>38989063.298015997</v>
      </c>
      <c r="R29" s="148">
        <f t="shared" si="18"/>
        <v>38989063.298015997</v>
      </c>
      <c r="S29" s="148">
        <f t="shared" si="18"/>
        <v>38989063.298015997</v>
      </c>
      <c r="T29" s="148">
        <f t="shared" si="18"/>
        <v>38989063.298015997</v>
      </c>
      <c r="U29" s="148">
        <f t="shared" si="18"/>
        <v>38989063.298015997</v>
      </c>
      <c r="V29" s="148">
        <f t="shared" si="18"/>
        <v>38989063.298015997</v>
      </c>
      <c r="W29" s="148">
        <f t="shared" si="18"/>
        <v>38989063.298015997</v>
      </c>
      <c r="X29" s="148">
        <f t="shared" si="18"/>
        <v>38989063.298015997</v>
      </c>
      <c r="Y29" s="148">
        <f t="shared" si="18"/>
        <v>38989063.298015997</v>
      </c>
      <c r="Z29" s="148">
        <f t="shared" si="18"/>
        <v>38989063.298015997</v>
      </c>
      <c r="AA29" s="148">
        <f t="shared" si="18"/>
        <v>38989063.298015997</v>
      </c>
      <c r="AB29" s="148">
        <f t="shared" si="18"/>
        <v>38989063.298015997</v>
      </c>
      <c r="AC29" s="148">
        <f t="shared" si="18"/>
        <v>58483594.947023988</v>
      </c>
      <c r="AD29" s="148">
        <f t="shared" si="18"/>
        <v>58483594.947023988</v>
      </c>
      <c r="AE29" s="148">
        <f t="shared" si="18"/>
        <v>58483594.947023988</v>
      </c>
      <c r="AF29" s="148">
        <f t="shared" si="18"/>
        <v>58483594.947023988</v>
      </c>
      <c r="AG29" s="148">
        <f t="shared" si="18"/>
        <v>58483594.947023988</v>
      </c>
      <c r="AH29" s="148">
        <f t="shared" si="18"/>
        <v>58483594.947023988</v>
      </c>
      <c r="AI29" s="148">
        <f t="shared" si="18"/>
        <v>58483594.947023988</v>
      </c>
      <c r="AJ29" s="148">
        <f t="shared" si="18"/>
        <v>58483594.947023988</v>
      </c>
      <c r="AK29" s="148">
        <f t="shared" si="18"/>
        <v>58483594.947023988</v>
      </c>
      <c r="AL29" s="148">
        <f>AL28*$B$23</f>
        <v>58483594.947023988</v>
      </c>
      <c r="AM29" s="73"/>
    </row>
    <row r="30" spans="2:40" x14ac:dyDescent="0.3">
      <c r="B30" s="274"/>
      <c r="C30" s="275"/>
      <c r="D30" s="4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2"/>
      <c r="T30" s="272"/>
      <c r="U30" s="272"/>
      <c r="V30" s="272"/>
      <c r="W30" s="272"/>
      <c r="X30" s="272"/>
      <c r="Y30" s="272"/>
      <c r="Z30" s="272"/>
      <c r="AA30" s="272"/>
      <c r="AB30" s="272"/>
      <c r="AC30" s="272"/>
      <c r="AD30" s="272"/>
      <c r="AE30" s="272"/>
      <c r="AF30" s="272"/>
      <c r="AG30" s="272"/>
      <c r="AH30" s="272"/>
      <c r="AI30" s="272"/>
      <c r="AJ30" s="272"/>
      <c r="AK30" s="272"/>
      <c r="AL30" s="272"/>
      <c r="AM30" s="3"/>
    </row>
    <row r="31" spans="2:40" x14ac:dyDescent="0.3">
      <c r="B31" s="277" t="s">
        <v>238</v>
      </c>
      <c r="C31" s="278"/>
      <c r="D31" s="319">
        <v>7.4999999999999997E-3</v>
      </c>
      <c r="E31" s="319">
        <v>7.4999999999999997E-3</v>
      </c>
      <c r="F31" s="319">
        <v>7.4999999999999997E-3</v>
      </c>
      <c r="G31" s="319">
        <v>7.4999999999999997E-3</v>
      </c>
      <c r="H31" s="319">
        <v>7.4999999999999997E-3</v>
      </c>
      <c r="I31" s="319">
        <v>7.4999999999999997E-3</v>
      </c>
      <c r="J31" s="319">
        <v>7.4999999999999997E-3</v>
      </c>
      <c r="K31" s="319">
        <v>7.4999999999999997E-3</v>
      </c>
      <c r="L31" s="319">
        <v>7.4999999999999997E-3</v>
      </c>
      <c r="M31" s="319">
        <v>7.4999999999999997E-3</v>
      </c>
      <c r="N31" s="319">
        <v>7.4999999999999997E-3</v>
      </c>
      <c r="O31" s="319">
        <v>7.4999999999999997E-3</v>
      </c>
      <c r="P31" s="319">
        <v>7.4999999999999997E-3</v>
      </c>
      <c r="Q31" s="319">
        <v>7.4999999999999997E-3</v>
      </c>
      <c r="R31" s="319">
        <v>7.4999999999999997E-3</v>
      </c>
      <c r="S31" s="319">
        <v>7.4999999999999997E-3</v>
      </c>
      <c r="T31" s="319">
        <v>7.4999999999999997E-3</v>
      </c>
      <c r="U31" s="319">
        <v>7.4999999999999997E-3</v>
      </c>
      <c r="V31" s="319">
        <v>7.4999999999999997E-3</v>
      </c>
      <c r="W31" s="319">
        <v>7.4999999999999997E-3</v>
      </c>
      <c r="X31" s="319">
        <v>7.4999999999999997E-3</v>
      </c>
      <c r="Y31" s="319">
        <v>7.4999999999999997E-3</v>
      </c>
      <c r="Z31" s="319">
        <v>7.4999999999999997E-3</v>
      </c>
      <c r="AA31" s="319">
        <v>7.4999999999999997E-3</v>
      </c>
      <c r="AB31" s="319">
        <v>7.4999999999999997E-3</v>
      </c>
      <c r="AC31" s="319">
        <v>7.4999999999999997E-3</v>
      </c>
      <c r="AD31" s="319">
        <v>7.4999999999999997E-3</v>
      </c>
      <c r="AE31" s="319">
        <v>7.4999999999999997E-3</v>
      </c>
      <c r="AF31" s="319">
        <v>7.4999999999999997E-3</v>
      </c>
      <c r="AG31" s="319">
        <v>7.4999999999999997E-3</v>
      </c>
      <c r="AH31" s="319">
        <v>7.4999999999999997E-3</v>
      </c>
      <c r="AI31" s="319">
        <v>7.4999999999999997E-3</v>
      </c>
      <c r="AJ31" s="319">
        <v>7.4999999999999997E-3</v>
      </c>
      <c r="AK31" s="319">
        <v>7.4999999999999997E-3</v>
      </c>
      <c r="AL31" s="319">
        <v>7.4999999999999997E-3</v>
      </c>
      <c r="AM31" s="3"/>
    </row>
    <row r="32" spans="2:40" x14ac:dyDescent="0.3">
      <c r="B32" s="274"/>
      <c r="C32" s="275"/>
      <c r="D32" s="148">
        <f>D31*D29</f>
        <v>731044.93683779996</v>
      </c>
      <c r="E32" s="148">
        <f t="shared" ref="E32:AG32" si="19">E31*E29</f>
        <v>731044.93683779996</v>
      </c>
      <c r="F32" s="148">
        <f t="shared" si="19"/>
        <v>731044.93683779996</v>
      </c>
      <c r="G32" s="148">
        <f t="shared" si="19"/>
        <v>731044.93683779996</v>
      </c>
      <c r="H32" s="148">
        <f t="shared" si="19"/>
        <v>731044.93683779996</v>
      </c>
      <c r="I32" s="148">
        <f t="shared" si="19"/>
        <v>731044.93683779996</v>
      </c>
      <c r="J32" s="148">
        <f t="shared" si="19"/>
        <v>731044.93683779996</v>
      </c>
      <c r="K32" s="148">
        <f t="shared" si="19"/>
        <v>731044.93683779996</v>
      </c>
      <c r="L32" s="148">
        <f t="shared" si="19"/>
        <v>731044.93683779996</v>
      </c>
      <c r="M32" s="148">
        <f t="shared" si="19"/>
        <v>731044.93683779996</v>
      </c>
      <c r="N32" s="148">
        <f t="shared" si="19"/>
        <v>292417.97473511996</v>
      </c>
      <c r="O32" s="148">
        <f t="shared" si="19"/>
        <v>292417.97473511996</v>
      </c>
      <c r="P32" s="148">
        <f t="shared" si="19"/>
        <v>292417.97473511996</v>
      </c>
      <c r="Q32" s="148">
        <f t="shared" si="19"/>
        <v>292417.97473511996</v>
      </c>
      <c r="R32" s="148">
        <f t="shared" si="19"/>
        <v>292417.97473511996</v>
      </c>
      <c r="S32" s="148">
        <f t="shared" si="19"/>
        <v>292417.97473511996</v>
      </c>
      <c r="T32" s="148">
        <f t="shared" si="19"/>
        <v>292417.97473511996</v>
      </c>
      <c r="U32" s="148">
        <f t="shared" si="19"/>
        <v>292417.97473511996</v>
      </c>
      <c r="V32" s="148">
        <f t="shared" si="19"/>
        <v>292417.97473511996</v>
      </c>
      <c r="W32" s="148">
        <f t="shared" si="19"/>
        <v>292417.97473511996</v>
      </c>
      <c r="X32" s="148">
        <f t="shared" si="19"/>
        <v>292417.97473511996</v>
      </c>
      <c r="Y32" s="148">
        <f t="shared" si="19"/>
        <v>292417.97473511996</v>
      </c>
      <c r="Z32" s="148">
        <f t="shared" si="19"/>
        <v>292417.97473511996</v>
      </c>
      <c r="AA32" s="148">
        <f t="shared" si="19"/>
        <v>292417.97473511996</v>
      </c>
      <c r="AB32" s="148">
        <f t="shared" si="19"/>
        <v>292417.97473511996</v>
      </c>
      <c r="AC32" s="148">
        <f t="shared" si="19"/>
        <v>438626.96210267988</v>
      </c>
      <c r="AD32" s="148">
        <f t="shared" si="19"/>
        <v>438626.96210267988</v>
      </c>
      <c r="AE32" s="148">
        <f t="shared" si="19"/>
        <v>438626.96210267988</v>
      </c>
      <c r="AF32" s="148">
        <f t="shared" si="19"/>
        <v>438626.96210267988</v>
      </c>
      <c r="AG32" s="148">
        <f t="shared" si="19"/>
        <v>438626.96210267988</v>
      </c>
      <c r="AH32" s="148">
        <f t="shared" ref="AH32:AK32" si="20">AH31*AH29</f>
        <v>438626.96210267988</v>
      </c>
      <c r="AI32" s="148">
        <f t="shared" si="20"/>
        <v>438626.96210267988</v>
      </c>
      <c r="AJ32" s="148">
        <f t="shared" si="20"/>
        <v>438626.96210267988</v>
      </c>
      <c r="AK32" s="148">
        <f t="shared" si="20"/>
        <v>438626.96210267988</v>
      </c>
      <c r="AL32" s="148">
        <f t="shared" ref="AL32" si="21">AL31*AL29</f>
        <v>438626.96210267988</v>
      </c>
      <c r="AM32" s="3"/>
    </row>
    <row r="33" spans="2:39" x14ac:dyDescent="0.3">
      <c r="B33" s="274"/>
      <c r="C33" s="275"/>
      <c r="D33" s="4"/>
      <c r="E33" s="279"/>
      <c r="F33" s="279"/>
      <c r="G33" s="279"/>
      <c r="H33" s="279"/>
      <c r="I33" s="279"/>
      <c r="J33" s="279"/>
      <c r="K33" s="280"/>
      <c r="L33" s="280"/>
      <c r="M33" s="280"/>
      <c r="N33" s="280"/>
      <c r="O33" s="280"/>
      <c r="P33" s="280"/>
      <c r="Q33" s="280"/>
      <c r="R33" s="280"/>
      <c r="S33" s="280"/>
      <c r="T33" s="280"/>
      <c r="U33" s="280"/>
      <c r="V33" s="280"/>
      <c r="W33" s="280"/>
      <c r="X33" s="280"/>
      <c r="Y33" s="280"/>
      <c r="Z33" s="280"/>
      <c r="AA33" s="280"/>
      <c r="AB33" s="280"/>
      <c r="AC33" s="280"/>
      <c r="AD33" s="280"/>
      <c r="AE33" s="280"/>
      <c r="AF33" s="280"/>
      <c r="AG33" s="280"/>
      <c r="AH33" s="280"/>
      <c r="AI33" s="280"/>
      <c r="AJ33" s="280"/>
      <c r="AK33" s="280"/>
      <c r="AL33" s="280"/>
      <c r="AM33" s="3"/>
    </row>
    <row r="34" spans="2:39" x14ac:dyDescent="0.3">
      <c r="B34" s="281" t="s">
        <v>255</v>
      </c>
      <c r="C34" s="282"/>
      <c r="D34" s="285">
        <f>D32/$B$23</f>
        <v>3.7500000000000001E-4</v>
      </c>
      <c r="E34" s="285">
        <f t="shared" ref="E34:AF34" si="22">E32/$B$23</f>
        <v>3.7500000000000001E-4</v>
      </c>
      <c r="F34" s="285">
        <f t="shared" si="22"/>
        <v>3.7500000000000001E-4</v>
      </c>
      <c r="G34" s="285">
        <f t="shared" si="22"/>
        <v>3.7500000000000001E-4</v>
      </c>
      <c r="H34" s="285">
        <f t="shared" si="22"/>
        <v>3.7500000000000001E-4</v>
      </c>
      <c r="I34" s="285">
        <f t="shared" si="22"/>
        <v>3.7500000000000001E-4</v>
      </c>
      <c r="J34" s="285">
        <f t="shared" si="22"/>
        <v>3.7500000000000001E-4</v>
      </c>
      <c r="K34" s="285">
        <f t="shared" si="22"/>
        <v>3.7500000000000001E-4</v>
      </c>
      <c r="L34" s="285">
        <f t="shared" si="22"/>
        <v>3.7500000000000001E-4</v>
      </c>
      <c r="M34" s="285">
        <f t="shared" si="22"/>
        <v>3.7500000000000001E-4</v>
      </c>
      <c r="N34" s="285">
        <f t="shared" si="22"/>
        <v>1.4999999999999999E-4</v>
      </c>
      <c r="O34" s="285">
        <f t="shared" si="22"/>
        <v>1.4999999999999999E-4</v>
      </c>
      <c r="P34" s="285">
        <f t="shared" si="22"/>
        <v>1.4999999999999999E-4</v>
      </c>
      <c r="Q34" s="285">
        <f t="shared" si="22"/>
        <v>1.4999999999999999E-4</v>
      </c>
      <c r="R34" s="285">
        <f t="shared" si="22"/>
        <v>1.4999999999999999E-4</v>
      </c>
      <c r="S34" s="285">
        <f t="shared" si="22"/>
        <v>1.4999999999999999E-4</v>
      </c>
      <c r="T34" s="285">
        <f t="shared" si="22"/>
        <v>1.4999999999999999E-4</v>
      </c>
      <c r="U34" s="285">
        <f t="shared" si="22"/>
        <v>1.4999999999999999E-4</v>
      </c>
      <c r="V34" s="285">
        <f t="shared" si="22"/>
        <v>1.4999999999999999E-4</v>
      </c>
      <c r="W34" s="285">
        <f t="shared" si="22"/>
        <v>1.4999999999999999E-4</v>
      </c>
      <c r="X34" s="285">
        <f t="shared" si="22"/>
        <v>1.4999999999999999E-4</v>
      </c>
      <c r="Y34" s="285">
        <f t="shared" si="22"/>
        <v>1.4999999999999999E-4</v>
      </c>
      <c r="Z34" s="285">
        <f t="shared" si="22"/>
        <v>1.4999999999999999E-4</v>
      </c>
      <c r="AA34" s="285">
        <f t="shared" si="22"/>
        <v>1.4999999999999999E-4</v>
      </c>
      <c r="AB34" s="285">
        <f t="shared" si="22"/>
        <v>1.4999999999999999E-4</v>
      </c>
      <c r="AC34" s="285">
        <f t="shared" si="22"/>
        <v>2.2499999999999997E-4</v>
      </c>
      <c r="AD34" s="285">
        <f t="shared" si="22"/>
        <v>2.2499999999999997E-4</v>
      </c>
      <c r="AE34" s="285">
        <f t="shared" si="22"/>
        <v>2.2499999999999997E-4</v>
      </c>
      <c r="AF34" s="285">
        <f t="shared" si="22"/>
        <v>2.2499999999999997E-4</v>
      </c>
      <c r="AG34" s="285">
        <f>AG32/$B$23</f>
        <v>2.2499999999999997E-4</v>
      </c>
      <c r="AH34" s="285">
        <f t="shared" ref="AH34:AK34" si="23">AH32/$B$23</f>
        <v>2.2499999999999997E-4</v>
      </c>
      <c r="AI34" s="285">
        <f t="shared" si="23"/>
        <v>2.2499999999999997E-4</v>
      </c>
      <c r="AJ34" s="285">
        <f t="shared" si="23"/>
        <v>2.2499999999999997E-4</v>
      </c>
      <c r="AK34" s="285">
        <f t="shared" si="23"/>
        <v>2.2499999999999997E-4</v>
      </c>
      <c r="AL34" s="285">
        <f t="shared" ref="AL34" si="24">AL32/$B$23</f>
        <v>2.2499999999999997E-4</v>
      </c>
      <c r="AM34" s="3"/>
    </row>
    <row r="35" spans="2:39" x14ac:dyDescent="0.3">
      <c r="B35" s="74"/>
      <c r="C35" s="74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</row>
    <row r="37" spans="2:39" x14ac:dyDescent="0.3"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</row>
    <row r="39" spans="2:39" x14ac:dyDescent="0.3"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</row>
    <row r="41" spans="2:39" x14ac:dyDescent="0.3"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</row>
    <row r="42" spans="2:39" x14ac:dyDescent="0.3"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</row>
    <row r="44" spans="2:39" x14ac:dyDescent="0.3"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</row>
    <row r="46" spans="2:39" x14ac:dyDescent="0.3"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</row>
  </sheetData>
  <mergeCells count="4">
    <mergeCell ref="A3:B3"/>
    <mergeCell ref="A4:A7"/>
    <mergeCell ref="A8:A10"/>
    <mergeCell ref="B8:B10"/>
  </mergeCells>
  <pageMargins left="0.511811024" right="0.511811024" top="0.78740157499999996" bottom="0.78740157499999996" header="0.31496062000000002" footer="0.31496062000000002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BB157"/>
  <sheetViews>
    <sheetView showGridLines="0" zoomScaleNormal="100" workbookViewId="0">
      <selection activeCell="H4" sqref="H4"/>
    </sheetView>
  </sheetViews>
  <sheetFormatPr defaultColWidth="0" defaultRowHeight="14.4" x14ac:dyDescent="0.3"/>
  <cols>
    <col min="1" max="1" width="12" style="288" customWidth="1"/>
    <col min="2" max="2" width="16.5546875" style="288" bestFit="1" customWidth="1"/>
    <col min="3" max="3" width="42.5546875" style="301" bestFit="1" customWidth="1"/>
    <col min="4" max="4" width="2.88671875" style="288" bestFit="1" customWidth="1"/>
    <col min="5" max="5" width="8.109375" style="288" customWidth="1"/>
    <col min="6" max="6" width="15.6640625" style="288" bestFit="1" customWidth="1"/>
    <col min="7" max="7" width="17" style="288" bestFit="1" customWidth="1"/>
    <col min="8" max="8" width="15" style="288" bestFit="1" customWidth="1"/>
    <col min="9" max="10" width="15.33203125" style="288" bestFit="1" customWidth="1"/>
    <col min="11" max="11" width="16.33203125" style="288" bestFit="1" customWidth="1"/>
    <col min="12" max="15" width="15.33203125" style="288" bestFit="1" customWidth="1"/>
    <col min="16" max="16" width="15" style="288" bestFit="1" customWidth="1"/>
    <col min="17" max="23" width="15.33203125" style="288" bestFit="1" customWidth="1"/>
    <col min="24" max="25" width="15" style="288" bestFit="1" customWidth="1"/>
    <col min="26" max="35" width="15.33203125" style="288" bestFit="1" customWidth="1"/>
    <col min="36" max="36" width="16" style="288" bestFit="1" customWidth="1"/>
    <col min="37" max="37" width="15.33203125" style="288" bestFit="1" customWidth="1"/>
    <col min="38" max="42" width="15.33203125" style="288" customWidth="1"/>
    <col min="43" max="43" width="16" style="288" bestFit="1" customWidth="1"/>
    <col min="44" max="44" width="8.6640625" style="288" customWidth="1"/>
    <col min="45" max="48" width="14" style="288" bestFit="1" customWidth="1"/>
    <col min="49" max="49" width="8.6640625" style="288" customWidth="1"/>
    <col min="50" max="54" width="0" style="288" hidden="1" customWidth="1"/>
    <col min="55" max="16384" width="2.5546875" style="288" hidden="1"/>
  </cols>
  <sheetData>
    <row r="1" spans="1:49" x14ac:dyDescent="0.3">
      <c r="A1" s="318" t="s">
        <v>522</v>
      </c>
      <c r="B1" s="1158">
        <f>AP4</f>
        <v>2061</v>
      </c>
      <c r="C1" s="1159" t="s">
        <v>384</v>
      </c>
      <c r="D1" s="1159"/>
      <c r="E1" s="1159"/>
      <c r="F1" s="1159"/>
      <c r="G1" s="1159"/>
      <c r="H1" s="302">
        <f>H4</f>
        <v>2027</v>
      </c>
      <c r="I1" s="302">
        <f t="shared" ref="I1:AJ1" si="0">I4</f>
        <v>2028</v>
      </c>
      <c r="J1" s="302">
        <f t="shared" si="0"/>
        <v>2029</v>
      </c>
      <c r="K1" s="302">
        <f t="shared" si="0"/>
        <v>2030</v>
      </c>
      <c r="L1" s="302">
        <f t="shared" si="0"/>
        <v>2031</v>
      </c>
      <c r="M1" s="302">
        <f t="shared" si="0"/>
        <v>2032</v>
      </c>
      <c r="N1" s="302">
        <f t="shared" si="0"/>
        <v>2033</v>
      </c>
      <c r="O1" s="302">
        <f t="shared" si="0"/>
        <v>2034</v>
      </c>
      <c r="P1" s="302">
        <f t="shared" si="0"/>
        <v>2035</v>
      </c>
      <c r="Q1" s="302">
        <f t="shared" si="0"/>
        <v>2036</v>
      </c>
      <c r="R1" s="302">
        <f t="shared" si="0"/>
        <v>2037</v>
      </c>
      <c r="S1" s="302">
        <f t="shared" si="0"/>
        <v>2038</v>
      </c>
      <c r="T1" s="302">
        <f t="shared" si="0"/>
        <v>2039</v>
      </c>
      <c r="U1" s="302">
        <f t="shared" si="0"/>
        <v>2040</v>
      </c>
      <c r="V1" s="302">
        <f t="shared" si="0"/>
        <v>2041</v>
      </c>
      <c r="W1" s="302">
        <f t="shared" si="0"/>
        <v>2042</v>
      </c>
      <c r="X1" s="302">
        <f t="shared" si="0"/>
        <v>2043</v>
      </c>
      <c r="Y1" s="302">
        <f t="shared" si="0"/>
        <v>2044</v>
      </c>
      <c r="Z1" s="302">
        <f t="shared" si="0"/>
        <v>2045</v>
      </c>
      <c r="AA1" s="302">
        <f t="shared" si="0"/>
        <v>2046</v>
      </c>
      <c r="AB1" s="302">
        <f t="shared" si="0"/>
        <v>2047</v>
      </c>
      <c r="AC1" s="302">
        <f t="shared" si="0"/>
        <v>2048</v>
      </c>
      <c r="AD1" s="302">
        <f t="shared" si="0"/>
        <v>2049</v>
      </c>
      <c r="AE1" s="302">
        <f t="shared" si="0"/>
        <v>2050</v>
      </c>
      <c r="AF1" s="302">
        <f t="shared" si="0"/>
        <v>2051</v>
      </c>
      <c r="AG1" s="302">
        <f t="shared" si="0"/>
        <v>2052</v>
      </c>
      <c r="AH1" s="302">
        <f t="shared" si="0"/>
        <v>2053</v>
      </c>
      <c r="AI1" s="302">
        <f t="shared" si="0"/>
        <v>2054</v>
      </c>
      <c r="AJ1" s="302">
        <f t="shared" si="0"/>
        <v>2055</v>
      </c>
      <c r="AK1" s="302">
        <f>AK4</f>
        <v>2056</v>
      </c>
      <c r="AL1" s="302">
        <f t="shared" ref="AL1:AP1" si="1">AL4</f>
        <v>2057</v>
      </c>
      <c r="AM1" s="302">
        <f t="shared" si="1"/>
        <v>2058</v>
      </c>
      <c r="AN1" s="302">
        <f t="shared" si="1"/>
        <v>2059</v>
      </c>
      <c r="AO1" s="302">
        <f t="shared" si="1"/>
        <v>2060</v>
      </c>
      <c r="AP1" s="302">
        <f t="shared" si="1"/>
        <v>2061</v>
      </c>
      <c r="AQ1" s="303" t="s">
        <v>5</v>
      </c>
    </row>
    <row r="2" spans="1:49" ht="15" thickBot="1" x14ac:dyDescent="0.35">
      <c r="A2" s="147" t="s">
        <v>528</v>
      </c>
      <c r="B2" s="1158"/>
      <c r="C2" s="1160"/>
      <c r="D2" s="1160"/>
      <c r="E2" s="1160"/>
      <c r="F2" s="1160"/>
      <c r="G2" s="1160"/>
      <c r="H2" s="304">
        <f>H40</f>
        <v>157304.924</v>
      </c>
      <c r="I2" s="304">
        <f t="shared" ref="I2:AK2" si="2">I40</f>
        <v>1590423.6372352941</v>
      </c>
      <c r="J2" s="304">
        <f t="shared" si="2"/>
        <v>2945712.7435989305</v>
      </c>
      <c r="K2" s="304">
        <f t="shared" si="2"/>
        <v>4328310.2185989302</v>
      </c>
      <c r="L2" s="304">
        <f t="shared" si="2"/>
        <v>5777812.2224698979</v>
      </c>
      <c r="M2" s="304">
        <f t="shared" si="2"/>
        <v>6262958.3478032313</v>
      </c>
      <c r="N2" s="304">
        <f t="shared" si="2"/>
        <v>6765918.0367687484</v>
      </c>
      <c r="O2" s="304">
        <f t="shared" si="2"/>
        <v>7062093.0067687482</v>
      </c>
      <c r="P2" s="304">
        <f t="shared" si="2"/>
        <v>7366036.9556576367</v>
      </c>
      <c r="Q2" s="304">
        <f t="shared" si="2"/>
        <v>7678231.2210422521</v>
      </c>
      <c r="R2" s="304">
        <f t="shared" si="2"/>
        <v>7999507.9726422522</v>
      </c>
      <c r="S2" s="304">
        <f t="shared" si="2"/>
        <v>8330273.0401422521</v>
      </c>
      <c r="T2" s="304">
        <f t="shared" si="2"/>
        <v>8481480.9684031215</v>
      </c>
      <c r="U2" s="304">
        <f t="shared" si="2"/>
        <v>8632882.5047667585</v>
      </c>
      <c r="V2" s="304">
        <f t="shared" si="2"/>
        <v>8784962.5914334245</v>
      </c>
      <c r="W2" s="304">
        <f t="shared" si="2"/>
        <v>8937789.0834334251</v>
      </c>
      <c r="X2" s="304">
        <f t="shared" si="2"/>
        <v>9091440.5497492142</v>
      </c>
      <c r="Y2" s="304">
        <f t="shared" si="2"/>
        <v>9246552.9080825467</v>
      </c>
      <c r="Z2" s="304">
        <f t="shared" si="2"/>
        <v>9403798.9774943106</v>
      </c>
      <c r="AA2" s="304">
        <f t="shared" si="2"/>
        <v>9562993.2399943098</v>
      </c>
      <c r="AB2" s="304">
        <f t="shared" si="2"/>
        <v>9724963.1973276436</v>
      </c>
      <c r="AC2" s="304">
        <f t="shared" si="2"/>
        <v>9890805.1323276442</v>
      </c>
      <c r="AD2" s="304">
        <f t="shared" si="2"/>
        <v>10061769.821558414</v>
      </c>
      <c r="AE2" s="304">
        <f t="shared" si="2"/>
        <v>10238108.081558414</v>
      </c>
      <c r="AF2" s="304">
        <f t="shared" si="2"/>
        <v>10421571.119740233</v>
      </c>
      <c r="AG2" s="304">
        <f t="shared" si="2"/>
        <v>10613583.891740233</v>
      </c>
      <c r="AH2" s="304">
        <f t="shared" si="2"/>
        <v>10817134.846184677</v>
      </c>
      <c r="AI2" s="304">
        <f t="shared" si="2"/>
        <v>11035108.528684676</v>
      </c>
      <c r="AJ2" s="304">
        <f t="shared" si="2"/>
        <v>11271625.718684675</v>
      </c>
      <c r="AK2" s="304">
        <f t="shared" si="2"/>
        <v>11534500.347018009</v>
      </c>
      <c r="AL2" s="304">
        <f t="shared" ref="AL2:AP2" si="3">AL40</f>
        <v>11835978.617018009</v>
      </c>
      <c r="AM2" s="304">
        <f t="shared" si="3"/>
        <v>12193553.422018008</v>
      </c>
      <c r="AN2" s="304">
        <f t="shared" si="3"/>
        <v>12647461.165351342</v>
      </c>
      <c r="AO2" s="304">
        <f t="shared" si="3"/>
        <v>13308729.640351342</v>
      </c>
      <c r="AP2" s="304">
        <f t="shared" si="3"/>
        <v>12005785.830351342</v>
      </c>
      <c r="AQ2" s="305">
        <f>AQ40</f>
        <v>0</v>
      </c>
    </row>
    <row r="3" spans="1:49" ht="15" thickBot="1" x14ac:dyDescent="0.35">
      <c r="A3" s="222" t="s">
        <v>524</v>
      </c>
      <c r="B3" s="1158"/>
      <c r="C3" s="1161" t="s">
        <v>385</v>
      </c>
      <c r="D3" s="1161"/>
      <c r="E3" s="1161"/>
      <c r="F3" s="1161"/>
      <c r="G3" s="1162"/>
      <c r="H3" s="291"/>
      <c r="AQ3" s="292"/>
    </row>
    <row r="4" spans="1:49" s="293" customFormat="1" x14ac:dyDescent="0.3">
      <c r="B4" s="1163">
        <v>35</v>
      </c>
      <c r="C4" s="1165" t="s">
        <v>504</v>
      </c>
      <c r="D4" s="286"/>
      <c r="E4" s="286"/>
      <c r="F4" s="286" t="s">
        <v>381</v>
      </c>
      <c r="G4" s="286" t="s">
        <v>206</v>
      </c>
      <c r="H4" s="286">
        <f>'FCD PROJETO'!F24</f>
        <v>2027</v>
      </c>
      <c r="I4" s="286">
        <f>'FCD PROJETO'!G24</f>
        <v>2028</v>
      </c>
      <c r="J4" s="286">
        <f>'FCD PROJETO'!H24</f>
        <v>2029</v>
      </c>
      <c r="K4" s="286">
        <f>'FCD PROJETO'!I24</f>
        <v>2030</v>
      </c>
      <c r="L4" s="286">
        <f>'FCD PROJETO'!J24</f>
        <v>2031</v>
      </c>
      <c r="M4" s="286">
        <f>'FCD PROJETO'!K24</f>
        <v>2032</v>
      </c>
      <c r="N4" s="286">
        <f>'FCD PROJETO'!L24</f>
        <v>2033</v>
      </c>
      <c r="O4" s="286">
        <f>'FCD PROJETO'!M24</f>
        <v>2034</v>
      </c>
      <c r="P4" s="286">
        <f>'FCD PROJETO'!N24</f>
        <v>2035</v>
      </c>
      <c r="Q4" s="286">
        <f>'FCD PROJETO'!O24</f>
        <v>2036</v>
      </c>
      <c r="R4" s="286">
        <f>'FCD PROJETO'!P24</f>
        <v>2037</v>
      </c>
      <c r="S4" s="286">
        <f>'FCD PROJETO'!Q24</f>
        <v>2038</v>
      </c>
      <c r="T4" s="286">
        <f>'FCD PROJETO'!R24</f>
        <v>2039</v>
      </c>
      <c r="U4" s="286">
        <f>'FCD PROJETO'!S24</f>
        <v>2040</v>
      </c>
      <c r="V4" s="286">
        <f>'FCD PROJETO'!T24</f>
        <v>2041</v>
      </c>
      <c r="W4" s="286">
        <f>'FCD PROJETO'!U24</f>
        <v>2042</v>
      </c>
      <c r="X4" s="286">
        <f>'FCD PROJETO'!V24</f>
        <v>2043</v>
      </c>
      <c r="Y4" s="286">
        <f>'FCD PROJETO'!W24</f>
        <v>2044</v>
      </c>
      <c r="Z4" s="286">
        <f>'FCD PROJETO'!X24</f>
        <v>2045</v>
      </c>
      <c r="AA4" s="286">
        <f>'FCD PROJETO'!Y24</f>
        <v>2046</v>
      </c>
      <c r="AB4" s="286">
        <f>'FCD PROJETO'!Z24</f>
        <v>2047</v>
      </c>
      <c r="AC4" s="286">
        <f>'FCD PROJETO'!AA24</f>
        <v>2048</v>
      </c>
      <c r="AD4" s="286">
        <f>'FCD PROJETO'!AB24</f>
        <v>2049</v>
      </c>
      <c r="AE4" s="286">
        <f>'FCD PROJETO'!AC24</f>
        <v>2050</v>
      </c>
      <c r="AF4" s="286">
        <f>'FCD PROJETO'!AD24</f>
        <v>2051</v>
      </c>
      <c r="AG4" s="286">
        <f>'FCD PROJETO'!AE24</f>
        <v>2052</v>
      </c>
      <c r="AH4" s="286">
        <f>'FCD PROJETO'!AF24</f>
        <v>2053</v>
      </c>
      <c r="AI4" s="286">
        <f>'FCD PROJETO'!AG24</f>
        <v>2054</v>
      </c>
      <c r="AJ4" s="286">
        <f>'FCD PROJETO'!AH24</f>
        <v>2055</v>
      </c>
      <c r="AK4" s="286">
        <f>'FCD PROJETO'!AI24</f>
        <v>2056</v>
      </c>
      <c r="AL4" s="286">
        <f>'FCD PROJETO'!AJ24</f>
        <v>2057</v>
      </c>
      <c r="AM4" s="286">
        <f>'FCD PROJETO'!AK24</f>
        <v>2058</v>
      </c>
      <c r="AN4" s="286">
        <f>'FCD PROJETO'!AL24</f>
        <v>2059</v>
      </c>
      <c r="AO4" s="286">
        <f>'FCD PROJETO'!AM24</f>
        <v>2060</v>
      </c>
      <c r="AP4" s="286">
        <f>'FCD PROJETO'!AN24</f>
        <v>2061</v>
      </c>
      <c r="AQ4" s="287" t="str">
        <f>$AQ$1</f>
        <v>Total</v>
      </c>
      <c r="AR4" s="288"/>
      <c r="AS4" s="288"/>
      <c r="AT4" s="288"/>
      <c r="AU4" s="288"/>
      <c r="AV4" s="288"/>
      <c r="AW4" s="288"/>
    </row>
    <row r="5" spans="1:49" x14ac:dyDescent="0.3">
      <c r="B5" s="1163"/>
      <c r="C5" s="1166"/>
      <c r="D5" s="306">
        <f>IF(E5=0,0,$B$1-E5+1)</f>
        <v>35</v>
      </c>
      <c r="E5" s="306">
        <f t="array" ref="E5:E39">TRANSPOSE(H4:AP4)</f>
        <v>2027</v>
      </c>
      <c r="F5" s="306">
        <f>IF(D5&gt;$B$4,$B$4,D5)</f>
        <v>35</v>
      </c>
      <c r="G5" s="307">
        <f t="array" ref="G5:G39">-TRANSPOSE('FCD PROJETO'!F48:AN48)</f>
        <v>5505672.3399999999</v>
      </c>
      <c r="H5" s="307">
        <f t="shared" ref="H5:W20" si="4">IF($F5=0,0,IF(H$4&lt;$E5,0,IF(OR(H$4=$E5,H$4&lt;$E5+$F5),$G5/$F5,0)))</f>
        <v>157304.924</v>
      </c>
      <c r="I5" s="307">
        <f t="shared" si="4"/>
        <v>157304.924</v>
      </c>
      <c r="J5" s="307">
        <f t="shared" si="4"/>
        <v>157304.924</v>
      </c>
      <c r="K5" s="307">
        <f t="shared" si="4"/>
        <v>157304.924</v>
      </c>
      <c r="L5" s="307">
        <f t="shared" si="4"/>
        <v>157304.924</v>
      </c>
      <c r="M5" s="307">
        <f t="shared" si="4"/>
        <v>157304.924</v>
      </c>
      <c r="N5" s="307">
        <f t="shared" si="4"/>
        <v>157304.924</v>
      </c>
      <c r="O5" s="307">
        <f t="shared" si="4"/>
        <v>157304.924</v>
      </c>
      <c r="P5" s="307">
        <f t="shared" si="4"/>
        <v>157304.924</v>
      </c>
      <c r="Q5" s="307">
        <f t="shared" si="4"/>
        <v>157304.924</v>
      </c>
      <c r="R5" s="307">
        <f t="shared" si="4"/>
        <v>157304.924</v>
      </c>
      <c r="S5" s="307">
        <f t="shared" si="4"/>
        <v>157304.924</v>
      </c>
      <c r="T5" s="307">
        <f t="shared" si="4"/>
        <v>157304.924</v>
      </c>
      <c r="U5" s="307">
        <f t="shared" si="4"/>
        <v>157304.924</v>
      </c>
      <c r="V5" s="307">
        <f t="shared" si="4"/>
        <v>157304.924</v>
      </c>
      <c r="W5" s="307">
        <f t="shared" si="4"/>
        <v>157304.924</v>
      </c>
      <c r="X5" s="307">
        <f t="shared" ref="X5:AM18" si="5">IF($F5=0,0,IF(X$4&lt;$E5,0,IF(OR(X$4=$E5,X$4&lt;$E5+$F5),$G5/$F5,0)))</f>
        <v>157304.924</v>
      </c>
      <c r="Y5" s="307">
        <f t="shared" si="5"/>
        <v>157304.924</v>
      </c>
      <c r="Z5" s="307">
        <f t="shared" si="5"/>
        <v>157304.924</v>
      </c>
      <c r="AA5" s="307">
        <f t="shared" si="5"/>
        <v>157304.924</v>
      </c>
      <c r="AB5" s="307">
        <f t="shared" si="5"/>
        <v>157304.924</v>
      </c>
      <c r="AC5" s="307">
        <f t="shared" si="5"/>
        <v>157304.924</v>
      </c>
      <c r="AD5" s="307">
        <f t="shared" si="5"/>
        <v>157304.924</v>
      </c>
      <c r="AE5" s="307">
        <f t="shared" si="5"/>
        <v>157304.924</v>
      </c>
      <c r="AF5" s="307">
        <f t="shared" si="5"/>
        <v>157304.924</v>
      </c>
      <c r="AG5" s="307">
        <f t="shared" si="5"/>
        <v>157304.924</v>
      </c>
      <c r="AH5" s="307">
        <f t="shared" si="5"/>
        <v>157304.924</v>
      </c>
      <c r="AI5" s="307">
        <f t="shared" si="5"/>
        <v>157304.924</v>
      </c>
      <c r="AJ5" s="307">
        <f t="shared" si="5"/>
        <v>157304.924</v>
      </c>
      <c r="AK5" s="307">
        <f t="shared" si="5"/>
        <v>157304.924</v>
      </c>
      <c r="AL5" s="307">
        <f t="shared" si="5"/>
        <v>157304.924</v>
      </c>
      <c r="AM5" s="307">
        <f t="shared" si="5"/>
        <v>157304.924</v>
      </c>
      <c r="AN5" s="307">
        <f t="shared" ref="AL5:AP17" si="6">IF($F5=0,0,IF(AN$4&lt;$E5,0,IF(OR(AN$4=$E5,AN$4&lt;$E5+$F5),$G5/$F5,0)))</f>
        <v>157304.924</v>
      </c>
      <c r="AO5" s="307">
        <f t="shared" si="6"/>
        <v>157304.924</v>
      </c>
      <c r="AP5" s="307">
        <f t="shared" si="6"/>
        <v>157304.924</v>
      </c>
      <c r="AQ5" s="308">
        <f>G5-SUM(H5:AP5)</f>
        <v>0</v>
      </c>
      <c r="AS5" s="297"/>
      <c r="AT5" s="297"/>
      <c r="AU5" s="297"/>
      <c r="AV5" s="297"/>
    </row>
    <row r="6" spans="1:49" x14ac:dyDescent="0.3">
      <c r="B6" s="1163"/>
      <c r="C6" s="1166"/>
      <c r="D6" s="306">
        <f t="shared" ref="D6:D39" si="7">IF(E6=0,0,$B$1-E6+1)</f>
        <v>34</v>
      </c>
      <c r="E6" s="306">
        <v>2028</v>
      </c>
      <c r="F6" s="306">
        <f t="shared" ref="F6:F39" si="8">IF(D6&gt;$B$4,$B$4,D6)</f>
        <v>34</v>
      </c>
      <c r="G6" s="307">
        <v>48726036.25</v>
      </c>
      <c r="H6" s="307">
        <f t="shared" si="4"/>
        <v>0</v>
      </c>
      <c r="I6" s="307">
        <f t="shared" si="4"/>
        <v>1433118.7132352942</v>
      </c>
      <c r="J6" s="307">
        <f t="shared" si="4"/>
        <v>1433118.7132352942</v>
      </c>
      <c r="K6" s="307">
        <f t="shared" si="4"/>
        <v>1433118.7132352942</v>
      </c>
      <c r="L6" s="307">
        <f t="shared" si="4"/>
        <v>1433118.7132352942</v>
      </c>
      <c r="M6" s="307">
        <f t="shared" si="4"/>
        <v>1433118.7132352942</v>
      </c>
      <c r="N6" s="307">
        <f t="shared" si="4"/>
        <v>1433118.7132352942</v>
      </c>
      <c r="O6" s="307">
        <f t="shared" si="4"/>
        <v>1433118.7132352942</v>
      </c>
      <c r="P6" s="307">
        <f t="shared" si="4"/>
        <v>1433118.7132352942</v>
      </c>
      <c r="Q6" s="307">
        <f t="shared" si="4"/>
        <v>1433118.7132352942</v>
      </c>
      <c r="R6" s="307">
        <f t="shared" si="4"/>
        <v>1433118.7132352942</v>
      </c>
      <c r="S6" s="307">
        <f t="shared" si="4"/>
        <v>1433118.7132352942</v>
      </c>
      <c r="T6" s="307">
        <f t="shared" si="4"/>
        <v>1433118.7132352942</v>
      </c>
      <c r="U6" s="307">
        <f t="shared" si="4"/>
        <v>1433118.7132352942</v>
      </c>
      <c r="V6" s="307">
        <f t="shared" si="4"/>
        <v>1433118.7132352942</v>
      </c>
      <c r="W6" s="307">
        <f t="shared" si="4"/>
        <v>1433118.7132352942</v>
      </c>
      <c r="X6" s="307">
        <f t="shared" si="5"/>
        <v>1433118.7132352942</v>
      </c>
      <c r="Y6" s="307">
        <f t="shared" si="5"/>
        <v>1433118.7132352942</v>
      </c>
      <c r="Z6" s="307">
        <f t="shared" si="5"/>
        <v>1433118.7132352942</v>
      </c>
      <c r="AA6" s="307">
        <f t="shared" si="5"/>
        <v>1433118.7132352942</v>
      </c>
      <c r="AB6" s="307">
        <f t="shared" si="5"/>
        <v>1433118.7132352942</v>
      </c>
      <c r="AC6" s="307">
        <f t="shared" si="5"/>
        <v>1433118.7132352942</v>
      </c>
      <c r="AD6" s="307">
        <f t="shared" si="5"/>
        <v>1433118.7132352942</v>
      </c>
      <c r="AE6" s="307">
        <f t="shared" si="5"/>
        <v>1433118.7132352942</v>
      </c>
      <c r="AF6" s="307">
        <f t="shared" si="5"/>
        <v>1433118.7132352942</v>
      </c>
      <c r="AG6" s="307">
        <f t="shared" si="5"/>
        <v>1433118.7132352942</v>
      </c>
      <c r="AH6" s="307">
        <f t="shared" si="5"/>
        <v>1433118.7132352942</v>
      </c>
      <c r="AI6" s="307">
        <f t="shared" si="5"/>
        <v>1433118.7132352942</v>
      </c>
      <c r="AJ6" s="307">
        <f t="shared" si="5"/>
        <v>1433118.7132352942</v>
      </c>
      <c r="AK6" s="307">
        <f t="shared" si="5"/>
        <v>1433118.7132352942</v>
      </c>
      <c r="AL6" s="307">
        <f t="shared" si="6"/>
        <v>1433118.7132352942</v>
      </c>
      <c r="AM6" s="307">
        <f t="shared" si="6"/>
        <v>1433118.7132352942</v>
      </c>
      <c r="AN6" s="307">
        <f t="shared" si="6"/>
        <v>1433118.7132352942</v>
      </c>
      <c r="AO6" s="307">
        <f t="shared" si="6"/>
        <v>1433118.7132352942</v>
      </c>
      <c r="AP6" s="307">
        <f t="shared" si="6"/>
        <v>1433118.7132352942</v>
      </c>
      <c r="AQ6" s="308">
        <f t="shared" ref="AQ6:AQ39" si="9">G6-SUM(H6:AP6)</f>
        <v>0</v>
      </c>
      <c r="AS6" s="297"/>
      <c r="AT6" s="297"/>
      <c r="AU6" s="297"/>
      <c r="AV6" s="297"/>
    </row>
    <row r="7" spans="1:49" x14ac:dyDescent="0.3">
      <c r="B7" s="1163"/>
      <c r="C7" s="1166"/>
      <c r="D7" s="306">
        <f t="shared" si="7"/>
        <v>33</v>
      </c>
      <c r="E7" s="306">
        <v>2029</v>
      </c>
      <c r="F7" s="306">
        <f t="shared" si="8"/>
        <v>33</v>
      </c>
      <c r="G7" s="307">
        <v>44724540.510000013</v>
      </c>
      <c r="H7" s="307">
        <f t="shared" si="4"/>
        <v>0</v>
      </c>
      <c r="I7" s="307">
        <f t="shared" si="4"/>
        <v>0</v>
      </c>
      <c r="J7" s="307">
        <f t="shared" si="4"/>
        <v>1355289.1063636367</v>
      </c>
      <c r="K7" s="307">
        <f t="shared" si="4"/>
        <v>1355289.1063636367</v>
      </c>
      <c r="L7" s="307">
        <f t="shared" si="4"/>
        <v>1355289.1063636367</v>
      </c>
      <c r="M7" s="307">
        <f t="shared" si="4"/>
        <v>1355289.1063636367</v>
      </c>
      <c r="N7" s="307">
        <f t="shared" si="4"/>
        <v>1355289.1063636367</v>
      </c>
      <c r="O7" s="307">
        <f t="shared" si="4"/>
        <v>1355289.1063636367</v>
      </c>
      <c r="P7" s="307">
        <f t="shared" si="4"/>
        <v>1355289.1063636367</v>
      </c>
      <c r="Q7" s="307">
        <f t="shared" si="4"/>
        <v>1355289.1063636367</v>
      </c>
      <c r="R7" s="307">
        <f t="shared" si="4"/>
        <v>1355289.1063636367</v>
      </c>
      <c r="S7" s="307">
        <f t="shared" si="4"/>
        <v>1355289.1063636367</v>
      </c>
      <c r="T7" s="307">
        <f t="shared" si="4"/>
        <v>1355289.1063636367</v>
      </c>
      <c r="U7" s="307">
        <f t="shared" si="4"/>
        <v>1355289.1063636367</v>
      </c>
      <c r="V7" s="307">
        <f t="shared" si="4"/>
        <v>1355289.1063636367</v>
      </c>
      <c r="W7" s="307">
        <f t="shared" si="4"/>
        <v>1355289.1063636367</v>
      </c>
      <c r="X7" s="307">
        <f t="shared" si="5"/>
        <v>1355289.1063636367</v>
      </c>
      <c r="Y7" s="307">
        <f t="shared" si="5"/>
        <v>1355289.1063636367</v>
      </c>
      <c r="Z7" s="307">
        <f t="shared" si="5"/>
        <v>1355289.1063636367</v>
      </c>
      <c r="AA7" s="307">
        <f t="shared" si="5"/>
        <v>1355289.1063636367</v>
      </c>
      <c r="AB7" s="307">
        <f t="shared" si="5"/>
        <v>1355289.1063636367</v>
      </c>
      <c r="AC7" s="307">
        <f t="shared" si="5"/>
        <v>1355289.1063636367</v>
      </c>
      <c r="AD7" s="307">
        <f t="shared" si="5"/>
        <v>1355289.1063636367</v>
      </c>
      <c r="AE7" s="307">
        <f t="shared" si="5"/>
        <v>1355289.1063636367</v>
      </c>
      <c r="AF7" s="307">
        <f t="shared" si="5"/>
        <v>1355289.1063636367</v>
      </c>
      <c r="AG7" s="307">
        <f t="shared" si="5"/>
        <v>1355289.1063636367</v>
      </c>
      <c r="AH7" s="307">
        <f t="shared" si="5"/>
        <v>1355289.1063636367</v>
      </c>
      <c r="AI7" s="307">
        <f t="shared" si="5"/>
        <v>1355289.1063636367</v>
      </c>
      <c r="AJ7" s="307">
        <f t="shared" si="5"/>
        <v>1355289.1063636367</v>
      </c>
      <c r="AK7" s="307">
        <f t="shared" si="5"/>
        <v>1355289.1063636367</v>
      </c>
      <c r="AL7" s="307">
        <f t="shared" si="6"/>
        <v>1355289.1063636367</v>
      </c>
      <c r="AM7" s="307">
        <f t="shared" si="6"/>
        <v>1355289.1063636367</v>
      </c>
      <c r="AN7" s="307">
        <f t="shared" si="6"/>
        <v>1355289.1063636367</v>
      </c>
      <c r="AO7" s="307">
        <f t="shared" si="6"/>
        <v>1355289.1063636367</v>
      </c>
      <c r="AP7" s="307">
        <f t="shared" si="6"/>
        <v>1355289.1063636367</v>
      </c>
      <c r="AQ7" s="308">
        <f t="shared" si="9"/>
        <v>0</v>
      </c>
      <c r="AS7" s="297"/>
      <c r="AT7" s="297"/>
      <c r="AU7" s="297"/>
      <c r="AV7" s="297"/>
    </row>
    <row r="8" spans="1:49" x14ac:dyDescent="0.3">
      <c r="B8" s="1163"/>
      <c r="C8" s="1166"/>
      <c r="D8" s="306">
        <f t="shared" si="7"/>
        <v>32</v>
      </c>
      <c r="E8" s="306">
        <v>2030</v>
      </c>
      <c r="F8" s="306">
        <f t="shared" si="8"/>
        <v>32</v>
      </c>
      <c r="G8" s="307">
        <v>44243119.199999996</v>
      </c>
      <c r="H8" s="307">
        <f t="shared" si="4"/>
        <v>0</v>
      </c>
      <c r="I8" s="307">
        <f t="shared" si="4"/>
        <v>0</v>
      </c>
      <c r="J8" s="307">
        <f t="shared" si="4"/>
        <v>0</v>
      </c>
      <c r="K8" s="307">
        <f t="shared" si="4"/>
        <v>1382597.4749999999</v>
      </c>
      <c r="L8" s="307">
        <f t="shared" si="4"/>
        <v>1382597.4749999999</v>
      </c>
      <c r="M8" s="307">
        <f t="shared" si="4"/>
        <v>1382597.4749999999</v>
      </c>
      <c r="N8" s="307">
        <f t="shared" si="4"/>
        <v>1382597.4749999999</v>
      </c>
      <c r="O8" s="307">
        <f t="shared" si="4"/>
        <v>1382597.4749999999</v>
      </c>
      <c r="P8" s="307">
        <f t="shared" si="4"/>
        <v>1382597.4749999999</v>
      </c>
      <c r="Q8" s="307">
        <f t="shared" si="4"/>
        <v>1382597.4749999999</v>
      </c>
      <c r="R8" s="307">
        <f t="shared" si="4"/>
        <v>1382597.4749999999</v>
      </c>
      <c r="S8" s="307">
        <f t="shared" si="4"/>
        <v>1382597.4749999999</v>
      </c>
      <c r="T8" s="307">
        <f t="shared" si="4"/>
        <v>1382597.4749999999</v>
      </c>
      <c r="U8" s="307">
        <f t="shared" si="4"/>
        <v>1382597.4749999999</v>
      </c>
      <c r="V8" s="307">
        <f t="shared" si="4"/>
        <v>1382597.4749999999</v>
      </c>
      <c r="W8" s="307">
        <f t="shared" si="4"/>
        <v>1382597.4749999999</v>
      </c>
      <c r="X8" s="307">
        <f t="shared" si="5"/>
        <v>1382597.4749999999</v>
      </c>
      <c r="Y8" s="307">
        <f t="shared" si="5"/>
        <v>1382597.4749999999</v>
      </c>
      <c r="Z8" s="307">
        <f t="shared" si="5"/>
        <v>1382597.4749999999</v>
      </c>
      <c r="AA8" s="307">
        <f t="shared" si="5"/>
        <v>1382597.4749999999</v>
      </c>
      <c r="AB8" s="307">
        <f t="shared" si="5"/>
        <v>1382597.4749999999</v>
      </c>
      <c r="AC8" s="307">
        <f t="shared" si="5"/>
        <v>1382597.4749999999</v>
      </c>
      <c r="AD8" s="307">
        <f t="shared" si="5"/>
        <v>1382597.4749999999</v>
      </c>
      <c r="AE8" s="307">
        <f t="shared" si="5"/>
        <v>1382597.4749999999</v>
      </c>
      <c r="AF8" s="307">
        <f t="shared" si="5"/>
        <v>1382597.4749999999</v>
      </c>
      <c r="AG8" s="307">
        <f t="shared" si="5"/>
        <v>1382597.4749999999</v>
      </c>
      <c r="AH8" s="307">
        <f t="shared" si="5"/>
        <v>1382597.4749999999</v>
      </c>
      <c r="AI8" s="307">
        <f t="shared" si="5"/>
        <v>1382597.4749999999</v>
      </c>
      <c r="AJ8" s="307">
        <f t="shared" si="5"/>
        <v>1382597.4749999999</v>
      </c>
      <c r="AK8" s="307">
        <f t="shared" si="5"/>
        <v>1382597.4749999999</v>
      </c>
      <c r="AL8" s="307">
        <f t="shared" si="6"/>
        <v>1382597.4749999999</v>
      </c>
      <c r="AM8" s="307">
        <f t="shared" si="6"/>
        <v>1382597.4749999999</v>
      </c>
      <c r="AN8" s="307">
        <f t="shared" si="6"/>
        <v>1382597.4749999999</v>
      </c>
      <c r="AO8" s="307">
        <f t="shared" si="6"/>
        <v>1382597.4749999999</v>
      </c>
      <c r="AP8" s="307">
        <f t="shared" si="6"/>
        <v>1382597.4749999999</v>
      </c>
      <c r="AQ8" s="308">
        <f t="shared" si="9"/>
        <v>0</v>
      </c>
      <c r="AS8" s="297"/>
      <c r="AT8" s="297"/>
      <c r="AU8" s="297"/>
      <c r="AV8" s="297"/>
    </row>
    <row r="9" spans="1:49" x14ac:dyDescent="0.3">
      <c r="B9" s="1163"/>
      <c r="C9" s="1166"/>
      <c r="D9" s="306">
        <f t="shared" si="7"/>
        <v>31</v>
      </c>
      <c r="E9" s="306">
        <v>2031</v>
      </c>
      <c r="F9" s="306">
        <f t="shared" si="8"/>
        <v>31</v>
      </c>
      <c r="G9" s="307">
        <v>44934562.119999997</v>
      </c>
      <c r="H9" s="307">
        <f t="shared" si="4"/>
        <v>0</v>
      </c>
      <c r="I9" s="307">
        <f t="shared" si="4"/>
        <v>0</v>
      </c>
      <c r="J9" s="307">
        <f t="shared" si="4"/>
        <v>0</v>
      </c>
      <c r="K9" s="307">
        <f t="shared" si="4"/>
        <v>0</v>
      </c>
      <c r="L9" s="307">
        <f t="shared" si="4"/>
        <v>1449502.0038709675</v>
      </c>
      <c r="M9" s="307">
        <f t="shared" si="4"/>
        <v>1449502.0038709675</v>
      </c>
      <c r="N9" s="307">
        <f t="shared" si="4"/>
        <v>1449502.0038709675</v>
      </c>
      <c r="O9" s="307">
        <f t="shared" si="4"/>
        <v>1449502.0038709675</v>
      </c>
      <c r="P9" s="307">
        <f t="shared" si="4"/>
        <v>1449502.0038709675</v>
      </c>
      <c r="Q9" s="307">
        <f t="shared" si="4"/>
        <v>1449502.0038709675</v>
      </c>
      <c r="R9" s="307">
        <f t="shared" si="4"/>
        <v>1449502.0038709675</v>
      </c>
      <c r="S9" s="307">
        <f t="shared" si="4"/>
        <v>1449502.0038709675</v>
      </c>
      <c r="T9" s="307">
        <f t="shared" si="4"/>
        <v>1449502.0038709675</v>
      </c>
      <c r="U9" s="307">
        <f t="shared" si="4"/>
        <v>1449502.0038709675</v>
      </c>
      <c r="V9" s="307">
        <f t="shared" si="4"/>
        <v>1449502.0038709675</v>
      </c>
      <c r="W9" s="307">
        <f t="shared" si="4"/>
        <v>1449502.0038709675</v>
      </c>
      <c r="X9" s="307">
        <f t="shared" si="5"/>
        <v>1449502.0038709675</v>
      </c>
      <c r="Y9" s="307">
        <f t="shared" si="5"/>
        <v>1449502.0038709675</v>
      </c>
      <c r="Z9" s="307">
        <f t="shared" si="5"/>
        <v>1449502.0038709675</v>
      </c>
      <c r="AA9" s="307">
        <f t="shared" si="5"/>
        <v>1449502.0038709675</v>
      </c>
      <c r="AB9" s="307">
        <f t="shared" si="5"/>
        <v>1449502.0038709675</v>
      </c>
      <c r="AC9" s="307">
        <f t="shared" si="5"/>
        <v>1449502.0038709675</v>
      </c>
      <c r="AD9" s="307">
        <f t="shared" si="5"/>
        <v>1449502.0038709675</v>
      </c>
      <c r="AE9" s="307">
        <f t="shared" si="5"/>
        <v>1449502.0038709675</v>
      </c>
      <c r="AF9" s="307">
        <f t="shared" si="5"/>
        <v>1449502.0038709675</v>
      </c>
      <c r="AG9" s="307">
        <f t="shared" si="5"/>
        <v>1449502.0038709675</v>
      </c>
      <c r="AH9" s="307">
        <f t="shared" si="5"/>
        <v>1449502.0038709675</v>
      </c>
      <c r="AI9" s="307">
        <f t="shared" si="5"/>
        <v>1449502.0038709675</v>
      </c>
      <c r="AJ9" s="307">
        <f t="shared" si="5"/>
        <v>1449502.0038709675</v>
      </c>
      <c r="AK9" s="307">
        <f t="shared" si="5"/>
        <v>1449502.0038709675</v>
      </c>
      <c r="AL9" s="307">
        <f t="shared" si="6"/>
        <v>1449502.0038709675</v>
      </c>
      <c r="AM9" s="307">
        <f t="shared" si="6"/>
        <v>1449502.0038709675</v>
      </c>
      <c r="AN9" s="307">
        <f t="shared" si="6"/>
        <v>1449502.0038709675</v>
      </c>
      <c r="AO9" s="307">
        <f t="shared" si="6"/>
        <v>1449502.0038709675</v>
      </c>
      <c r="AP9" s="307">
        <f t="shared" si="6"/>
        <v>1449502.0038709675</v>
      </c>
      <c r="AQ9" s="308">
        <f t="shared" si="9"/>
        <v>0</v>
      </c>
      <c r="AS9" s="297"/>
      <c r="AT9" s="297"/>
      <c r="AU9" s="297"/>
      <c r="AV9" s="297"/>
    </row>
    <row r="10" spans="1:49" x14ac:dyDescent="0.3">
      <c r="B10" s="1163"/>
      <c r="C10" s="1166"/>
      <c r="D10" s="306">
        <f t="shared" si="7"/>
        <v>30</v>
      </c>
      <c r="E10" s="306">
        <v>2032</v>
      </c>
      <c r="F10" s="306">
        <f t="shared" si="8"/>
        <v>30</v>
      </c>
      <c r="G10" s="307">
        <v>14554383.759999996</v>
      </c>
      <c r="H10" s="307">
        <f t="shared" si="4"/>
        <v>0</v>
      </c>
      <c r="I10" s="307">
        <f t="shared" si="4"/>
        <v>0</v>
      </c>
      <c r="J10" s="307">
        <f t="shared" si="4"/>
        <v>0</v>
      </c>
      <c r="K10" s="307">
        <f t="shared" si="4"/>
        <v>0</v>
      </c>
      <c r="L10" s="307">
        <f t="shared" si="4"/>
        <v>0</v>
      </c>
      <c r="M10" s="307">
        <f t="shared" si="4"/>
        <v>485146.12533333321</v>
      </c>
      <c r="N10" s="307">
        <f t="shared" si="4"/>
        <v>485146.12533333321</v>
      </c>
      <c r="O10" s="307">
        <f t="shared" si="4"/>
        <v>485146.12533333321</v>
      </c>
      <c r="P10" s="307">
        <f t="shared" si="4"/>
        <v>485146.12533333321</v>
      </c>
      <c r="Q10" s="307">
        <f t="shared" si="4"/>
        <v>485146.12533333321</v>
      </c>
      <c r="R10" s="307">
        <f t="shared" si="4"/>
        <v>485146.12533333321</v>
      </c>
      <c r="S10" s="307">
        <f t="shared" si="4"/>
        <v>485146.12533333321</v>
      </c>
      <c r="T10" s="307">
        <f t="shared" si="4"/>
        <v>485146.12533333321</v>
      </c>
      <c r="U10" s="307">
        <f t="shared" si="4"/>
        <v>485146.12533333321</v>
      </c>
      <c r="V10" s="307">
        <f t="shared" si="4"/>
        <v>485146.12533333321</v>
      </c>
      <c r="W10" s="307">
        <f t="shared" si="4"/>
        <v>485146.12533333321</v>
      </c>
      <c r="X10" s="307">
        <f t="shared" si="5"/>
        <v>485146.12533333321</v>
      </c>
      <c r="Y10" s="307">
        <f t="shared" si="5"/>
        <v>485146.12533333321</v>
      </c>
      <c r="Z10" s="307">
        <f t="shared" si="5"/>
        <v>485146.12533333321</v>
      </c>
      <c r="AA10" s="307">
        <f t="shared" si="5"/>
        <v>485146.12533333321</v>
      </c>
      <c r="AB10" s="307">
        <f t="shared" si="5"/>
        <v>485146.12533333321</v>
      </c>
      <c r="AC10" s="307">
        <f t="shared" si="5"/>
        <v>485146.12533333321</v>
      </c>
      <c r="AD10" s="307">
        <f t="shared" si="5"/>
        <v>485146.12533333321</v>
      </c>
      <c r="AE10" s="307">
        <f t="shared" si="5"/>
        <v>485146.12533333321</v>
      </c>
      <c r="AF10" s="307">
        <f t="shared" si="5"/>
        <v>485146.12533333321</v>
      </c>
      <c r="AG10" s="307">
        <f t="shared" si="5"/>
        <v>485146.12533333321</v>
      </c>
      <c r="AH10" s="307">
        <f t="shared" si="5"/>
        <v>485146.12533333321</v>
      </c>
      <c r="AI10" s="307">
        <f t="shared" si="5"/>
        <v>485146.12533333321</v>
      </c>
      <c r="AJ10" s="307">
        <f t="shared" si="5"/>
        <v>485146.12533333321</v>
      </c>
      <c r="AK10" s="307">
        <f t="shared" si="5"/>
        <v>485146.12533333321</v>
      </c>
      <c r="AL10" s="307">
        <f t="shared" si="6"/>
        <v>485146.12533333321</v>
      </c>
      <c r="AM10" s="307">
        <f t="shared" si="6"/>
        <v>485146.12533333321</v>
      </c>
      <c r="AN10" s="307">
        <f t="shared" si="6"/>
        <v>485146.12533333321</v>
      </c>
      <c r="AO10" s="307">
        <f t="shared" si="6"/>
        <v>485146.12533333321</v>
      </c>
      <c r="AP10" s="307">
        <f t="shared" si="6"/>
        <v>485146.12533333321</v>
      </c>
      <c r="AQ10" s="308">
        <f t="shared" si="9"/>
        <v>0</v>
      </c>
      <c r="AS10" s="297"/>
      <c r="AT10" s="297"/>
      <c r="AU10" s="297"/>
      <c r="AV10" s="297"/>
    </row>
    <row r="11" spans="1:49" x14ac:dyDescent="0.3">
      <c r="B11" s="1163"/>
      <c r="C11" s="1166"/>
      <c r="D11" s="306">
        <f t="shared" si="7"/>
        <v>29</v>
      </c>
      <c r="E11" s="306">
        <v>2033</v>
      </c>
      <c r="F11" s="306">
        <f t="shared" si="8"/>
        <v>29</v>
      </c>
      <c r="G11" s="307">
        <v>14585830.98</v>
      </c>
      <c r="H11" s="307">
        <f t="shared" si="4"/>
        <v>0</v>
      </c>
      <c r="I11" s="307">
        <f t="shared" si="4"/>
        <v>0</v>
      </c>
      <c r="J11" s="307">
        <f t="shared" si="4"/>
        <v>0</v>
      </c>
      <c r="K11" s="307">
        <f t="shared" si="4"/>
        <v>0</v>
      </c>
      <c r="L11" s="307">
        <f t="shared" si="4"/>
        <v>0</v>
      </c>
      <c r="M11" s="307">
        <f t="shared" si="4"/>
        <v>0</v>
      </c>
      <c r="N11" s="307">
        <f t="shared" si="4"/>
        <v>502959.68896551727</v>
      </c>
      <c r="O11" s="307">
        <f t="shared" si="4"/>
        <v>502959.68896551727</v>
      </c>
      <c r="P11" s="307">
        <f t="shared" si="4"/>
        <v>502959.68896551727</v>
      </c>
      <c r="Q11" s="307">
        <f t="shared" si="4"/>
        <v>502959.68896551727</v>
      </c>
      <c r="R11" s="307">
        <f t="shared" si="4"/>
        <v>502959.68896551727</v>
      </c>
      <c r="S11" s="307">
        <f t="shared" si="4"/>
        <v>502959.68896551727</v>
      </c>
      <c r="T11" s="307">
        <f t="shared" si="4"/>
        <v>502959.68896551727</v>
      </c>
      <c r="U11" s="307">
        <f t="shared" si="4"/>
        <v>502959.68896551727</v>
      </c>
      <c r="V11" s="307">
        <f t="shared" si="4"/>
        <v>502959.68896551727</v>
      </c>
      <c r="W11" s="307">
        <f t="shared" si="4"/>
        <v>502959.68896551727</v>
      </c>
      <c r="X11" s="307">
        <f t="shared" si="5"/>
        <v>502959.68896551727</v>
      </c>
      <c r="Y11" s="307">
        <f t="shared" si="5"/>
        <v>502959.68896551727</v>
      </c>
      <c r="Z11" s="307">
        <f t="shared" si="5"/>
        <v>502959.68896551727</v>
      </c>
      <c r="AA11" s="307">
        <f t="shared" si="5"/>
        <v>502959.68896551727</v>
      </c>
      <c r="AB11" s="307">
        <f t="shared" si="5"/>
        <v>502959.68896551727</v>
      </c>
      <c r="AC11" s="307">
        <f t="shared" si="5"/>
        <v>502959.68896551727</v>
      </c>
      <c r="AD11" s="307">
        <f t="shared" si="5"/>
        <v>502959.68896551727</v>
      </c>
      <c r="AE11" s="307">
        <f t="shared" si="5"/>
        <v>502959.68896551727</v>
      </c>
      <c r="AF11" s="307">
        <f t="shared" si="5"/>
        <v>502959.68896551727</v>
      </c>
      <c r="AG11" s="307">
        <f t="shared" si="5"/>
        <v>502959.68896551727</v>
      </c>
      <c r="AH11" s="307">
        <f t="shared" si="5"/>
        <v>502959.68896551727</v>
      </c>
      <c r="AI11" s="307">
        <f t="shared" si="5"/>
        <v>502959.68896551727</v>
      </c>
      <c r="AJ11" s="307">
        <f t="shared" si="5"/>
        <v>502959.68896551727</v>
      </c>
      <c r="AK11" s="307">
        <f t="shared" si="5"/>
        <v>502959.68896551727</v>
      </c>
      <c r="AL11" s="307">
        <f t="shared" si="6"/>
        <v>502959.68896551727</v>
      </c>
      <c r="AM11" s="307">
        <f t="shared" si="6"/>
        <v>502959.68896551727</v>
      </c>
      <c r="AN11" s="307">
        <f t="shared" si="6"/>
        <v>502959.68896551727</v>
      </c>
      <c r="AO11" s="307">
        <f t="shared" si="6"/>
        <v>502959.68896551727</v>
      </c>
      <c r="AP11" s="307">
        <f t="shared" si="6"/>
        <v>502959.68896551727</v>
      </c>
      <c r="AQ11" s="308">
        <f t="shared" si="9"/>
        <v>0</v>
      </c>
      <c r="AS11" s="297"/>
      <c r="AT11" s="297"/>
      <c r="AU11" s="297"/>
      <c r="AV11" s="297"/>
    </row>
    <row r="12" spans="1:49" x14ac:dyDescent="0.3">
      <c r="B12" s="1163"/>
      <c r="C12" s="1166"/>
      <c r="D12" s="306">
        <f t="shared" si="7"/>
        <v>28</v>
      </c>
      <c r="E12" s="306">
        <v>2034</v>
      </c>
      <c r="F12" s="306">
        <f t="shared" si="8"/>
        <v>28</v>
      </c>
      <c r="G12" s="307">
        <v>8292899.1599999983</v>
      </c>
      <c r="H12" s="307">
        <f t="shared" si="4"/>
        <v>0</v>
      </c>
      <c r="I12" s="307">
        <f t="shared" si="4"/>
        <v>0</v>
      </c>
      <c r="J12" s="307">
        <f t="shared" si="4"/>
        <v>0</v>
      </c>
      <c r="K12" s="307">
        <f t="shared" si="4"/>
        <v>0</v>
      </c>
      <c r="L12" s="307">
        <f t="shared" si="4"/>
        <v>0</v>
      </c>
      <c r="M12" s="307">
        <f t="shared" si="4"/>
        <v>0</v>
      </c>
      <c r="N12" s="307">
        <f t="shared" si="4"/>
        <v>0</v>
      </c>
      <c r="O12" s="307">
        <f t="shared" si="4"/>
        <v>296174.96999999991</v>
      </c>
      <c r="P12" s="307">
        <f t="shared" si="4"/>
        <v>296174.96999999991</v>
      </c>
      <c r="Q12" s="307">
        <f t="shared" si="4"/>
        <v>296174.96999999991</v>
      </c>
      <c r="R12" s="307">
        <f t="shared" si="4"/>
        <v>296174.96999999991</v>
      </c>
      <c r="S12" s="307">
        <f t="shared" si="4"/>
        <v>296174.96999999991</v>
      </c>
      <c r="T12" s="307">
        <f t="shared" si="4"/>
        <v>296174.96999999991</v>
      </c>
      <c r="U12" s="307">
        <f t="shared" si="4"/>
        <v>296174.96999999991</v>
      </c>
      <c r="V12" s="307">
        <f t="shared" si="4"/>
        <v>296174.96999999991</v>
      </c>
      <c r="W12" s="307">
        <f t="shared" si="4"/>
        <v>296174.96999999991</v>
      </c>
      <c r="X12" s="307">
        <f t="shared" si="5"/>
        <v>296174.96999999991</v>
      </c>
      <c r="Y12" s="307">
        <f t="shared" si="5"/>
        <v>296174.96999999991</v>
      </c>
      <c r="Z12" s="307">
        <f t="shared" si="5"/>
        <v>296174.96999999991</v>
      </c>
      <c r="AA12" s="307">
        <f t="shared" si="5"/>
        <v>296174.96999999991</v>
      </c>
      <c r="AB12" s="307">
        <f t="shared" si="5"/>
        <v>296174.96999999991</v>
      </c>
      <c r="AC12" s="307">
        <f t="shared" si="5"/>
        <v>296174.96999999991</v>
      </c>
      <c r="AD12" s="307">
        <f t="shared" si="5"/>
        <v>296174.96999999991</v>
      </c>
      <c r="AE12" s="307">
        <f t="shared" si="5"/>
        <v>296174.96999999991</v>
      </c>
      <c r="AF12" s="307">
        <f t="shared" si="5"/>
        <v>296174.96999999991</v>
      </c>
      <c r="AG12" s="307">
        <f t="shared" si="5"/>
        <v>296174.96999999991</v>
      </c>
      <c r="AH12" s="307">
        <f t="shared" si="5"/>
        <v>296174.96999999991</v>
      </c>
      <c r="AI12" s="307">
        <f t="shared" si="5"/>
        <v>296174.96999999991</v>
      </c>
      <c r="AJ12" s="307">
        <f t="shared" si="5"/>
        <v>296174.96999999991</v>
      </c>
      <c r="AK12" s="307">
        <f t="shared" si="5"/>
        <v>296174.96999999991</v>
      </c>
      <c r="AL12" s="307">
        <f t="shared" si="6"/>
        <v>296174.96999999991</v>
      </c>
      <c r="AM12" s="307">
        <f t="shared" si="6"/>
        <v>296174.96999999991</v>
      </c>
      <c r="AN12" s="307">
        <f t="shared" si="6"/>
        <v>296174.96999999991</v>
      </c>
      <c r="AO12" s="307">
        <f t="shared" si="6"/>
        <v>296174.96999999991</v>
      </c>
      <c r="AP12" s="307">
        <f t="shared" si="6"/>
        <v>296174.96999999991</v>
      </c>
      <c r="AQ12" s="308">
        <f t="shared" si="9"/>
        <v>0</v>
      </c>
      <c r="AS12" s="297"/>
      <c r="AT12" s="297"/>
      <c r="AU12" s="297"/>
      <c r="AV12" s="297"/>
    </row>
    <row r="13" spans="1:49" x14ac:dyDescent="0.3">
      <c r="B13" s="1163"/>
      <c r="C13" s="1166"/>
      <c r="D13" s="306">
        <f t="shared" si="7"/>
        <v>27</v>
      </c>
      <c r="E13" s="306">
        <v>2035</v>
      </c>
      <c r="F13" s="306">
        <f t="shared" si="8"/>
        <v>27</v>
      </c>
      <c r="G13" s="307">
        <v>8206486.6199999992</v>
      </c>
      <c r="H13" s="307">
        <f t="shared" si="4"/>
        <v>0</v>
      </c>
      <c r="I13" s="307">
        <f t="shared" si="4"/>
        <v>0</v>
      </c>
      <c r="J13" s="307">
        <f t="shared" si="4"/>
        <v>0</v>
      </c>
      <c r="K13" s="307">
        <f t="shared" si="4"/>
        <v>0</v>
      </c>
      <c r="L13" s="307">
        <f t="shared" si="4"/>
        <v>0</v>
      </c>
      <c r="M13" s="307">
        <f t="shared" si="4"/>
        <v>0</v>
      </c>
      <c r="N13" s="307">
        <f t="shared" si="4"/>
        <v>0</v>
      </c>
      <c r="O13" s="307">
        <f t="shared" si="4"/>
        <v>0</v>
      </c>
      <c r="P13" s="307">
        <f t="shared" si="4"/>
        <v>303943.94888888887</v>
      </c>
      <c r="Q13" s="307">
        <f t="shared" si="4"/>
        <v>303943.94888888887</v>
      </c>
      <c r="R13" s="307">
        <f t="shared" si="4"/>
        <v>303943.94888888887</v>
      </c>
      <c r="S13" s="307">
        <f t="shared" si="4"/>
        <v>303943.94888888887</v>
      </c>
      <c r="T13" s="307">
        <f t="shared" si="4"/>
        <v>303943.94888888887</v>
      </c>
      <c r="U13" s="307">
        <f t="shared" si="4"/>
        <v>303943.94888888887</v>
      </c>
      <c r="V13" s="307">
        <f t="shared" si="4"/>
        <v>303943.94888888887</v>
      </c>
      <c r="W13" s="307">
        <f t="shared" si="4"/>
        <v>303943.94888888887</v>
      </c>
      <c r="X13" s="307">
        <f t="shared" si="5"/>
        <v>303943.94888888887</v>
      </c>
      <c r="Y13" s="307">
        <f t="shared" si="5"/>
        <v>303943.94888888887</v>
      </c>
      <c r="Z13" s="307">
        <f t="shared" si="5"/>
        <v>303943.94888888887</v>
      </c>
      <c r="AA13" s="307">
        <f t="shared" si="5"/>
        <v>303943.94888888887</v>
      </c>
      <c r="AB13" s="307">
        <f t="shared" si="5"/>
        <v>303943.94888888887</v>
      </c>
      <c r="AC13" s="307">
        <f t="shared" si="5"/>
        <v>303943.94888888887</v>
      </c>
      <c r="AD13" s="307">
        <f t="shared" si="5"/>
        <v>303943.94888888887</v>
      </c>
      <c r="AE13" s="307">
        <f t="shared" si="5"/>
        <v>303943.94888888887</v>
      </c>
      <c r="AF13" s="307">
        <f t="shared" si="5"/>
        <v>303943.94888888887</v>
      </c>
      <c r="AG13" s="307">
        <f t="shared" si="5"/>
        <v>303943.94888888887</v>
      </c>
      <c r="AH13" s="307">
        <f t="shared" si="5"/>
        <v>303943.94888888887</v>
      </c>
      <c r="AI13" s="307">
        <f t="shared" si="5"/>
        <v>303943.94888888887</v>
      </c>
      <c r="AJ13" s="307">
        <f t="shared" si="5"/>
        <v>303943.94888888887</v>
      </c>
      <c r="AK13" s="307">
        <f t="shared" si="5"/>
        <v>303943.94888888887</v>
      </c>
      <c r="AL13" s="307">
        <f t="shared" si="6"/>
        <v>303943.94888888887</v>
      </c>
      <c r="AM13" s="307">
        <f t="shared" si="6"/>
        <v>303943.94888888887</v>
      </c>
      <c r="AN13" s="307">
        <f t="shared" si="6"/>
        <v>303943.94888888887</v>
      </c>
      <c r="AO13" s="307">
        <f t="shared" si="6"/>
        <v>303943.94888888887</v>
      </c>
      <c r="AP13" s="307">
        <f t="shared" si="6"/>
        <v>303943.94888888887</v>
      </c>
      <c r="AQ13" s="308">
        <f t="shared" si="9"/>
        <v>0</v>
      </c>
      <c r="AS13" s="297"/>
      <c r="AT13" s="297"/>
      <c r="AU13" s="297"/>
      <c r="AV13" s="297"/>
    </row>
    <row r="14" spans="1:49" x14ac:dyDescent="0.3">
      <c r="B14" s="1163"/>
      <c r="C14" s="1166"/>
      <c r="D14" s="306">
        <f t="shared" si="7"/>
        <v>26</v>
      </c>
      <c r="E14" s="306">
        <v>2036</v>
      </c>
      <c r="F14" s="306">
        <f t="shared" si="8"/>
        <v>26</v>
      </c>
      <c r="G14" s="307">
        <v>8117050.9000000004</v>
      </c>
      <c r="H14" s="307">
        <f t="shared" si="4"/>
        <v>0</v>
      </c>
      <c r="I14" s="307">
        <f t="shared" si="4"/>
        <v>0</v>
      </c>
      <c r="J14" s="307">
        <f t="shared" si="4"/>
        <v>0</v>
      </c>
      <c r="K14" s="307">
        <f t="shared" si="4"/>
        <v>0</v>
      </c>
      <c r="L14" s="307">
        <f t="shared" si="4"/>
        <v>0</v>
      </c>
      <c r="M14" s="307">
        <f t="shared" si="4"/>
        <v>0</v>
      </c>
      <c r="N14" s="307">
        <f t="shared" si="4"/>
        <v>0</v>
      </c>
      <c r="O14" s="307">
        <f t="shared" si="4"/>
        <v>0</v>
      </c>
      <c r="P14" s="307">
        <f t="shared" si="4"/>
        <v>0</v>
      </c>
      <c r="Q14" s="307">
        <f t="shared" si="4"/>
        <v>312194.2653846154</v>
      </c>
      <c r="R14" s="307">
        <f t="shared" si="4"/>
        <v>312194.2653846154</v>
      </c>
      <c r="S14" s="307">
        <f t="shared" si="4"/>
        <v>312194.2653846154</v>
      </c>
      <c r="T14" s="307">
        <f t="shared" si="4"/>
        <v>312194.2653846154</v>
      </c>
      <c r="U14" s="307">
        <f t="shared" si="4"/>
        <v>312194.2653846154</v>
      </c>
      <c r="V14" s="307">
        <f t="shared" si="4"/>
        <v>312194.2653846154</v>
      </c>
      <c r="W14" s="307">
        <f t="shared" si="4"/>
        <v>312194.2653846154</v>
      </c>
      <c r="X14" s="307">
        <f t="shared" si="5"/>
        <v>312194.2653846154</v>
      </c>
      <c r="Y14" s="307">
        <f t="shared" si="5"/>
        <v>312194.2653846154</v>
      </c>
      <c r="Z14" s="307">
        <f t="shared" si="5"/>
        <v>312194.2653846154</v>
      </c>
      <c r="AA14" s="307">
        <f t="shared" si="5"/>
        <v>312194.2653846154</v>
      </c>
      <c r="AB14" s="307">
        <f t="shared" si="5"/>
        <v>312194.2653846154</v>
      </c>
      <c r="AC14" s="307">
        <f t="shared" si="5"/>
        <v>312194.2653846154</v>
      </c>
      <c r="AD14" s="307">
        <f t="shared" si="5"/>
        <v>312194.2653846154</v>
      </c>
      <c r="AE14" s="307">
        <f t="shared" si="5"/>
        <v>312194.2653846154</v>
      </c>
      <c r="AF14" s="307">
        <f t="shared" si="5"/>
        <v>312194.2653846154</v>
      </c>
      <c r="AG14" s="307">
        <f t="shared" si="5"/>
        <v>312194.2653846154</v>
      </c>
      <c r="AH14" s="307">
        <f t="shared" si="5"/>
        <v>312194.2653846154</v>
      </c>
      <c r="AI14" s="307">
        <f t="shared" si="5"/>
        <v>312194.2653846154</v>
      </c>
      <c r="AJ14" s="307">
        <f t="shared" si="5"/>
        <v>312194.2653846154</v>
      </c>
      <c r="AK14" s="307">
        <f t="shared" si="5"/>
        <v>312194.2653846154</v>
      </c>
      <c r="AL14" s="307">
        <f t="shared" si="6"/>
        <v>312194.2653846154</v>
      </c>
      <c r="AM14" s="307">
        <f t="shared" si="6"/>
        <v>312194.2653846154</v>
      </c>
      <c r="AN14" s="307">
        <f t="shared" si="6"/>
        <v>312194.2653846154</v>
      </c>
      <c r="AO14" s="307">
        <f t="shared" si="6"/>
        <v>312194.2653846154</v>
      </c>
      <c r="AP14" s="307">
        <f t="shared" si="6"/>
        <v>312194.2653846154</v>
      </c>
      <c r="AQ14" s="308">
        <f t="shared" si="9"/>
        <v>0</v>
      </c>
      <c r="AS14" s="297"/>
      <c r="AT14" s="297"/>
      <c r="AU14" s="297"/>
      <c r="AV14" s="297"/>
    </row>
    <row r="15" spans="1:49" x14ac:dyDescent="0.3">
      <c r="B15" s="1163"/>
      <c r="C15" s="1166"/>
      <c r="D15" s="306">
        <f t="shared" si="7"/>
        <v>25</v>
      </c>
      <c r="E15" s="306">
        <v>2037</v>
      </c>
      <c r="F15" s="306">
        <f t="shared" si="8"/>
        <v>25</v>
      </c>
      <c r="G15" s="307">
        <v>8031918.790000001</v>
      </c>
      <c r="H15" s="307">
        <f t="shared" si="4"/>
        <v>0</v>
      </c>
      <c r="I15" s="307">
        <f t="shared" si="4"/>
        <v>0</v>
      </c>
      <c r="J15" s="307">
        <f t="shared" si="4"/>
        <v>0</v>
      </c>
      <c r="K15" s="307">
        <f t="shared" si="4"/>
        <v>0</v>
      </c>
      <c r="L15" s="307">
        <f t="shared" si="4"/>
        <v>0</v>
      </c>
      <c r="M15" s="307">
        <f t="shared" si="4"/>
        <v>0</v>
      </c>
      <c r="N15" s="307">
        <f t="shared" si="4"/>
        <v>0</v>
      </c>
      <c r="O15" s="307">
        <f t="shared" si="4"/>
        <v>0</v>
      </c>
      <c r="P15" s="307">
        <f t="shared" si="4"/>
        <v>0</v>
      </c>
      <c r="Q15" s="307">
        <f t="shared" si="4"/>
        <v>0</v>
      </c>
      <c r="R15" s="307">
        <f t="shared" si="4"/>
        <v>321276.75160000002</v>
      </c>
      <c r="S15" s="307">
        <f t="shared" si="4"/>
        <v>321276.75160000002</v>
      </c>
      <c r="T15" s="307">
        <f t="shared" si="4"/>
        <v>321276.75160000002</v>
      </c>
      <c r="U15" s="307">
        <f t="shared" si="4"/>
        <v>321276.75160000002</v>
      </c>
      <c r="V15" s="307">
        <f t="shared" si="4"/>
        <v>321276.75160000002</v>
      </c>
      <c r="W15" s="307">
        <f t="shared" si="4"/>
        <v>321276.75160000002</v>
      </c>
      <c r="X15" s="307">
        <f t="shared" si="5"/>
        <v>321276.75160000002</v>
      </c>
      <c r="Y15" s="307">
        <f t="shared" si="5"/>
        <v>321276.75160000002</v>
      </c>
      <c r="Z15" s="307">
        <f t="shared" si="5"/>
        <v>321276.75160000002</v>
      </c>
      <c r="AA15" s="307">
        <f t="shared" si="5"/>
        <v>321276.75160000002</v>
      </c>
      <c r="AB15" s="307">
        <f t="shared" si="5"/>
        <v>321276.75160000002</v>
      </c>
      <c r="AC15" s="307">
        <f t="shared" si="5"/>
        <v>321276.75160000002</v>
      </c>
      <c r="AD15" s="307">
        <f t="shared" si="5"/>
        <v>321276.75160000002</v>
      </c>
      <c r="AE15" s="307">
        <f t="shared" si="5"/>
        <v>321276.75160000002</v>
      </c>
      <c r="AF15" s="307">
        <f t="shared" si="5"/>
        <v>321276.75160000002</v>
      </c>
      <c r="AG15" s="307">
        <f t="shared" si="5"/>
        <v>321276.75160000002</v>
      </c>
      <c r="AH15" s="307">
        <f t="shared" si="5"/>
        <v>321276.75160000002</v>
      </c>
      <c r="AI15" s="307">
        <f t="shared" si="5"/>
        <v>321276.75160000002</v>
      </c>
      <c r="AJ15" s="307">
        <f t="shared" si="5"/>
        <v>321276.75160000002</v>
      </c>
      <c r="AK15" s="307">
        <f t="shared" si="5"/>
        <v>321276.75160000002</v>
      </c>
      <c r="AL15" s="307">
        <f t="shared" si="6"/>
        <v>321276.75160000002</v>
      </c>
      <c r="AM15" s="307">
        <f t="shared" si="6"/>
        <v>321276.75160000002</v>
      </c>
      <c r="AN15" s="307">
        <f t="shared" si="6"/>
        <v>321276.75160000002</v>
      </c>
      <c r="AO15" s="307">
        <f t="shared" si="6"/>
        <v>321276.75160000002</v>
      </c>
      <c r="AP15" s="307">
        <f t="shared" si="6"/>
        <v>321276.75160000002</v>
      </c>
      <c r="AQ15" s="308">
        <f t="shared" si="9"/>
        <v>0</v>
      </c>
      <c r="AS15" s="297"/>
      <c r="AT15" s="297"/>
      <c r="AU15" s="297"/>
      <c r="AV15" s="297"/>
    </row>
    <row r="16" spans="1:49" x14ac:dyDescent="0.3">
      <c r="B16" s="1163"/>
      <c r="C16" s="1166"/>
      <c r="D16" s="306">
        <f t="shared" si="7"/>
        <v>24</v>
      </c>
      <c r="E16" s="306">
        <v>2038</v>
      </c>
      <c r="F16" s="306">
        <f t="shared" si="8"/>
        <v>24</v>
      </c>
      <c r="G16" s="307">
        <v>7938361.6199999992</v>
      </c>
      <c r="H16" s="307">
        <f t="shared" si="4"/>
        <v>0</v>
      </c>
      <c r="I16" s="307">
        <f t="shared" si="4"/>
        <v>0</v>
      </c>
      <c r="J16" s="307">
        <f t="shared" si="4"/>
        <v>0</v>
      </c>
      <c r="K16" s="307">
        <f t="shared" si="4"/>
        <v>0</v>
      </c>
      <c r="L16" s="307">
        <f t="shared" si="4"/>
        <v>0</v>
      </c>
      <c r="M16" s="307">
        <f t="shared" si="4"/>
        <v>0</v>
      </c>
      <c r="N16" s="307">
        <f t="shared" si="4"/>
        <v>0</v>
      </c>
      <c r="O16" s="307">
        <f t="shared" si="4"/>
        <v>0</v>
      </c>
      <c r="P16" s="307">
        <f t="shared" si="4"/>
        <v>0</v>
      </c>
      <c r="Q16" s="307">
        <f t="shared" si="4"/>
        <v>0</v>
      </c>
      <c r="R16" s="307">
        <f t="shared" si="4"/>
        <v>0</v>
      </c>
      <c r="S16" s="307">
        <f t="shared" si="4"/>
        <v>330765.06749999995</v>
      </c>
      <c r="T16" s="307">
        <f t="shared" si="4"/>
        <v>330765.06749999995</v>
      </c>
      <c r="U16" s="307">
        <f t="shared" si="4"/>
        <v>330765.06749999995</v>
      </c>
      <c r="V16" s="307">
        <f t="shared" si="4"/>
        <v>330765.06749999995</v>
      </c>
      <c r="W16" s="307">
        <f t="shared" si="4"/>
        <v>330765.06749999995</v>
      </c>
      <c r="X16" s="307">
        <f t="shared" si="5"/>
        <v>330765.06749999995</v>
      </c>
      <c r="Y16" s="307">
        <f t="shared" si="5"/>
        <v>330765.06749999995</v>
      </c>
      <c r="Z16" s="307">
        <f t="shared" si="5"/>
        <v>330765.06749999995</v>
      </c>
      <c r="AA16" s="307">
        <f t="shared" si="5"/>
        <v>330765.06749999995</v>
      </c>
      <c r="AB16" s="307">
        <f t="shared" si="5"/>
        <v>330765.06749999995</v>
      </c>
      <c r="AC16" s="307">
        <f t="shared" si="5"/>
        <v>330765.06749999995</v>
      </c>
      <c r="AD16" s="307">
        <f t="shared" si="5"/>
        <v>330765.06749999995</v>
      </c>
      <c r="AE16" s="307">
        <f t="shared" si="5"/>
        <v>330765.06749999995</v>
      </c>
      <c r="AF16" s="307">
        <f t="shared" si="5"/>
        <v>330765.06749999995</v>
      </c>
      <c r="AG16" s="307">
        <f t="shared" si="5"/>
        <v>330765.06749999995</v>
      </c>
      <c r="AH16" s="307">
        <f t="shared" si="5"/>
        <v>330765.06749999995</v>
      </c>
      <c r="AI16" s="307">
        <f t="shared" si="5"/>
        <v>330765.06749999995</v>
      </c>
      <c r="AJ16" s="307">
        <f t="shared" si="5"/>
        <v>330765.06749999995</v>
      </c>
      <c r="AK16" s="307">
        <f t="shared" si="5"/>
        <v>330765.06749999995</v>
      </c>
      <c r="AL16" s="307">
        <f t="shared" si="6"/>
        <v>330765.06749999995</v>
      </c>
      <c r="AM16" s="307">
        <f t="shared" si="6"/>
        <v>330765.06749999995</v>
      </c>
      <c r="AN16" s="307">
        <f t="shared" si="6"/>
        <v>330765.06749999995</v>
      </c>
      <c r="AO16" s="307">
        <f t="shared" si="6"/>
        <v>330765.06749999995</v>
      </c>
      <c r="AP16" s="307">
        <f t="shared" si="6"/>
        <v>330765.06749999995</v>
      </c>
      <c r="AQ16" s="308">
        <f t="shared" si="9"/>
        <v>0</v>
      </c>
      <c r="AS16" s="297"/>
      <c r="AT16" s="297"/>
      <c r="AU16" s="297"/>
      <c r="AV16" s="297"/>
    </row>
    <row r="17" spans="2:48" x14ac:dyDescent="0.3">
      <c r="B17" s="1163"/>
      <c r="C17" s="1166"/>
      <c r="D17" s="306">
        <f t="shared" si="7"/>
        <v>23</v>
      </c>
      <c r="E17" s="306">
        <v>2039</v>
      </c>
      <c r="F17" s="306">
        <f t="shared" si="8"/>
        <v>23</v>
      </c>
      <c r="G17" s="307">
        <v>3477782.3499999996</v>
      </c>
      <c r="H17" s="307">
        <f t="shared" si="4"/>
        <v>0</v>
      </c>
      <c r="I17" s="307">
        <f t="shared" si="4"/>
        <v>0</v>
      </c>
      <c r="J17" s="307">
        <f t="shared" si="4"/>
        <v>0</v>
      </c>
      <c r="K17" s="307">
        <f t="shared" si="4"/>
        <v>0</v>
      </c>
      <c r="L17" s="307">
        <f t="shared" si="4"/>
        <v>0</v>
      </c>
      <c r="M17" s="307">
        <f t="shared" si="4"/>
        <v>0</v>
      </c>
      <c r="N17" s="307">
        <f t="shared" si="4"/>
        <v>0</v>
      </c>
      <c r="O17" s="307">
        <f t="shared" si="4"/>
        <v>0</v>
      </c>
      <c r="P17" s="307">
        <f t="shared" si="4"/>
        <v>0</v>
      </c>
      <c r="Q17" s="307">
        <f t="shared" si="4"/>
        <v>0</v>
      </c>
      <c r="R17" s="307">
        <f t="shared" si="4"/>
        <v>0</v>
      </c>
      <c r="S17" s="307">
        <f t="shared" si="4"/>
        <v>0</v>
      </c>
      <c r="T17" s="307">
        <f t="shared" si="4"/>
        <v>151207.92826086955</v>
      </c>
      <c r="U17" s="307">
        <f t="shared" si="4"/>
        <v>151207.92826086955</v>
      </c>
      <c r="V17" s="307">
        <f t="shared" si="4"/>
        <v>151207.92826086955</v>
      </c>
      <c r="W17" s="307">
        <f t="shared" si="4"/>
        <v>151207.92826086955</v>
      </c>
      <c r="X17" s="307">
        <f t="shared" si="5"/>
        <v>151207.92826086955</v>
      </c>
      <c r="Y17" s="307">
        <f t="shared" si="5"/>
        <v>151207.92826086955</v>
      </c>
      <c r="Z17" s="307">
        <f t="shared" si="5"/>
        <v>151207.92826086955</v>
      </c>
      <c r="AA17" s="307">
        <f t="shared" si="5"/>
        <v>151207.92826086955</v>
      </c>
      <c r="AB17" s="307">
        <f t="shared" si="5"/>
        <v>151207.92826086955</v>
      </c>
      <c r="AC17" s="307">
        <f t="shared" si="5"/>
        <v>151207.92826086955</v>
      </c>
      <c r="AD17" s="307">
        <f t="shared" si="5"/>
        <v>151207.92826086955</v>
      </c>
      <c r="AE17" s="307">
        <f t="shared" si="5"/>
        <v>151207.92826086955</v>
      </c>
      <c r="AF17" s="307">
        <f t="shared" si="5"/>
        <v>151207.92826086955</v>
      </c>
      <c r="AG17" s="307">
        <f t="shared" si="5"/>
        <v>151207.92826086955</v>
      </c>
      <c r="AH17" s="307">
        <f t="shared" si="5"/>
        <v>151207.92826086955</v>
      </c>
      <c r="AI17" s="307">
        <f t="shared" si="5"/>
        <v>151207.92826086955</v>
      </c>
      <c r="AJ17" s="307">
        <f t="shared" si="5"/>
        <v>151207.92826086955</v>
      </c>
      <c r="AK17" s="307">
        <f t="shared" si="5"/>
        <v>151207.92826086955</v>
      </c>
      <c r="AL17" s="307">
        <f t="shared" si="6"/>
        <v>151207.92826086955</v>
      </c>
      <c r="AM17" s="307">
        <f t="shared" si="6"/>
        <v>151207.92826086955</v>
      </c>
      <c r="AN17" s="307">
        <f t="shared" si="6"/>
        <v>151207.92826086955</v>
      </c>
      <c r="AO17" s="307">
        <f t="shared" si="6"/>
        <v>151207.92826086955</v>
      </c>
      <c r="AP17" s="307">
        <f t="shared" si="6"/>
        <v>151207.92826086955</v>
      </c>
      <c r="AQ17" s="308">
        <f t="shared" si="9"/>
        <v>0</v>
      </c>
      <c r="AS17" s="297"/>
      <c r="AT17" s="297"/>
      <c r="AU17" s="297"/>
      <c r="AV17" s="297"/>
    </row>
    <row r="18" spans="2:48" x14ac:dyDescent="0.3">
      <c r="B18" s="1163"/>
      <c r="C18" s="1166"/>
      <c r="D18" s="306">
        <f t="shared" si="7"/>
        <v>22</v>
      </c>
      <c r="E18" s="306">
        <v>2040</v>
      </c>
      <c r="F18" s="306">
        <f t="shared" si="8"/>
        <v>22</v>
      </c>
      <c r="G18" s="307">
        <v>3330833.8000000007</v>
      </c>
      <c r="H18" s="307">
        <f t="shared" si="4"/>
        <v>0</v>
      </c>
      <c r="I18" s="307">
        <f t="shared" si="4"/>
        <v>0</v>
      </c>
      <c r="J18" s="307">
        <f t="shared" si="4"/>
        <v>0</v>
      </c>
      <c r="K18" s="307">
        <f t="shared" si="4"/>
        <v>0</v>
      </c>
      <c r="L18" s="307">
        <f t="shared" si="4"/>
        <v>0</v>
      </c>
      <c r="M18" s="307">
        <f t="shared" si="4"/>
        <v>0</v>
      </c>
      <c r="N18" s="307">
        <f t="shared" si="4"/>
        <v>0</v>
      </c>
      <c r="O18" s="307">
        <f t="shared" si="4"/>
        <v>0</v>
      </c>
      <c r="P18" s="307">
        <f t="shared" si="4"/>
        <v>0</v>
      </c>
      <c r="Q18" s="307">
        <f t="shared" si="4"/>
        <v>0</v>
      </c>
      <c r="R18" s="307">
        <f t="shared" si="4"/>
        <v>0</v>
      </c>
      <c r="S18" s="307">
        <f t="shared" si="4"/>
        <v>0</v>
      </c>
      <c r="T18" s="307">
        <f t="shared" si="4"/>
        <v>0</v>
      </c>
      <c r="U18" s="307">
        <f t="shared" si="4"/>
        <v>151401.53636363641</v>
      </c>
      <c r="V18" s="307">
        <f t="shared" si="4"/>
        <v>151401.53636363641</v>
      </c>
      <c r="W18" s="307">
        <f t="shared" si="4"/>
        <v>151401.53636363641</v>
      </c>
      <c r="X18" s="307">
        <f t="shared" si="5"/>
        <v>151401.53636363641</v>
      </c>
      <c r="Y18" s="307">
        <f t="shared" si="5"/>
        <v>151401.53636363641</v>
      </c>
      <c r="Z18" s="307">
        <f t="shared" si="5"/>
        <v>151401.53636363641</v>
      </c>
      <c r="AA18" s="307">
        <f t="shared" si="5"/>
        <v>151401.53636363641</v>
      </c>
      <c r="AB18" s="307">
        <f t="shared" si="5"/>
        <v>151401.53636363641</v>
      </c>
      <c r="AC18" s="307">
        <f t="shared" si="5"/>
        <v>151401.53636363641</v>
      </c>
      <c r="AD18" s="307">
        <f t="shared" si="5"/>
        <v>151401.53636363641</v>
      </c>
      <c r="AE18" s="307">
        <f t="shared" si="5"/>
        <v>151401.53636363641</v>
      </c>
      <c r="AF18" s="307">
        <f t="shared" ref="AF18:AP33" si="10">IF($F18=0,0,IF(AF$4&lt;$E18,0,IF(OR(AF$4=$E18,AF$4&lt;$E18+$F18),$G18/$F18,0)))</f>
        <v>151401.53636363641</v>
      </c>
      <c r="AG18" s="307">
        <f t="shared" si="10"/>
        <v>151401.53636363641</v>
      </c>
      <c r="AH18" s="307">
        <f t="shared" si="10"/>
        <v>151401.53636363641</v>
      </c>
      <c r="AI18" s="307">
        <f t="shared" si="10"/>
        <v>151401.53636363641</v>
      </c>
      <c r="AJ18" s="307">
        <f t="shared" si="10"/>
        <v>151401.53636363641</v>
      </c>
      <c r="AK18" s="307">
        <f t="shared" si="10"/>
        <v>151401.53636363641</v>
      </c>
      <c r="AL18" s="307">
        <f t="shared" si="10"/>
        <v>151401.53636363641</v>
      </c>
      <c r="AM18" s="307">
        <f t="shared" si="10"/>
        <v>151401.53636363641</v>
      </c>
      <c r="AN18" s="307">
        <f t="shared" si="10"/>
        <v>151401.53636363641</v>
      </c>
      <c r="AO18" s="307">
        <f t="shared" si="10"/>
        <v>151401.53636363641</v>
      </c>
      <c r="AP18" s="307">
        <f t="shared" si="10"/>
        <v>151401.53636363641</v>
      </c>
      <c r="AQ18" s="308">
        <f t="shared" si="9"/>
        <v>0</v>
      </c>
      <c r="AS18" s="297"/>
      <c r="AT18" s="297"/>
      <c r="AU18" s="297"/>
      <c r="AV18" s="297"/>
    </row>
    <row r="19" spans="2:48" x14ac:dyDescent="0.3">
      <c r="B19" s="1163"/>
      <c r="C19" s="1166"/>
      <c r="D19" s="306">
        <f t="shared" si="7"/>
        <v>21</v>
      </c>
      <c r="E19" s="306">
        <v>2041</v>
      </c>
      <c r="F19" s="306">
        <f t="shared" si="8"/>
        <v>21</v>
      </c>
      <c r="G19" s="307">
        <v>3193681.8199999994</v>
      </c>
      <c r="H19" s="307">
        <f t="shared" si="4"/>
        <v>0</v>
      </c>
      <c r="I19" s="307">
        <f t="shared" si="4"/>
        <v>0</v>
      </c>
      <c r="J19" s="307">
        <f t="shared" si="4"/>
        <v>0</v>
      </c>
      <c r="K19" s="307">
        <f t="shared" si="4"/>
        <v>0</v>
      </c>
      <c r="L19" s="307">
        <f t="shared" si="4"/>
        <v>0</v>
      </c>
      <c r="M19" s="307">
        <f t="shared" si="4"/>
        <v>0</v>
      </c>
      <c r="N19" s="307">
        <f t="shared" si="4"/>
        <v>0</v>
      </c>
      <c r="O19" s="307">
        <f t="shared" si="4"/>
        <v>0</v>
      </c>
      <c r="P19" s="307">
        <f t="shared" si="4"/>
        <v>0</v>
      </c>
      <c r="Q19" s="307">
        <f t="shared" si="4"/>
        <v>0</v>
      </c>
      <c r="R19" s="307">
        <f t="shared" si="4"/>
        <v>0</v>
      </c>
      <c r="S19" s="307">
        <f t="shared" si="4"/>
        <v>0</v>
      </c>
      <c r="T19" s="307">
        <f t="shared" si="4"/>
        <v>0</v>
      </c>
      <c r="U19" s="307">
        <f t="shared" si="4"/>
        <v>0</v>
      </c>
      <c r="V19" s="307">
        <f t="shared" si="4"/>
        <v>152080.08666666664</v>
      </c>
      <c r="W19" s="307">
        <f t="shared" si="4"/>
        <v>152080.08666666664</v>
      </c>
      <c r="X19" s="307">
        <f t="shared" ref="X19:AH20" si="11">IF($F19=0,0,IF(X$4&lt;$E19,0,IF(OR(X$4=$E19,X$4&lt;$E19+$F19),$G19/$F19,0)))</f>
        <v>152080.08666666664</v>
      </c>
      <c r="Y19" s="307">
        <f t="shared" si="11"/>
        <v>152080.08666666664</v>
      </c>
      <c r="Z19" s="307">
        <f t="shared" si="11"/>
        <v>152080.08666666664</v>
      </c>
      <c r="AA19" s="307">
        <f t="shared" si="11"/>
        <v>152080.08666666664</v>
      </c>
      <c r="AB19" s="307">
        <f t="shared" si="11"/>
        <v>152080.08666666664</v>
      </c>
      <c r="AC19" s="307">
        <f t="shared" si="11"/>
        <v>152080.08666666664</v>
      </c>
      <c r="AD19" s="307">
        <f t="shared" si="11"/>
        <v>152080.08666666664</v>
      </c>
      <c r="AE19" s="307">
        <f t="shared" si="11"/>
        <v>152080.08666666664</v>
      </c>
      <c r="AF19" s="307">
        <f t="shared" si="11"/>
        <v>152080.08666666664</v>
      </c>
      <c r="AG19" s="307">
        <f t="shared" si="11"/>
        <v>152080.08666666664</v>
      </c>
      <c r="AH19" s="307">
        <f t="shared" si="11"/>
        <v>152080.08666666664</v>
      </c>
      <c r="AI19" s="307">
        <f t="shared" si="10"/>
        <v>152080.08666666664</v>
      </c>
      <c r="AJ19" s="307">
        <f t="shared" si="10"/>
        <v>152080.08666666664</v>
      </c>
      <c r="AK19" s="307">
        <f t="shared" si="10"/>
        <v>152080.08666666664</v>
      </c>
      <c r="AL19" s="307">
        <f t="shared" si="10"/>
        <v>152080.08666666664</v>
      </c>
      <c r="AM19" s="307">
        <f t="shared" si="10"/>
        <v>152080.08666666664</v>
      </c>
      <c r="AN19" s="307">
        <f t="shared" si="10"/>
        <v>152080.08666666664</v>
      </c>
      <c r="AO19" s="307">
        <f t="shared" si="10"/>
        <v>152080.08666666664</v>
      </c>
      <c r="AP19" s="307">
        <f t="shared" si="10"/>
        <v>152080.08666666664</v>
      </c>
      <c r="AQ19" s="308">
        <f t="shared" si="9"/>
        <v>0</v>
      </c>
      <c r="AS19" s="297"/>
      <c r="AT19" s="297"/>
      <c r="AU19" s="297"/>
      <c r="AV19" s="297"/>
    </row>
    <row r="20" spans="2:48" x14ac:dyDescent="0.3">
      <c r="B20" s="1163"/>
      <c r="C20" s="1166"/>
      <c r="D20" s="306">
        <f t="shared" si="7"/>
        <v>20</v>
      </c>
      <c r="E20" s="306">
        <v>2042</v>
      </c>
      <c r="F20" s="306">
        <f t="shared" si="8"/>
        <v>20</v>
      </c>
      <c r="G20" s="307">
        <v>3056529.8399999994</v>
      </c>
      <c r="H20" s="307">
        <f t="shared" si="4"/>
        <v>0</v>
      </c>
      <c r="I20" s="307">
        <f t="shared" si="4"/>
        <v>0</v>
      </c>
      <c r="J20" s="307">
        <f t="shared" si="4"/>
        <v>0</v>
      </c>
      <c r="K20" s="307">
        <f t="shared" si="4"/>
        <v>0</v>
      </c>
      <c r="L20" s="307">
        <f t="shared" si="4"/>
        <v>0</v>
      </c>
      <c r="M20" s="307">
        <f t="shared" si="4"/>
        <v>0</v>
      </c>
      <c r="N20" s="307">
        <f t="shared" si="4"/>
        <v>0</v>
      </c>
      <c r="O20" s="307">
        <f t="shared" si="4"/>
        <v>0</v>
      </c>
      <c r="P20" s="307">
        <f t="shared" si="4"/>
        <v>0</v>
      </c>
      <c r="Q20" s="307">
        <f t="shared" si="4"/>
        <v>0</v>
      </c>
      <c r="R20" s="307">
        <f t="shared" si="4"/>
        <v>0</v>
      </c>
      <c r="S20" s="307">
        <f t="shared" si="4"/>
        <v>0</v>
      </c>
      <c r="T20" s="307">
        <f t="shared" si="4"/>
        <v>0</v>
      </c>
      <c r="U20" s="307">
        <f t="shared" si="4"/>
        <v>0</v>
      </c>
      <c r="V20" s="307">
        <f t="shared" si="4"/>
        <v>0</v>
      </c>
      <c r="W20" s="307">
        <f t="shared" ref="W20:AL35" si="12">IF($F20=0,0,IF(W$4&lt;$E20,0,IF(OR(W$4=$E20,W$4&lt;$E20+$F20),$G20/$F20,0)))</f>
        <v>152826.49199999997</v>
      </c>
      <c r="X20" s="307">
        <f t="shared" si="12"/>
        <v>152826.49199999997</v>
      </c>
      <c r="Y20" s="307">
        <f t="shared" si="12"/>
        <v>152826.49199999997</v>
      </c>
      <c r="Z20" s="307">
        <f t="shared" si="12"/>
        <v>152826.49199999997</v>
      </c>
      <c r="AA20" s="307">
        <f t="shared" si="12"/>
        <v>152826.49199999997</v>
      </c>
      <c r="AB20" s="307">
        <f t="shared" si="12"/>
        <v>152826.49199999997</v>
      </c>
      <c r="AC20" s="307">
        <f t="shared" si="11"/>
        <v>152826.49199999997</v>
      </c>
      <c r="AD20" s="307">
        <f t="shared" si="11"/>
        <v>152826.49199999997</v>
      </c>
      <c r="AE20" s="307">
        <f t="shared" si="11"/>
        <v>152826.49199999997</v>
      </c>
      <c r="AF20" s="307">
        <f t="shared" si="11"/>
        <v>152826.49199999997</v>
      </c>
      <c r="AG20" s="307">
        <f t="shared" si="11"/>
        <v>152826.49199999997</v>
      </c>
      <c r="AH20" s="307">
        <f t="shared" si="11"/>
        <v>152826.49199999997</v>
      </c>
      <c r="AI20" s="307">
        <f t="shared" si="10"/>
        <v>152826.49199999997</v>
      </c>
      <c r="AJ20" s="307">
        <f t="shared" si="10"/>
        <v>152826.49199999997</v>
      </c>
      <c r="AK20" s="307">
        <f t="shared" si="10"/>
        <v>152826.49199999997</v>
      </c>
      <c r="AL20" s="307">
        <f t="shared" si="10"/>
        <v>152826.49199999997</v>
      </c>
      <c r="AM20" s="307">
        <f t="shared" si="10"/>
        <v>152826.49199999997</v>
      </c>
      <c r="AN20" s="307">
        <f t="shared" si="10"/>
        <v>152826.49199999997</v>
      </c>
      <c r="AO20" s="307">
        <f t="shared" si="10"/>
        <v>152826.49199999997</v>
      </c>
      <c r="AP20" s="307">
        <f t="shared" si="10"/>
        <v>152826.49199999997</v>
      </c>
      <c r="AQ20" s="308">
        <f t="shared" si="9"/>
        <v>0</v>
      </c>
      <c r="AS20" s="297"/>
      <c r="AT20" s="297"/>
      <c r="AU20" s="297"/>
      <c r="AV20" s="297"/>
    </row>
    <row r="21" spans="2:48" x14ac:dyDescent="0.3">
      <c r="B21" s="1163"/>
      <c r="C21" s="1166"/>
      <c r="D21" s="306">
        <f t="shared" si="7"/>
        <v>19</v>
      </c>
      <c r="E21" s="306">
        <v>2043</v>
      </c>
      <c r="F21" s="306">
        <f t="shared" si="8"/>
        <v>19</v>
      </c>
      <c r="G21" s="307">
        <v>2919377.86</v>
      </c>
      <c r="H21" s="307">
        <f t="shared" ref="H21:W36" si="13">IF($F21=0,0,IF(H$4&lt;$E21,0,IF(OR(H$4=$E21,H$4&lt;$E21+$F21),$G21/$F21,0)))</f>
        <v>0</v>
      </c>
      <c r="I21" s="307">
        <f t="shared" si="13"/>
        <v>0</v>
      </c>
      <c r="J21" s="307">
        <f t="shared" si="13"/>
        <v>0</v>
      </c>
      <c r="K21" s="307">
        <f t="shared" si="13"/>
        <v>0</v>
      </c>
      <c r="L21" s="307">
        <f t="shared" si="13"/>
        <v>0</v>
      </c>
      <c r="M21" s="307">
        <f t="shared" si="13"/>
        <v>0</v>
      </c>
      <c r="N21" s="307">
        <f t="shared" si="13"/>
        <v>0</v>
      </c>
      <c r="O21" s="307">
        <f t="shared" si="13"/>
        <v>0</v>
      </c>
      <c r="P21" s="307">
        <f t="shared" si="13"/>
        <v>0</v>
      </c>
      <c r="Q21" s="307">
        <f t="shared" si="13"/>
        <v>0</v>
      </c>
      <c r="R21" s="307">
        <f t="shared" si="13"/>
        <v>0</v>
      </c>
      <c r="S21" s="307">
        <f t="shared" si="13"/>
        <v>0</v>
      </c>
      <c r="T21" s="307">
        <f t="shared" si="13"/>
        <v>0</v>
      </c>
      <c r="U21" s="307">
        <f t="shared" si="13"/>
        <v>0</v>
      </c>
      <c r="V21" s="307">
        <f t="shared" si="13"/>
        <v>0</v>
      </c>
      <c r="W21" s="307">
        <f t="shared" si="13"/>
        <v>0</v>
      </c>
      <c r="X21" s="307">
        <f t="shared" si="12"/>
        <v>153651.46631578947</v>
      </c>
      <c r="Y21" s="307">
        <f t="shared" si="12"/>
        <v>153651.46631578947</v>
      </c>
      <c r="Z21" s="307">
        <f t="shared" si="12"/>
        <v>153651.46631578947</v>
      </c>
      <c r="AA21" s="307">
        <f t="shared" si="12"/>
        <v>153651.46631578947</v>
      </c>
      <c r="AB21" s="307">
        <f t="shared" si="12"/>
        <v>153651.46631578947</v>
      </c>
      <c r="AC21" s="307">
        <f t="shared" si="12"/>
        <v>153651.46631578947</v>
      </c>
      <c r="AD21" s="307">
        <f t="shared" si="12"/>
        <v>153651.46631578947</v>
      </c>
      <c r="AE21" s="307">
        <f t="shared" si="12"/>
        <v>153651.46631578947</v>
      </c>
      <c r="AF21" s="307">
        <f t="shared" si="12"/>
        <v>153651.46631578947</v>
      </c>
      <c r="AG21" s="307">
        <f t="shared" si="12"/>
        <v>153651.46631578947</v>
      </c>
      <c r="AH21" s="307">
        <f t="shared" si="12"/>
        <v>153651.46631578947</v>
      </c>
      <c r="AI21" s="307">
        <f t="shared" si="12"/>
        <v>153651.46631578947</v>
      </c>
      <c r="AJ21" s="307">
        <f t="shared" si="12"/>
        <v>153651.46631578947</v>
      </c>
      <c r="AK21" s="307">
        <f t="shared" si="12"/>
        <v>153651.46631578947</v>
      </c>
      <c r="AL21" s="307">
        <f t="shared" si="12"/>
        <v>153651.46631578947</v>
      </c>
      <c r="AM21" s="307">
        <f t="shared" si="10"/>
        <v>153651.46631578947</v>
      </c>
      <c r="AN21" s="307">
        <f t="shared" si="10"/>
        <v>153651.46631578947</v>
      </c>
      <c r="AO21" s="307">
        <f t="shared" si="10"/>
        <v>153651.46631578947</v>
      </c>
      <c r="AP21" s="307">
        <f t="shared" si="10"/>
        <v>153651.46631578947</v>
      </c>
      <c r="AQ21" s="308">
        <f t="shared" si="9"/>
        <v>0</v>
      </c>
      <c r="AS21" s="297"/>
      <c r="AT21" s="297"/>
      <c r="AU21" s="297"/>
      <c r="AV21" s="297"/>
    </row>
    <row r="22" spans="2:48" x14ac:dyDescent="0.3">
      <c r="B22" s="1163"/>
      <c r="C22" s="1166"/>
      <c r="D22" s="306">
        <f t="shared" si="7"/>
        <v>18</v>
      </c>
      <c r="E22" s="306">
        <v>2044</v>
      </c>
      <c r="F22" s="306">
        <f t="shared" si="8"/>
        <v>18</v>
      </c>
      <c r="G22" s="307">
        <v>2792022.4499999993</v>
      </c>
      <c r="H22" s="307">
        <f t="shared" si="13"/>
        <v>0</v>
      </c>
      <c r="I22" s="307">
        <f t="shared" si="13"/>
        <v>0</v>
      </c>
      <c r="J22" s="307">
        <f t="shared" si="13"/>
        <v>0</v>
      </c>
      <c r="K22" s="307">
        <f t="shared" si="13"/>
        <v>0</v>
      </c>
      <c r="L22" s="307">
        <f t="shared" si="13"/>
        <v>0</v>
      </c>
      <c r="M22" s="307">
        <f t="shared" si="13"/>
        <v>0</v>
      </c>
      <c r="N22" s="307">
        <f t="shared" si="13"/>
        <v>0</v>
      </c>
      <c r="O22" s="307">
        <f t="shared" si="13"/>
        <v>0</v>
      </c>
      <c r="P22" s="307">
        <f t="shared" si="13"/>
        <v>0</v>
      </c>
      <c r="Q22" s="307">
        <f t="shared" si="13"/>
        <v>0</v>
      </c>
      <c r="R22" s="307">
        <f t="shared" si="13"/>
        <v>0</v>
      </c>
      <c r="S22" s="307">
        <f t="shared" si="13"/>
        <v>0</v>
      </c>
      <c r="T22" s="307">
        <f t="shared" si="13"/>
        <v>0</v>
      </c>
      <c r="U22" s="307">
        <f t="shared" si="13"/>
        <v>0</v>
      </c>
      <c r="V22" s="307">
        <f t="shared" si="13"/>
        <v>0</v>
      </c>
      <c r="W22" s="307">
        <f t="shared" si="13"/>
        <v>0</v>
      </c>
      <c r="X22" s="307">
        <f t="shared" si="12"/>
        <v>0</v>
      </c>
      <c r="Y22" s="307">
        <f t="shared" si="12"/>
        <v>155112.35833333328</v>
      </c>
      <c r="Z22" s="307">
        <f t="shared" si="12"/>
        <v>155112.35833333328</v>
      </c>
      <c r="AA22" s="307">
        <f t="shared" si="12"/>
        <v>155112.35833333328</v>
      </c>
      <c r="AB22" s="307">
        <f t="shared" si="12"/>
        <v>155112.35833333328</v>
      </c>
      <c r="AC22" s="307">
        <f t="shared" si="12"/>
        <v>155112.35833333328</v>
      </c>
      <c r="AD22" s="307">
        <f t="shared" si="12"/>
        <v>155112.35833333328</v>
      </c>
      <c r="AE22" s="307">
        <f t="shared" si="12"/>
        <v>155112.35833333328</v>
      </c>
      <c r="AF22" s="307">
        <f t="shared" si="12"/>
        <v>155112.35833333328</v>
      </c>
      <c r="AG22" s="307">
        <f t="shared" si="12"/>
        <v>155112.35833333328</v>
      </c>
      <c r="AH22" s="307">
        <f t="shared" si="12"/>
        <v>155112.35833333328</v>
      </c>
      <c r="AI22" s="307">
        <f t="shared" si="12"/>
        <v>155112.35833333328</v>
      </c>
      <c r="AJ22" s="307">
        <f t="shared" si="12"/>
        <v>155112.35833333328</v>
      </c>
      <c r="AK22" s="307">
        <f t="shared" si="12"/>
        <v>155112.35833333328</v>
      </c>
      <c r="AL22" s="307">
        <f t="shared" si="10"/>
        <v>155112.35833333328</v>
      </c>
      <c r="AM22" s="307">
        <f t="shared" si="10"/>
        <v>155112.35833333328</v>
      </c>
      <c r="AN22" s="307">
        <f t="shared" si="10"/>
        <v>155112.35833333328</v>
      </c>
      <c r="AO22" s="307">
        <f t="shared" si="10"/>
        <v>155112.35833333328</v>
      </c>
      <c r="AP22" s="307">
        <f t="shared" si="10"/>
        <v>155112.35833333328</v>
      </c>
      <c r="AQ22" s="308">
        <f t="shared" si="9"/>
        <v>0</v>
      </c>
      <c r="AS22" s="297"/>
      <c r="AT22" s="297"/>
      <c r="AU22" s="297"/>
      <c r="AV22" s="297"/>
    </row>
    <row r="23" spans="2:48" x14ac:dyDescent="0.3">
      <c r="B23" s="1163"/>
      <c r="C23" s="1166"/>
      <c r="D23" s="306">
        <f t="shared" si="7"/>
        <v>17</v>
      </c>
      <c r="E23" s="306">
        <v>2045</v>
      </c>
      <c r="F23" s="306">
        <f t="shared" si="8"/>
        <v>17</v>
      </c>
      <c r="G23" s="307">
        <v>2673183.1799999997</v>
      </c>
      <c r="H23" s="307">
        <f t="shared" si="13"/>
        <v>0</v>
      </c>
      <c r="I23" s="307">
        <f t="shared" si="13"/>
        <v>0</v>
      </c>
      <c r="J23" s="307">
        <f t="shared" si="13"/>
        <v>0</v>
      </c>
      <c r="K23" s="307">
        <f t="shared" si="13"/>
        <v>0</v>
      </c>
      <c r="L23" s="307">
        <f t="shared" si="13"/>
        <v>0</v>
      </c>
      <c r="M23" s="307">
        <f t="shared" si="13"/>
        <v>0</v>
      </c>
      <c r="N23" s="307">
        <f t="shared" si="13"/>
        <v>0</v>
      </c>
      <c r="O23" s="307">
        <f t="shared" si="13"/>
        <v>0</v>
      </c>
      <c r="P23" s="307">
        <f t="shared" si="13"/>
        <v>0</v>
      </c>
      <c r="Q23" s="307">
        <f t="shared" si="13"/>
        <v>0</v>
      </c>
      <c r="R23" s="307">
        <f t="shared" si="13"/>
        <v>0</v>
      </c>
      <c r="S23" s="307">
        <f t="shared" si="13"/>
        <v>0</v>
      </c>
      <c r="T23" s="307">
        <f t="shared" si="13"/>
        <v>0</v>
      </c>
      <c r="U23" s="307">
        <f t="shared" si="13"/>
        <v>0</v>
      </c>
      <c r="V23" s="307">
        <f t="shared" si="13"/>
        <v>0</v>
      </c>
      <c r="W23" s="307">
        <f t="shared" si="13"/>
        <v>0</v>
      </c>
      <c r="X23" s="307">
        <f t="shared" si="12"/>
        <v>0</v>
      </c>
      <c r="Y23" s="307">
        <f t="shared" si="12"/>
        <v>0</v>
      </c>
      <c r="Z23" s="307">
        <f t="shared" si="12"/>
        <v>157246.06941176468</v>
      </c>
      <c r="AA23" s="307">
        <f t="shared" si="12"/>
        <v>157246.06941176468</v>
      </c>
      <c r="AB23" s="307">
        <f t="shared" si="12"/>
        <v>157246.06941176468</v>
      </c>
      <c r="AC23" s="307">
        <f t="shared" si="12"/>
        <v>157246.06941176468</v>
      </c>
      <c r="AD23" s="307">
        <f t="shared" si="12"/>
        <v>157246.06941176468</v>
      </c>
      <c r="AE23" s="307">
        <f t="shared" si="12"/>
        <v>157246.06941176468</v>
      </c>
      <c r="AF23" s="307">
        <f t="shared" si="12"/>
        <v>157246.06941176468</v>
      </c>
      <c r="AG23" s="307">
        <f t="shared" si="12"/>
        <v>157246.06941176468</v>
      </c>
      <c r="AH23" s="307">
        <f t="shared" si="12"/>
        <v>157246.06941176468</v>
      </c>
      <c r="AI23" s="307">
        <f t="shared" si="12"/>
        <v>157246.06941176468</v>
      </c>
      <c r="AJ23" s="307">
        <f t="shared" si="12"/>
        <v>157246.06941176468</v>
      </c>
      <c r="AK23" s="307">
        <f t="shared" si="12"/>
        <v>157246.06941176468</v>
      </c>
      <c r="AL23" s="307">
        <f t="shared" si="10"/>
        <v>157246.06941176468</v>
      </c>
      <c r="AM23" s="307">
        <f t="shared" si="10"/>
        <v>157246.06941176468</v>
      </c>
      <c r="AN23" s="307">
        <f t="shared" si="10"/>
        <v>157246.06941176468</v>
      </c>
      <c r="AO23" s="307">
        <f t="shared" si="10"/>
        <v>157246.06941176468</v>
      </c>
      <c r="AP23" s="307">
        <f t="shared" si="10"/>
        <v>157246.06941176468</v>
      </c>
      <c r="AQ23" s="308">
        <f t="shared" si="9"/>
        <v>0</v>
      </c>
      <c r="AS23" s="297"/>
      <c r="AT23" s="297"/>
      <c r="AU23" s="297"/>
      <c r="AV23" s="297"/>
    </row>
    <row r="24" spans="2:48" x14ac:dyDescent="0.3">
      <c r="B24" s="1163"/>
      <c r="C24" s="1166"/>
      <c r="D24" s="306">
        <f t="shared" si="7"/>
        <v>16</v>
      </c>
      <c r="E24" s="306">
        <v>2046</v>
      </c>
      <c r="F24" s="306">
        <f t="shared" si="8"/>
        <v>16</v>
      </c>
      <c r="G24" s="307">
        <v>2547108.1999999993</v>
      </c>
      <c r="H24" s="307">
        <f t="shared" si="13"/>
        <v>0</v>
      </c>
      <c r="I24" s="307">
        <f t="shared" si="13"/>
        <v>0</v>
      </c>
      <c r="J24" s="307">
        <f t="shared" si="13"/>
        <v>0</v>
      </c>
      <c r="K24" s="307">
        <f t="shared" si="13"/>
        <v>0</v>
      </c>
      <c r="L24" s="307">
        <f t="shared" si="13"/>
        <v>0</v>
      </c>
      <c r="M24" s="307">
        <f t="shared" si="13"/>
        <v>0</v>
      </c>
      <c r="N24" s="307">
        <f t="shared" si="13"/>
        <v>0</v>
      </c>
      <c r="O24" s="307">
        <f t="shared" si="13"/>
        <v>0</v>
      </c>
      <c r="P24" s="307">
        <f t="shared" si="13"/>
        <v>0</v>
      </c>
      <c r="Q24" s="307">
        <f t="shared" si="13"/>
        <v>0</v>
      </c>
      <c r="R24" s="307">
        <f t="shared" si="13"/>
        <v>0</v>
      </c>
      <c r="S24" s="307">
        <f t="shared" si="13"/>
        <v>0</v>
      </c>
      <c r="T24" s="307">
        <f t="shared" si="13"/>
        <v>0</v>
      </c>
      <c r="U24" s="307">
        <f t="shared" si="13"/>
        <v>0</v>
      </c>
      <c r="V24" s="307">
        <f t="shared" si="13"/>
        <v>0</v>
      </c>
      <c r="W24" s="307">
        <f t="shared" si="13"/>
        <v>0</v>
      </c>
      <c r="X24" s="307">
        <f t="shared" si="12"/>
        <v>0</v>
      </c>
      <c r="Y24" s="307">
        <f t="shared" si="12"/>
        <v>0</v>
      </c>
      <c r="Z24" s="307">
        <f t="shared" si="12"/>
        <v>0</v>
      </c>
      <c r="AA24" s="307">
        <f t="shared" si="12"/>
        <v>159194.26249999995</v>
      </c>
      <c r="AB24" s="307">
        <f t="shared" si="12"/>
        <v>159194.26249999995</v>
      </c>
      <c r="AC24" s="307">
        <f t="shared" si="12"/>
        <v>159194.26249999995</v>
      </c>
      <c r="AD24" s="307">
        <f t="shared" si="12"/>
        <v>159194.26249999995</v>
      </c>
      <c r="AE24" s="307">
        <f t="shared" si="12"/>
        <v>159194.26249999995</v>
      </c>
      <c r="AF24" s="307">
        <f t="shared" si="12"/>
        <v>159194.26249999995</v>
      </c>
      <c r="AG24" s="307">
        <f t="shared" si="12"/>
        <v>159194.26249999995</v>
      </c>
      <c r="AH24" s="307">
        <f t="shared" si="12"/>
        <v>159194.26249999995</v>
      </c>
      <c r="AI24" s="307">
        <f t="shared" si="12"/>
        <v>159194.26249999995</v>
      </c>
      <c r="AJ24" s="307">
        <f t="shared" si="12"/>
        <v>159194.26249999995</v>
      </c>
      <c r="AK24" s="307">
        <f t="shared" si="12"/>
        <v>159194.26249999995</v>
      </c>
      <c r="AL24" s="307">
        <f t="shared" si="10"/>
        <v>159194.26249999995</v>
      </c>
      <c r="AM24" s="307">
        <f t="shared" si="10"/>
        <v>159194.26249999995</v>
      </c>
      <c r="AN24" s="307">
        <f t="shared" si="10"/>
        <v>159194.26249999995</v>
      </c>
      <c r="AO24" s="307">
        <f t="shared" si="10"/>
        <v>159194.26249999995</v>
      </c>
      <c r="AP24" s="307">
        <f t="shared" si="10"/>
        <v>159194.26249999995</v>
      </c>
      <c r="AQ24" s="308">
        <f t="shared" si="9"/>
        <v>0</v>
      </c>
      <c r="AS24" s="297"/>
      <c r="AT24" s="297"/>
      <c r="AU24" s="297"/>
      <c r="AV24" s="297"/>
    </row>
    <row r="25" spans="2:48" x14ac:dyDescent="0.3">
      <c r="B25" s="1163"/>
      <c r="C25" s="1166"/>
      <c r="D25" s="306">
        <f t="shared" si="7"/>
        <v>15</v>
      </c>
      <c r="E25" s="306">
        <v>2047</v>
      </c>
      <c r="F25" s="306">
        <f t="shared" si="8"/>
        <v>15</v>
      </c>
      <c r="G25" s="307">
        <v>2429549.36</v>
      </c>
      <c r="H25" s="307">
        <f t="shared" si="13"/>
        <v>0</v>
      </c>
      <c r="I25" s="307">
        <f t="shared" si="13"/>
        <v>0</v>
      </c>
      <c r="J25" s="307">
        <f t="shared" si="13"/>
        <v>0</v>
      </c>
      <c r="K25" s="307">
        <f t="shared" si="13"/>
        <v>0</v>
      </c>
      <c r="L25" s="307">
        <f t="shared" si="13"/>
        <v>0</v>
      </c>
      <c r="M25" s="307">
        <f t="shared" si="13"/>
        <v>0</v>
      </c>
      <c r="N25" s="307">
        <f t="shared" si="13"/>
        <v>0</v>
      </c>
      <c r="O25" s="307">
        <f t="shared" si="13"/>
        <v>0</v>
      </c>
      <c r="P25" s="307">
        <f t="shared" si="13"/>
        <v>0</v>
      </c>
      <c r="Q25" s="307">
        <f t="shared" si="13"/>
        <v>0</v>
      </c>
      <c r="R25" s="307">
        <f t="shared" si="13"/>
        <v>0</v>
      </c>
      <c r="S25" s="307">
        <f t="shared" si="13"/>
        <v>0</v>
      </c>
      <c r="T25" s="307">
        <f t="shared" si="13"/>
        <v>0</v>
      </c>
      <c r="U25" s="307">
        <f t="shared" si="13"/>
        <v>0</v>
      </c>
      <c r="V25" s="307">
        <f t="shared" si="13"/>
        <v>0</v>
      </c>
      <c r="W25" s="307">
        <f t="shared" si="13"/>
        <v>0</v>
      </c>
      <c r="X25" s="307">
        <f t="shared" si="12"/>
        <v>0</v>
      </c>
      <c r="Y25" s="307">
        <f t="shared" si="12"/>
        <v>0</v>
      </c>
      <c r="Z25" s="307">
        <f t="shared" si="12"/>
        <v>0</v>
      </c>
      <c r="AA25" s="307">
        <f t="shared" si="12"/>
        <v>0</v>
      </c>
      <c r="AB25" s="307">
        <f t="shared" si="12"/>
        <v>161969.95733333332</v>
      </c>
      <c r="AC25" s="307">
        <f t="shared" si="12"/>
        <v>161969.95733333332</v>
      </c>
      <c r="AD25" s="307">
        <f t="shared" si="12"/>
        <v>161969.95733333332</v>
      </c>
      <c r="AE25" s="307">
        <f t="shared" si="12"/>
        <v>161969.95733333332</v>
      </c>
      <c r="AF25" s="307">
        <f t="shared" si="12"/>
        <v>161969.95733333332</v>
      </c>
      <c r="AG25" s="307">
        <f t="shared" si="12"/>
        <v>161969.95733333332</v>
      </c>
      <c r="AH25" s="307">
        <f t="shared" si="12"/>
        <v>161969.95733333332</v>
      </c>
      <c r="AI25" s="307">
        <f t="shared" si="12"/>
        <v>161969.95733333332</v>
      </c>
      <c r="AJ25" s="307">
        <f t="shared" si="12"/>
        <v>161969.95733333332</v>
      </c>
      <c r="AK25" s="307">
        <f t="shared" si="12"/>
        <v>161969.95733333332</v>
      </c>
      <c r="AL25" s="307">
        <f t="shared" si="10"/>
        <v>161969.95733333332</v>
      </c>
      <c r="AM25" s="307">
        <f t="shared" si="10"/>
        <v>161969.95733333332</v>
      </c>
      <c r="AN25" s="307">
        <f t="shared" si="10"/>
        <v>161969.95733333332</v>
      </c>
      <c r="AO25" s="307">
        <f t="shared" si="10"/>
        <v>161969.95733333332</v>
      </c>
      <c r="AP25" s="307">
        <f t="shared" si="10"/>
        <v>161969.95733333332</v>
      </c>
      <c r="AQ25" s="308">
        <f t="shared" si="9"/>
        <v>0</v>
      </c>
      <c r="AS25" s="297"/>
      <c r="AT25" s="297"/>
      <c r="AU25" s="297"/>
      <c r="AV25" s="297"/>
    </row>
    <row r="26" spans="2:48" x14ac:dyDescent="0.3">
      <c r="B26" s="1163"/>
      <c r="C26" s="1166"/>
      <c r="D26" s="306">
        <f t="shared" si="7"/>
        <v>14</v>
      </c>
      <c r="E26" s="306">
        <v>2048</v>
      </c>
      <c r="F26" s="306">
        <f t="shared" si="8"/>
        <v>14</v>
      </c>
      <c r="G26" s="307">
        <v>2321787.09</v>
      </c>
      <c r="H26" s="307">
        <f t="shared" si="13"/>
        <v>0</v>
      </c>
      <c r="I26" s="307">
        <f t="shared" si="13"/>
        <v>0</v>
      </c>
      <c r="J26" s="307">
        <f t="shared" si="13"/>
        <v>0</v>
      </c>
      <c r="K26" s="307">
        <f t="shared" si="13"/>
        <v>0</v>
      </c>
      <c r="L26" s="307">
        <f t="shared" si="13"/>
        <v>0</v>
      </c>
      <c r="M26" s="307">
        <f t="shared" si="13"/>
        <v>0</v>
      </c>
      <c r="N26" s="307">
        <f t="shared" si="13"/>
        <v>0</v>
      </c>
      <c r="O26" s="307">
        <f t="shared" si="13"/>
        <v>0</v>
      </c>
      <c r="P26" s="307">
        <f t="shared" si="13"/>
        <v>0</v>
      </c>
      <c r="Q26" s="307">
        <f t="shared" si="13"/>
        <v>0</v>
      </c>
      <c r="R26" s="307">
        <f t="shared" si="13"/>
        <v>0</v>
      </c>
      <c r="S26" s="307">
        <f t="shared" si="13"/>
        <v>0</v>
      </c>
      <c r="T26" s="307">
        <f t="shared" si="13"/>
        <v>0</v>
      </c>
      <c r="U26" s="307">
        <f t="shared" si="13"/>
        <v>0</v>
      </c>
      <c r="V26" s="307">
        <f t="shared" si="13"/>
        <v>0</v>
      </c>
      <c r="W26" s="307">
        <f t="shared" si="13"/>
        <v>0</v>
      </c>
      <c r="X26" s="307">
        <f t="shared" si="12"/>
        <v>0</v>
      </c>
      <c r="Y26" s="307">
        <f t="shared" si="12"/>
        <v>0</v>
      </c>
      <c r="Z26" s="307">
        <f t="shared" si="12"/>
        <v>0</v>
      </c>
      <c r="AA26" s="307">
        <f t="shared" si="12"/>
        <v>0</v>
      </c>
      <c r="AB26" s="307">
        <f t="shared" si="12"/>
        <v>0</v>
      </c>
      <c r="AC26" s="307">
        <f t="shared" si="12"/>
        <v>165841.935</v>
      </c>
      <c r="AD26" s="307">
        <f t="shared" si="12"/>
        <v>165841.935</v>
      </c>
      <c r="AE26" s="307">
        <f t="shared" si="12"/>
        <v>165841.935</v>
      </c>
      <c r="AF26" s="307">
        <f t="shared" si="12"/>
        <v>165841.935</v>
      </c>
      <c r="AG26" s="307">
        <f t="shared" si="12"/>
        <v>165841.935</v>
      </c>
      <c r="AH26" s="307">
        <f t="shared" si="12"/>
        <v>165841.935</v>
      </c>
      <c r="AI26" s="307">
        <f t="shared" si="12"/>
        <v>165841.935</v>
      </c>
      <c r="AJ26" s="307">
        <f t="shared" si="12"/>
        <v>165841.935</v>
      </c>
      <c r="AK26" s="307">
        <f t="shared" si="12"/>
        <v>165841.935</v>
      </c>
      <c r="AL26" s="307">
        <f t="shared" si="10"/>
        <v>165841.935</v>
      </c>
      <c r="AM26" s="307">
        <f t="shared" si="10"/>
        <v>165841.935</v>
      </c>
      <c r="AN26" s="307">
        <f t="shared" si="10"/>
        <v>165841.935</v>
      </c>
      <c r="AO26" s="307">
        <f t="shared" si="10"/>
        <v>165841.935</v>
      </c>
      <c r="AP26" s="307">
        <f t="shared" si="10"/>
        <v>165841.935</v>
      </c>
      <c r="AQ26" s="308">
        <f t="shared" si="9"/>
        <v>0</v>
      </c>
      <c r="AS26" s="297"/>
      <c r="AT26" s="297"/>
      <c r="AU26" s="297"/>
      <c r="AV26" s="297"/>
    </row>
    <row r="27" spans="2:48" x14ac:dyDescent="0.3">
      <c r="B27" s="1163"/>
      <c r="C27" s="1166"/>
      <c r="D27" s="306">
        <f t="shared" si="7"/>
        <v>13</v>
      </c>
      <c r="E27" s="306">
        <v>2049</v>
      </c>
      <c r="F27" s="306">
        <f t="shared" si="8"/>
        <v>13</v>
      </c>
      <c r="G27" s="307">
        <v>2222540.96</v>
      </c>
      <c r="H27" s="307">
        <f t="shared" si="13"/>
        <v>0</v>
      </c>
      <c r="I27" s="307">
        <f t="shared" si="13"/>
        <v>0</v>
      </c>
      <c r="J27" s="307">
        <f t="shared" si="13"/>
        <v>0</v>
      </c>
      <c r="K27" s="307">
        <f t="shared" si="13"/>
        <v>0</v>
      </c>
      <c r="L27" s="307">
        <f t="shared" si="13"/>
        <v>0</v>
      </c>
      <c r="M27" s="307">
        <f t="shared" si="13"/>
        <v>0</v>
      </c>
      <c r="N27" s="307">
        <f t="shared" si="13"/>
        <v>0</v>
      </c>
      <c r="O27" s="307">
        <f t="shared" si="13"/>
        <v>0</v>
      </c>
      <c r="P27" s="307">
        <f t="shared" si="13"/>
        <v>0</v>
      </c>
      <c r="Q27" s="307">
        <f t="shared" si="13"/>
        <v>0</v>
      </c>
      <c r="R27" s="307">
        <f t="shared" si="13"/>
        <v>0</v>
      </c>
      <c r="S27" s="307">
        <f t="shared" si="13"/>
        <v>0</v>
      </c>
      <c r="T27" s="307">
        <f t="shared" si="13"/>
        <v>0</v>
      </c>
      <c r="U27" s="307">
        <f t="shared" si="13"/>
        <v>0</v>
      </c>
      <c r="V27" s="307">
        <f t="shared" si="13"/>
        <v>0</v>
      </c>
      <c r="W27" s="307">
        <f t="shared" si="13"/>
        <v>0</v>
      </c>
      <c r="X27" s="307">
        <f t="shared" si="12"/>
        <v>0</v>
      </c>
      <c r="Y27" s="307">
        <f t="shared" si="12"/>
        <v>0</v>
      </c>
      <c r="Z27" s="307">
        <f t="shared" si="12"/>
        <v>0</v>
      </c>
      <c r="AA27" s="307">
        <f t="shared" si="12"/>
        <v>0</v>
      </c>
      <c r="AB27" s="307">
        <f t="shared" si="12"/>
        <v>0</v>
      </c>
      <c r="AC27" s="307">
        <f t="shared" si="12"/>
        <v>0</v>
      </c>
      <c r="AD27" s="307">
        <f t="shared" si="12"/>
        <v>170964.68923076923</v>
      </c>
      <c r="AE27" s="307">
        <f t="shared" si="12"/>
        <v>170964.68923076923</v>
      </c>
      <c r="AF27" s="307">
        <f t="shared" si="12"/>
        <v>170964.68923076923</v>
      </c>
      <c r="AG27" s="307">
        <f t="shared" si="12"/>
        <v>170964.68923076923</v>
      </c>
      <c r="AH27" s="307">
        <f t="shared" si="12"/>
        <v>170964.68923076923</v>
      </c>
      <c r="AI27" s="307">
        <f t="shared" si="12"/>
        <v>170964.68923076923</v>
      </c>
      <c r="AJ27" s="307">
        <f t="shared" si="12"/>
        <v>170964.68923076923</v>
      </c>
      <c r="AK27" s="307">
        <f t="shared" si="12"/>
        <v>170964.68923076923</v>
      </c>
      <c r="AL27" s="307">
        <f t="shared" si="10"/>
        <v>170964.68923076923</v>
      </c>
      <c r="AM27" s="307">
        <f t="shared" si="10"/>
        <v>170964.68923076923</v>
      </c>
      <c r="AN27" s="307">
        <f t="shared" si="10"/>
        <v>170964.68923076923</v>
      </c>
      <c r="AO27" s="307">
        <f t="shared" si="10"/>
        <v>170964.68923076923</v>
      </c>
      <c r="AP27" s="307">
        <f t="shared" si="10"/>
        <v>170964.68923076923</v>
      </c>
      <c r="AQ27" s="308">
        <f t="shared" si="9"/>
        <v>0</v>
      </c>
      <c r="AS27" s="297"/>
      <c r="AT27" s="297"/>
      <c r="AU27" s="297"/>
      <c r="AV27" s="297"/>
    </row>
    <row r="28" spans="2:48" x14ac:dyDescent="0.3">
      <c r="B28" s="1163"/>
      <c r="C28" s="1166"/>
      <c r="D28" s="306">
        <f t="shared" si="7"/>
        <v>12</v>
      </c>
      <c r="E28" s="306">
        <v>2050</v>
      </c>
      <c r="F28" s="306">
        <f t="shared" si="8"/>
        <v>12</v>
      </c>
      <c r="G28" s="307">
        <v>2116059.12</v>
      </c>
      <c r="H28" s="307">
        <f t="shared" si="13"/>
        <v>0</v>
      </c>
      <c r="I28" s="307">
        <f t="shared" si="13"/>
        <v>0</v>
      </c>
      <c r="J28" s="307">
        <f t="shared" si="13"/>
        <v>0</v>
      </c>
      <c r="K28" s="307">
        <f t="shared" si="13"/>
        <v>0</v>
      </c>
      <c r="L28" s="307">
        <f t="shared" si="13"/>
        <v>0</v>
      </c>
      <c r="M28" s="307">
        <f t="shared" si="13"/>
        <v>0</v>
      </c>
      <c r="N28" s="307">
        <f t="shared" si="13"/>
        <v>0</v>
      </c>
      <c r="O28" s="307">
        <f t="shared" si="13"/>
        <v>0</v>
      </c>
      <c r="P28" s="307">
        <f t="shared" si="13"/>
        <v>0</v>
      </c>
      <c r="Q28" s="307">
        <f t="shared" si="13"/>
        <v>0</v>
      </c>
      <c r="R28" s="307">
        <f t="shared" si="13"/>
        <v>0</v>
      </c>
      <c r="S28" s="307">
        <f t="shared" si="13"/>
        <v>0</v>
      </c>
      <c r="T28" s="307">
        <f t="shared" si="13"/>
        <v>0</v>
      </c>
      <c r="U28" s="307">
        <f t="shared" si="13"/>
        <v>0</v>
      </c>
      <c r="V28" s="307">
        <f t="shared" si="13"/>
        <v>0</v>
      </c>
      <c r="W28" s="307">
        <f t="shared" si="13"/>
        <v>0</v>
      </c>
      <c r="X28" s="307">
        <f t="shared" si="12"/>
        <v>0</v>
      </c>
      <c r="Y28" s="307">
        <f t="shared" si="12"/>
        <v>0</v>
      </c>
      <c r="Z28" s="307">
        <f t="shared" si="12"/>
        <v>0</v>
      </c>
      <c r="AA28" s="307">
        <f t="shared" si="12"/>
        <v>0</v>
      </c>
      <c r="AB28" s="307">
        <f t="shared" si="12"/>
        <v>0</v>
      </c>
      <c r="AC28" s="307">
        <f t="shared" si="12"/>
        <v>0</v>
      </c>
      <c r="AD28" s="307">
        <f t="shared" si="12"/>
        <v>0</v>
      </c>
      <c r="AE28" s="307">
        <f t="shared" si="12"/>
        <v>176338.26</v>
      </c>
      <c r="AF28" s="307">
        <f t="shared" si="12"/>
        <v>176338.26</v>
      </c>
      <c r="AG28" s="307">
        <f t="shared" si="12"/>
        <v>176338.26</v>
      </c>
      <c r="AH28" s="307">
        <f t="shared" si="12"/>
        <v>176338.26</v>
      </c>
      <c r="AI28" s="307">
        <f t="shared" si="12"/>
        <v>176338.26</v>
      </c>
      <c r="AJ28" s="307">
        <f t="shared" si="12"/>
        <v>176338.26</v>
      </c>
      <c r="AK28" s="307">
        <f t="shared" si="12"/>
        <v>176338.26</v>
      </c>
      <c r="AL28" s="307">
        <f t="shared" si="10"/>
        <v>176338.26</v>
      </c>
      <c r="AM28" s="307">
        <f t="shared" si="10"/>
        <v>176338.26</v>
      </c>
      <c r="AN28" s="307">
        <f t="shared" si="10"/>
        <v>176338.26</v>
      </c>
      <c r="AO28" s="307">
        <f t="shared" si="10"/>
        <v>176338.26</v>
      </c>
      <c r="AP28" s="307">
        <f t="shared" si="10"/>
        <v>176338.26</v>
      </c>
      <c r="AQ28" s="308">
        <f t="shared" si="9"/>
        <v>0</v>
      </c>
      <c r="AS28" s="297"/>
      <c r="AT28" s="297"/>
      <c r="AU28" s="297"/>
      <c r="AV28" s="297"/>
    </row>
    <row r="29" spans="2:48" x14ac:dyDescent="0.3">
      <c r="B29" s="1163"/>
      <c r="C29" s="1166"/>
      <c r="D29" s="306">
        <f t="shared" si="7"/>
        <v>11</v>
      </c>
      <c r="E29" s="306">
        <v>2051</v>
      </c>
      <c r="F29" s="306">
        <f t="shared" si="8"/>
        <v>11</v>
      </c>
      <c r="G29" s="307">
        <v>2018093.4199999997</v>
      </c>
      <c r="H29" s="307">
        <f t="shared" si="13"/>
        <v>0</v>
      </c>
      <c r="I29" s="307">
        <f t="shared" si="13"/>
        <v>0</v>
      </c>
      <c r="J29" s="307">
        <f t="shared" si="13"/>
        <v>0</v>
      </c>
      <c r="K29" s="307">
        <f t="shared" si="13"/>
        <v>0</v>
      </c>
      <c r="L29" s="307">
        <f t="shared" si="13"/>
        <v>0</v>
      </c>
      <c r="M29" s="307">
        <f t="shared" si="13"/>
        <v>0</v>
      </c>
      <c r="N29" s="307">
        <f t="shared" si="13"/>
        <v>0</v>
      </c>
      <c r="O29" s="307">
        <f t="shared" si="13"/>
        <v>0</v>
      </c>
      <c r="P29" s="307">
        <f t="shared" si="13"/>
        <v>0</v>
      </c>
      <c r="Q29" s="307">
        <f t="shared" si="13"/>
        <v>0</v>
      </c>
      <c r="R29" s="307">
        <f t="shared" si="13"/>
        <v>0</v>
      </c>
      <c r="S29" s="307">
        <f t="shared" si="13"/>
        <v>0</v>
      </c>
      <c r="T29" s="307">
        <f t="shared" si="13"/>
        <v>0</v>
      </c>
      <c r="U29" s="307">
        <f t="shared" si="13"/>
        <v>0</v>
      </c>
      <c r="V29" s="307">
        <f t="shared" si="13"/>
        <v>0</v>
      </c>
      <c r="W29" s="307">
        <f t="shared" si="13"/>
        <v>0</v>
      </c>
      <c r="X29" s="307">
        <f t="shared" si="12"/>
        <v>0</v>
      </c>
      <c r="Y29" s="307">
        <f t="shared" si="12"/>
        <v>0</v>
      </c>
      <c r="Z29" s="307">
        <f t="shared" si="12"/>
        <v>0</v>
      </c>
      <c r="AA29" s="307">
        <f t="shared" si="12"/>
        <v>0</v>
      </c>
      <c r="AB29" s="307">
        <f t="shared" si="12"/>
        <v>0</v>
      </c>
      <c r="AC29" s="307">
        <f t="shared" si="12"/>
        <v>0</v>
      </c>
      <c r="AD29" s="307">
        <f t="shared" si="12"/>
        <v>0</v>
      </c>
      <c r="AE29" s="307">
        <f t="shared" si="12"/>
        <v>0</v>
      </c>
      <c r="AF29" s="307">
        <f t="shared" si="12"/>
        <v>183463.03818181815</v>
      </c>
      <c r="AG29" s="307">
        <f t="shared" si="12"/>
        <v>183463.03818181815</v>
      </c>
      <c r="AH29" s="307">
        <f t="shared" si="12"/>
        <v>183463.03818181815</v>
      </c>
      <c r="AI29" s="307">
        <f t="shared" si="12"/>
        <v>183463.03818181815</v>
      </c>
      <c r="AJ29" s="307">
        <f t="shared" si="12"/>
        <v>183463.03818181815</v>
      </c>
      <c r="AK29" s="307">
        <f t="shared" si="12"/>
        <v>183463.03818181815</v>
      </c>
      <c r="AL29" s="307">
        <f t="shared" si="10"/>
        <v>183463.03818181815</v>
      </c>
      <c r="AM29" s="307">
        <f t="shared" si="10"/>
        <v>183463.03818181815</v>
      </c>
      <c r="AN29" s="307">
        <f t="shared" si="10"/>
        <v>183463.03818181815</v>
      </c>
      <c r="AO29" s="307">
        <f t="shared" si="10"/>
        <v>183463.03818181815</v>
      </c>
      <c r="AP29" s="307">
        <f t="shared" si="10"/>
        <v>183463.03818181815</v>
      </c>
      <c r="AQ29" s="308">
        <f t="shared" si="9"/>
        <v>0</v>
      </c>
      <c r="AS29" s="297"/>
      <c r="AT29" s="297"/>
      <c r="AU29" s="297"/>
      <c r="AV29" s="297"/>
    </row>
    <row r="30" spans="2:48" x14ac:dyDescent="0.3">
      <c r="B30" s="1163"/>
      <c r="C30" s="1166"/>
      <c r="D30" s="306">
        <f t="shared" si="7"/>
        <v>10</v>
      </c>
      <c r="E30" s="306">
        <v>2052</v>
      </c>
      <c r="F30" s="306">
        <f t="shared" si="8"/>
        <v>10</v>
      </c>
      <c r="G30" s="307">
        <v>1920127.7200000002</v>
      </c>
      <c r="H30" s="307">
        <f t="shared" si="13"/>
        <v>0</v>
      </c>
      <c r="I30" s="307">
        <f t="shared" si="13"/>
        <v>0</v>
      </c>
      <c r="J30" s="307">
        <f t="shared" si="13"/>
        <v>0</v>
      </c>
      <c r="K30" s="307">
        <f t="shared" si="13"/>
        <v>0</v>
      </c>
      <c r="L30" s="307">
        <f t="shared" si="13"/>
        <v>0</v>
      </c>
      <c r="M30" s="307">
        <f t="shared" si="13"/>
        <v>0</v>
      </c>
      <c r="N30" s="307">
        <f t="shared" si="13"/>
        <v>0</v>
      </c>
      <c r="O30" s="307">
        <f t="shared" si="13"/>
        <v>0</v>
      </c>
      <c r="P30" s="307">
        <f t="shared" si="13"/>
        <v>0</v>
      </c>
      <c r="Q30" s="307">
        <f t="shared" si="13"/>
        <v>0</v>
      </c>
      <c r="R30" s="307">
        <f t="shared" si="13"/>
        <v>0</v>
      </c>
      <c r="S30" s="307">
        <f t="shared" si="13"/>
        <v>0</v>
      </c>
      <c r="T30" s="307">
        <f t="shared" si="13"/>
        <v>0</v>
      </c>
      <c r="U30" s="307">
        <f t="shared" si="13"/>
        <v>0</v>
      </c>
      <c r="V30" s="307">
        <f t="shared" si="13"/>
        <v>0</v>
      </c>
      <c r="W30" s="307">
        <f t="shared" si="13"/>
        <v>0</v>
      </c>
      <c r="X30" s="307">
        <f t="shared" si="12"/>
        <v>0</v>
      </c>
      <c r="Y30" s="307">
        <f t="shared" si="12"/>
        <v>0</v>
      </c>
      <c r="Z30" s="307">
        <f t="shared" si="12"/>
        <v>0</v>
      </c>
      <c r="AA30" s="307">
        <f t="shared" si="12"/>
        <v>0</v>
      </c>
      <c r="AB30" s="307">
        <f t="shared" si="12"/>
        <v>0</v>
      </c>
      <c r="AC30" s="307">
        <f t="shared" si="12"/>
        <v>0</v>
      </c>
      <c r="AD30" s="307">
        <f t="shared" si="12"/>
        <v>0</v>
      </c>
      <c r="AE30" s="307">
        <f t="shared" si="12"/>
        <v>0</v>
      </c>
      <c r="AF30" s="307">
        <f t="shared" si="12"/>
        <v>0</v>
      </c>
      <c r="AG30" s="307">
        <f t="shared" si="12"/>
        <v>192012.77200000003</v>
      </c>
      <c r="AH30" s="307">
        <f t="shared" si="12"/>
        <v>192012.77200000003</v>
      </c>
      <c r="AI30" s="307">
        <f t="shared" si="12"/>
        <v>192012.77200000003</v>
      </c>
      <c r="AJ30" s="307">
        <f t="shared" si="12"/>
        <v>192012.77200000003</v>
      </c>
      <c r="AK30" s="307">
        <f t="shared" si="12"/>
        <v>192012.77200000003</v>
      </c>
      <c r="AL30" s="307">
        <f t="shared" si="10"/>
        <v>192012.77200000003</v>
      </c>
      <c r="AM30" s="307">
        <f t="shared" si="10"/>
        <v>192012.77200000003</v>
      </c>
      <c r="AN30" s="307">
        <f t="shared" si="10"/>
        <v>192012.77200000003</v>
      </c>
      <c r="AO30" s="307">
        <f t="shared" si="10"/>
        <v>192012.77200000003</v>
      </c>
      <c r="AP30" s="307">
        <f t="shared" si="10"/>
        <v>192012.77200000003</v>
      </c>
      <c r="AQ30" s="308">
        <f t="shared" si="9"/>
        <v>0</v>
      </c>
      <c r="AS30" s="297"/>
      <c r="AT30" s="297"/>
      <c r="AU30" s="297"/>
      <c r="AV30" s="297"/>
    </row>
    <row r="31" spans="2:48" x14ac:dyDescent="0.3">
      <c r="B31" s="1163"/>
      <c r="C31" s="1166"/>
      <c r="D31" s="306">
        <f t="shared" si="7"/>
        <v>9</v>
      </c>
      <c r="E31" s="306">
        <v>2053</v>
      </c>
      <c r="F31" s="306">
        <f t="shared" si="8"/>
        <v>9</v>
      </c>
      <c r="G31" s="307">
        <v>1831958.5900000003</v>
      </c>
      <c r="H31" s="307">
        <f t="shared" si="13"/>
        <v>0</v>
      </c>
      <c r="I31" s="307">
        <f t="shared" si="13"/>
        <v>0</v>
      </c>
      <c r="J31" s="307">
        <f t="shared" si="13"/>
        <v>0</v>
      </c>
      <c r="K31" s="307">
        <f t="shared" si="13"/>
        <v>0</v>
      </c>
      <c r="L31" s="307">
        <f t="shared" si="13"/>
        <v>0</v>
      </c>
      <c r="M31" s="307">
        <f t="shared" si="13"/>
        <v>0</v>
      </c>
      <c r="N31" s="307">
        <f t="shared" si="13"/>
        <v>0</v>
      </c>
      <c r="O31" s="307">
        <f t="shared" si="13"/>
        <v>0</v>
      </c>
      <c r="P31" s="307">
        <f t="shared" si="13"/>
        <v>0</v>
      </c>
      <c r="Q31" s="307">
        <f t="shared" si="13"/>
        <v>0</v>
      </c>
      <c r="R31" s="307">
        <f t="shared" si="13"/>
        <v>0</v>
      </c>
      <c r="S31" s="307">
        <f t="shared" si="13"/>
        <v>0</v>
      </c>
      <c r="T31" s="307">
        <f t="shared" si="13"/>
        <v>0</v>
      </c>
      <c r="U31" s="307">
        <f t="shared" si="13"/>
        <v>0</v>
      </c>
      <c r="V31" s="307">
        <f t="shared" si="13"/>
        <v>0</v>
      </c>
      <c r="W31" s="307">
        <f t="shared" si="13"/>
        <v>0</v>
      </c>
      <c r="X31" s="307">
        <f t="shared" si="12"/>
        <v>0</v>
      </c>
      <c r="Y31" s="307">
        <f t="shared" si="12"/>
        <v>0</v>
      </c>
      <c r="Z31" s="307">
        <f t="shared" si="12"/>
        <v>0</v>
      </c>
      <c r="AA31" s="307">
        <f t="shared" si="12"/>
        <v>0</v>
      </c>
      <c r="AB31" s="307">
        <f t="shared" si="12"/>
        <v>0</v>
      </c>
      <c r="AC31" s="307">
        <f t="shared" si="12"/>
        <v>0</v>
      </c>
      <c r="AD31" s="307">
        <f t="shared" si="12"/>
        <v>0</v>
      </c>
      <c r="AE31" s="307">
        <f t="shared" si="12"/>
        <v>0</v>
      </c>
      <c r="AF31" s="307">
        <f t="shared" si="12"/>
        <v>0</v>
      </c>
      <c r="AG31" s="307">
        <f t="shared" si="12"/>
        <v>0</v>
      </c>
      <c r="AH31" s="307">
        <f t="shared" si="12"/>
        <v>203550.95444444448</v>
      </c>
      <c r="AI31" s="307">
        <f t="shared" si="12"/>
        <v>203550.95444444448</v>
      </c>
      <c r="AJ31" s="307">
        <f t="shared" si="12"/>
        <v>203550.95444444448</v>
      </c>
      <c r="AK31" s="307">
        <f t="shared" si="12"/>
        <v>203550.95444444448</v>
      </c>
      <c r="AL31" s="307">
        <f t="shared" si="10"/>
        <v>203550.95444444448</v>
      </c>
      <c r="AM31" s="307">
        <f t="shared" si="10"/>
        <v>203550.95444444448</v>
      </c>
      <c r="AN31" s="307">
        <f t="shared" si="10"/>
        <v>203550.95444444448</v>
      </c>
      <c r="AO31" s="307">
        <f t="shared" si="10"/>
        <v>203550.95444444448</v>
      </c>
      <c r="AP31" s="307">
        <f t="shared" si="10"/>
        <v>203550.95444444448</v>
      </c>
      <c r="AQ31" s="308">
        <f t="shared" si="9"/>
        <v>0</v>
      </c>
      <c r="AS31" s="297"/>
      <c r="AT31" s="297"/>
      <c r="AU31" s="297"/>
      <c r="AV31" s="297"/>
    </row>
    <row r="32" spans="2:48" x14ac:dyDescent="0.3">
      <c r="B32" s="1163"/>
      <c r="C32" s="1166"/>
      <c r="D32" s="306">
        <f t="shared" si="7"/>
        <v>8</v>
      </c>
      <c r="E32" s="306">
        <v>2054</v>
      </c>
      <c r="F32" s="306">
        <f t="shared" si="8"/>
        <v>8</v>
      </c>
      <c r="G32" s="307">
        <v>1743789.4600000002</v>
      </c>
      <c r="H32" s="307">
        <f t="shared" si="13"/>
        <v>0</v>
      </c>
      <c r="I32" s="307">
        <f t="shared" si="13"/>
        <v>0</v>
      </c>
      <c r="J32" s="307">
        <f t="shared" si="13"/>
        <v>0</v>
      </c>
      <c r="K32" s="307">
        <f t="shared" si="13"/>
        <v>0</v>
      </c>
      <c r="L32" s="307">
        <f t="shared" si="13"/>
        <v>0</v>
      </c>
      <c r="M32" s="307">
        <f t="shared" si="13"/>
        <v>0</v>
      </c>
      <c r="N32" s="307">
        <f t="shared" si="13"/>
        <v>0</v>
      </c>
      <c r="O32" s="307">
        <f t="shared" si="13"/>
        <v>0</v>
      </c>
      <c r="P32" s="307">
        <f t="shared" si="13"/>
        <v>0</v>
      </c>
      <c r="Q32" s="307">
        <f t="shared" si="13"/>
        <v>0</v>
      </c>
      <c r="R32" s="307">
        <f t="shared" si="13"/>
        <v>0</v>
      </c>
      <c r="S32" s="307">
        <f t="shared" si="13"/>
        <v>0</v>
      </c>
      <c r="T32" s="307">
        <f t="shared" si="13"/>
        <v>0</v>
      </c>
      <c r="U32" s="307">
        <f t="shared" si="13"/>
        <v>0</v>
      </c>
      <c r="V32" s="307">
        <f t="shared" si="13"/>
        <v>0</v>
      </c>
      <c r="W32" s="307">
        <f t="shared" si="13"/>
        <v>0</v>
      </c>
      <c r="X32" s="307">
        <f t="shared" si="12"/>
        <v>0</v>
      </c>
      <c r="Y32" s="307">
        <f t="shared" si="12"/>
        <v>0</v>
      </c>
      <c r="Z32" s="307">
        <f t="shared" si="12"/>
        <v>0</v>
      </c>
      <c r="AA32" s="307">
        <f t="shared" si="12"/>
        <v>0</v>
      </c>
      <c r="AB32" s="307">
        <f t="shared" si="12"/>
        <v>0</v>
      </c>
      <c r="AC32" s="307">
        <f t="shared" si="12"/>
        <v>0</v>
      </c>
      <c r="AD32" s="307">
        <f t="shared" si="12"/>
        <v>0</v>
      </c>
      <c r="AE32" s="307">
        <f t="shared" si="12"/>
        <v>0</v>
      </c>
      <c r="AF32" s="307">
        <f t="shared" si="12"/>
        <v>0</v>
      </c>
      <c r="AG32" s="307">
        <f t="shared" si="12"/>
        <v>0</v>
      </c>
      <c r="AH32" s="307">
        <f t="shared" si="12"/>
        <v>0</v>
      </c>
      <c r="AI32" s="307">
        <f t="shared" si="12"/>
        <v>217973.68250000002</v>
      </c>
      <c r="AJ32" s="307">
        <f t="shared" si="12"/>
        <v>217973.68250000002</v>
      </c>
      <c r="AK32" s="307">
        <f t="shared" si="12"/>
        <v>217973.68250000002</v>
      </c>
      <c r="AL32" s="307">
        <f t="shared" si="10"/>
        <v>217973.68250000002</v>
      </c>
      <c r="AM32" s="307">
        <f t="shared" si="10"/>
        <v>217973.68250000002</v>
      </c>
      <c r="AN32" s="307">
        <f t="shared" si="10"/>
        <v>217973.68250000002</v>
      </c>
      <c r="AO32" s="307">
        <f t="shared" si="10"/>
        <v>217973.68250000002</v>
      </c>
      <c r="AP32" s="307">
        <f t="shared" si="10"/>
        <v>217973.68250000002</v>
      </c>
      <c r="AQ32" s="308">
        <f t="shared" si="9"/>
        <v>0</v>
      </c>
      <c r="AS32" s="297"/>
      <c r="AT32" s="297"/>
      <c r="AU32" s="297"/>
      <c r="AV32" s="297"/>
    </row>
    <row r="33" spans="2:49" x14ac:dyDescent="0.3">
      <c r="B33" s="1163"/>
      <c r="C33" s="1166"/>
      <c r="D33" s="306">
        <f t="shared" si="7"/>
        <v>7</v>
      </c>
      <c r="E33" s="306">
        <v>2055</v>
      </c>
      <c r="F33" s="306">
        <f t="shared" si="8"/>
        <v>7</v>
      </c>
      <c r="G33" s="307">
        <v>1655620.3300000003</v>
      </c>
      <c r="H33" s="307">
        <f t="shared" si="13"/>
        <v>0</v>
      </c>
      <c r="I33" s="307">
        <f t="shared" si="13"/>
        <v>0</v>
      </c>
      <c r="J33" s="307">
        <f t="shared" si="13"/>
        <v>0</v>
      </c>
      <c r="K33" s="307">
        <f t="shared" si="13"/>
        <v>0</v>
      </c>
      <c r="L33" s="307">
        <f t="shared" si="13"/>
        <v>0</v>
      </c>
      <c r="M33" s="307">
        <f t="shared" si="13"/>
        <v>0</v>
      </c>
      <c r="N33" s="307">
        <f t="shared" si="13"/>
        <v>0</v>
      </c>
      <c r="O33" s="307">
        <f t="shared" si="13"/>
        <v>0</v>
      </c>
      <c r="P33" s="307">
        <f t="shared" si="13"/>
        <v>0</v>
      </c>
      <c r="Q33" s="307">
        <f t="shared" si="13"/>
        <v>0</v>
      </c>
      <c r="R33" s="307">
        <f t="shared" si="13"/>
        <v>0</v>
      </c>
      <c r="S33" s="307">
        <f t="shared" si="13"/>
        <v>0</v>
      </c>
      <c r="T33" s="307">
        <f t="shared" si="13"/>
        <v>0</v>
      </c>
      <c r="U33" s="307">
        <f t="shared" si="13"/>
        <v>0</v>
      </c>
      <c r="V33" s="307">
        <f t="shared" si="13"/>
        <v>0</v>
      </c>
      <c r="W33" s="307">
        <f t="shared" si="13"/>
        <v>0</v>
      </c>
      <c r="X33" s="307">
        <f t="shared" si="12"/>
        <v>0</v>
      </c>
      <c r="Y33" s="307">
        <f t="shared" si="12"/>
        <v>0</v>
      </c>
      <c r="Z33" s="307">
        <f t="shared" si="12"/>
        <v>0</v>
      </c>
      <c r="AA33" s="307">
        <f t="shared" si="12"/>
        <v>0</v>
      </c>
      <c r="AB33" s="307">
        <f t="shared" si="12"/>
        <v>0</v>
      </c>
      <c r="AC33" s="307">
        <f t="shared" si="12"/>
        <v>0</v>
      </c>
      <c r="AD33" s="307">
        <f t="shared" si="12"/>
        <v>0</v>
      </c>
      <c r="AE33" s="307">
        <f t="shared" si="12"/>
        <v>0</v>
      </c>
      <c r="AF33" s="307">
        <f t="shared" si="12"/>
        <v>0</v>
      </c>
      <c r="AG33" s="307">
        <f t="shared" si="12"/>
        <v>0</v>
      </c>
      <c r="AH33" s="307">
        <f t="shared" si="12"/>
        <v>0</v>
      </c>
      <c r="AI33" s="307">
        <f t="shared" si="12"/>
        <v>0</v>
      </c>
      <c r="AJ33" s="307">
        <f t="shared" si="12"/>
        <v>236517.19000000003</v>
      </c>
      <c r="AK33" s="307">
        <f t="shared" si="12"/>
        <v>236517.19000000003</v>
      </c>
      <c r="AL33" s="307">
        <f t="shared" si="10"/>
        <v>236517.19000000003</v>
      </c>
      <c r="AM33" s="307">
        <f t="shared" si="10"/>
        <v>236517.19000000003</v>
      </c>
      <c r="AN33" s="307">
        <f t="shared" si="10"/>
        <v>236517.19000000003</v>
      </c>
      <c r="AO33" s="307">
        <f t="shared" si="10"/>
        <v>236517.19000000003</v>
      </c>
      <c r="AP33" s="307">
        <f t="shared" si="10"/>
        <v>236517.19000000003</v>
      </c>
      <c r="AQ33" s="308">
        <f t="shared" si="9"/>
        <v>0</v>
      </c>
      <c r="AS33" s="297"/>
      <c r="AT33" s="297"/>
      <c r="AU33" s="297"/>
      <c r="AV33" s="297"/>
    </row>
    <row r="34" spans="2:49" x14ac:dyDescent="0.3">
      <c r="B34" s="1163"/>
      <c r="C34" s="1166"/>
      <c r="D34" s="306">
        <f t="shared" si="7"/>
        <v>6</v>
      </c>
      <c r="E34" s="306">
        <v>2056</v>
      </c>
      <c r="F34" s="306">
        <f t="shared" si="8"/>
        <v>6</v>
      </c>
      <c r="G34" s="307">
        <v>1577247.77</v>
      </c>
      <c r="H34" s="307">
        <f t="shared" si="13"/>
        <v>0</v>
      </c>
      <c r="I34" s="307">
        <f t="shared" si="13"/>
        <v>0</v>
      </c>
      <c r="J34" s="307">
        <f t="shared" si="13"/>
        <v>0</v>
      </c>
      <c r="K34" s="307">
        <f t="shared" si="13"/>
        <v>0</v>
      </c>
      <c r="L34" s="307">
        <f t="shared" si="13"/>
        <v>0</v>
      </c>
      <c r="M34" s="307">
        <f t="shared" si="13"/>
        <v>0</v>
      </c>
      <c r="N34" s="307">
        <f t="shared" si="13"/>
        <v>0</v>
      </c>
      <c r="O34" s="307">
        <f t="shared" si="13"/>
        <v>0</v>
      </c>
      <c r="P34" s="307">
        <f t="shared" si="13"/>
        <v>0</v>
      </c>
      <c r="Q34" s="307">
        <f t="shared" si="13"/>
        <v>0</v>
      </c>
      <c r="R34" s="307">
        <f t="shared" si="13"/>
        <v>0</v>
      </c>
      <c r="S34" s="307">
        <f t="shared" si="13"/>
        <v>0</v>
      </c>
      <c r="T34" s="307">
        <f t="shared" si="13"/>
        <v>0</v>
      </c>
      <c r="U34" s="307">
        <f t="shared" si="13"/>
        <v>0</v>
      </c>
      <c r="V34" s="307">
        <f t="shared" si="13"/>
        <v>0</v>
      </c>
      <c r="W34" s="307">
        <f t="shared" si="13"/>
        <v>0</v>
      </c>
      <c r="X34" s="307">
        <f t="shared" si="12"/>
        <v>0</v>
      </c>
      <c r="Y34" s="307">
        <f t="shared" si="12"/>
        <v>0</v>
      </c>
      <c r="Z34" s="307">
        <f t="shared" si="12"/>
        <v>0</v>
      </c>
      <c r="AA34" s="307">
        <f t="shared" si="12"/>
        <v>0</v>
      </c>
      <c r="AB34" s="307">
        <f t="shared" si="12"/>
        <v>0</v>
      </c>
      <c r="AC34" s="307">
        <f t="shared" si="12"/>
        <v>0</v>
      </c>
      <c r="AD34" s="307">
        <f t="shared" si="12"/>
        <v>0</v>
      </c>
      <c r="AE34" s="307">
        <f t="shared" si="12"/>
        <v>0</v>
      </c>
      <c r="AF34" s="307">
        <f t="shared" si="12"/>
        <v>0</v>
      </c>
      <c r="AG34" s="307">
        <f t="shared" si="12"/>
        <v>0</v>
      </c>
      <c r="AH34" s="307">
        <f t="shared" si="12"/>
        <v>0</v>
      </c>
      <c r="AI34" s="307">
        <f t="shared" si="12"/>
        <v>0</v>
      </c>
      <c r="AJ34" s="307">
        <f t="shared" si="12"/>
        <v>0</v>
      </c>
      <c r="AK34" s="307">
        <f t="shared" si="12"/>
        <v>262874.62833333336</v>
      </c>
      <c r="AL34" s="307">
        <f t="shared" ref="AL34:AP39" si="14">IF($F34=0,0,IF(AL$4&lt;$E34,0,IF(OR(AL$4=$E34,AL$4&lt;$E34+$F34),$G34/$F34,0)))</f>
        <v>262874.62833333336</v>
      </c>
      <c r="AM34" s="307">
        <f t="shared" si="14"/>
        <v>262874.62833333336</v>
      </c>
      <c r="AN34" s="307">
        <f t="shared" si="14"/>
        <v>262874.62833333336</v>
      </c>
      <c r="AO34" s="307">
        <f t="shared" si="14"/>
        <v>262874.62833333336</v>
      </c>
      <c r="AP34" s="307">
        <f t="shared" si="14"/>
        <v>262874.62833333336</v>
      </c>
      <c r="AQ34" s="308">
        <f t="shared" si="9"/>
        <v>0</v>
      </c>
      <c r="AS34" s="297"/>
      <c r="AT34" s="297"/>
      <c r="AU34" s="297"/>
      <c r="AV34" s="297"/>
    </row>
    <row r="35" spans="2:49" x14ac:dyDescent="0.3">
      <c r="B35" s="1163"/>
      <c r="C35" s="1166"/>
      <c r="D35" s="306">
        <f t="shared" si="7"/>
        <v>5</v>
      </c>
      <c r="E35" s="306">
        <v>2057</v>
      </c>
      <c r="F35" s="306">
        <f t="shared" si="8"/>
        <v>5</v>
      </c>
      <c r="G35" s="307">
        <v>1507391.35</v>
      </c>
      <c r="H35" s="307">
        <f t="shared" si="13"/>
        <v>0</v>
      </c>
      <c r="I35" s="307">
        <f t="shared" si="13"/>
        <v>0</v>
      </c>
      <c r="J35" s="307">
        <f t="shared" si="13"/>
        <v>0</v>
      </c>
      <c r="K35" s="307">
        <f t="shared" si="13"/>
        <v>0</v>
      </c>
      <c r="L35" s="307">
        <f t="shared" si="13"/>
        <v>0</v>
      </c>
      <c r="M35" s="307">
        <f t="shared" si="13"/>
        <v>0</v>
      </c>
      <c r="N35" s="307">
        <f t="shared" si="13"/>
        <v>0</v>
      </c>
      <c r="O35" s="307">
        <f t="shared" si="13"/>
        <v>0</v>
      </c>
      <c r="P35" s="307">
        <f t="shared" si="13"/>
        <v>0</v>
      </c>
      <c r="Q35" s="307">
        <f t="shared" si="13"/>
        <v>0</v>
      </c>
      <c r="R35" s="307">
        <f t="shared" si="13"/>
        <v>0</v>
      </c>
      <c r="S35" s="307">
        <f t="shared" si="13"/>
        <v>0</v>
      </c>
      <c r="T35" s="307">
        <f t="shared" si="13"/>
        <v>0</v>
      </c>
      <c r="U35" s="307">
        <f t="shared" si="13"/>
        <v>0</v>
      </c>
      <c r="V35" s="307">
        <f t="shared" si="13"/>
        <v>0</v>
      </c>
      <c r="W35" s="307">
        <f t="shared" si="13"/>
        <v>0</v>
      </c>
      <c r="X35" s="307">
        <f t="shared" si="12"/>
        <v>0</v>
      </c>
      <c r="Y35" s="307">
        <f t="shared" si="12"/>
        <v>0</v>
      </c>
      <c r="Z35" s="307">
        <f t="shared" si="12"/>
        <v>0</v>
      </c>
      <c r="AA35" s="307">
        <f t="shared" si="12"/>
        <v>0</v>
      </c>
      <c r="AB35" s="307">
        <f t="shared" si="12"/>
        <v>0</v>
      </c>
      <c r="AC35" s="307">
        <f t="shared" si="12"/>
        <v>0</v>
      </c>
      <c r="AD35" s="307">
        <f t="shared" si="12"/>
        <v>0</v>
      </c>
      <c r="AE35" s="307">
        <f t="shared" si="12"/>
        <v>0</v>
      </c>
      <c r="AF35" s="307">
        <f t="shared" si="12"/>
        <v>0</v>
      </c>
      <c r="AG35" s="307">
        <f t="shared" si="12"/>
        <v>0</v>
      </c>
      <c r="AH35" s="307">
        <f t="shared" si="12"/>
        <v>0</v>
      </c>
      <c r="AI35" s="307">
        <f t="shared" si="12"/>
        <v>0</v>
      </c>
      <c r="AJ35" s="307">
        <f t="shared" si="12"/>
        <v>0</v>
      </c>
      <c r="AK35" s="307">
        <f t="shared" si="12"/>
        <v>0</v>
      </c>
      <c r="AL35" s="307">
        <f t="shared" si="14"/>
        <v>301478.27</v>
      </c>
      <c r="AM35" s="307">
        <f t="shared" si="14"/>
        <v>301478.27</v>
      </c>
      <c r="AN35" s="307">
        <f t="shared" si="14"/>
        <v>301478.27</v>
      </c>
      <c r="AO35" s="307">
        <f t="shared" si="14"/>
        <v>301478.27</v>
      </c>
      <c r="AP35" s="307">
        <f t="shared" si="14"/>
        <v>301478.27</v>
      </c>
      <c r="AQ35" s="308">
        <f t="shared" si="9"/>
        <v>0</v>
      </c>
      <c r="AS35" s="297"/>
      <c r="AT35" s="297"/>
      <c r="AU35" s="297"/>
      <c r="AV35" s="297"/>
    </row>
    <row r="36" spans="2:49" x14ac:dyDescent="0.3">
      <c r="B36" s="1163"/>
      <c r="C36" s="1166"/>
      <c r="D36" s="306">
        <f t="shared" si="7"/>
        <v>4</v>
      </c>
      <c r="E36" s="306">
        <v>2058</v>
      </c>
      <c r="F36" s="306">
        <f t="shared" si="8"/>
        <v>4</v>
      </c>
      <c r="G36" s="307">
        <v>1430299.2200000002</v>
      </c>
      <c r="H36" s="307">
        <f t="shared" si="13"/>
        <v>0</v>
      </c>
      <c r="I36" s="307">
        <f t="shared" si="13"/>
        <v>0</v>
      </c>
      <c r="J36" s="307">
        <f t="shared" si="13"/>
        <v>0</v>
      </c>
      <c r="K36" s="307">
        <f t="shared" si="13"/>
        <v>0</v>
      </c>
      <c r="L36" s="307">
        <f t="shared" si="13"/>
        <v>0</v>
      </c>
      <c r="M36" s="307">
        <f t="shared" si="13"/>
        <v>0</v>
      </c>
      <c r="N36" s="307">
        <f t="shared" si="13"/>
        <v>0</v>
      </c>
      <c r="O36" s="307">
        <f t="shared" si="13"/>
        <v>0</v>
      </c>
      <c r="P36" s="307">
        <f t="shared" si="13"/>
        <v>0</v>
      </c>
      <c r="Q36" s="307">
        <f t="shared" si="13"/>
        <v>0</v>
      </c>
      <c r="R36" s="307">
        <f t="shared" si="13"/>
        <v>0</v>
      </c>
      <c r="S36" s="307">
        <f t="shared" si="13"/>
        <v>0</v>
      </c>
      <c r="T36" s="307">
        <f t="shared" si="13"/>
        <v>0</v>
      </c>
      <c r="U36" s="307">
        <f t="shared" si="13"/>
        <v>0</v>
      </c>
      <c r="V36" s="307">
        <f t="shared" si="13"/>
        <v>0</v>
      </c>
      <c r="W36" s="307">
        <f t="shared" ref="W36:AK39" si="15">IF($F36=0,0,IF(W$4&lt;$E36,0,IF(OR(W$4=$E36,W$4&lt;$E36+$F36),$G36/$F36,0)))</f>
        <v>0</v>
      </c>
      <c r="X36" s="307">
        <f t="shared" si="15"/>
        <v>0</v>
      </c>
      <c r="Y36" s="307">
        <f t="shared" si="15"/>
        <v>0</v>
      </c>
      <c r="Z36" s="307">
        <f t="shared" si="15"/>
        <v>0</v>
      </c>
      <c r="AA36" s="307">
        <f t="shared" si="15"/>
        <v>0</v>
      </c>
      <c r="AB36" s="307">
        <f t="shared" si="15"/>
        <v>0</v>
      </c>
      <c r="AC36" s="307">
        <f t="shared" si="15"/>
        <v>0</v>
      </c>
      <c r="AD36" s="307">
        <f t="shared" si="15"/>
        <v>0</v>
      </c>
      <c r="AE36" s="307">
        <f t="shared" si="15"/>
        <v>0</v>
      </c>
      <c r="AF36" s="307">
        <f t="shared" si="15"/>
        <v>0</v>
      </c>
      <c r="AG36" s="307">
        <f t="shared" si="15"/>
        <v>0</v>
      </c>
      <c r="AH36" s="307">
        <f t="shared" si="15"/>
        <v>0</v>
      </c>
      <c r="AI36" s="307">
        <f t="shared" si="15"/>
        <v>0</v>
      </c>
      <c r="AJ36" s="307">
        <f t="shared" si="15"/>
        <v>0</v>
      </c>
      <c r="AK36" s="307">
        <f t="shared" si="15"/>
        <v>0</v>
      </c>
      <c r="AL36" s="307">
        <f t="shared" si="14"/>
        <v>0</v>
      </c>
      <c r="AM36" s="307">
        <f t="shared" si="14"/>
        <v>357574.80500000005</v>
      </c>
      <c r="AN36" s="307">
        <f t="shared" si="14"/>
        <v>357574.80500000005</v>
      </c>
      <c r="AO36" s="307">
        <f t="shared" si="14"/>
        <v>357574.80500000005</v>
      </c>
      <c r="AP36" s="307">
        <f t="shared" si="14"/>
        <v>357574.80500000005</v>
      </c>
      <c r="AQ36" s="308">
        <f t="shared" si="9"/>
        <v>0</v>
      </c>
      <c r="AS36" s="297"/>
      <c r="AT36" s="297"/>
      <c r="AU36" s="297"/>
      <c r="AV36" s="297"/>
    </row>
    <row r="37" spans="2:49" x14ac:dyDescent="0.3">
      <c r="B37" s="1163"/>
      <c r="C37" s="1166"/>
      <c r="D37" s="306">
        <f t="shared" si="7"/>
        <v>3</v>
      </c>
      <c r="E37" s="306">
        <v>2059</v>
      </c>
      <c r="F37" s="306">
        <f t="shared" si="8"/>
        <v>3</v>
      </c>
      <c r="G37" s="307">
        <v>1361723.23</v>
      </c>
      <c r="H37" s="307">
        <f t="shared" ref="H37:W39" si="16">IF($F37=0,0,IF(H$4&lt;$E37,0,IF(OR(H$4=$E37,H$4&lt;$E37+$F37),$G37/$F37,0)))</f>
        <v>0</v>
      </c>
      <c r="I37" s="307">
        <f t="shared" si="16"/>
        <v>0</v>
      </c>
      <c r="J37" s="307">
        <f t="shared" si="16"/>
        <v>0</v>
      </c>
      <c r="K37" s="307">
        <f t="shared" si="16"/>
        <v>0</v>
      </c>
      <c r="L37" s="307">
        <f t="shared" si="16"/>
        <v>0</v>
      </c>
      <c r="M37" s="307">
        <f t="shared" si="16"/>
        <v>0</v>
      </c>
      <c r="N37" s="307">
        <f t="shared" si="16"/>
        <v>0</v>
      </c>
      <c r="O37" s="307">
        <f t="shared" si="16"/>
        <v>0</v>
      </c>
      <c r="P37" s="307">
        <f t="shared" si="16"/>
        <v>0</v>
      </c>
      <c r="Q37" s="307">
        <f t="shared" si="16"/>
        <v>0</v>
      </c>
      <c r="R37" s="307">
        <f t="shared" si="16"/>
        <v>0</v>
      </c>
      <c r="S37" s="307">
        <f t="shared" si="16"/>
        <v>0</v>
      </c>
      <c r="T37" s="307">
        <f t="shared" si="16"/>
        <v>0</v>
      </c>
      <c r="U37" s="307">
        <f t="shared" si="16"/>
        <v>0</v>
      </c>
      <c r="V37" s="307">
        <f t="shared" si="16"/>
        <v>0</v>
      </c>
      <c r="W37" s="307">
        <f t="shared" si="16"/>
        <v>0</v>
      </c>
      <c r="X37" s="307">
        <f t="shared" si="15"/>
        <v>0</v>
      </c>
      <c r="Y37" s="307">
        <f t="shared" si="15"/>
        <v>0</v>
      </c>
      <c r="Z37" s="307">
        <f t="shared" si="15"/>
        <v>0</v>
      </c>
      <c r="AA37" s="307">
        <f t="shared" si="15"/>
        <v>0</v>
      </c>
      <c r="AB37" s="307">
        <f t="shared" si="15"/>
        <v>0</v>
      </c>
      <c r="AC37" s="307">
        <f t="shared" si="15"/>
        <v>0</v>
      </c>
      <c r="AD37" s="307">
        <f t="shared" si="15"/>
        <v>0</v>
      </c>
      <c r="AE37" s="307">
        <f t="shared" si="15"/>
        <v>0</v>
      </c>
      <c r="AF37" s="307">
        <f t="shared" si="15"/>
        <v>0</v>
      </c>
      <c r="AG37" s="307">
        <f t="shared" si="15"/>
        <v>0</v>
      </c>
      <c r="AH37" s="307">
        <f t="shared" si="15"/>
        <v>0</v>
      </c>
      <c r="AI37" s="307">
        <f t="shared" si="15"/>
        <v>0</v>
      </c>
      <c r="AJ37" s="307">
        <f t="shared" si="15"/>
        <v>0</v>
      </c>
      <c r="AK37" s="307">
        <f t="shared" si="15"/>
        <v>0</v>
      </c>
      <c r="AL37" s="307">
        <f t="shared" si="14"/>
        <v>0</v>
      </c>
      <c r="AM37" s="307">
        <f t="shared" si="14"/>
        <v>0</v>
      </c>
      <c r="AN37" s="307">
        <f t="shared" si="14"/>
        <v>453907.74333333335</v>
      </c>
      <c r="AO37" s="307">
        <f t="shared" si="14"/>
        <v>453907.74333333335</v>
      </c>
      <c r="AP37" s="307">
        <f t="shared" si="14"/>
        <v>453907.74333333335</v>
      </c>
      <c r="AQ37" s="308">
        <f t="shared" si="9"/>
        <v>0</v>
      </c>
      <c r="AS37" s="297"/>
      <c r="AT37" s="297"/>
      <c r="AU37" s="297"/>
      <c r="AV37" s="297"/>
    </row>
    <row r="38" spans="2:49" x14ac:dyDescent="0.3">
      <c r="B38" s="1163"/>
      <c r="C38" s="1166"/>
      <c r="D38" s="306">
        <f t="shared" si="7"/>
        <v>2</v>
      </c>
      <c r="E38" s="306">
        <v>2060</v>
      </c>
      <c r="F38" s="306">
        <f t="shared" si="8"/>
        <v>2</v>
      </c>
      <c r="G38" s="307">
        <v>1322536.9500000002</v>
      </c>
      <c r="H38" s="307">
        <f t="shared" si="16"/>
        <v>0</v>
      </c>
      <c r="I38" s="307">
        <f t="shared" si="16"/>
        <v>0</v>
      </c>
      <c r="J38" s="307">
        <f t="shared" si="16"/>
        <v>0</v>
      </c>
      <c r="K38" s="307">
        <f t="shared" si="16"/>
        <v>0</v>
      </c>
      <c r="L38" s="307">
        <f t="shared" si="16"/>
        <v>0</v>
      </c>
      <c r="M38" s="307">
        <f t="shared" si="16"/>
        <v>0</v>
      </c>
      <c r="N38" s="307">
        <f t="shared" si="16"/>
        <v>0</v>
      </c>
      <c r="O38" s="307">
        <f t="shared" si="16"/>
        <v>0</v>
      </c>
      <c r="P38" s="307">
        <f t="shared" si="16"/>
        <v>0</v>
      </c>
      <c r="Q38" s="307">
        <f t="shared" si="16"/>
        <v>0</v>
      </c>
      <c r="R38" s="307">
        <f t="shared" si="16"/>
        <v>0</v>
      </c>
      <c r="S38" s="307">
        <f t="shared" si="16"/>
        <v>0</v>
      </c>
      <c r="T38" s="307">
        <f t="shared" si="16"/>
        <v>0</v>
      </c>
      <c r="U38" s="307">
        <f t="shared" si="16"/>
        <v>0</v>
      </c>
      <c r="V38" s="307">
        <f t="shared" si="16"/>
        <v>0</v>
      </c>
      <c r="W38" s="307">
        <f t="shared" si="16"/>
        <v>0</v>
      </c>
      <c r="X38" s="307">
        <f t="shared" si="15"/>
        <v>0</v>
      </c>
      <c r="Y38" s="307">
        <f t="shared" si="15"/>
        <v>0</v>
      </c>
      <c r="Z38" s="307">
        <f t="shared" si="15"/>
        <v>0</v>
      </c>
      <c r="AA38" s="307">
        <f t="shared" si="15"/>
        <v>0</v>
      </c>
      <c r="AB38" s="307">
        <f t="shared" si="15"/>
        <v>0</v>
      </c>
      <c r="AC38" s="307">
        <f t="shared" si="15"/>
        <v>0</v>
      </c>
      <c r="AD38" s="307">
        <f t="shared" si="15"/>
        <v>0</v>
      </c>
      <c r="AE38" s="307">
        <f t="shared" si="15"/>
        <v>0</v>
      </c>
      <c r="AF38" s="307">
        <f t="shared" si="15"/>
        <v>0</v>
      </c>
      <c r="AG38" s="307">
        <f t="shared" si="15"/>
        <v>0</v>
      </c>
      <c r="AH38" s="307">
        <f t="shared" si="15"/>
        <v>0</v>
      </c>
      <c r="AI38" s="307">
        <f t="shared" si="15"/>
        <v>0</v>
      </c>
      <c r="AJ38" s="307">
        <f t="shared" si="15"/>
        <v>0</v>
      </c>
      <c r="AK38" s="307">
        <f t="shared" si="15"/>
        <v>0</v>
      </c>
      <c r="AL38" s="307">
        <f t="shared" si="14"/>
        <v>0</v>
      </c>
      <c r="AM38" s="307">
        <f t="shared" si="14"/>
        <v>0</v>
      </c>
      <c r="AN38" s="307">
        <f t="shared" si="14"/>
        <v>0</v>
      </c>
      <c r="AO38" s="307">
        <f t="shared" si="14"/>
        <v>661268.47500000009</v>
      </c>
      <c r="AP38" s="307">
        <f t="shared" si="14"/>
        <v>661268.47500000009</v>
      </c>
      <c r="AQ38" s="308">
        <f t="shared" si="9"/>
        <v>0</v>
      </c>
      <c r="AS38" s="297"/>
      <c r="AT38" s="297"/>
      <c r="AU38" s="297"/>
      <c r="AV38" s="297"/>
    </row>
    <row r="39" spans="2:49" x14ac:dyDescent="0.3">
      <c r="B39" s="1163"/>
      <c r="C39" s="1166"/>
      <c r="D39" s="306">
        <f t="shared" si="7"/>
        <v>1</v>
      </c>
      <c r="E39" s="306">
        <v>2061</v>
      </c>
      <c r="F39" s="306">
        <f t="shared" si="8"/>
        <v>1</v>
      </c>
      <c r="G39" s="307">
        <v>-1302943.81</v>
      </c>
      <c r="H39" s="307">
        <f t="shared" si="16"/>
        <v>0</v>
      </c>
      <c r="I39" s="307">
        <f t="shared" si="16"/>
        <v>0</v>
      </c>
      <c r="J39" s="307">
        <f t="shared" si="16"/>
        <v>0</v>
      </c>
      <c r="K39" s="307">
        <f t="shared" si="16"/>
        <v>0</v>
      </c>
      <c r="L39" s="307">
        <f t="shared" si="16"/>
        <v>0</v>
      </c>
      <c r="M39" s="307">
        <f t="shared" si="16"/>
        <v>0</v>
      </c>
      <c r="N39" s="307">
        <f t="shared" si="16"/>
        <v>0</v>
      </c>
      <c r="O39" s="307">
        <f t="shared" si="16"/>
        <v>0</v>
      </c>
      <c r="P39" s="307">
        <f t="shared" si="16"/>
        <v>0</v>
      </c>
      <c r="Q39" s="307">
        <f t="shared" si="16"/>
        <v>0</v>
      </c>
      <c r="R39" s="307">
        <f t="shared" si="16"/>
        <v>0</v>
      </c>
      <c r="S39" s="307">
        <f t="shared" si="16"/>
        <v>0</v>
      </c>
      <c r="T39" s="307">
        <f t="shared" si="16"/>
        <v>0</v>
      </c>
      <c r="U39" s="307">
        <f t="shared" si="16"/>
        <v>0</v>
      </c>
      <c r="V39" s="307">
        <f t="shared" si="16"/>
        <v>0</v>
      </c>
      <c r="W39" s="307">
        <f t="shared" si="16"/>
        <v>0</v>
      </c>
      <c r="X39" s="307">
        <f t="shared" si="15"/>
        <v>0</v>
      </c>
      <c r="Y39" s="307">
        <f t="shared" si="15"/>
        <v>0</v>
      </c>
      <c r="Z39" s="307">
        <f t="shared" si="15"/>
        <v>0</v>
      </c>
      <c r="AA39" s="307">
        <f t="shared" si="15"/>
        <v>0</v>
      </c>
      <c r="AB39" s="307">
        <f t="shared" si="15"/>
        <v>0</v>
      </c>
      <c r="AC39" s="307">
        <f t="shared" si="15"/>
        <v>0</v>
      </c>
      <c r="AD39" s="307">
        <f t="shared" si="15"/>
        <v>0</v>
      </c>
      <c r="AE39" s="307">
        <f t="shared" si="15"/>
        <v>0</v>
      </c>
      <c r="AF39" s="307">
        <f t="shared" si="15"/>
        <v>0</v>
      </c>
      <c r="AG39" s="307">
        <f t="shared" si="15"/>
        <v>0</v>
      </c>
      <c r="AH39" s="307">
        <f t="shared" si="15"/>
        <v>0</v>
      </c>
      <c r="AI39" s="307">
        <f t="shared" si="15"/>
        <v>0</v>
      </c>
      <c r="AJ39" s="307">
        <f t="shared" si="15"/>
        <v>0</v>
      </c>
      <c r="AK39" s="307">
        <f t="shared" si="15"/>
        <v>0</v>
      </c>
      <c r="AL39" s="307">
        <f t="shared" si="14"/>
        <v>0</v>
      </c>
      <c r="AM39" s="307">
        <f t="shared" si="14"/>
        <v>0</v>
      </c>
      <c r="AN39" s="307">
        <f t="shared" si="14"/>
        <v>0</v>
      </c>
      <c r="AO39" s="307">
        <f t="shared" si="14"/>
        <v>0</v>
      </c>
      <c r="AP39" s="307">
        <f t="shared" si="14"/>
        <v>-1302943.81</v>
      </c>
      <c r="AQ39" s="308">
        <f t="shared" si="9"/>
        <v>0</v>
      </c>
      <c r="AS39" s="297"/>
      <c r="AT39" s="297"/>
      <c r="AU39" s="297"/>
      <c r="AV39" s="297"/>
    </row>
    <row r="40" spans="2:49" s="299" customFormat="1" ht="15" thickBot="1" x14ac:dyDescent="0.35">
      <c r="B40" s="1164"/>
      <c r="C40" s="1167"/>
      <c r="D40" s="298"/>
      <c r="E40" s="298" t="s">
        <v>5</v>
      </c>
      <c r="F40" s="298"/>
      <c r="G40" s="304">
        <f>SUM(G5:G39)</f>
        <v>306007162.50999999</v>
      </c>
      <c r="H40" s="304">
        <f>SUM(H5:H39)</f>
        <v>157304.924</v>
      </c>
      <c r="I40" s="304">
        <f t="shared" ref="I40:AP40" si="17">SUM(I5:I39)</f>
        <v>1590423.6372352941</v>
      </c>
      <c r="J40" s="304">
        <f t="shared" si="17"/>
        <v>2945712.7435989305</v>
      </c>
      <c r="K40" s="304">
        <f t="shared" si="17"/>
        <v>4328310.2185989302</v>
      </c>
      <c r="L40" s="304">
        <f t="shared" si="17"/>
        <v>5777812.2224698979</v>
      </c>
      <c r="M40" s="304">
        <f t="shared" si="17"/>
        <v>6262958.3478032313</v>
      </c>
      <c r="N40" s="304">
        <f t="shared" si="17"/>
        <v>6765918.0367687484</v>
      </c>
      <c r="O40" s="304">
        <f t="shared" si="17"/>
        <v>7062093.0067687482</v>
      </c>
      <c r="P40" s="304">
        <f t="shared" si="17"/>
        <v>7366036.9556576367</v>
      </c>
      <c r="Q40" s="304">
        <f t="shared" si="17"/>
        <v>7678231.2210422521</v>
      </c>
      <c r="R40" s="304">
        <f t="shared" si="17"/>
        <v>7999507.9726422522</v>
      </c>
      <c r="S40" s="304">
        <f t="shared" si="17"/>
        <v>8330273.0401422521</v>
      </c>
      <c r="T40" s="304">
        <f t="shared" si="17"/>
        <v>8481480.9684031215</v>
      </c>
      <c r="U40" s="304">
        <f t="shared" si="17"/>
        <v>8632882.5047667585</v>
      </c>
      <c r="V40" s="304">
        <f t="shared" si="17"/>
        <v>8784962.5914334245</v>
      </c>
      <c r="W40" s="304">
        <f t="shared" si="17"/>
        <v>8937789.0834334251</v>
      </c>
      <c r="X40" s="304">
        <f t="shared" si="17"/>
        <v>9091440.5497492142</v>
      </c>
      <c r="Y40" s="304">
        <f t="shared" si="17"/>
        <v>9246552.9080825467</v>
      </c>
      <c r="Z40" s="304">
        <f t="shared" si="17"/>
        <v>9403798.9774943106</v>
      </c>
      <c r="AA40" s="304">
        <f t="shared" si="17"/>
        <v>9562993.2399943098</v>
      </c>
      <c r="AB40" s="304">
        <f t="shared" si="17"/>
        <v>9724963.1973276436</v>
      </c>
      <c r="AC40" s="304">
        <f t="shared" si="17"/>
        <v>9890805.1323276442</v>
      </c>
      <c r="AD40" s="304">
        <f t="shared" si="17"/>
        <v>10061769.821558414</v>
      </c>
      <c r="AE40" s="304">
        <f t="shared" si="17"/>
        <v>10238108.081558414</v>
      </c>
      <c r="AF40" s="304">
        <f t="shared" si="17"/>
        <v>10421571.119740233</v>
      </c>
      <c r="AG40" s="304">
        <f t="shared" si="17"/>
        <v>10613583.891740233</v>
      </c>
      <c r="AH40" s="304">
        <f t="shared" si="17"/>
        <v>10817134.846184677</v>
      </c>
      <c r="AI40" s="304">
        <f t="shared" si="17"/>
        <v>11035108.528684676</v>
      </c>
      <c r="AJ40" s="304">
        <f t="shared" si="17"/>
        <v>11271625.718684675</v>
      </c>
      <c r="AK40" s="304">
        <f t="shared" si="17"/>
        <v>11534500.347018009</v>
      </c>
      <c r="AL40" s="304">
        <f t="shared" si="17"/>
        <v>11835978.617018009</v>
      </c>
      <c r="AM40" s="304">
        <f t="shared" si="17"/>
        <v>12193553.422018008</v>
      </c>
      <c r="AN40" s="304">
        <f t="shared" si="17"/>
        <v>12647461.165351342</v>
      </c>
      <c r="AO40" s="304">
        <f t="shared" si="17"/>
        <v>13308729.640351342</v>
      </c>
      <c r="AP40" s="304">
        <f t="shared" si="17"/>
        <v>12005785.830351342</v>
      </c>
      <c r="AQ40" s="305">
        <f>G40-SUM(H40:AP40)</f>
        <v>0</v>
      </c>
      <c r="AR40" s="288"/>
      <c r="AS40" s="297"/>
      <c r="AT40" s="297"/>
      <c r="AU40" s="297"/>
      <c r="AV40" s="297"/>
      <c r="AW40" s="288"/>
    </row>
    <row r="41" spans="2:49" x14ac:dyDescent="0.3">
      <c r="C41" s="288"/>
    </row>
    <row r="42" spans="2:49" ht="15" thickBot="1" x14ac:dyDescent="0.35">
      <c r="C42" s="288"/>
    </row>
    <row r="43" spans="2:49" x14ac:dyDescent="0.3">
      <c r="C43" s="1152" t="s">
        <v>386</v>
      </c>
      <c r="D43" s="286"/>
      <c r="E43" s="286"/>
      <c r="F43" s="286"/>
      <c r="G43" s="286" t="s">
        <v>206</v>
      </c>
      <c r="H43" s="286">
        <f>H4</f>
        <v>2027</v>
      </c>
      <c r="I43" s="286">
        <f t="shared" ref="I43:AK43" si="18">I4</f>
        <v>2028</v>
      </c>
      <c r="J43" s="286">
        <f t="shared" si="18"/>
        <v>2029</v>
      </c>
      <c r="K43" s="286">
        <f t="shared" si="18"/>
        <v>2030</v>
      </c>
      <c r="L43" s="286">
        <f t="shared" si="18"/>
        <v>2031</v>
      </c>
      <c r="M43" s="286">
        <f t="shared" si="18"/>
        <v>2032</v>
      </c>
      <c r="N43" s="286">
        <f t="shared" si="18"/>
        <v>2033</v>
      </c>
      <c r="O43" s="286">
        <f t="shared" si="18"/>
        <v>2034</v>
      </c>
      <c r="P43" s="286">
        <f t="shared" si="18"/>
        <v>2035</v>
      </c>
      <c r="Q43" s="286">
        <f t="shared" si="18"/>
        <v>2036</v>
      </c>
      <c r="R43" s="286">
        <f t="shared" si="18"/>
        <v>2037</v>
      </c>
      <c r="S43" s="286">
        <f t="shared" si="18"/>
        <v>2038</v>
      </c>
      <c r="T43" s="286">
        <f t="shared" si="18"/>
        <v>2039</v>
      </c>
      <c r="U43" s="286">
        <f t="shared" si="18"/>
        <v>2040</v>
      </c>
      <c r="V43" s="286">
        <f t="shared" si="18"/>
        <v>2041</v>
      </c>
      <c r="W43" s="286">
        <f t="shared" si="18"/>
        <v>2042</v>
      </c>
      <c r="X43" s="286">
        <f t="shared" si="18"/>
        <v>2043</v>
      </c>
      <c r="Y43" s="286">
        <f t="shared" si="18"/>
        <v>2044</v>
      </c>
      <c r="Z43" s="286">
        <f t="shared" si="18"/>
        <v>2045</v>
      </c>
      <c r="AA43" s="286">
        <f t="shared" si="18"/>
        <v>2046</v>
      </c>
      <c r="AB43" s="286">
        <f t="shared" si="18"/>
        <v>2047</v>
      </c>
      <c r="AC43" s="286">
        <f t="shared" si="18"/>
        <v>2048</v>
      </c>
      <c r="AD43" s="286">
        <f t="shared" si="18"/>
        <v>2049</v>
      </c>
      <c r="AE43" s="286">
        <f t="shared" si="18"/>
        <v>2050</v>
      </c>
      <c r="AF43" s="286">
        <f t="shared" si="18"/>
        <v>2051</v>
      </c>
      <c r="AG43" s="286">
        <f t="shared" si="18"/>
        <v>2052</v>
      </c>
      <c r="AH43" s="286">
        <f t="shared" si="18"/>
        <v>2053</v>
      </c>
      <c r="AI43" s="286">
        <f t="shared" si="18"/>
        <v>2054</v>
      </c>
      <c r="AJ43" s="286">
        <f t="shared" si="18"/>
        <v>2055</v>
      </c>
      <c r="AK43" s="286">
        <f t="shared" si="18"/>
        <v>2056</v>
      </c>
      <c r="AL43" s="286">
        <f t="shared" ref="AL43:AP43" si="19">AL4</f>
        <v>2057</v>
      </c>
      <c r="AM43" s="286">
        <f t="shared" si="19"/>
        <v>2058</v>
      </c>
      <c r="AN43" s="286">
        <f t="shared" si="19"/>
        <v>2059</v>
      </c>
      <c r="AO43" s="286">
        <f t="shared" si="19"/>
        <v>2060</v>
      </c>
      <c r="AP43" s="286">
        <f t="shared" si="19"/>
        <v>2061</v>
      </c>
      <c r="AQ43" s="287" t="s">
        <v>5</v>
      </c>
    </row>
    <row r="44" spans="2:49" x14ac:dyDescent="0.3">
      <c r="C44" s="1153"/>
      <c r="D44" s="294"/>
      <c r="E44" s="306">
        <f t="shared" ref="E44:E73" si="20">E5</f>
        <v>2027</v>
      </c>
      <c r="F44" s="306"/>
      <c r="G44" s="307">
        <f t="shared" ref="G44:G73" si="21">G5</f>
        <v>5505672.3399999999</v>
      </c>
      <c r="H44" s="307">
        <f t="shared" ref="H44:AK44" si="22">IFERROR((H5)/H122,0)</f>
        <v>149132.46492226014</v>
      </c>
      <c r="I44" s="307">
        <f t="shared" si="22"/>
        <v>143672.89491547222</v>
      </c>
      <c r="J44" s="307">
        <f t="shared" si="22"/>
        <v>138479.89871370813</v>
      </c>
      <c r="K44" s="307">
        <f t="shared" si="22"/>
        <v>133797.0035881238</v>
      </c>
      <c r="L44" s="307">
        <f t="shared" si="22"/>
        <v>129272.46723490224</v>
      </c>
      <c r="M44" s="307">
        <f t="shared" si="22"/>
        <v>124900.93452647561</v>
      </c>
      <c r="N44" s="307">
        <f t="shared" si="22"/>
        <v>120677.23142654648</v>
      </c>
      <c r="O44" s="307">
        <f t="shared" si="22"/>
        <v>116596.35886622849</v>
      </c>
      <c r="P44" s="307">
        <f t="shared" si="22"/>
        <v>112653.48682727391</v>
      </c>
      <c r="Q44" s="307">
        <f t="shared" si="22"/>
        <v>108843.94862538544</v>
      </c>
      <c r="R44" s="307">
        <f t="shared" si="22"/>
        <v>105163.23538684584</v>
      </c>
      <c r="S44" s="307">
        <f t="shared" si="22"/>
        <v>101606.99071192836</v>
      </c>
      <c r="T44" s="307">
        <f t="shared" si="22"/>
        <v>98171.005518771373</v>
      </c>
      <c r="U44" s="307">
        <f t="shared" si="22"/>
        <v>94851.213061614864</v>
      </c>
      <c r="V44" s="307">
        <f t="shared" si="22"/>
        <v>91643.6841175023</v>
      </c>
      <c r="W44" s="307">
        <f t="shared" si="22"/>
        <v>88544.622335751017</v>
      </c>
      <c r="X44" s="307">
        <f t="shared" si="22"/>
        <v>85550.359744686968</v>
      </c>
      <c r="Y44" s="307">
        <f t="shared" si="22"/>
        <v>82657.352410325591</v>
      </c>
      <c r="Z44" s="307">
        <f t="shared" si="22"/>
        <v>79862.176241860478</v>
      </c>
      <c r="AA44" s="307">
        <f t="shared" si="22"/>
        <v>77161.522938995637</v>
      </c>
      <c r="AB44" s="307">
        <f t="shared" si="22"/>
        <v>74552.196076324297</v>
      </c>
      <c r="AC44" s="307">
        <f t="shared" si="22"/>
        <v>72031.107320120107</v>
      </c>
      <c r="AD44" s="307">
        <f t="shared" si="22"/>
        <v>69595.272773062912</v>
      </c>
      <c r="AE44" s="307">
        <f t="shared" si="22"/>
        <v>67241.809442572863</v>
      </c>
      <c r="AF44" s="307">
        <f t="shared" si="22"/>
        <v>64967.931828572822</v>
      </c>
      <c r="AG44" s="307">
        <f t="shared" si="22"/>
        <v>62770.948626640413</v>
      </c>
      <c r="AH44" s="307">
        <f t="shared" si="22"/>
        <v>60648.259542647749</v>
      </c>
      <c r="AI44" s="307">
        <f t="shared" si="22"/>
        <v>58597.352215118604</v>
      </c>
      <c r="AJ44" s="307">
        <f t="shared" si="22"/>
        <v>56615.79924166049</v>
      </c>
      <c r="AK44" s="307">
        <f t="shared" si="22"/>
        <v>54701.255305952174</v>
      </c>
      <c r="AL44" s="307">
        <f t="shared" ref="AL44:AP44" si="23">IFERROR((AL5)/AL122,0)</f>
        <v>52851.454401886156</v>
      </c>
      <c r="AM44" s="307">
        <f t="shared" si="23"/>
        <v>51064.207151580827</v>
      </c>
      <c r="AN44" s="307">
        <f t="shared" si="23"/>
        <v>49337.398214087763</v>
      </c>
      <c r="AO44" s="307">
        <f t="shared" si="23"/>
        <v>47668.983781727307</v>
      </c>
      <c r="AP44" s="307">
        <f t="shared" si="23"/>
        <v>46056.989161089186</v>
      </c>
      <c r="AQ44" s="308">
        <f>G44-SUM(H44:AP44)</f>
        <v>2433732.5228022975</v>
      </c>
    </row>
    <row r="45" spans="2:49" x14ac:dyDescent="0.3">
      <c r="C45" s="1153"/>
      <c r="D45" s="294"/>
      <c r="E45" s="306">
        <f t="shared" si="20"/>
        <v>2028</v>
      </c>
      <c r="F45" s="306"/>
      <c r="G45" s="307">
        <f t="shared" si="21"/>
        <v>48726036.25</v>
      </c>
      <c r="H45" s="307">
        <f t="shared" ref="H45:AK45" si="24">IFERROR((H6)/H123,0)</f>
        <v>0</v>
      </c>
      <c r="I45" s="307">
        <f t="shared" si="24"/>
        <v>1380653.8663153122</v>
      </c>
      <c r="J45" s="307">
        <f t="shared" si="24"/>
        <v>1330750.7145207829</v>
      </c>
      <c r="K45" s="307">
        <f t="shared" si="24"/>
        <v>1285749.4826287758</v>
      </c>
      <c r="L45" s="307">
        <f t="shared" si="24"/>
        <v>1242270.0315253874</v>
      </c>
      <c r="M45" s="307">
        <f t="shared" si="24"/>
        <v>1200260.9000245288</v>
      </c>
      <c r="N45" s="307">
        <f t="shared" si="24"/>
        <v>1159672.367173458</v>
      </c>
      <c r="O45" s="307">
        <f t="shared" si="24"/>
        <v>1120456.3934043073</v>
      </c>
      <c r="P45" s="307">
        <f t="shared" si="24"/>
        <v>1082566.5636756592</v>
      </c>
      <c r="Q45" s="307">
        <f t="shared" si="24"/>
        <v>1045958.0325368689</v>
      </c>
      <c r="R45" s="307">
        <f t="shared" si="24"/>
        <v>1010587.4710501151</v>
      </c>
      <c r="S45" s="307">
        <f t="shared" si="24"/>
        <v>976413.01550735754</v>
      </c>
      <c r="T45" s="307">
        <f t="shared" si="24"/>
        <v>943394.21788150503</v>
      </c>
      <c r="U45" s="307">
        <f t="shared" si="24"/>
        <v>911491.99795314507</v>
      </c>
      <c r="V45" s="307">
        <f t="shared" si="24"/>
        <v>880668.59705617884</v>
      </c>
      <c r="W45" s="307">
        <f t="shared" si="24"/>
        <v>850887.53338761244</v>
      </c>
      <c r="X45" s="307">
        <f t="shared" si="24"/>
        <v>822113.55882861116</v>
      </c>
      <c r="Y45" s="307">
        <f t="shared" si="24"/>
        <v>794312.61722571135</v>
      </c>
      <c r="Z45" s="307">
        <f t="shared" si="24"/>
        <v>767451.80408281297</v>
      </c>
      <c r="AA45" s="307">
        <f t="shared" si="24"/>
        <v>741499.32761624444</v>
      </c>
      <c r="AB45" s="307">
        <f t="shared" si="24"/>
        <v>716424.47112680634</v>
      </c>
      <c r="AC45" s="307">
        <f t="shared" si="24"/>
        <v>692197.55664425739</v>
      </c>
      <c r="AD45" s="307">
        <f t="shared" si="24"/>
        <v>668789.90980121482</v>
      </c>
      <c r="AE45" s="307">
        <f t="shared" si="24"/>
        <v>646173.82589489361</v>
      </c>
      <c r="AF45" s="307">
        <f t="shared" si="24"/>
        <v>624322.53709651553</v>
      </c>
      <c r="AG45" s="307">
        <f t="shared" si="24"/>
        <v>603210.1807695803</v>
      </c>
      <c r="AH45" s="307">
        <f t="shared" si="24"/>
        <v>582811.76885949785</v>
      </c>
      <c r="AI45" s="307">
        <f t="shared" si="24"/>
        <v>563103.15831835545</v>
      </c>
      <c r="AJ45" s="307">
        <f t="shared" si="24"/>
        <v>544061.02252981206</v>
      </c>
      <c r="AK45" s="307">
        <f t="shared" si="24"/>
        <v>525662.82370030158</v>
      </c>
      <c r="AL45" s="307">
        <f t="shared" ref="AL45:AP45" si="25">IFERROR((AL6)/AL123,0)</f>
        <v>507886.78618386632</v>
      </c>
      <c r="AM45" s="307">
        <f t="shared" si="25"/>
        <v>490711.87070904969</v>
      </c>
      <c r="AN45" s="307">
        <f t="shared" si="25"/>
        <v>474117.74947734276</v>
      </c>
      <c r="AO45" s="307">
        <f t="shared" si="25"/>
        <v>458084.78210371279</v>
      </c>
      <c r="AP45" s="307">
        <f t="shared" si="25"/>
        <v>442593.99237073702</v>
      </c>
      <c r="AQ45" s="308">
        <f t="shared" ref="AQ45:AQ78" si="26">G45-SUM(H45:AP45)</f>
        <v>20638725.322019685</v>
      </c>
    </row>
    <row r="46" spans="2:49" x14ac:dyDescent="0.3">
      <c r="C46" s="1153"/>
      <c r="D46" s="294"/>
      <c r="E46" s="306">
        <f t="shared" si="20"/>
        <v>2029</v>
      </c>
      <c r="F46" s="306"/>
      <c r="G46" s="307">
        <f t="shared" si="21"/>
        <v>44724540.510000013</v>
      </c>
      <c r="H46" s="307">
        <f t="shared" ref="H46:AK46" si="27">IFERROR((H7)/H124,0)</f>
        <v>0</v>
      </c>
      <c r="I46" s="307">
        <f t="shared" si="27"/>
        <v>0</v>
      </c>
      <c r="J46" s="307">
        <f t="shared" si="27"/>
        <v>1306302.7531215774</v>
      </c>
      <c r="K46" s="307">
        <f t="shared" si="27"/>
        <v>1262128.2638855821</v>
      </c>
      <c r="L46" s="307">
        <f t="shared" si="27"/>
        <v>1219447.5979570842</v>
      </c>
      <c r="M46" s="307">
        <f t="shared" si="27"/>
        <v>1178210.2395720619</v>
      </c>
      <c r="N46" s="307">
        <f t="shared" si="27"/>
        <v>1138367.3812290456</v>
      </c>
      <c r="O46" s="307">
        <f t="shared" si="27"/>
        <v>1099871.8659217833</v>
      </c>
      <c r="P46" s="307">
        <f t="shared" si="27"/>
        <v>1062678.1313253946</v>
      </c>
      <c r="Q46" s="307">
        <f t="shared" si="27"/>
        <v>1026742.1558699465</v>
      </c>
      <c r="R46" s="307">
        <f t="shared" si="27"/>
        <v>992021.40663762938</v>
      </c>
      <c r="S46" s="307">
        <f t="shared" si="27"/>
        <v>958474.7890218643</v>
      </c>
      <c r="T46" s="307">
        <f t="shared" si="27"/>
        <v>926062.59808875783</v>
      </c>
      <c r="U46" s="307">
        <f t="shared" si="27"/>
        <v>894746.47158334102</v>
      </c>
      <c r="V46" s="307">
        <f t="shared" si="27"/>
        <v>864489.34452496725</v>
      </c>
      <c r="W46" s="307">
        <f t="shared" si="27"/>
        <v>835255.40533813275</v>
      </c>
      <c r="X46" s="307">
        <f t="shared" si="27"/>
        <v>807010.0534667949</v>
      </c>
      <c r="Y46" s="307">
        <f t="shared" si="27"/>
        <v>779719.85842202418</v>
      </c>
      <c r="Z46" s="307">
        <f t="shared" si="27"/>
        <v>753352.5202145162</v>
      </c>
      <c r="AA46" s="307">
        <f t="shared" si="27"/>
        <v>727876.83112513646</v>
      </c>
      <c r="AB46" s="307">
        <f t="shared" si="27"/>
        <v>703262.63876824791</v>
      </c>
      <c r="AC46" s="307">
        <f t="shared" si="27"/>
        <v>679480.8104041043</v>
      </c>
      <c r="AD46" s="307">
        <f t="shared" si="27"/>
        <v>656503.1984580718</v>
      </c>
      <c r="AE46" s="307">
        <f t="shared" si="27"/>
        <v>634302.60720586649</v>
      </c>
      <c r="AF46" s="307">
        <f t="shared" si="27"/>
        <v>612852.76058537827</v>
      </c>
      <c r="AG46" s="307">
        <f t="shared" si="27"/>
        <v>592128.27109698392</v>
      </c>
      <c r="AH46" s="307">
        <f t="shared" si="27"/>
        <v>572104.60975554015</v>
      </c>
      <c r="AI46" s="307">
        <f t="shared" si="27"/>
        <v>552758.07705849293</v>
      </c>
      <c r="AJ46" s="307">
        <f t="shared" si="27"/>
        <v>534065.77493574203</v>
      </c>
      <c r="AK46" s="307">
        <f t="shared" si="27"/>
        <v>516005.57964805991</v>
      </c>
      <c r="AL46" s="307">
        <f t="shared" ref="AL46:AP46" si="28">IFERROR((AL7)/AL124,0)</f>
        <v>498556.11560199031</v>
      </c>
      <c r="AM46" s="307">
        <f t="shared" si="28"/>
        <v>481696.73005023226</v>
      </c>
      <c r="AN46" s="307">
        <f t="shared" si="28"/>
        <v>465407.46864756744</v>
      </c>
      <c r="AO46" s="307">
        <f t="shared" si="28"/>
        <v>449669.05183339852</v>
      </c>
      <c r="AP46" s="307">
        <f t="shared" si="28"/>
        <v>434462.85201294551</v>
      </c>
      <c r="AQ46" s="308">
        <f t="shared" si="26"/>
        <v>18508526.29663175</v>
      </c>
    </row>
    <row r="47" spans="2:49" x14ac:dyDescent="0.3">
      <c r="C47" s="1153"/>
      <c r="D47" s="294"/>
      <c r="E47" s="306">
        <f t="shared" si="20"/>
        <v>2030</v>
      </c>
      <c r="F47" s="306"/>
      <c r="G47" s="307">
        <f t="shared" si="21"/>
        <v>44243119.199999996</v>
      </c>
      <c r="H47" s="307">
        <f t="shared" ref="H47:AK47" si="29">IFERROR((H8)/H125,0)</f>
        <v>0</v>
      </c>
      <c r="I47" s="307">
        <f t="shared" si="29"/>
        <v>0</v>
      </c>
      <c r="J47" s="307">
        <f t="shared" si="29"/>
        <v>0</v>
      </c>
      <c r="K47" s="307">
        <f t="shared" si="29"/>
        <v>1335842.9710144927</v>
      </c>
      <c r="L47" s="307">
        <f t="shared" si="29"/>
        <v>1290669.5372120703</v>
      </c>
      <c r="M47" s="307">
        <f t="shared" si="29"/>
        <v>1247023.7074512758</v>
      </c>
      <c r="N47" s="307">
        <f t="shared" si="29"/>
        <v>1204853.8236244211</v>
      </c>
      <c r="O47" s="307">
        <f t="shared" si="29"/>
        <v>1164109.9745163491</v>
      </c>
      <c r="P47" s="307">
        <f t="shared" si="29"/>
        <v>1124743.9367307723</v>
      </c>
      <c r="Q47" s="307">
        <f t="shared" si="29"/>
        <v>1086709.1176142727</v>
      </c>
      <c r="R47" s="307">
        <f t="shared" si="29"/>
        <v>1049960.5001104085</v>
      </c>
      <c r="S47" s="307">
        <f t="shared" si="29"/>
        <v>1014454.5894786557</v>
      </c>
      <c r="T47" s="307">
        <f t="shared" si="29"/>
        <v>980149.36181512626</v>
      </c>
      <c r="U47" s="307">
        <f t="shared" si="29"/>
        <v>947004.21431413176</v>
      </c>
      <c r="V47" s="307">
        <f t="shared" si="29"/>
        <v>914979.91721172165</v>
      </c>
      <c r="W47" s="307">
        <f t="shared" si="29"/>
        <v>884038.56735432043</v>
      </c>
      <c r="X47" s="307">
        <f t="shared" si="29"/>
        <v>854143.54333750776</v>
      </c>
      <c r="Y47" s="307">
        <f t="shared" si="29"/>
        <v>825259.46216184343</v>
      </c>
      <c r="Z47" s="307">
        <f t="shared" si="29"/>
        <v>797352.13735443808</v>
      </c>
      <c r="AA47" s="307">
        <f t="shared" si="29"/>
        <v>770388.53850670357</v>
      </c>
      <c r="AB47" s="307">
        <f t="shared" si="29"/>
        <v>744336.75218038994</v>
      </c>
      <c r="AC47" s="307">
        <f t="shared" si="29"/>
        <v>719165.94413564249</v>
      </c>
      <c r="AD47" s="307">
        <f t="shared" si="29"/>
        <v>694846.32283636963</v>
      </c>
      <c r="AE47" s="307">
        <f t="shared" si="29"/>
        <v>671349.1041897292</v>
      </c>
      <c r="AF47" s="307">
        <f t="shared" si="29"/>
        <v>648646.47747799929</v>
      </c>
      <c r="AG47" s="307">
        <f t="shared" si="29"/>
        <v>626711.57244251145</v>
      </c>
      <c r="AH47" s="307">
        <f t="shared" si="29"/>
        <v>605518.42748068739</v>
      </c>
      <c r="AI47" s="307">
        <f t="shared" si="29"/>
        <v>585041.95891853864</v>
      </c>
      <c r="AJ47" s="307">
        <f t="shared" si="29"/>
        <v>565257.93132225948</v>
      </c>
      <c r="AK47" s="307">
        <f t="shared" si="29"/>
        <v>546142.9288137774</v>
      </c>
      <c r="AL47" s="307">
        <f t="shared" ref="AL47:AP47" si="30">IFERROR((AL8)/AL125,0)</f>
        <v>527674.32735630672</v>
      </c>
      <c r="AM47" s="307">
        <f t="shared" si="30"/>
        <v>509830.2679771079</v>
      </c>
      <c r="AN47" s="307">
        <f t="shared" si="30"/>
        <v>492589.63089575648</v>
      </c>
      <c r="AO47" s="307">
        <f t="shared" si="30"/>
        <v>475932.010527301</v>
      </c>
      <c r="AP47" s="307">
        <f t="shared" si="30"/>
        <v>459837.69133072568</v>
      </c>
      <c r="AQ47" s="308">
        <f t="shared" si="26"/>
        <v>17878553.952306386</v>
      </c>
    </row>
    <row r="48" spans="2:49" x14ac:dyDescent="0.3">
      <c r="C48" s="1153"/>
      <c r="D48" s="294"/>
      <c r="E48" s="306">
        <f t="shared" si="20"/>
        <v>2031</v>
      </c>
      <c r="F48" s="306"/>
      <c r="G48" s="307">
        <f t="shared" si="21"/>
        <v>44934562.119999997</v>
      </c>
      <c r="H48" s="307">
        <f t="shared" ref="H48:AK48" si="31">IFERROR((H9)/H126,0)</f>
        <v>0</v>
      </c>
      <c r="I48" s="307">
        <f t="shared" si="31"/>
        <v>0</v>
      </c>
      <c r="J48" s="307">
        <f t="shared" si="31"/>
        <v>0</v>
      </c>
      <c r="K48" s="307">
        <f t="shared" si="31"/>
        <v>0</v>
      </c>
      <c r="L48" s="307">
        <f t="shared" si="31"/>
        <v>1400485.0278946548</v>
      </c>
      <c r="M48" s="307">
        <f t="shared" si="31"/>
        <v>1353125.6308160916</v>
      </c>
      <c r="N48" s="307">
        <f t="shared" si="31"/>
        <v>1307367.7592426008</v>
      </c>
      <c r="O48" s="307">
        <f t="shared" si="31"/>
        <v>1263157.2553068607</v>
      </c>
      <c r="P48" s="307">
        <f t="shared" si="31"/>
        <v>1220441.7925670154</v>
      </c>
      <c r="Q48" s="307">
        <f t="shared" si="31"/>
        <v>1179170.8140744111</v>
      </c>
      <c r="R48" s="307">
        <f t="shared" si="31"/>
        <v>1139295.4725356631</v>
      </c>
      <c r="S48" s="307">
        <f t="shared" si="31"/>
        <v>1100768.5724982251</v>
      </c>
      <c r="T48" s="307">
        <f t="shared" si="31"/>
        <v>1063544.5144910389</v>
      </c>
      <c r="U48" s="307">
        <f t="shared" si="31"/>
        <v>1027579.2410541439</v>
      </c>
      <c r="V48" s="307">
        <f t="shared" si="31"/>
        <v>992830.18459337589</v>
      </c>
      <c r="W48" s="307">
        <f t="shared" si="31"/>
        <v>959256.2169984309</v>
      </c>
      <c r="X48" s="307">
        <f t="shared" si="31"/>
        <v>926817.60096466751</v>
      </c>
      <c r="Y48" s="307">
        <f t="shared" si="31"/>
        <v>895475.94296103157</v>
      </c>
      <c r="Z48" s="307">
        <f t="shared" si="31"/>
        <v>865194.14778843638</v>
      </c>
      <c r="AA48" s="307">
        <f t="shared" si="31"/>
        <v>835936.3746748179</v>
      </c>
      <c r="AB48" s="307">
        <f t="shared" si="31"/>
        <v>807667.99485489656</v>
      </c>
      <c r="AC48" s="307">
        <f t="shared" si="31"/>
        <v>780355.55058444117</v>
      </c>
      <c r="AD48" s="307">
        <f t="shared" si="31"/>
        <v>753966.71554052294</v>
      </c>
      <c r="AE48" s="307">
        <f t="shared" si="31"/>
        <v>728470.25656089175</v>
      </c>
      <c r="AF48" s="307">
        <f t="shared" si="31"/>
        <v>703835.99667719018</v>
      </c>
      <c r="AG48" s="307">
        <f t="shared" si="31"/>
        <v>680034.77939825144</v>
      </c>
      <c r="AH48" s="307">
        <f t="shared" si="31"/>
        <v>657038.43420120922</v>
      </c>
      <c r="AI48" s="307">
        <f t="shared" si="31"/>
        <v>634819.7431895741</v>
      </c>
      <c r="AJ48" s="307">
        <f t="shared" si="31"/>
        <v>613352.40887881559</v>
      </c>
      <c r="AK48" s="307">
        <f t="shared" si="31"/>
        <v>592611.02307131945</v>
      </c>
      <c r="AL48" s="307">
        <f t="shared" ref="AL48:AP48" si="32">IFERROR((AL9)/AL126,0)</f>
        <v>572571.03678388358</v>
      </c>
      <c r="AM48" s="307">
        <f t="shared" si="32"/>
        <v>553208.73119215807</v>
      </c>
      <c r="AN48" s="307">
        <f t="shared" si="32"/>
        <v>534501.1895576407</v>
      </c>
      <c r="AO48" s="307">
        <f t="shared" si="32"/>
        <v>516426.27010400069</v>
      </c>
      <c r="AP48" s="307">
        <f t="shared" si="32"/>
        <v>498962.57981062873</v>
      </c>
      <c r="AQ48" s="308">
        <f t="shared" si="26"/>
        <v>17776292.861133102</v>
      </c>
    </row>
    <row r="49" spans="3:43" x14ac:dyDescent="0.3">
      <c r="C49" s="1153"/>
      <c r="D49" s="294"/>
      <c r="E49" s="306">
        <f t="shared" si="20"/>
        <v>2032</v>
      </c>
      <c r="F49" s="306"/>
      <c r="G49" s="307">
        <f t="shared" si="21"/>
        <v>14554383.759999996</v>
      </c>
      <c r="H49" s="307">
        <f t="shared" ref="H49:AK49" si="33">IFERROR((H10)/H127,0)</f>
        <v>0</v>
      </c>
      <c r="I49" s="307">
        <f t="shared" si="33"/>
        <v>0</v>
      </c>
      <c r="J49" s="307">
        <f t="shared" si="33"/>
        <v>0</v>
      </c>
      <c r="K49" s="307">
        <f t="shared" si="33"/>
        <v>0</v>
      </c>
      <c r="L49" s="307">
        <f t="shared" si="33"/>
        <v>0</v>
      </c>
      <c r="M49" s="307">
        <f t="shared" si="33"/>
        <v>468740.21771336545</v>
      </c>
      <c r="N49" s="307">
        <f t="shared" si="33"/>
        <v>452889.09923996666</v>
      </c>
      <c r="O49" s="307">
        <f t="shared" si="33"/>
        <v>437574.00892750407</v>
      </c>
      <c r="P49" s="307">
        <f t="shared" si="33"/>
        <v>422776.8202198107</v>
      </c>
      <c r="Q49" s="307">
        <f t="shared" si="33"/>
        <v>408480.01953604905</v>
      </c>
      <c r="R49" s="307">
        <f t="shared" si="33"/>
        <v>394666.68554207642</v>
      </c>
      <c r="S49" s="307">
        <f t="shared" si="33"/>
        <v>381320.46912277921</v>
      </c>
      <c r="T49" s="307">
        <f t="shared" si="33"/>
        <v>368425.57403167069</v>
      </c>
      <c r="U49" s="307">
        <f t="shared" si="33"/>
        <v>355966.73819485097</v>
      </c>
      <c r="V49" s="307">
        <f t="shared" si="33"/>
        <v>343929.21564719902</v>
      </c>
      <c r="W49" s="307">
        <f t="shared" si="33"/>
        <v>332298.75907941937</v>
      </c>
      <c r="X49" s="307">
        <f t="shared" si="33"/>
        <v>321061.60297528445</v>
      </c>
      <c r="Y49" s="307">
        <f t="shared" si="33"/>
        <v>310204.44731911545</v>
      </c>
      <c r="Z49" s="307">
        <f t="shared" si="33"/>
        <v>299714.44185421785</v>
      </c>
      <c r="AA49" s="307">
        <f t="shared" si="33"/>
        <v>289579.17087364051</v>
      </c>
      <c r="AB49" s="307">
        <f t="shared" si="33"/>
        <v>279786.63852525654</v>
      </c>
      <c r="AC49" s="307">
        <f t="shared" si="33"/>
        <v>270325.25461377442</v>
      </c>
      <c r="AD49" s="307">
        <f t="shared" si="33"/>
        <v>261183.82088287387</v>
      </c>
      <c r="AE49" s="307">
        <f t="shared" si="33"/>
        <v>252351.51776123082</v>
      </c>
      <c r="AF49" s="307">
        <f t="shared" si="33"/>
        <v>243817.89155674478</v>
      </c>
      <c r="AG49" s="307">
        <f t="shared" si="33"/>
        <v>235572.84208381138</v>
      </c>
      <c r="AH49" s="307">
        <f t="shared" si="33"/>
        <v>227606.61070899654</v>
      </c>
      <c r="AI49" s="307">
        <f t="shared" si="33"/>
        <v>219909.76880096286</v>
      </c>
      <c r="AJ49" s="307">
        <f t="shared" si="33"/>
        <v>212473.2065709786</v>
      </c>
      <c r="AK49" s="307">
        <f t="shared" si="33"/>
        <v>205288.12229080062</v>
      </c>
      <c r="AL49" s="307">
        <f t="shared" ref="AL49:AP49" si="34">IFERROR((AL10)/AL127,0)</f>
        <v>198346.01187516967</v>
      </c>
      <c r="AM49" s="307">
        <f t="shared" si="34"/>
        <v>191638.65881658907</v>
      </c>
      <c r="AN49" s="307">
        <f t="shared" si="34"/>
        <v>185158.12446047255</v>
      </c>
      <c r="AO49" s="307">
        <f t="shared" si="34"/>
        <v>178896.73860915223</v>
      </c>
      <c r="AP49" s="307">
        <f t="shared" si="34"/>
        <v>172847.09044362535</v>
      </c>
      <c r="AQ49" s="308">
        <f t="shared" si="26"/>
        <v>5631554.1917226072</v>
      </c>
    </row>
    <row r="50" spans="3:43" x14ac:dyDescent="0.3">
      <c r="C50" s="1153"/>
      <c r="D50" s="294"/>
      <c r="E50" s="306">
        <f t="shared" si="20"/>
        <v>2033</v>
      </c>
      <c r="F50" s="306"/>
      <c r="G50" s="307">
        <f t="shared" si="21"/>
        <v>14585830.98</v>
      </c>
      <c r="H50" s="307">
        <f t="shared" ref="H50:AK50" si="35">IFERROR((H11)/H128,0)</f>
        <v>0</v>
      </c>
      <c r="I50" s="307">
        <f t="shared" si="35"/>
        <v>0</v>
      </c>
      <c r="J50" s="307">
        <f t="shared" si="35"/>
        <v>0</v>
      </c>
      <c r="K50" s="307">
        <f t="shared" si="35"/>
        <v>0</v>
      </c>
      <c r="L50" s="307">
        <f t="shared" si="35"/>
        <v>0</v>
      </c>
      <c r="M50" s="307">
        <f t="shared" si="35"/>
        <v>0</v>
      </c>
      <c r="N50" s="307">
        <f t="shared" si="35"/>
        <v>485951.39030484762</v>
      </c>
      <c r="O50" s="307">
        <f t="shared" si="35"/>
        <v>469518.25150226825</v>
      </c>
      <c r="P50" s="307">
        <f t="shared" si="35"/>
        <v>453640.82270750561</v>
      </c>
      <c r="Q50" s="307">
        <f t="shared" si="35"/>
        <v>438300.31179469143</v>
      </c>
      <c r="R50" s="307">
        <f t="shared" si="35"/>
        <v>423478.56212047487</v>
      </c>
      <c r="S50" s="307">
        <f t="shared" si="35"/>
        <v>409158.03103427531</v>
      </c>
      <c r="T50" s="307">
        <f t="shared" si="35"/>
        <v>395321.76911524188</v>
      </c>
      <c r="U50" s="307">
        <f t="shared" si="35"/>
        <v>381953.40011134482</v>
      </c>
      <c r="V50" s="307">
        <f t="shared" si="35"/>
        <v>369037.10155685496</v>
      </c>
      <c r="W50" s="307">
        <f t="shared" si="35"/>
        <v>356557.58604527049</v>
      </c>
      <c r="X50" s="307">
        <f t="shared" si="35"/>
        <v>344500.08313552709</v>
      </c>
      <c r="Y50" s="307">
        <f t="shared" si="35"/>
        <v>332850.32187007449</v>
      </c>
      <c r="Z50" s="307">
        <f t="shared" si="35"/>
        <v>321594.51388412999</v>
      </c>
      <c r="AA50" s="307">
        <f t="shared" si="35"/>
        <v>310719.33708611596</v>
      </c>
      <c r="AB50" s="307">
        <f t="shared" si="35"/>
        <v>300211.91988996713</v>
      </c>
      <c r="AC50" s="307">
        <f t="shared" si="35"/>
        <v>290059.82598064461</v>
      </c>
      <c r="AD50" s="307">
        <f t="shared" si="35"/>
        <v>280251.03959482571</v>
      </c>
      <c r="AE50" s="307">
        <f t="shared" si="35"/>
        <v>270773.95129934856</v>
      </c>
      <c r="AF50" s="307">
        <f t="shared" si="35"/>
        <v>261617.34425057835</v>
      </c>
      <c r="AG50" s="307">
        <f t="shared" si="35"/>
        <v>252770.38091843319</v>
      </c>
      <c r="AH50" s="307">
        <f t="shared" si="35"/>
        <v>244222.59025935575</v>
      </c>
      <c r="AI50" s="307">
        <f t="shared" si="35"/>
        <v>235963.85532304909</v>
      </c>
      <c r="AJ50" s="307">
        <f t="shared" si="35"/>
        <v>227984.4012783083</v>
      </c>
      <c r="AK50" s="307">
        <f t="shared" si="35"/>
        <v>220274.78384377612</v>
      </c>
      <c r="AL50" s="307">
        <f t="shared" ref="AL50:AP50" si="36">IFERROR((AL11)/AL128,0)</f>
        <v>212825.87810992866</v>
      </c>
      <c r="AM50" s="307">
        <f t="shared" si="36"/>
        <v>205628.8677390615</v>
      </c>
      <c r="AN50" s="307">
        <f t="shared" si="36"/>
        <v>198675.23453049423</v>
      </c>
      <c r="AO50" s="307">
        <f t="shared" si="36"/>
        <v>191956.74833864177</v>
      </c>
      <c r="AP50" s="307">
        <f t="shared" si="36"/>
        <v>185465.45733202106</v>
      </c>
      <c r="AQ50" s="308">
        <f t="shared" si="26"/>
        <v>5514567.2190429457</v>
      </c>
    </row>
    <row r="51" spans="3:43" x14ac:dyDescent="0.3">
      <c r="C51" s="1153"/>
      <c r="D51" s="294"/>
      <c r="E51" s="306">
        <f t="shared" si="20"/>
        <v>2034</v>
      </c>
      <c r="F51" s="306"/>
      <c r="G51" s="307">
        <f t="shared" si="21"/>
        <v>8292899.1599999983</v>
      </c>
      <c r="H51" s="307">
        <f t="shared" ref="H51:AK51" si="37">IFERROR((H12)/H129,0)</f>
        <v>0</v>
      </c>
      <c r="I51" s="307">
        <f t="shared" si="37"/>
        <v>0</v>
      </c>
      <c r="J51" s="307">
        <f t="shared" si="37"/>
        <v>0</v>
      </c>
      <c r="K51" s="307">
        <f t="shared" si="37"/>
        <v>0</v>
      </c>
      <c r="L51" s="307">
        <f t="shared" si="37"/>
        <v>0</v>
      </c>
      <c r="M51" s="307">
        <f t="shared" si="37"/>
        <v>0</v>
      </c>
      <c r="N51" s="307">
        <f t="shared" si="37"/>
        <v>0</v>
      </c>
      <c r="O51" s="307">
        <f t="shared" si="37"/>
        <v>286159.39130434778</v>
      </c>
      <c r="P51" s="307">
        <f t="shared" si="37"/>
        <v>276482.50367569836</v>
      </c>
      <c r="Q51" s="307">
        <f t="shared" si="37"/>
        <v>267132.85379294527</v>
      </c>
      <c r="R51" s="307">
        <f t="shared" si="37"/>
        <v>258099.37564535777</v>
      </c>
      <c r="S51" s="307">
        <f t="shared" si="37"/>
        <v>249371.37743512832</v>
      </c>
      <c r="T51" s="307">
        <f t="shared" si="37"/>
        <v>240938.52892282931</v>
      </c>
      <c r="U51" s="307">
        <f t="shared" si="37"/>
        <v>232790.84920080128</v>
      </c>
      <c r="V51" s="307">
        <f t="shared" si="37"/>
        <v>224918.69488000125</v>
      </c>
      <c r="W51" s="307">
        <f t="shared" si="37"/>
        <v>217312.74867632973</v>
      </c>
      <c r="X51" s="307">
        <f t="shared" si="37"/>
        <v>209964.00838292731</v>
      </c>
      <c r="Y51" s="307">
        <f t="shared" si="37"/>
        <v>202863.77621538873</v>
      </c>
      <c r="Z51" s="307">
        <f t="shared" si="37"/>
        <v>196003.64851728379</v>
      </c>
      <c r="AA51" s="307">
        <f t="shared" si="37"/>
        <v>189375.50581380079</v>
      </c>
      <c r="AB51" s="307">
        <f t="shared" si="37"/>
        <v>182971.50320173992</v>
      </c>
      <c r="AC51" s="307">
        <f t="shared" si="37"/>
        <v>176784.06106448304</v>
      </c>
      <c r="AD51" s="307">
        <f t="shared" si="37"/>
        <v>170805.85610094981</v>
      </c>
      <c r="AE51" s="307">
        <f t="shared" si="37"/>
        <v>165029.81265792254</v>
      </c>
      <c r="AF51" s="307">
        <f t="shared" si="37"/>
        <v>159449.09435548072</v>
      </c>
      <c r="AG51" s="307">
        <f t="shared" si="37"/>
        <v>154057.09599563354</v>
      </c>
      <c r="AH51" s="307">
        <f t="shared" si="37"/>
        <v>148847.43574457351</v>
      </c>
      <c r="AI51" s="307">
        <f t="shared" si="37"/>
        <v>143813.94757929808</v>
      </c>
      <c r="AJ51" s="307">
        <f t="shared" si="37"/>
        <v>138950.67398965999</v>
      </c>
      <c r="AK51" s="307">
        <f t="shared" si="37"/>
        <v>134251.85892720774</v>
      </c>
      <c r="AL51" s="307">
        <f t="shared" ref="AL51:AP51" si="38">IFERROR((AL12)/AL129,0)</f>
        <v>129711.94099247124</v>
      </c>
      <c r="AM51" s="307">
        <f t="shared" si="38"/>
        <v>125325.54685262922</v>
      </c>
      <c r="AN51" s="307">
        <f t="shared" si="38"/>
        <v>121087.48488176738</v>
      </c>
      <c r="AO51" s="307">
        <f t="shared" si="38"/>
        <v>116992.73901620037</v>
      </c>
      <c r="AP51" s="307">
        <f t="shared" si="38"/>
        <v>113036.46281758491</v>
      </c>
      <c r="AQ51" s="308">
        <f t="shared" si="26"/>
        <v>3060370.3833595561</v>
      </c>
    </row>
    <row r="52" spans="3:43" x14ac:dyDescent="0.3">
      <c r="C52" s="1153"/>
      <c r="D52" s="294"/>
      <c r="E52" s="306">
        <f t="shared" si="20"/>
        <v>2035</v>
      </c>
      <c r="F52" s="306"/>
      <c r="G52" s="307">
        <f t="shared" si="21"/>
        <v>8206486.6199999992</v>
      </c>
      <c r="H52" s="307">
        <f t="shared" ref="H52:AK52" si="39">IFERROR((H13)/H130,0)</f>
        <v>0</v>
      </c>
      <c r="I52" s="307">
        <f t="shared" si="39"/>
        <v>0</v>
      </c>
      <c r="J52" s="307">
        <f t="shared" si="39"/>
        <v>0</v>
      </c>
      <c r="K52" s="307">
        <f t="shared" si="39"/>
        <v>0</v>
      </c>
      <c r="L52" s="307">
        <f t="shared" si="39"/>
        <v>0</v>
      </c>
      <c r="M52" s="307">
        <f t="shared" si="39"/>
        <v>0</v>
      </c>
      <c r="N52" s="307">
        <f t="shared" si="39"/>
        <v>0</v>
      </c>
      <c r="O52" s="307">
        <f t="shared" si="39"/>
        <v>0</v>
      </c>
      <c r="P52" s="307">
        <f t="shared" si="39"/>
        <v>293665.65110037575</v>
      </c>
      <c r="Q52" s="307">
        <f t="shared" si="39"/>
        <v>283734.9285993969</v>
      </c>
      <c r="R52" s="307">
        <f t="shared" si="39"/>
        <v>274140.02763226756</v>
      </c>
      <c r="S52" s="307">
        <f t="shared" si="39"/>
        <v>264869.59191523434</v>
      </c>
      <c r="T52" s="307">
        <f t="shared" si="39"/>
        <v>255912.64919346318</v>
      </c>
      <c r="U52" s="307">
        <f t="shared" si="39"/>
        <v>247258.59825455383</v>
      </c>
      <c r="V52" s="307">
        <f t="shared" si="39"/>
        <v>238897.19638121143</v>
      </c>
      <c r="W52" s="307">
        <f t="shared" si="39"/>
        <v>230818.54722822362</v>
      </c>
      <c r="X52" s="307">
        <f t="shared" si="39"/>
        <v>223013.08910939484</v>
      </c>
      <c r="Y52" s="307">
        <f t="shared" si="39"/>
        <v>215471.58368057472</v>
      </c>
      <c r="Z52" s="307">
        <f t="shared" si="39"/>
        <v>208185.10500538623</v>
      </c>
      <c r="AA52" s="307">
        <f t="shared" si="39"/>
        <v>201145.02899071135</v>
      </c>
      <c r="AB52" s="307">
        <f t="shared" si="39"/>
        <v>194343.02317943127</v>
      </c>
      <c r="AC52" s="307">
        <f t="shared" si="39"/>
        <v>187771.03688833941</v>
      </c>
      <c r="AD52" s="307">
        <f t="shared" si="39"/>
        <v>181421.29167955503</v>
      </c>
      <c r="AE52" s="307">
        <f t="shared" si="39"/>
        <v>175286.27215415947</v>
      </c>
      <c r="AF52" s="307">
        <f t="shared" si="39"/>
        <v>169358.71705715891</v>
      </c>
      <c r="AG52" s="307">
        <f t="shared" si="39"/>
        <v>163631.61068324532</v>
      </c>
      <c r="AH52" s="307">
        <f t="shared" si="39"/>
        <v>158098.1745731839</v>
      </c>
      <c r="AI52" s="307">
        <f t="shared" si="39"/>
        <v>152751.85949099896</v>
      </c>
      <c r="AJ52" s="307">
        <f t="shared" si="39"/>
        <v>147586.33767246277</v>
      </c>
      <c r="AK52" s="307">
        <f t="shared" si="39"/>
        <v>142595.49533571285</v>
      </c>
      <c r="AL52" s="307">
        <f t="shared" ref="AL52:AP52" si="40">IFERROR((AL13)/AL130,0)</f>
        <v>137773.42544513318</v>
      </c>
      <c r="AM52" s="307">
        <f t="shared" si="40"/>
        <v>133114.42071993544</v>
      </c>
      <c r="AN52" s="307">
        <f t="shared" si="40"/>
        <v>128612.9668791647</v>
      </c>
      <c r="AO52" s="307">
        <f t="shared" si="40"/>
        <v>124263.73611513498</v>
      </c>
      <c r="AP52" s="307">
        <f t="shared" si="40"/>
        <v>120061.58078757004</v>
      </c>
      <c r="AQ52" s="308">
        <f t="shared" si="26"/>
        <v>2952704.6742480183</v>
      </c>
    </row>
    <row r="53" spans="3:43" x14ac:dyDescent="0.3">
      <c r="C53" s="1153"/>
      <c r="D53" s="294"/>
      <c r="E53" s="306">
        <f t="shared" si="20"/>
        <v>2036</v>
      </c>
      <c r="F53" s="306"/>
      <c r="G53" s="307">
        <f t="shared" si="21"/>
        <v>8117050.9000000004</v>
      </c>
      <c r="H53" s="307">
        <f t="shared" ref="H53:AK53" si="41">IFERROR((H14)/H131,0)</f>
        <v>0</v>
      </c>
      <c r="I53" s="307">
        <f t="shared" si="41"/>
        <v>0</v>
      </c>
      <c r="J53" s="307">
        <f t="shared" si="41"/>
        <v>0</v>
      </c>
      <c r="K53" s="307">
        <f t="shared" si="41"/>
        <v>0</v>
      </c>
      <c r="L53" s="307">
        <f t="shared" si="41"/>
        <v>0</v>
      </c>
      <c r="M53" s="307">
        <f t="shared" si="41"/>
        <v>0</v>
      </c>
      <c r="N53" s="307">
        <f t="shared" si="41"/>
        <v>0</v>
      </c>
      <c r="O53" s="307">
        <f t="shared" si="41"/>
        <v>0</v>
      </c>
      <c r="P53" s="307">
        <f t="shared" si="41"/>
        <v>0</v>
      </c>
      <c r="Q53" s="307">
        <f t="shared" si="41"/>
        <v>301636.97138610185</v>
      </c>
      <c r="R53" s="307">
        <f t="shared" si="41"/>
        <v>291436.68732956704</v>
      </c>
      <c r="S53" s="307">
        <f t="shared" si="41"/>
        <v>281581.34041504061</v>
      </c>
      <c r="T53" s="307">
        <f t="shared" si="41"/>
        <v>272059.26610148855</v>
      </c>
      <c r="U53" s="307">
        <f t="shared" si="41"/>
        <v>262859.19430095516</v>
      </c>
      <c r="V53" s="307">
        <f t="shared" si="41"/>
        <v>253970.23603957024</v>
      </c>
      <c r="W53" s="307">
        <f t="shared" si="41"/>
        <v>245381.87056963309</v>
      </c>
      <c r="X53" s="307">
        <f t="shared" si="41"/>
        <v>237083.93291751991</v>
      </c>
      <c r="Y53" s="307">
        <f t="shared" si="41"/>
        <v>229066.60185267628</v>
      </c>
      <c r="Z53" s="307">
        <f t="shared" si="41"/>
        <v>221320.38826345533</v>
      </c>
      <c r="AA53" s="307">
        <f t="shared" si="41"/>
        <v>213836.12392604383</v>
      </c>
      <c r="AB53" s="307">
        <f t="shared" si="41"/>
        <v>206604.95065318246</v>
      </c>
      <c r="AC53" s="307">
        <f t="shared" si="41"/>
        <v>199618.30980983813</v>
      </c>
      <c r="AD53" s="307">
        <f t="shared" si="41"/>
        <v>192867.93218341851</v>
      </c>
      <c r="AE53" s="307">
        <f t="shared" si="41"/>
        <v>186345.82819653966</v>
      </c>
      <c r="AF53" s="307">
        <f t="shared" si="41"/>
        <v>180044.27845076297</v>
      </c>
      <c r="AG53" s="307">
        <f t="shared" si="41"/>
        <v>173955.82459010914</v>
      </c>
      <c r="AH53" s="307">
        <f t="shared" si="41"/>
        <v>168073.26047353543</v>
      </c>
      <c r="AI53" s="307">
        <f t="shared" si="41"/>
        <v>162389.62364592796</v>
      </c>
      <c r="AJ53" s="307">
        <f t="shared" si="41"/>
        <v>156898.18709751495</v>
      </c>
      <c r="AK53" s="307">
        <f t="shared" si="41"/>
        <v>151592.45130194683</v>
      </c>
      <c r="AL53" s="307">
        <f t="shared" ref="AL53:AP53" si="42">IFERROR((AL14)/AL131,0)</f>
        <v>146466.13652362014</v>
      </c>
      <c r="AM53" s="307">
        <f t="shared" si="42"/>
        <v>141513.17538514023</v>
      </c>
      <c r="AN53" s="307">
        <f t="shared" si="42"/>
        <v>136727.70568612585</v>
      </c>
      <c r="AO53" s="307">
        <f t="shared" si="42"/>
        <v>132104.06346485589</v>
      </c>
      <c r="AP53" s="307">
        <f t="shared" si="42"/>
        <v>127636.77629454677</v>
      </c>
      <c r="AQ53" s="308">
        <f t="shared" si="26"/>
        <v>2843979.7831408838</v>
      </c>
    </row>
    <row r="54" spans="3:43" x14ac:dyDescent="0.3">
      <c r="C54" s="1153"/>
      <c r="D54" s="294"/>
      <c r="E54" s="306">
        <f t="shared" si="20"/>
        <v>2037</v>
      </c>
      <c r="F54" s="306"/>
      <c r="G54" s="307">
        <f t="shared" si="21"/>
        <v>8031918.790000001</v>
      </c>
      <c r="H54" s="307">
        <f t="shared" ref="H54:AK54" si="43">IFERROR((H15)/H132,0)</f>
        <v>0</v>
      </c>
      <c r="I54" s="307">
        <f t="shared" si="43"/>
        <v>0</v>
      </c>
      <c r="J54" s="307">
        <f t="shared" si="43"/>
        <v>0</v>
      </c>
      <c r="K54" s="307">
        <f t="shared" si="43"/>
        <v>0</v>
      </c>
      <c r="L54" s="307">
        <f t="shared" si="43"/>
        <v>0</v>
      </c>
      <c r="M54" s="307">
        <f t="shared" si="43"/>
        <v>0</v>
      </c>
      <c r="N54" s="307">
        <f t="shared" si="43"/>
        <v>0</v>
      </c>
      <c r="O54" s="307">
        <f t="shared" si="43"/>
        <v>0</v>
      </c>
      <c r="P54" s="307">
        <f t="shared" si="43"/>
        <v>0</v>
      </c>
      <c r="Q54" s="307">
        <f t="shared" si="43"/>
        <v>0</v>
      </c>
      <c r="R54" s="307">
        <f t="shared" si="43"/>
        <v>310412.3203864735</v>
      </c>
      <c r="S54" s="307">
        <f t="shared" si="43"/>
        <v>299915.28539755894</v>
      </c>
      <c r="T54" s="307">
        <f t="shared" si="43"/>
        <v>289773.22260633716</v>
      </c>
      <c r="U54" s="307">
        <f t="shared" si="43"/>
        <v>279974.12812206493</v>
      </c>
      <c r="V54" s="307">
        <f t="shared" si="43"/>
        <v>270506.40398267144</v>
      </c>
      <c r="W54" s="307">
        <f t="shared" si="43"/>
        <v>261358.8444277019</v>
      </c>
      <c r="X54" s="307">
        <f t="shared" si="43"/>
        <v>252520.62263546081</v>
      </c>
      <c r="Y54" s="307">
        <f t="shared" si="43"/>
        <v>243981.27790865779</v>
      </c>
      <c r="Z54" s="307">
        <f t="shared" si="43"/>
        <v>235730.7032933892</v>
      </c>
      <c r="AA54" s="307">
        <f t="shared" si="43"/>
        <v>227759.13361680118</v>
      </c>
      <c r="AB54" s="307">
        <f t="shared" si="43"/>
        <v>220057.13392927652</v>
      </c>
      <c r="AC54" s="307">
        <f t="shared" si="43"/>
        <v>212615.58833746525</v>
      </c>
      <c r="AD54" s="307">
        <f t="shared" si="43"/>
        <v>205425.68921494228</v>
      </c>
      <c r="AE54" s="307">
        <f t="shared" si="43"/>
        <v>198478.92677772202</v>
      </c>
      <c r="AF54" s="307">
        <f t="shared" si="43"/>
        <v>191767.07901229186</v>
      </c>
      <c r="AG54" s="307">
        <f t="shared" si="43"/>
        <v>185282.20194424334</v>
      </c>
      <c r="AH54" s="307">
        <f t="shared" si="43"/>
        <v>179016.62023598392</v>
      </c>
      <c r="AI54" s="307">
        <f t="shared" si="43"/>
        <v>172962.91810239994</v>
      </c>
      <c r="AJ54" s="307">
        <f t="shared" si="43"/>
        <v>167113.93053371974</v>
      </c>
      <c r="AK54" s="307">
        <f t="shared" si="43"/>
        <v>161462.73481518819</v>
      </c>
      <c r="AL54" s="307">
        <f t="shared" ref="AL54:AP54" si="44">IFERROR((AL15)/AL132,0)</f>
        <v>156002.64233351516</v>
      </c>
      <c r="AM54" s="307">
        <f t="shared" si="44"/>
        <v>150727.19066040116</v>
      </c>
      <c r="AN54" s="307">
        <f t="shared" si="44"/>
        <v>145630.13590376923</v>
      </c>
      <c r="AO54" s="307">
        <f t="shared" si="44"/>
        <v>140705.44531765144</v>
      </c>
      <c r="AP54" s="307">
        <f t="shared" si="44"/>
        <v>135947.29016198206</v>
      </c>
      <c r="AQ54" s="308">
        <f t="shared" si="26"/>
        <v>2736791.3203423331</v>
      </c>
    </row>
    <row r="55" spans="3:43" x14ac:dyDescent="0.3">
      <c r="C55" s="1153"/>
      <c r="D55" s="294"/>
      <c r="E55" s="306">
        <f t="shared" si="20"/>
        <v>2038</v>
      </c>
      <c r="F55" s="306"/>
      <c r="G55" s="307">
        <f t="shared" si="21"/>
        <v>7938361.6199999992</v>
      </c>
      <c r="H55" s="307">
        <f t="shared" ref="H55:AK55" si="45">IFERROR((H16)/H133,0)</f>
        <v>0</v>
      </c>
      <c r="I55" s="307">
        <f t="shared" si="45"/>
        <v>0</v>
      </c>
      <c r="J55" s="307">
        <f t="shared" si="45"/>
        <v>0</v>
      </c>
      <c r="K55" s="307">
        <f t="shared" si="45"/>
        <v>0</v>
      </c>
      <c r="L55" s="307">
        <f t="shared" si="45"/>
        <v>0</v>
      </c>
      <c r="M55" s="307">
        <f t="shared" si="45"/>
        <v>0</v>
      </c>
      <c r="N55" s="307">
        <f t="shared" si="45"/>
        <v>0</v>
      </c>
      <c r="O55" s="307">
        <f t="shared" si="45"/>
        <v>0</v>
      </c>
      <c r="P55" s="307">
        <f t="shared" si="45"/>
        <v>0</v>
      </c>
      <c r="Q55" s="307">
        <f t="shared" si="45"/>
        <v>0</v>
      </c>
      <c r="R55" s="307">
        <f t="shared" si="45"/>
        <v>0</v>
      </c>
      <c r="S55" s="307">
        <f t="shared" si="45"/>
        <v>319579.77536231879</v>
      </c>
      <c r="T55" s="307">
        <f t="shared" si="45"/>
        <v>308772.72981866554</v>
      </c>
      <c r="U55" s="307">
        <f t="shared" si="45"/>
        <v>298331.139921416</v>
      </c>
      <c r="V55" s="307">
        <f t="shared" si="45"/>
        <v>288242.64726706862</v>
      </c>
      <c r="W55" s="307">
        <f t="shared" si="45"/>
        <v>278495.31136914849</v>
      </c>
      <c r="X55" s="307">
        <f t="shared" si="45"/>
        <v>269077.59552574734</v>
      </c>
      <c r="Y55" s="307">
        <f t="shared" si="45"/>
        <v>259978.35316497329</v>
      </c>
      <c r="Z55" s="307">
        <f t="shared" si="45"/>
        <v>251186.81465214811</v>
      </c>
      <c r="AA55" s="307">
        <f t="shared" si="45"/>
        <v>242692.57454313833</v>
      </c>
      <c r="AB55" s="307">
        <f t="shared" si="45"/>
        <v>234485.57926873269</v>
      </c>
      <c r="AC55" s="307">
        <f t="shared" si="45"/>
        <v>226556.11523549055</v>
      </c>
      <c r="AD55" s="307">
        <f t="shared" si="45"/>
        <v>218894.79732897639</v>
      </c>
      <c r="AE55" s="307">
        <f t="shared" si="45"/>
        <v>211492.5578057743</v>
      </c>
      <c r="AF55" s="307">
        <f t="shared" si="45"/>
        <v>204340.63556113461</v>
      </c>
      <c r="AG55" s="307">
        <f t="shared" si="45"/>
        <v>197430.56575955037</v>
      </c>
      <c r="AH55" s="307">
        <f t="shared" si="45"/>
        <v>190754.16981599072</v>
      </c>
      <c r="AI55" s="307">
        <f t="shared" si="45"/>
        <v>184303.54571593305</v>
      </c>
      <c r="AJ55" s="307">
        <f t="shared" si="45"/>
        <v>178071.05866273728</v>
      </c>
      <c r="AK55" s="307">
        <f t="shared" si="45"/>
        <v>172049.33204129207</v>
      </c>
      <c r="AL55" s="307">
        <f t="shared" ref="AL55:AP55" si="46">IFERROR((AL16)/AL133,0)</f>
        <v>166231.23868723874</v>
      </c>
      <c r="AM55" s="307">
        <f t="shared" si="46"/>
        <v>160609.89245143841</v>
      </c>
      <c r="AN55" s="307">
        <f t="shared" si="46"/>
        <v>155178.64004969897</v>
      </c>
      <c r="AO55" s="307">
        <f t="shared" si="46"/>
        <v>149931.05318811495</v>
      </c>
      <c r="AP55" s="307">
        <f t="shared" si="46"/>
        <v>144860.92095470044</v>
      </c>
      <c r="AQ55" s="308">
        <f t="shared" si="26"/>
        <v>2626814.5758485701</v>
      </c>
    </row>
    <row r="56" spans="3:43" x14ac:dyDescent="0.3">
      <c r="C56" s="1153"/>
      <c r="D56" s="294"/>
      <c r="E56" s="306">
        <f t="shared" si="20"/>
        <v>2039</v>
      </c>
      <c r="F56" s="306"/>
      <c r="G56" s="307">
        <f t="shared" si="21"/>
        <v>3477782.3499999996</v>
      </c>
      <c r="H56" s="307">
        <f t="shared" ref="H56:AK56" si="47">IFERROR((H17)/H134,0)</f>
        <v>0</v>
      </c>
      <c r="I56" s="307">
        <f t="shared" si="47"/>
        <v>0</v>
      </c>
      <c r="J56" s="307">
        <f t="shared" si="47"/>
        <v>0</v>
      </c>
      <c r="K56" s="307">
        <f t="shared" si="47"/>
        <v>0</v>
      </c>
      <c r="L56" s="307">
        <f t="shared" si="47"/>
        <v>0</v>
      </c>
      <c r="M56" s="307">
        <f t="shared" si="47"/>
        <v>0</v>
      </c>
      <c r="N56" s="307">
        <f t="shared" si="47"/>
        <v>0</v>
      </c>
      <c r="O56" s="307">
        <f t="shared" si="47"/>
        <v>0</v>
      </c>
      <c r="P56" s="307">
        <f t="shared" si="47"/>
        <v>0</v>
      </c>
      <c r="Q56" s="307">
        <f t="shared" si="47"/>
        <v>0</v>
      </c>
      <c r="R56" s="307">
        <f t="shared" si="47"/>
        <v>0</v>
      </c>
      <c r="S56" s="307">
        <f t="shared" si="47"/>
        <v>0</v>
      </c>
      <c r="T56" s="307">
        <f t="shared" si="47"/>
        <v>146094.61667716867</v>
      </c>
      <c r="U56" s="307">
        <f t="shared" si="47"/>
        <v>141154.21901175717</v>
      </c>
      <c r="V56" s="307">
        <f t="shared" si="47"/>
        <v>136380.8879340649</v>
      </c>
      <c r="W56" s="307">
        <f t="shared" si="47"/>
        <v>131768.97384933807</v>
      </c>
      <c r="X56" s="307">
        <f t="shared" si="47"/>
        <v>127313.01821192088</v>
      </c>
      <c r="Y56" s="307">
        <f t="shared" si="47"/>
        <v>123007.74706465786</v>
      </c>
      <c r="Z56" s="307">
        <f t="shared" si="47"/>
        <v>118848.06479677089</v>
      </c>
      <c r="AA56" s="307">
        <f t="shared" si="47"/>
        <v>114829.04811282211</v>
      </c>
      <c r="AB56" s="307">
        <f t="shared" si="47"/>
        <v>110945.94020562524</v>
      </c>
      <c r="AC56" s="307">
        <f t="shared" si="47"/>
        <v>107194.14512620798</v>
      </c>
      <c r="AD56" s="307">
        <f t="shared" si="47"/>
        <v>103569.22234416231</v>
      </c>
      <c r="AE56" s="307">
        <f t="shared" si="47"/>
        <v>100066.88149194427</v>
      </c>
      <c r="AF56" s="307">
        <f t="shared" si="47"/>
        <v>96682.977286902678</v>
      </c>
      <c r="AG56" s="307">
        <f t="shared" si="47"/>
        <v>93413.504625026762</v>
      </c>
      <c r="AH56" s="307">
        <f t="shared" si="47"/>
        <v>90254.593840605579</v>
      </c>
      <c r="AI56" s="307">
        <f t="shared" si="47"/>
        <v>87202.506126188964</v>
      </c>
      <c r="AJ56" s="307">
        <f t="shared" si="47"/>
        <v>84253.629107428962</v>
      </c>
      <c r="AK56" s="307">
        <f t="shared" si="47"/>
        <v>81404.472567564211</v>
      </c>
      <c r="AL56" s="307">
        <f t="shared" ref="AL56:AP56" si="48">IFERROR((AL17)/AL134,0)</f>
        <v>78651.664316487178</v>
      </c>
      <c r="AM56" s="307">
        <f t="shared" si="48"/>
        <v>75991.946199504528</v>
      </c>
      <c r="AN56" s="307">
        <f t="shared" si="48"/>
        <v>73422.170241067171</v>
      </c>
      <c r="AO56" s="307">
        <f t="shared" si="48"/>
        <v>70939.294918905493</v>
      </c>
      <c r="AP56" s="307">
        <f t="shared" si="48"/>
        <v>68540.381564159892</v>
      </c>
      <c r="AQ56" s="308">
        <f t="shared" si="26"/>
        <v>1115852.444379718</v>
      </c>
    </row>
    <row r="57" spans="3:43" x14ac:dyDescent="0.3">
      <c r="C57" s="1153"/>
      <c r="D57" s="294"/>
      <c r="E57" s="306">
        <f t="shared" si="20"/>
        <v>2040</v>
      </c>
      <c r="F57" s="306"/>
      <c r="G57" s="307">
        <f t="shared" si="21"/>
        <v>3330833.8000000007</v>
      </c>
      <c r="H57" s="307">
        <f t="shared" ref="H57:AK57" si="49">IFERROR((H18)/H135,0)</f>
        <v>0</v>
      </c>
      <c r="I57" s="307">
        <f t="shared" si="49"/>
        <v>0</v>
      </c>
      <c r="J57" s="307">
        <f t="shared" si="49"/>
        <v>0</v>
      </c>
      <c r="K57" s="307">
        <f t="shared" si="49"/>
        <v>0</v>
      </c>
      <c r="L57" s="307">
        <f t="shared" si="49"/>
        <v>0</v>
      </c>
      <c r="M57" s="307">
        <f t="shared" si="49"/>
        <v>0</v>
      </c>
      <c r="N57" s="307">
        <f t="shared" si="49"/>
        <v>0</v>
      </c>
      <c r="O57" s="307">
        <f t="shared" si="49"/>
        <v>0</v>
      </c>
      <c r="P57" s="307">
        <f t="shared" si="49"/>
        <v>0</v>
      </c>
      <c r="Q57" s="307">
        <f t="shared" si="49"/>
        <v>0</v>
      </c>
      <c r="R57" s="307">
        <f t="shared" si="49"/>
        <v>0</v>
      </c>
      <c r="S57" s="307">
        <f t="shared" si="49"/>
        <v>0</v>
      </c>
      <c r="T57" s="307">
        <f t="shared" si="49"/>
        <v>0</v>
      </c>
      <c r="U57" s="307">
        <f t="shared" si="49"/>
        <v>146281.67764602552</v>
      </c>
      <c r="V57" s="307">
        <f t="shared" si="49"/>
        <v>141334.95424736766</v>
      </c>
      <c r="W57" s="307">
        <f t="shared" si="49"/>
        <v>136555.51135011369</v>
      </c>
      <c r="X57" s="307">
        <f t="shared" si="49"/>
        <v>131937.69212571371</v>
      </c>
      <c r="Y57" s="307">
        <f t="shared" si="49"/>
        <v>127476.03103933694</v>
      </c>
      <c r="Z57" s="307">
        <f t="shared" si="49"/>
        <v>123165.2473810019</v>
      </c>
      <c r="AA57" s="307">
        <f t="shared" si="49"/>
        <v>119000.23901546079</v>
      </c>
      <c r="AB57" s="307">
        <f t="shared" si="49"/>
        <v>114976.07634344038</v>
      </c>
      <c r="AC57" s="307">
        <f t="shared" si="49"/>
        <v>111087.99646709216</v>
      </c>
      <c r="AD57" s="307">
        <f t="shared" si="49"/>
        <v>107331.39755274606</v>
      </c>
      <c r="AE57" s="307">
        <f t="shared" si="49"/>
        <v>103701.83338429572</v>
      </c>
      <c r="AF57" s="307">
        <f t="shared" si="49"/>
        <v>100195.00810076881</v>
      </c>
      <c r="AG57" s="307">
        <f t="shared" si="49"/>
        <v>96806.77111185393</v>
      </c>
      <c r="AH57" s="307">
        <f t="shared" si="49"/>
        <v>93533.112185366132</v>
      </c>
      <c r="AI57" s="307">
        <f t="shared" si="49"/>
        <v>90370.156700836858</v>
      </c>
      <c r="AJ57" s="307">
        <f t="shared" si="49"/>
        <v>87314.161063610503</v>
      </c>
      <c r="AK57" s="307">
        <f t="shared" si="49"/>
        <v>84361.508274019812</v>
      </c>
      <c r="AL57" s="307">
        <f t="shared" ref="AL57:AP57" si="50">IFERROR((AL18)/AL135,0)</f>
        <v>81508.703646395952</v>
      </c>
      <c r="AM57" s="307">
        <f t="shared" si="50"/>
        <v>78752.370672846344</v>
      </c>
      <c r="AN57" s="307">
        <f t="shared" si="50"/>
        <v>76089.24702690469</v>
      </c>
      <c r="AO57" s="307">
        <f t="shared" si="50"/>
        <v>73516.18070232337</v>
      </c>
      <c r="AP57" s="307">
        <f t="shared" si="50"/>
        <v>71030.126282438054</v>
      </c>
      <c r="AQ57" s="308">
        <f t="shared" si="26"/>
        <v>1034507.7976800413</v>
      </c>
    </row>
    <row r="58" spans="3:43" x14ac:dyDescent="0.3">
      <c r="C58" s="1153"/>
      <c r="D58" s="294"/>
      <c r="E58" s="306">
        <f t="shared" si="20"/>
        <v>2041</v>
      </c>
      <c r="F58" s="306"/>
      <c r="G58" s="307">
        <f t="shared" si="21"/>
        <v>3193681.8199999994</v>
      </c>
      <c r="H58" s="307">
        <f t="shared" ref="H58:AK58" si="51">IFERROR((H19)/H136,0)</f>
        <v>0</v>
      </c>
      <c r="I58" s="307">
        <f t="shared" si="51"/>
        <v>0</v>
      </c>
      <c r="J58" s="307">
        <f t="shared" si="51"/>
        <v>0</v>
      </c>
      <c r="K58" s="307">
        <f t="shared" si="51"/>
        <v>0</v>
      </c>
      <c r="L58" s="307">
        <f t="shared" si="51"/>
        <v>0</v>
      </c>
      <c r="M58" s="307">
        <f t="shared" si="51"/>
        <v>0</v>
      </c>
      <c r="N58" s="307">
        <f t="shared" si="51"/>
        <v>0</v>
      </c>
      <c r="O58" s="307">
        <f t="shared" si="51"/>
        <v>0</v>
      </c>
      <c r="P58" s="307">
        <f t="shared" si="51"/>
        <v>0</v>
      </c>
      <c r="Q58" s="307">
        <f t="shared" si="51"/>
        <v>0</v>
      </c>
      <c r="R58" s="307">
        <f t="shared" si="51"/>
        <v>0</v>
      </c>
      <c r="S58" s="307">
        <f t="shared" si="51"/>
        <v>0</v>
      </c>
      <c r="T58" s="307">
        <f t="shared" si="51"/>
        <v>0</v>
      </c>
      <c r="U58" s="307">
        <f t="shared" si="51"/>
        <v>0</v>
      </c>
      <c r="V58" s="307">
        <f t="shared" si="51"/>
        <v>146937.28180354266</v>
      </c>
      <c r="W58" s="307">
        <f t="shared" si="51"/>
        <v>141968.38821598326</v>
      </c>
      <c r="X58" s="307">
        <f t="shared" si="51"/>
        <v>137167.52484636064</v>
      </c>
      <c r="Y58" s="307">
        <f t="shared" si="51"/>
        <v>132529.00951339194</v>
      </c>
      <c r="Z58" s="307">
        <f t="shared" si="51"/>
        <v>128047.35218685213</v>
      </c>
      <c r="AA58" s="307">
        <f t="shared" si="51"/>
        <v>123717.24848971222</v>
      </c>
      <c r="AB58" s="307">
        <f t="shared" si="51"/>
        <v>119533.57342001182</v>
      </c>
      <c r="AC58" s="307">
        <f t="shared" si="51"/>
        <v>115491.37528503557</v>
      </c>
      <c r="AD58" s="307">
        <f t="shared" si="51"/>
        <v>111585.86984061409</v>
      </c>
      <c r="AE58" s="307">
        <f t="shared" si="51"/>
        <v>107812.43462861265</v>
      </c>
      <c r="AF58" s="307">
        <f t="shared" si="51"/>
        <v>104166.60350590596</v>
      </c>
      <c r="AG58" s="307">
        <f t="shared" si="51"/>
        <v>100644.06135836325</v>
      </c>
      <c r="AH58" s="307">
        <f t="shared" si="51"/>
        <v>97240.638993587694</v>
      </c>
      <c r="AI58" s="307">
        <f t="shared" si="51"/>
        <v>93952.308206364934</v>
      </c>
      <c r="AJ58" s="307">
        <f t="shared" si="51"/>
        <v>90775.177010980624</v>
      </c>
      <c r="AK58" s="307">
        <f t="shared" si="51"/>
        <v>87705.4850347639</v>
      </c>
      <c r="AL58" s="307">
        <f t="shared" ref="AL58:AP58" si="52">IFERROR((AL19)/AL136,0)</f>
        <v>84739.599067404735</v>
      </c>
      <c r="AM58" s="307">
        <f t="shared" si="52"/>
        <v>81874.00876077752</v>
      </c>
      <c r="AN58" s="307">
        <f t="shared" si="52"/>
        <v>79105.322474181186</v>
      </c>
      <c r="AO58" s="307">
        <f t="shared" si="52"/>
        <v>76430.263260078456</v>
      </c>
      <c r="AP58" s="307">
        <f t="shared" si="52"/>
        <v>73845.664985583047</v>
      </c>
      <c r="AQ58" s="308">
        <f t="shared" si="26"/>
        <v>958412.62911189115</v>
      </c>
    </row>
    <row r="59" spans="3:43" x14ac:dyDescent="0.3">
      <c r="C59" s="1153"/>
      <c r="D59" s="294"/>
      <c r="E59" s="306">
        <f t="shared" si="20"/>
        <v>2042</v>
      </c>
      <c r="F59" s="306"/>
      <c r="G59" s="307">
        <f t="shared" si="21"/>
        <v>3056529.8399999994</v>
      </c>
      <c r="H59" s="307">
        <f t="shared" ref="H59:AK59" si="53">IFERROR((H20)/H137,0)</f>
        <v>0</v>
      </c>
      <c r="I59" s="307">
        <f t="shared" si="53"/>
        <v>0</v>
      </c>
      <c r="J59" s="307">
        <f t="shared" si="53"/>
        <v>0</v>
      </c>
      <c r="K59" s="307">
        <f t="shared" si="53"/>
        <v>0</v>
      </c>
      <c r="L59" s="307">
        <f t="shared" si="53"/>
        <v>0</v>
      </c>
      <c r="M59" s="307">
        <f t="shared" si="53"/>
        <v>0</v>
      </c>
      <c r="N59" s="307">
        <f t="shared" si="53"/>
        <v>0</v>
      </c>
      <c r="O59" s="307">
        <f t="shared" si="53"/>
        <v>0</v>
      </c>
      <c r="P59" s="307">
        <f t="shared" si="53"/>
        <v>0</v>
      </c>
      <c r="Q59" s="307">
        <f t="shared" si="53"/>
        <v>0</v>
      </c>
      <c r="R59" s="307">
        <f t="shared" si="53"/>
        <v>0</v>
      </c>
      <c r="S59" s="307">
        <f t="shared" si="53"/>
        <v>0</v>
      </c>
      <c r="T59" s="307">
        <f t="shared" si="53"/>
        <v>0</v>
      </c>
      <c r="U59" s="307">
        <f t="shared" si="53"/>
        <v>0</v>
      </c>
      <c r="V59" s="307">
        <f t="shared" si="53"/>
        <v>0</v>
      </c>
      <c r="W59" s="307">
        <f t="shared" si="53"/>
        <v>147658.44637681157</v>
      </c>
      <c r="X59" s="307">
        <f t="shared" si="53"/>
        <v>142665.16558146046</v>
      </c>
      <c r="Y59" s="307">
        <f t="shared" si="53"/>
        <v>137840.73969223234</v>
      </c>
      <c r="Z59" s="307">
        <f t="shared" si="53"/>
        <v>133179.45863983803</v>
      </c>
      <c r="AA59" s="307">
        <f t="shared" si="53"/>
        <v>128675.80544911888</v>
      </c>
      <c r="AB59" s="307">
        <f t="shared" si="53"/>
        <v>124324.44970929362</v>
      </c>
      <c r="AC59" s="307">
        <f t="shared" si="53"/>
        <v>120120.241265018</v>
      </c>
      <c r="AD59" s="307">
        <f t="shared" si="53"/>
        <v>116058.20412079034</v>
      </c>
      <c r="AE59" s="307">
        <f t="shared" si="53"/>
        <v>112133.53055148826</v>
      </c>
      <c r="AF59" s="307">
        <f t="shared" si="53"/>
        <v>108341.57541206597</v>
      </c>
      <c r="AG59" s="307">
        <f t="shared" si="53"/>
        <v>104677.85063967727</v>
      </c>
      <c r="AH59" s="307">
        <f t="shared" si="53"/>
        <v>101138.01994171718</v>
      </c>
      <c r="AI59" s="307">
        <f t="shared" si="53"/>
        <v>97717.893663494862</v>
      </c>
      <c r="AJ59" s="307">
        <f t="shared" si="53"/>
        <v>94413.42382946366</v>
      </c>
      <c r="AK59" s="307">
        <f t="shared" si="53"/>
        <v>91220.699352138807</v>
      </c>
      <c r="AL59" s="307">
        <f t="shared" ref="AL59:AP59" si="54">IFERROR((AL20)/AL137,0)</f>
        <v>88135.941403032673</v>
      </c>
      <c r="AM59" s="307">
        <f t="shared" si="54"/>
        <v>85155.498940128193</v>
      </c>
      <c r="AN59" s="307">
        <f t="shared" si="54"/>
        <v>82275.844386597295</v>
      </c>
      <c r="AO59" s="307">
        <f t="shared" si="54"/>
        <v>79493.569455649558</v>
      </c>
      <c r="AP59" s="307">
        <f t="shared" si="54"/>
        <v>76805.381116569639</v>
      </c>
      <c r="AQ59" s="308">
        <f t="shared" si="26"/>
        <v>884498.10047341278</v>
      </c>
    </row>
    <row r="60" spans="3:43" x14ac:dyDescent="0.3">
      <c r="C60" s="1153"/>
      <c r="D60" s="294"/>
      <c r="E60" s="306">
        <f t="shared" si="20"/>
        <v>2043</v>
      </c>
      <c r="F60" s="306"/>
      <c r="G60" s="307">
        <f t="shared" si="21"/>
        <v>2919377.86</v>
      </c>
      <c r="H60" s="307">
        <f t="shared" ref="H60:AK60" si="55">IFERROR((H21)/H138,0)</f>
        <v>0</v>
      </c>
      <c r="I60" s="307">
        <f t="shared" si="55"/>
        <v>0</v>
      </c>
      <c r="J60" s="307">
        <f t="shared" si="55"/>
        <v>0</v>
      </c>
      <c r="K60" s="307">
        <f t="shared" si="55"/>
        <v>0</v>
      </c>
      <c r="L60" s="307">
        <f t="shared" si="55"/>
        <v>0</v>
      </c>
      <c r="M60" s="307">
        <f t="shared" si="55"/>
        <v>0</v>
      </c>
      <c r="N60" s="307">
        <f t="shared" si="55"/>
        <v>0</v>
      </c>
      <c r="O60" s="307">
        <f t="shared" si="55"/>
        <v>0</v>
      </c>
      <c r="P60" s="307">
        <f t="shared" si="55"/>
        <v>0</v>
      </c>
      <c r="Q60" s="307">
        <f t="shared" si="55"/>
        <v>0</v>
      </c>
      <c r="R60" s="307">
        <f t="shared" si="55"/>
        <v>0</v>
      </c>
      <c r="S60" s="307">
        <f t="shared" si="55"/>
        <v>0</v>
      </c>
      <c r="T60" s="307">
        <f t="shared" si="55"/>
        <v>0</v>
      </c>
      <c r="U60" s="307">
        <f t="shared" si="55"/>
        <v>0</v>
      </c>
      <c r="V60" s="307">
        <f t="shared" si="55"/>
        <v>0</v>
      </c>
      <c r="W60" s="307">
        <f t="shared" si="55"/>
        <v>0</v>
      </c>
      <c r="X60" s="307">
        <f t="shared" si="55"/>
        <v>148455.52301042463</v>
      </c>
      <c r="Y60" s="307">
        <f t="shared" si="55"/>
        <v>143435.28793277743</v>
      </c>
      <c r="Z60" s="307">
        <f t="shared" si="55"/>
        <v>138584.81925872216</v>
      </c>
      <c r="AA60" s="307">
        <f t="shared" si="55"/>
        <v>133898.37609538372</v>
      </c>
      <c r="AB60" s="307">
        <f t="shared" si="55"/>
        <v>129370.41168636111</v>
      </c>
      <c r="AC60" s="307">
        <f t="shared" si="55"/>
        <v>124995.56684672573</v>
      </c>
      <c r="AD60" s="307">
        <f t="shared" si="55"/>
        <v>120768.66362002486</v>
      </c>
      <c r="AE60" s="307">
        <f t="shared" si="55"/>
        <v>116684.69914978248</v>
      </c>
      <c r="AF60" s="307">
        <f t="shared" si="55"/>
        <v>112738.83975824396</v>
      </c>
      <c r="AG60" s="307">
        <f t="shared" si="55"/>
        <v>108926.41522535648</v>
      </c>
      <c r="AH60" s="307">
        <f t="shared" si="55"/>
        <v>105242.91326121401</v>
      </c>
      <c r="AI60" s="307">
        <f t="shared" si="55"/>
        <v>101683.97416542417</v>
      </c>
      <c r="AJ60" s="307">
        <f t="shared" si="55"/>
        <v>98245.385667076509</v>
      </c>
      <c r="AK60" s="307">
        <f t="shared" si="55"/>
        <v>94923.077939204362</v>
      </c>
      <c r="AL60" s="307">
        <f t="shared" ref="AL60:AP60" si="56">IFERROR((AL21)/AL138,0)</f>
        <v>91713.118781839978</v>
      </c>
      <c r="AM60" s="307">
        <f t="shared" si="56"/>
        <v>88611.708967961342</v>
      </c>
      <c r="AN60" s="307">
        <f t="shared" si="56"/>
        <v>85615.177746822548</v>
      </c>
      <c r="AO60" s="307">
        <f t="shared" si="56"/>
        <v>82719.978499345467</v>
      </c>
      <c r="AP60" s="307">
        <f t="shared" si="56"/>
        <v>79922.684540430404</v>
      </c>
      <c r="AQ60" s="308">
        <f t="shared" si="26"/>
        <v>812841.23784687789</v>
      </c>
    </row>
    <row r="61" spans="3:43" x14ac:dyDescent="0.3">
      <c r="C61" s="1153"/>
      <c r="D61" s="294"/>
      <c r="E61" s="306">
        <f t="shared" si="20"/>
        <v>2044</v>
      </c>
      <c r="F61" s="306"/>
      <c r="G61" s="307">
        <f t="shared" si="21"/>
        <v>2792022.4499999993</v>
      </c>
      <c r="H61" s="307">
        <f t="shared" ref="H61:AK61" si="57">IFERROR((H22)/H139,0)</f>
        <v>0</v>
      </c>
      <c r="I61" s="307">
        <f t="shared" si="57"/>
        <v>0</v>
      </c>
      <c r="J61" s="307">
        <f t="shared" si="57"/>
        <v>0</v>
      </c>
      <c r="K61" s="307">
        <f t="shared" si="57"/>
        <v>0</v>
      </c>
      <c r="L61" s="307">
        <f t="shared" si="57"/>
        <v>0</v>
      </c>
      <c r="M61" s="307">
        <f t="shared" si="57"/>
        <v>0</v>
      </c>
      <c r="N61" s="307">
        <f t="shared" si="57"/>
        <v>0</v>
      </c>
      <c r="O61" s="307">
        <f t="shared" si="57"/>
        <v>0</v>
      </c>
      <c r="P61" s="307">
        <f t="shared" si="57"/>
        <v>0</v>
      </c>
      <c r="Q61" s="307">
        <f t="shared" si="57"/>
        <v>0</v>
      </c>
      <c r="R61" s="307">
        <f t="shared" si="57"/>
        <v>0</v>
      </c>
      <c r="S61" s="307">
        <f t="shared" si="57"/>
        <v>0</v>
      </c>
      <c r="T61" s="307">
        <f t="shared" si="57"/>
        <v>0</v>
      </c>
      <c r="U61" s="307">
        <f t="shared" si="57"/>
        <v>0</v>
      </c>
      <c r="V61" s="307">
        <f t="shared" si="57"/>
        <v>0</v>
      </c>
      <c r="W61" s="307">
        <f t="shared" si="57"/>
        <v>0</v>
      </c>
      <c r="X61" s="307">
        <f t="shared" si="57"/>
        <v>0</v>
      </c>
      <c r="Y61" s="307">
        <f t="shared" si="57"/>
        <v>149867.01288244763</v>
      </c>
      <c r="Z61" s="307">
        <f t="shared" si="57"/>
        <v>144799.04626323443</v>
      </c>
      <c r="AA61" s="307">
        <f t="shared" si="57"/>
        <v>139902.46015771443</v>
      </c>
      <c r="AB61" s="307">
        <f t="shared" si="57"/>
        <v>135171.45908957918</v>
      </c>
      <c r="AC61" s="307">
        <f t="shared" si="57"/>
        <v>130600.44356481082</v>
      </c>
      <c r="AD61" s="307">
        <f t="shared" si="57"/>
        <v>126184.00344426167</v>
      </c>
      <c r="AE61" s="307">
        <f t="shared" si="57"/>
        <v>121916.91154034945</v>
      </c>
      <c r="AF61" s="307">
        <f t="shared" si="57"/>
        <v>117794.11743028932</v>
      </c>
      <c r="AG61" s="307">
        <f t="shared" si="57"/>
        <v>113810.74147854043</v>
      </c>
      <c r="AH61" s="307">
        <f t="shared" si="57"/>
        <v>109962.06906139172</v>
      </c>
      <c r="AI61" s="307">
        <f t="shared" si="57"/>
        <v>106243.54498685192</v>
      </c>
      <c r="AJ61" s="307">
        <f t="shared" si="57"/>
        <v>102650.76810323857</v>
      </c>
      <c r="AK61" s="307">
        <f t="shared" si="57"/>
        <v>99179.486090085586</v>
      </c>
      <c r="AL61" s="307">
        <f t="shared" ref="AL61:AP61" si="58">IFERROR((AL22)/AL139,0)</f>
        <v>95825.590425203482</v>
      </c>
      <c r="AM61" s="307">
        <f t="shared" si="58"/>
        <v>92585.111521935745</v>
      </c>
      <c r="AN61" s="307">
        <f t="shared" si="58"/>
        <v>89454.214030855801</v>
      </c>
      <c r="AO61" s="307">
        <f t="shared" si="58"/>
        <v>86429.19230034377</v>
      </c>
      <c r="AP61" s="307">
        <f t="shared" si="58"/>
        <v>83506.465990670316</v>
      </c>
      <c r="AQ61" s="308">
        <f t="shared" si="26"/>
        <v>746139.81163819483</v>
      </c>
    </row>
    <row r="62" spans="3:43" x14ac:dyDescent="0.3">
      <c r="C62" s="1153"/>
      <c r="D62" s="294"/>
      <c r="E62" s="306">
        <f t="shared" si="20"/>
        <v>2045</v>
      </c>
      <c r="F62" s="306"/>
      <c r="G62" s="307">
        <f t="shared" si="21"/>
        <v>2673183.1799999997</v>
      </c>
      <c r="H62" s="307">
        <f t="shared" ref="H62:AK62" si="59">IFERROR((H23)/H140,0)</f>
        <v>0</v>
      </c>
      <c r="I62" s="307">
        <f t="shared" si="59"/>
        <v>0</v>
      </c>
      <c r="J62" s="307">
        <f t="shared" si="59"/>
        <v>0</v>
      </c>
      <c r="K62" s="307">
        <f t="shared" si="59"/>
        <v>0</v>
      </c>
      <c r="L62" s="307">
        <f t="shared" si="59"/>
        <v>0</v>
      </c>
      <c r="M62" s="307">
        <f t="shared" si="59"/>
        <v>0</v>
      </c>
      <c r="N62" s="307">
        <f t="shared" si="59"/>
        <v>0</v>
      </c>
      <c r="O62" s="307">
        <f t="shared" si="59"/>
        <v>0</v>
      </c>
      <c r="P62" s="307">
        <f t="shared" si="59"/>
        <v>0</v>
      </c>
      <c r="Q62" s="307">
        <f t="shared" si="59"/>
        <v>0</v>
      </c>
      <c r="R62" s="307">
        <f t="shared" si="59"/>
        <v>0</v>
      </c>
      <c r="S62" s="307">
        <f t="shared" si="59"/>
        <v>0</v>
      </c>
      <c r="T62" s="307">
        <f t="shared" si="59"/>
        <v>0</v>
      </c>
      <c r="U62" s="307">
        <f t="shared" si="59"/>
        <v>0</v>
      </c>
      <c r="V62" s="307">
        <f t="shared" si="59"/>
        <v>0</v>
      </c>
      <c r="W62" s="307">
        <f t="shared" si="59"/>
        <v>0</v>
      </c>
      <c r="X62" s="307">
        <f t="shared" si="59"/>
        <v>0</v>
      </c>
      <c r="Y62" s="307">
        <f t="shared" si="59"/>
        <v>0</v>
      </c>
      <c r="Z62" s="307">
        <f t="shared" si="59"/>
        <v>151928.5694799659</v>
      </c>
      <c r="AA62" s="307">
        <f t="shared" si="59"/>
        <v>146790.88838644046</v>
      </c>
      <c r="AB62" s="307">
        <f t="shared" si="59"/>
        <v>141826.9453009087</v>
      </c>
      <c r="AC62" s="307">
        <f t="shared" si="59"/>
        <v>137030.86502503254</v>
      </c>
      <c r="AD62" s="307">
        <f t="shared" si="59"/>
        <v>132396.97103867881</v>
      </c>
      <c r="AE62" s="307">
        <f t="shared" si="59"/>
        <v>127919.77878133221</v>
      </c>
      <c r="AF62" s="307">
        <f t="shared" si="59"/>
        <v>123593.98916070745</v>
      </c>
      <c r="AG62" s="307">
        <f t="shared" si="59"/>
        <v>119414.48228087676</v>
      </c>
      <c r="AH62" s="307">
        <f t="shared" si="59"/>
        <v>115376.31138248964</v>
      </c>
      <c r="AI62" s="307">
        <f t="shared" si="59"/>
        <v>111474.69698791271</v>
      </c>
      <c r="AJ62" s="307">
        <f t="shared" si="59"/>
        <v>107705.02124436012</v>
      </c>
      <c r="AK62" s="307">
        <f t="shared" si="59"/>
        <v>104062.82245831896</v>
      </c>
      <c r="AL62" s="307">
        <f t="shared" ref="AL62:AP62" si="60">IFERROR((AL23)/AL140,0)</f>
        <v>100543.78981480094</v>
      </c>
      <c r="AM62" s="307">
        <f t="shared" si="60"/>
        <v>97143.758275169996</v>
      </c>
      <c r="AN62" s="307">
        <f t="shared" si="60"/>
        <v>93858.703647507253</v>
      </c>
      <c r="AO62" s="307">
        <f t="shared" si="60"/>
        <v>90684.737823678515</v>
      </c>
      <c r="AP62" s="307">
        <f t="shared" si="60"/>
        <v>87618.104177467176</v>
      </c>
      <c r="AQ62" s="308">
        <f t="shared" si="26"/>
        <v>683812.74473435152</v>
      </c>
    </row>
    <row r="63" spans="3:43" x14ac:dyDescent="0.3">
      <c r="C63" s="1153"/>
      <c r="D63" s="294"/>
      <c r="E63" s="306">
        <f t="shared" si="20"/>
        <v>2046</v>
      </c>
      <c r="F63" s="306"/>
      <c r="G63" s="307">
        <f t="shared" si="21"/>
        <v>2547108.1999999993</v>
      </c>
      <c r="H63" s="307">
        <f t="shared" ref="H63:AK63" si="61">IFERROR((H24)/H141,0)</f>
        <v>0</v>
      </c>
      <c r="I63" s="307">
        <f t="shared" si="61"/>
        <v>0</v>
      </c>
      <c r="J63" s="307">
        <f t="shared" si="61"/>
        <v>0</v>
      </c>
      <c r="K63" s="307">
        <f t="shared" si="61"/>
        <v>0</v>
      </c>
      <c r="L63" s="307">
        <f t="shared" si="61"/>
        <v>0</v>
      </c>
      <c r="M63" s="307">
        <f t="shared" si="61"/>
        <v>0</v>
      </c>
      <c r="N63" s="307">
        <f t="shared" si="61"/>
        <v>0</v>
      </c>
      <c r="O63" s="307">
        <f t="shared" si="61"/>
        <v>0</v>
      </c>
      <c r="P63" s="307">
        <f t="shared" si="61"/>
        <v>0</v>
      </c>
      <c r="Q63" s="307">
        <f t="shared" si="61"/>
        <v>0</v>
      </c>
      <c r="R63" s="307">
        <f t="shared" si="61"/>
        <v>0</v>
      </c>
      <c r="S63" s="307">
        <f t="shared" si="61"/>
        <v>0</v>
      </c>
      <c r="T63" s="307">
        <f t="shared" si="61"/>
        <v>0</v>
      </c>
      <c r="U63" s="307">
        <f t="shared" si="61"/>
        <v>0</v>
      </c>
      <c r="V63" s="307">
        <f t="shared" si="61"/>
        <v>0</v>
      </c>
      <c r="W63" s="307">
        <f t="shared" si="61"/>
        <v>0</v>
      </c>
      <c r="X63" s="307">
        <f t="shared" si="61"/>
        <v>0</v>
      </c>
      <c r="Y63" s="307">
        <f t="shared" si="61"/>
        <v>0</v>
      </c>
      <c r="Z63" s="307">
        <f t="shared" si="61"/>
        <v>0</v>
      </c>
      <c r="AA63" s="307">
        <f t="shared" si="61"/>
        <v>153810.88164251205</v>
      </c>
      <c r="AB63" s="307">
        <f t="shared" si="61"/>
        <v>148609.54748068796</v>
      </c>
      <c r="AC63" s="307">
        <f t="shared" si="61"/>
        <v>143584.10384607536</v>
      </c>
      <c r="AD63" s="307">
        <f t="shared" si="61"/>
        <v>138728.60274983128</v>
      </c>
      <c r="AE63" s="307">
        <f t="shared" si="61"/>
        <v>134037.29734283217</v>
      </c>
      <c r="AF63" s="307">
        <f t="shared" si="61"/>
        <v>129504.63511384751</v>
      </c>
      <c r="AG63" s="307">
        <f t="shared" si="61"/>
        <v>125125.25131772707</v>
      </c>
      <c r="AH63" s="307">
        <f t="shared" si="61"/>
        <v>120893.96262582326</v>
      </c>
      <c r="AI63" s="307">
        <f t="shared" si="61"/>
        <v>116805.7609911336</v>
      </c>
      <c r="AJ63" s="307">
        <f t="shared" si="61"/>
        <v>112855.80772090204</v>
      </c>
      <c r="AK63" s="307">
        <f t="shared" si="61"/>
        <v>109039.42774966382</v>
      </c>
      <c r="AL63" s="307">
        <f t="shared" ref="AL63:AP63" si="62">IFERROR((AL24)/AL141,0)</f>
        <v>105352.10410595538</v>
      </c>
      <c r="AM63" s="307">
        <f t="shared" si="62"/>
        <v>101789.47256614048</v>
      </c>
      <c r="AN63" s="307">
        <f t="shared" si="62"/>
        <v>98347.316489024626</v>
      </c>
      <c r="AO63" s="307">
        <f t="shared" si="62"/>
        <v>95021.561825144585</v>
      </c>
      <c r="AP63" s="307">
        <f t="shared" si="62"/>
        <v>91808.272294825685</v>
      </c>
      <c r="AQ63" s="308">
        <f t="shared" si="26"/>
        <v>621794.1941378722</v>
      </c>
    </row>
    <row r="64" spans="3:43" x14ac:dyDescent="0.3">
      <c r="C64" s="1153"/>
      <c r="D64" s="294"/>
      <c r="E64" s="306">
        <f t="shared" si="20"/>
        <v>2047</v>
      </c>
      <c r="F64" s="306"/>
      <c r="G64" s="307">
        <f t="shared" si="21"/>
        <v>2429549.36</v>
      </c>
      <c r="H64" s="307">
        <f t="shared" ref="H64:AK64" si="63">IFERROR((H25)/H142,0)</f>
        <v>0</v>
      </c>
      <c r="I64" s="307">
        <f t="shared" si="63"/>
        <v>0</v>
      </c>
      <c r="J64" s="307">
        <f t="shared" si="63"/>
        <v>0</v>
      </c>
      <c r="K64" s="307">
        <f t="shared" si="63"/>
        <v>0</v>
      </c>
      <c r="L64" s="307">
        <f t="shared" si="63"/>
        <v>0</v>
      </c>
      <c r="M64" s="307">
        <f t="shared" si="63"/>
        <v>0</v>
      </c>
      <c r="N64" s="307">
        <f t="shared" si="63"/>
        <v>0</v>
      </c>
      <c r="O64" s="307">
        <f t="shared" si="63"/>
        <v>0</v>
      </c>
      <c r="P64" s="307">
        <f t="shared" si="63"/>
        <v>0</v>
      </c>
      <c r="Q64" s="307">
        <f t="shared" si="63"/>
        <v>0</v>
      </c>
      <c r="R64" s="307">
        <f t="shared" si="63"/>
        <v>0</v>
      </c>
      <c r="S64" s="307">
        <f t="shared" si="63"/>
        <v>0</v>
      </c>
      <c r="T64" s="307">
        <f t="shared" si="63"/>
        <v>0</v>
      </c>
      <c r="U64" s="307">
        <f t="shared" si="63"/>
        <v>0</v>
      </c>
      <c r="V64" s="307">
        <f t="shared" si="63"/>
        <v>0</v>
      </c>
      <c r="W64" s="307">
        <f t="shared" si="63"/>
        <v>0</v>
      </c>
      <c r="X64" s="307">
        <f t="shared" si="63"/>
        <v>0</v>
      </c>
      <c r="Y64" s="307">
        <f t="shared" si="63"/>
        <v>0</v>
      </c>
      <c r="Z64" s="307">
        <f t="shared" si="63"/>
        <v>0</v>
      </c>
      <c r="AA64" s="307">
        <f t="shared" si="63"/>
        <v>0</v>
      </c>
      <c r="AB64" s="307">
        <f t="shared" si="63"/>
        <v>156492.71239935589</v>
      </c>
      <c r="AC64" s="307">
        <f t="shared" si="63"/>
        <v>151200.68830855642</v>
      </c>
      <c r="AD64" s="307">
        <f t="shared" si="63"/>
        <v>146087.62155416081</v>
      </c>
      <c r="AE64" s="307">
        <f t="shared" si="63"/>
        <v>141147.46043880272</v>
      </c>
      <c r="AF64" s="307">
        <f t="shared" si="63"/>
        <v>136374.35791188671</v>
      </c>
      <c r="AG64" s="307">
        <f t="shared" si="63"/>
        <v>131762.6646491659</v>
      </c>
      <c r="AH64" s="307">
        <f t="shared" si="63"/>
        <v>127306.92236634389</v>
      </c>
      <c r="AI64" s="307">
        <f t="shared" si="63"/>
        <v>123001.85735878636</v>
      </c>
      <c r="AJ64" s="307">
        <f t="shared" si="63"/>
        <v>118842.37425969698</v>
      </c>
      <c r="AK64" s="307">
        <f t="shared" si="63"/>
        <v>114823.55000936908</v>
      </c>
      <c r="AL64" s="307">
        <f t="shared" ref="AL64:AP64" si="64">IFERROR((AL25)/AL142,0)</f>
        <v>110940.62802837593</v>
      </c>
      <c r="AM64" s="307">
        <f t="shared" si="64"/>
        <v>107189.01258780283</v>
      </c>
      <c r="AN64" s="307">
        <f t="shared" si="64"/>
        <v>103564.26336985783</v>
      </c>
      <c r="AO64" s="307">
        <f t="shared" si="64"/>
        <v>100062.09021242303</v>
      </c>
      <c r="AP64" s="307">
        <f t="shared" si="64"/>
        <v>96678.348031326619</v>
      </c>
      <c r="AQ64" s="308">
        <f t="shared" si="26"/>
        <v>564074.80851408863</v>
      </c>
    </row>
    <row r="65" spans="2:43" x14ac:dyDescent="0.3">
      <c r="C65" s="1153"/>
      <c r="D65" s="294"/>
      <c r="E65" s="306">
        <f t="shared" si="20"/>
        <v>2048</v>
      </c>
      <c r="F65" s="306"/>
      <c r="G65" s="307">
        <f t="shared" si="21"/>
        <v>2321787.09</v>
      </c>
      <c r="H65" s="307">
        <f t="shared" ref="H65:AK65" si="65">IFERROR((H26)/H143,0)</f>
        <v>0</v>
      </c>
      <c r="I65" s="307">
        <f t="shared" si="65"/>
        <v>0</v>
      </c>
      <c r="J65" s="307">
        <f t="shared" si="65"/>
        <v>0</v>
      </c>
      <c r="K65" s="307">
        <f t="shared" si="65"/>
        <v>0</v>
      </c>
      <c r="L65" s="307">
        <f t="shared" si="65"/>
        <v>0</v>
      </c>
      <c r="M65" s="307">
        <f t="shared" si="65"/>
        <v>0</v>
      </c>
      <c r="N65" s="307">
        <f t="shared" si="65"/>
        <v>0</v>
      </c>
      <c r="O65" s="307">
        <f t="shared" si="65"/>
        <v>0</v>
      </c>
      <c r="P65" s="307">
        <f t="shared" si="65"/>
        <v>0</v>
      </c>
      <c r="Q65" s="307">
        <f t="shared" si="65"/>
        <v>0</v>
      </c>
      <c r="R65" s="307">
        <f t="shared" si="65"/>
        <v>0</v>
      </c>
      <c r="S65" s="307">
        <f t="shared" si="65"/>
        <v>0</v>
      </c>
      <c r="T65" s="307">
        <f t="shared" si="65"/>
        <v>0</v>
      </c>
      <c r="U65" s="307">
        <f t="shared" si="65"/>
        <v>0</v>
      </c>
      <c r="V65" s="307">
        <f t="shared" si="65"/>
        <v>0</v>
      </c>
      <c r="W65" s="307">
        <f t="shared" si="65"/>
        <v>0</v>
      </c>
      <c r="X65" s="307">
        <f t="shared" si="65"/>
        <v>0</v>
      </c>
      <c r="Y65" s="307">
        <f t="shared" si="65"/>
        <v>0</v>
      </c>
      <c r="Z65" s="307">
        <f t="shared" si="65"/>
        <v>0</v>
      </c>
      <c r="AA65" s="307">
        <f t="shared" si="65"/>
        <v>0</v>
      </c>
      <c r="AB65" s="307">
        <f t="shared" si="65"/>
        <v>0</v>
      </c>
      <c r="AC65" s="307">
        <f t="shared" si="65"/>
        <v>160233.75362318842</v>
      </c>
      <c r="AD65" s="307">
        <f t="shared" si="65"/>
        <v>154815.22089196948</v>
      </c>
      <c r="AE65" s="307">
        <f t="shared" si="65"/>
        <v>149579.92356712031</v>
      </c>
      <c r="AF65" s="307">
        <f t="shared" si="65"/>
        <v>144521.66528224185</v>
      </c>
      <c r="AG65" s="307">
        <f t="shared" si="65"/>
        <v>139634.45920989552</v>
      </c>
      <c r="AH65" s="307">
        <f t="shared" si="65"/>
        <v>134912.52097574447</v>
      </c>
      <c r="AI65" s="307">
        <f t="shared" si="65"/>
        <v>130350.26181231352</v>
      </c>
      <c r="AJ65" s="307">
        <f t="shared" si="65"/>
        <v>125942.28194426426</v>
      </c>
      <c r="AK65" s="307">
        <f t="shared" si="65"/>
        <v>121683.3641973568</v>
      </c>
      <c r="AL65" s="307">
        <f t="shared" ref="AL65:AP65" si="66">IFERROR((AL26)/AL143,0)</f>
        <v>117568.46782353315</v>
      </c>
      <c r="AM65" s="307">
        <f t="shared" si="66"/>
        <v>113592.72253481465</v>
      </c>
      <c r="AN65" s="307">
        <f t="shared" si="66"/>
        <v>109751.42273895135</v>
      </c>
      <c r="AO65" s="307">
        <f t="shared" si="66"/>
        <v>106040.02197000131</v>
      </c>
      <c r="AP65" s="307">
        <f t="shared" si="66"/>
        <v>102454.12750724767</v>
      </c>
      <c r="AQ65" s="308">
        <f t="shared" si="26"/>
        <v>510706.87592135696</v>
      </c>
    </row>
    <row r="66" spans="2:43" x14ac:dyDescent="0.3">
      <c r="C66" s="1153"/>
      <c r="D66" s="294"/>
      <c r="E66" s="306">
        <f t="shared" si="20"/>
        <v>2049</v>
      </c>
      <c r="F66" s="306"/>
      <c r="G66" s="307">
        <f t="shared" si="21"/>
        <v>2222540.96</v>
      </c>
      <c r="H66" s="307">
        <f t="shared" ref="H66:AK66" si="67">IFERROR((H27)/H144,0)</f>
        <v>0</v>
      </c>
      <c r="I66" s="307">
        <f t="shared" si="67"/>
        <v>0</v>
      </c>
      <c r="J66" s="307">
        <f t="shared" si="67"/>
        <v>0</v>
      </c>
      <c r="K66" s="307">
        <f t="shared" si="67"/>
        <v>0</v>
      </c>
      <c r="L66" s="307">
        <f t="shared" si="67"/>
        <v>0</v>
      </c>
      <c r="M66" s="307">
        <f t="shared" si="67"/>
        <v>0</v>
      </c>
      <c r="N66" s="307">
        <f t="shared" si="67"/>
        <v>0</v>
      </c>
      <c r="O66" s="307">
        <f t="shared" si="67"/>
        <v>0</v>
      </c>
      <c r="P66" s="307">
        <f t="shared" si="67"/>
        <v>0</v>
      </c>
      <c r="Q66" s="307">
        <f t="shared" si="67"/>
        <v>0</v>
      </c>
      <c r="R66" s="307">
        <f t="shared" si="67"/>
        <v>0</v>
      </c>
      <c r="S66" s="307">
        <f t="shared" si="67"/>
        <v>0</v>
      </c>
      <c r="T66" s="307">
        <f t="shared" si="67"/>
        <v>0</v>
      </c>
      <c r="U66" s="307">
        <f t="shared" si="67"/>
        <v>0</v>
      </c>
      <c r="V66" s="307">
        <f t="shared" si="67"/>
        <v>0</v>
      </c>
      <c r="W66" s="307">
        <f t="shared" si="67"/>
        <v>0</v>
      </c>
      <c r="X66" s="307">
        <f t="shared" si="67"/>
        <v>0</v>
      </c>
      <c r="Y66" s="307">
        <f t="shared" si="67"/>
        <v>0</v>
      </c>
      <c r="Z66" s="307">
        <f t="shared" si="67"/>
        <v>0</v>
      </c>
      <c r="AA66" s="307">
        <f t="shared" si="67"/>
        <v>0</v>
      </c>
      <c r="AB66" s="307">
        <f t="shared" si="67"/>
        <v>0</v>
      </c>
      <c r="AC66" s="307">
        <f t="shared" si="67"/>
        <v>0</v>
      </c>
      <c r="AD66" s="307">
        <f t="shared" si="67"/>
        <v>165183.27461910073</v>
      </c>
      <c r="AE66" s="307">
        <f t="shared" si="67"/>
        <v>159597.36678173984</v>
      </c>
      <c r="AF66" s="307">
        <f t="shared" si="67"/>
        <v>154200.3543784926</v>
      </c>
      <c r="AG66" s="307">
        <f t="shared" si="67"/>
        <v>148985.84964105565</v>
      </c>
      <c r="AH66" s="307">
        <f t="shared" si="67"/>
        <v>143947.68081261418</v>
      </c>
      <c r="AI66" s="307">
        <f t="shared" si="67"/>
        <v>139079.88484310551</v>
      </c>
      <c r="AJ66" s="307">
        <f t="shared" si="67"/>
        <v>134376.70033150291</v>
      </c>
      <c r="AK66" s="307">
        <f t="shared" si="67"/>
        <v>129832.56070676612</v>
      </c>
      <c r="AL66" s="307">
        <f t="shared" ref="AL66:AP66" si="68">IFERROR((AL27)/AL144,0)</f>
        <v>125442.08763938757</v>
      </c>
      <c r="AM66" s="307">
        <f t="shared" si="68"/>
        <v>121200.08467573678</v>
      </c>
      <c r="AN66" s="307">
        <f t="shared" si="68"/>
        <v>117101.53108766841</v>
      </c>
      <c r="AO66" s="307">
        <f t="shared" si="68"/>
        <v>113141.57593011441</v>
      </c>
      <c r="AP66" s="307">
        <f t="shared" si="68"/>
        <v>109315.53229962746</v>
      </c>
      <c r="AQ66" s="308">
        <f t="shared" si="26"/>
        <v>461136.47625308787</v>
      </c>
    </row>
    <row r="67" spans="2:43" x14ac:dyDescent="0.3">
      <c r="C67" s="1153"/>
      <c r="D67" s="294"/>
      <c r="E67" s="306">
        <f t="shared" si="20"/>
        <v>2050</v>
      </c>
      <c r="F67" s="306"/>
      <c r="G67" s="307">
        <f t="shared" si="21"/>
        <v>2116059.12</v>
      </c>
      <c r="H67" s="307">
        <f t="shared" ref="H67:AK67" si="69">IFERROR((H28)/H145,0)</f>
        <v>0</v>
      </c>
      <c r="I67" s="307">
        <f t="shared" si="69"/>
        <v>0</v>
      </c>
      <c r="J67" s="307">
        <f t="shared" si="69"/>
        <v>0</v>
      </c>
      <c r="K67" s="307">
        <f t="shared" si="69"/>
        <v>0</v>
      </c>
      <c r="L67" s="307">
        <f t="shared" si="69"/>
        <v>0</v>
      </c>
      <c r="M67" s="307">
        <f t="shared" si="69"/>
        <v>0</v>
      </c>
      <c r="N67" s="307">
        <f t="shared" si="69"/>
        <v>0</v>
      </c>
      <c r="O67" s="307">
        <f t="shared" si="69"/>
        <v>0</v>
      </c>
      <c r="P67" s="307">
        <f t="shared" si="69"/>
        <v>0</v>
      </c>
      <c r="Q67" s="307">
        <f t="shared" si="69"/>
        <v>0</v>
      </c>
      <c r="R67" s="307">
        <f t="shared" si="69"/>
        <v>0</v>
      </c>
      <c r="S67" s="307">
        <f t="shared" si="69"/>
        <v>0</v>
      </c>
      <c r="T67" s="307">
        <f t="shared" si="69"/>
        <v>0</v>
      </c>
      <c r="U67" s="307">
        <f t="shared" si="69"/>
        <v>0</v>
      </c>
      <c r="V67" s="307">
        <f t="shared" si="69"/>
        <v>0</v>
      </c>
      <c r="W67" s="307">
        <f t="shared" si="69"/>
        <v>0</v>
      </c>
      <c r="X67" s="307">
        <f t="shared" si="69"/>
        <v>0</v>
      </c>
      <c r="Y67" s="307">
        <f t="shared" si="69"/>
        <v>0</v>
      </c>
      <c r="Z67" s="307">
        <f t="shared" si="69"/>
        <v>0</v>
      </c>
      <c r="AA67" s="307">
        <f t="shared" si="69"/>
        <v>0</v>
      </c>
      <c r="AB67" s="307">
        <f t="shared" si="69"/>
        <v>0</v>
      </c>
      <c r="AC67" s="307">
        <f t="shared" si="69"/>
        <v>0</v>
      </c>
      <c r="AD67" s="307">
        <f t="shared" si="69"/>
        <v>0</v>
      </c>
      <c r="AE67" s="307">
        <f t="shared" si="69"/>
        <v>170375.13043478262</v>
      </c>
      <c r="AF67" s="307">
        <f t="shared" si="69"/>
        <v>164613.65259399288</v>
      </c>
      <c r="AG67" s="307">
        <f t="shared" si="69"/>
        <v>159047.0073371912</v>
      </c>
      <c r="AH67" s="307">
        <f t="shared" si="69"/>
        <v>153668.60612289008</v>
      </c>
      <c r="AI67" s="307">
        <f t="shared" si="69"/>
        <v>148472.08321052181</v>
      </c>
      <c r="AJ67" s="307">
        <f t="shared" si="69"/>
        <v>143451.28812610806</v>
      </c>
      <c r="AK67" s="307">
        <f t="shared" si="69"/>
        <v>138600.27838271312</v>
      </c>
      <c r="AL67" s="307">
        <f t="shared" ref="AL67:AP67" si="70">IFERROR((AL28)/AL145,0)</f>
        <v>133913.31244706581</v>
      </c>
      <c r="AM67" s="307">
        <f t="shared" si="70"/>
        <v>129384.84294402496</v>
      </c>
      <c r="AN67" s="307">
        <f t="shared" si="70"/>
        <v>125009.51009084538</v>
      </c>
      <c r="AO67" s="307">
        <f t="shared" si="70"/>
        <v>120782.13535347382</v>
      </c>
      <c r="AP67" s="307">
        <f t="shared" si="70"/>
        <v>116697.715317366</v>
      </c>
      <c r="AQ67" s="308">
        <f t="shared" si="26"/>
        <v>412043.55763902445</v>
      </c>
    </row>
    <row r="68" spans="2:43" x14ac:dyDescent="0.3">
      <c r="C68" s="1153"/>
      <c r="D68" s="294"/>
      <c r="E68" s="306">
        <f t="shared" si="20"/>
        <v>2051</v>
      </c>
      <c r="F68" s="306"/>
      <c r="G68" s="307">
        <f t="shared" si="21"/>
        <v>2018093.4199999997</v>
      </c>
      <c r="H68" s="307">
        <f t="shared" ref="H68:AK68" si="71">IFERROR((H29)/H146,0)</f>
        <v>0</v>
      </c>
      <c r="I68" s="307">
        <f t="shared" si="71"/>
        <v>0</v>
      </c>
      <c r="J68" s="307">
        <f t="shared" si="71"/>
        <v>0</v>
      </c>
      <c r="K68" s="307">
        <f t="shared" si="71"/>
        <v>0</v>
      </c>
      <c r="L68" s="307">
        <f t="shared" si="71"/>
        <v>0</v>
      </c>
      <c r="M68" s="307">
        <f t="shared" si="71"/>
        <v>0</v>
      </c>
      <c r="N68" s="307">
        <f t="shared" si="71"/>
        <v>0</v>
      </c>
      <c r="O68" s="307">
        <f t="shared" si="71"/>
        <v>0</v>
      </c>
      <c r="P68" s="307">
        <f t="shared" si="71"/>
        <v>0</v>
      </c>
      <c r="Q68" s="307">
        <f t="shared" si="71"/>
        <v>0</v>
      </c>
      <c r="R68" s="307">
        <f t="shared" si="71"/>
        <v>0</v>
      </c>
      <c r="S68" s="307">
        <f t="shared" si="71"/>
        <v>0</v>
      </c>
      <c r="T68" s="307">
        <f t="shared" si="71"/>
        <v>0</v>
      </c>
      <c r="U68" s="307">
        <f t="shared" si="71"/>
        <v>0</v>
      </c>
      <c r="V68" s="307">
        <f t="shared" si="71"/>
        <v>0</v>
      </c>
      <c r="W68" s="307">
        <f t="shared" si="71"/>
        <v>0</v>
      </c>
      <c r="X68" s="307">
        <f t="shared" si="71"/>
        <v>0</v>
      </c>
      <c r="Y68" s="307">
        <f t="shared" si="71"/>
        <v>0</v>
      </c>
      <c r="Z68" s="307">
        <f t="shared" si="71"/>
        <v>0</v>
      </c>
      <c r="AA68" s="307">
        <f t="shared" si="71"/>
        <v>0</v>
      </c>
      <c r="AB68" s="307">
        <f t="shared" si="71"/>
        <v>0</v>
      </c>
      <c r="AC68" s="307">
        <f t="shared" si="71"/>
        <v>0</v>
      </c>
      <c r="AD68" s="307">
        <f t="shared" si="71"/>
        <v>0</v>
      </c>
      <c r="AE68" s="307">
        <f t="shared" si="71"/>
        <v>0</v>
      </c>
      <c r="AF68" s="307">
        <f t="shared" si="71"/>
        <v>177258.97408871321</v>
      </c>
      <c r="AG68" s="307">
        <f t="shared" si="71"/>
        <v>171264.7092644572</v>
      </c>
      <c r="AH68" s="307">
        <f t="shared" si="71"/>
        <v>165473.14904778477</v>
      </c>
      <c r="AI68" s="307">
        <f t="shared" si="71"/>
        <v>159877.43869351185</v>
      </c>
      <c r="AJ68" s="307">
        <f t="shared" si="71"/>
        <v>154470.95525943176</v>
      </c>
      <c r="AK68" s="307">
        <f t="shared" si="71"/>
        <v>149247.29976756693</v>
      </c>
      <c r="AL68" s="307">
        <f t="shared" ref="AL68:AP68" si="72">IFERROR((AL29)/AL146,0)</f>
        <v>144200.28963049946</v>
      </c>
      <c r="AM68" s="307">
        <f t="shared" si="72"/>
        <v>139323.9513338159</v>
      </c>
      <c r="AN68" s="307">
        <f t="shared" si="72"/>
        <v>134612.51336600573</v>
      </c>
      <c r="AO68" s="307">
        <f t="shared" si="72"/>
        <v>130060.39938744516</v>
      </c>
      <c r="AP68" s="307">
        <f t="shared" si="72"/>
        <v>125662.22163038181</v>
      </c>
      <c r="AQ68" s="308">
        <f t="shared" si="26"/>
        <v>366641.51853038603</v>
      </c>
    </row>
    <row r="69" spans="2:43" x14ac:dyDescent="0.3">
      <c r="C69" s="1153"/>
      <c r="D69" s="294"/>
      <c r="E69" s="306">
        <f t="shared" si="20"/>
        <v>2052</v>
      </c>
      <c r="F69" s="306"/>
      <c r="G69" s="307">
        <f t="shared" si="21"/>
        <v>1920127.7200000002</v>
      </c>
      <c r="H69" s="307">
        <f t="shared" ref="H69:AK69" si="73">IFERROR((H30)/H147,0)</f>
        <v>0</v>
      </c>
      <c r="I69" s="307">
        <f t="shared" si="73"/>
        <v>0</v>
      </c>
      <c r="J69" s="307">
        <f t="shared" si="73"/>
        <v>0</v>
      </c>
      <c r="K69" s="307">
        <f t="shared" si="73"/>
        <v>0</v>
      </c>
      <c r="L69" s="307">
        <f t="shared" si="73"/>
        <v>0</v>
      </c>
      <c r="M69" s="307">
        <f t="shared" si="73"/>
        <v>0</v>
      </c>
      <c r="N69" s="307">
        <f t="shared" si="73"/>
        <v>0</v>
      </c>
      <c r="O69" s="307">
        <f t="shared" si="73"/>
        <v>0</v>
      </c>
      <c r="P69" s="307">
        <f t="shared" si="73"/>
        <v>0</v>
      </c>
      <c r="Q69" s="307">
        <f t="shared" si="73"/>
        <v>0</v>
      </c>
      <c r="R69" s="307">
        <f t="shared" si="73"/>
        <v>0</v>
      </c>
      <c r="S69" s="307">
        <f t="shared" si="73"/>
        <v>0</v>
      </c>
      <c r="T69" s="307">
        <f t="shared" si="73"/>
        <v>0</v>
      </c>
      <c r="U69" s="307">
        <f t="shared" si="73"/>
        <v>0</v>
      </c>
      <c r="V69" s="307">
        <f t="shared" si="73"/>
        <v>0</v>
      </c>
      <c r="W69" s="307">
        <f t="shared" si="73"/>
        <v>0</v>
      </c>
      <c r="X69" s="307">
        <f t="shared" si="73"/>
        <v>0</v>
      </c>
      <c r="Y69" s="307">
        <f t="shared" si="73"/>
        <v>0</v>
      </c>
      <c r="Z69" s="307">
        <f t="shared" si="73"/>
        <v>0</v>
      </c>
      <c r="AA69" s="307">
        <f t="shared" si="73"/>
        <v>0</v>
      </c>
      <c r="AB69" s="307">
        <f t="shared" si="73"/>
        <v>0</v>
      </c>
      <c r="AC69" s="307">
        <f t="shared" si="73"/>
        <v>0</v>
      </c>
      <c r="AD69" s="307">
        <f t="shared" si="73"/>
        <v>0</v>
      </c>
      <c r="AE69" s="307">
        <f t="shared" si="73"/>
        <v>0</v>
      </c>
      <c r="AF69" s="307">
        <f t="shared" si="73"/>
        <v>0</v>
      </c>
      <c r="AG69" s="307">
        <f t="shared" si="73"/>
        <v>185519.58647342998</v>
      </c>
      <c r="AH69" s="307">
        <f t="shared" si="73"/>
        <v>179245.97726901449</v>
      </c>
      <c r="AI69" s="307">
        <f t="shared" si="73"/>
        <v>173184.51910049713</v>
      </c>
      <c r="AJ69" s="307">
        <f t="shared" si="73"/>
        <v>167328.03777825809</v>
      </c>
      <c r="AK69" s="307">
        <f t="shared" si="73"/>
        <v>161669.60171812377</v>
      </c>
      <c r="AL69" s="307">
        <f t="shared" ref="AL69:AP69" si="74">IFERROR((AL30)/AL147,0)</f>
        <v>156202.51373731767</v>
      </c>
      <c r="AM69" s="307">
        <f t="shared" si="74"/>
        <v>150920.30312784319</v>
      </c>
      <c r="AN69" s="307">
        <f t="shared" si="74"/>
        <v>145816.71799791613</v>
      </c>
      <c r="AO69" s="307">
        <f t="shared" si="74"/>
        <v>140885.71787238275</v>
      </c>
      <c r="AP69" s="307">
        <f t="shared" si="74"/>
        <v>136121.46654336498</v>
      </c>
      <c r="AQ69" s="308">
        <f t="shared" si="26"/>
        <v>323233.27838185197</v>
      </c>
    </row>
    <row r="70" spans="2:43" x14ac:dyDescent="0.3">
      <c r="C70" s="1153"/>
      <c r="D70" s="294"/>
      <c r="E70" s="306">
        <f t="shared" si="20"/>
        <v>2053</v>
      </c>
      <c r="F70" s="306"/>
      <c r="G70" s="307">
        <f t="shared" si="21"/>
        <v>1831958.5900000003</v>
      </c>
      <c r="H70" s="307">
        <f t="shared" ref="H70:AK70" si="75">IFERROR((H31)/H148,0)</f>
        <v>0</v>
      </c>
      <c r="I70" s="307">
        <f t="shared" si="75"/>
        <v>0</v>
      </c>
      <c r="J70" s="307">
        <f t="shared" si="75"/>
        <v>0</v>
      </c>
      <c r="K70" s="307">
        <f t="shared" si="75"/>
        <v>0</v>
      </c>
      <c r="L70" s="307">
        <f t="shared" si="75"/>
        <v>0</v>
      </c>
      <c r="M70" s="307">
        <f t="shared" si="75"/>
        <v>0</v>
      </c>
      <c r="N70" s="307">
        <f t="shared" si="75"/>
        <v>0</v>
      </c>
      <c r="O70" s="307">
        <f t="shared" si="75"/>
        <v>0</v>
      </c>
      <c r="P70" s="307">
        <f t="shared" si="75"/>
        <v>0</v>
      </c>
      <c r="Q70" s="307">
        <f t="shared" si="75"/>
        <v>0</v>
      </c>
      <c r="R70" s="307">
        <f t="shared" si="75"/>
        <v>0</v>
      </c>
      <c r="S70" s="307">
        <f t="shared" si="75"/>
        <v>0</v>
      </c>
      <c r="T70" s="307">
        <f t="shared" si="75"/>
        <v>0</v>
      </c>
      <c r="U70" s="307">
        <f t="shared" si="75"/>
        <v>0</v>
      </c>
      <c r="V70" s="307">
        <f t="shared" si="75"/>
        <v>0</v>
      </c>
      <c r="W70" s="307">
        <f t="shared" si="75"/>
        <v>0</v>
      </c>
      <c r="X70" s="307">
        <f t="shared" si="75"/>
        <v>0</v>
      </c>
      <c r="Y70" s="307">
        <f t="shared" si="75"/>
        <v>0</v>
      </c>
      <c r="Z70" s="307">
        <f t="shared" si="75"/>
        <v>0</v>
      </c>
      <c r="AA70" s="307">
        <f t="shared" si="75"/>
        <v>0</v>
      </c>
      <c r="AB70" s="307">
        <f t="shared" si="75"/>
        <v>0</v>
      </c>
      <c r="AC70" s="307">
        <f t="shared" si="75"/>
        <v>0</v>
      </c>
      <c r="AD70" s="307">
        <f t="shared" si="75"/>
        <v>0</v>
      </c>
      <c r="AE70" s="307">
        <f t="shared" si="75"/>
        <v>0</v>
      </c>
      <c r="AF70" s="307">
        <f t="shared" si="75"/>
        <v>0</v>
      </c>
      <c r="AG70" s="307">
        <f t="shared" si="75"/>
        <v>0</v>
      </c>
      <c r="AH70" s="307">
        <f t="shared" si="75"/>
        <v>196667.58883521208</v>
      </c>
      <c r="AI70" s="307">
        <f t="shared" si="75"/>
        <v>190016.99404368317</v>
      </c>
      <c r="AJ70" s="307">
        <f t="shared" si="75"/>
        <v>183591.29859293063</v>
      </c>
      <c r="AK70" s="307">
        <f t="shared" si="75"/>
        <v>177382.89719123731</v>
      </c>
      <c r="AL70" s="307">
        <f t="shared" ref="AL70:AP70" si="76">IFERROR((AL31)/AL148,0)</f>
        <v>171384.44173066411</v>
      </c>
      <c r="AM70" s="307">
        <f t="shared" si="76"/>
        <v>165588.83259001366</v>
      </c>
      <c r="AN70" s="307">
        <f t="shared" si="76"/>
        <v>159989.21023189725</v>
      </c>
      <c r="AO70" s="307">
        <f t="shared" si="76"/>
        <v>154578.94708395872</v>
      </c>
      <c r="AP70" s="307">
        <f t="shared" si="76"/>
        <v>149351.63969464612</v>
      </c>
      <c r="AQ70" s="308">
        <f t="shared" si="26"/>
        <v>283406.74000575719</v>
      </c>
    </row>
    <row r="71" spans="2:43" x14ac:dyDescent="0.3">
      <c r="C71" s="1153"/>
      <c r="D71" s="294"/>
      <c r="E71" s="306">
        <f t="shared" si="20"/>
        <v>2054</v>
      </c>
      <c r="F71" s="306"/>
      <c r="G71" s="307">
        <f t="shared" si="21"/>
        <v>1743789.4600000002</v>
      </c>
      <c r="H71" s="307">
        <f t="shared" ref="H71:AK71" si="77">IFERROR((H32)/H149,0)</f>
        <v>0</v>
      </c>
      <c r="I71" s="307">
        <f t="shared" si="77"/>
        <v>0</v>
      </c>
      <c r="J71" s="307">
        <f t="shared" si="77"/>
        <v>0</v>
      </c>
      <c r="K71" s="307">
        <f t="shared" si="77"/>
        <v>0</v>
      </c>
      <c r="L71" s="307">
        <f t="shared" si="77"/>
        <v>0</v>
      </c>
      <c r="M71" s="307">
        <f t="shared" si="77"/>
        <v>0</v>
      </c>
      <c r="N71" s="307">
        <f t="shared" si="77"/>
        <v>0</v>
      </c>
      <c r="O71" s="307">
        <f t="shared" si="77"/>
        <v>0</v>
      </c>
      <c r="P71" s="307">
        <f t="shared" si="77"/>
        <v>0</v>
      </c>
      <c r="Q71" s="307">
        <f t="shared" si="77"/>
        <v>0</v>
      </c>
      <c r="R71" s="307">
        <f t="shared" si="77"/>
        <v>0</v>
      </c>
      <c r="S71" s="307">
        <f t="shared" si="77"/>
        <v>0</v>
      </c>
      <c r="T71" s="307">
        <f t="shared" si="77"/>
        <v>0</v>
      </c>
      <c r="U71" s="307">
        <f t="shared" si="77"/>
        <v>0</v>
      </c>
      <c r="V71" s="307">
        <f t="shared" si="77"/>
        <v>0</v>
      </c>
      <c r="W71" s="307">
        <f t="shared" si="77"/>
        <v>0</v>
      </c>
      <c r="X71" s="307">
        <f t="shared" si="77"/>
        <v>0</v>
      </c>
      <c r="Y71" s="307">
        <f t="shared" si="77"/>
        <v>0</v>
      </c>
      <c r="Z71" s="307">
        <f t="shared" si="77"/>
        <v>0</v>
      </c>
      <c r="AA71" s="307">
        <f t="shared" si="77"/>
        <v>0</v>
      </c>
      <c r="AB71" s="307">
        <f t="shared" si="77"/>
        <v>0</v>
      </c>
      <c r="AC71" s="307">
        <f t="shared" si="77"/>
        <v>0</v>
      </c>
      <c r="AD71" s="307">
        <f t="shared" si="77"/>
        <v>0</v>
      </c>
      <c r="AE71" s="307">
        <f t="shared" si="77"/>
        <v>0</v>
      </c>
      <c r="AF71" s="307">
        <f t="shared" si="77"/>
        <v>0</v>
      </c>
      <c r="AG71" s="307">
        <f t="shared" si="77"/>
        <v>0</v>
      </c>
      <c r="AH71" s="307">
        <f t="shared" si="77"/>
        <v>0</v>
      </c>
      <c r="AI71" s="307">
        <f t="shared" si="77"/>
        <v>210602.59178743965</v>
      </c>
      <c r="AJ71" s="307">
        <f t="shared" si="77"/>
        <v>203480.76501201899</v>
      </c>
      <c r="AK71" s="307">
        <f t="shared" si="77"/>
        <v>196599.77295847249</v>
      </c>
      <c r="AL71" s="307">
        <f t="shared" ref="AL71:AP71" si="78">IFERROR((AL32)/AL149,0)</f>
        <v>189951.47145746133</v>
      </c>
      <c r="AM71" s="307">
        <f t="shared" si="78"/>
        <v>183527.99174633948</v>
      </c>
      <c r="AN71" s="307">
        <f t="shared" si="78"/>
        <v>177321.73115588358</v>
      </c>
      <c r="AO71" s="307">
        <f t="shared" si="78"/>
        <v>171325.34411196483</v>
      </c>
      <c r="AP71" s="307">
        <f t="shared" si="78"/>
        <v>165531.73344151193</v>
      </c>
      <c r="AQ71" s="308">
        <f t="shared" si="26"/>
        <v>245448.05832890794</v>
      </c>
    </row>
    <row r="72" spans="2:43" x14ac:dyDescent="0.3">
      <c r="C72" s="1153"/>
      <c r="D72" s="294"/>
      <c r="E72" s="306">
        <f t="shared" si="20"/>
        <v>2055</v>
      </c>
      <c r="F72" s="306"/>
      <c r="G72" s="307">
        <f t="shared" si="21"/>
        <v>1655620.3300000003</v>
      </c>
      <c r="H72" s="307">
        <f t="shared" ref="H72:AK72" si="79">IFERROR((H33)/H150,0)</f>
        <v>0</v>
      </c>
      <c r="I72" s="307">
        <f t="shared" si="79"/>
        <v>0</v>
      </c>
      <c r="J72" s="307">
        <f t="shared" si="79"/>
        <v>0</v>
      </c>
      <c r="K72" s="307">
        <f t="shared" si="79"/>
        <v>0</v>
      </c>
      <c r="L72" s="307">
        <f t="shared" si="79"/>
        <v>0</v>
      </c>
      <c r="M72" s="307">
        <f t="shared" si="79"/>
        <v>0</v>
      </c>
      <c r="N72" s="307">
        <f t="shared" si="79"/>
        <v>0</v>
      </c>
      <c r="O72" s="307">
        <f t="shared" si="79"/>
        <v>0</v>
      </c>
      <c r="P72" s="307">
        <f t="shared" si="79"/>
        <v>0</v>
      </c>
      <c r="Q72" s="307">
        <f t="shared" si="79"/>
        <v>0</v>
      </c>
      <c r="R72" s="307">
        <f t="shared" si="79"/>
        <v>0</v>
      </c>
      <c r="S72" s="307">
        <f t="shared" si="79"/>
        <v>0</v>
      </c>
      <c r="T72" s="307">
        <f t="shared" si="79"/>
        <v>0</v>
      </c>
      <c r="U72" s="307">
        <f t="shared" si="79"/>
        <v>0</v>
      </c>
      <c r="V72" s="307">
        <f t="shared" si="79"/>
        <v>0</v>
      </c>
      <c r="W72" s="307">
        <f t="shared" si="79"/>
        <v>0</v>
      </c>
      <c r="X72" s="307">
        <f t="shared" si="79"/>
        <v>0</v>
      </c>
      <c r="Y72" s="307">
        <f t="shared" si="79"/>
        <v>0</v>
      </c>
      <c r="Z72" s="307">
        <f t="shared" si="79"/>
        <v>0</v>
      </c>
      <c r="AA72" s="307">
        <f t="shared" si="79"/>
        <v>0</v>
      </c>
      <c r="AB72" s="307">
        <f t="shared" si="79"/>
        <v>0</v>
      </c>
      <c r="AC72" s="307">
        <f t="shared" si="79"/>
        <v>0</v>
      </c>
      <c r="AD72" s="307">
        <f t="shared" si="79"/>
        <v>0</v>
      </c>
      <c r="AE72" s="307">
        <f t="shared" si="79"/>
        <v>0</v>
      </c>
      <c r="AF72" s="307">
        <f t="shared" si="79"/>
        <v>0</v>
      </c>
      <c r="AG72" s="307">
        <f t="shared" si="79"/>
        <v>0</v>
      </c>
      <c r="AH72" s="307">
        <f t="shared" si="79"/>
        <v>0</v>
      </c>
      <c r="AI72" s="307">
        <f t="shared" si="79"/>
        <v>0</v>
      </c>
      <c r="AJ72" s="307">
        <f t="shared" si="79"/>
        <v>228519.02415458942</v>
      </c>
      <c r="AK72" s="307">
        <f t="shared" si="79"/>
        <v>220791.32768559366</v>
      </c>
      <c r="AL72" s="307">
        <f t="shared" ref="AL72:AP72" si="80">IFERROR((AL33)/AL150,0)</f>
        <v>213324.95428559775</v>
      </c>
      <c r="AM72" s="307">
        <f t="shared" si="80"/>
        <v>206111.06694260653</v>
      </c>
      <c r="AN72" s="307">
        <f t="shared" si="80"/>
        <v>199141.12748077928</v>
      </c>
      <c r="AO72" s="307">
        <f t="shared" si="80"/>
        <v>192406.88645485925</v>
      </c>
      <c r="AP72" s="307">
        <f t="shared" si="80"/>
        <v>185900.37338633745</v>
      </c>
      <c r="AQ72" s="308">
        <f t="shared" si="26"/>
        <v>209425.56960963691</v>
      </c>
    </row>
    <row r="73" spans="2:43" x14ac:dyDescent="0.3">
      <c r="C73" s="1153"/>
      <c r="D73" s="294"/>
      <c r="E73" s="306">
        <f t="shared" si="20"/>
        <v>2056</v>
      </c>
      <c r="F73" s="306"/>
      <c r="G73" s="307">
        <f t="shared" si="21"/>
        <v>1577247.77</v>
      </c>
      <c r="H73" s="307">
        <f t="shared" ref="H73:AK73" si="81">IFERROR((H34)/H151,0)</f>
        <v>0</v>
      </c>
      <c r="I73" s="307">
        <f t="shared" si="81"/>
        <v>0</v>
      </c>
      <c r="J73" s="307">
        <f t="shared" si="81"/>
        <v>0</v>
      </c>
      <c r="K73" s="307">
        <f t="shared" si="81"/>
        <v>0</v>
      </c>
      <c r="L73" s="307">
        <f t="shared" si="81"/>
        <v>0</v>
      </c>
      <c r="M73" s="307">
        <f t="shared" si="81"/>
        <v>0</v>
      </c>
      <c r="N73" s="307">
        <f t="shared" si="81"/>
        <v>0</v>
      </c>
      <c r="O73" s="307">
        <f t="shared" si="81"/>
        <v>0</v>
      </c>
      <c r="P73" s="307">
        <f t="shared" si="81"/>
        <v>0</v>
      </c>
      <c r="Q73" s="307">
        <f t="shared" si="81"/>
        <v>0</v>
      </c>
      <c r="R73" s="307">
        <f t="shared" si="81"/>
        <v>0</v>
      </c>
      <c r="S73" s="307">
        <f t="shared" si="81"/>
        <v>0</v>
      </c>
      <c r="T73" s="307">
        <f t="shared" si="81"/>
        <v>0</v>
      </c>
      <c r="U73" s="307">
        <f t="shared" si="81"/>
        <v>0</v>
      </c>
      <c r="V73" s="307">
        <f t="shared" si="81"/>
        <v>0</v>
      </c>
      <c r="W73" s="307">
        <f t="shared" si="81"/>
        <v>0</v>
      </c>
      <c r="X73" s="307">
        <f t="shared" si="81"/>
        <v>0</v>
      </c>
      <c r="Y73" s="307">
        <f t="shared" si="81"/>
        <v>0</v>
      </c>
      <c r="Z73" s="307">
        <f t="shared" si="81"/>
        <v>0</v>
      </c>
      <c r="AA73" s="307">
        <f t="shared" si="81"/>
        <v>0</v>
      </c>
      <c r="AB73" s="307">
        <f t="shared" si="81"/>
        <v>0</v>
      </c>
      <c r="AC73" s="307">
        <f t="shared" si="81"/>
        <v>0</v>
      </c>
      <c r="AD73" s="307">
        <f t="shared" si="81"/>
        <v>0</v>
      </c>
      <c r="AE73" s="307">
        <f t="shared" si="81"/>
        <v>0</v>
      </c>
      <c r="AF73" s="307">
        <f t="shared" si="81"/>
        <v>0</v>
      </c>
      <c r="AG73" s="307">
        <f t="shared" si="81"/>
        <v>0</v>
      </c>
      <c r="AH73" s="307">
        <f t="shared" si="81"/>
        <v>0</v>
      </c>
      <c r="AI73" s="307">
        <f t="shared" si="81"/>
        <v>0</v>
      </c>
      <c r="AJ73" s="307">
        <f t="shared" si="81"/>
        <v>0</v>
      </c>
      <c r="AK73" s="307">
        <f t="shared" si="81"/>
        <v>253985.14814814818</v>
      </c>
      <c r="AL73" s="307">
        <f t="shared" ref="AL73:AP73" si="82">IFERROR((AL34)/AL151,0)</f>
        <v>245396.27840400793</v>
      </c>
      <c r="AM73" s="307">
        <f t="shared" si="82"/>
        <v>237097.85353044246</v>
      </c>
      <c r="AN73" s="307">
        <f t="shared" si="82"/>
        <v>229080.05172023427</v>
      </c>
      <c r="AO73" s="307">
        <f t="shared" si="82"/>
        <v>221333.38330457421</v>
      </c>
      <c r="AP73" s="307">
        <f t="shared" si="82"/>
        <v>213848.67952132778</v>
      </c>
      <c r="AQ73" s="308">
        <f t="shared" si="26"/>
        <v>176506.37537126499</v>
      </c>
    </row>
    <row r="74" spans="2:43" x14ac:dyDescent="0.3">
      <c r="C74" s="1153"/>
      <c r="D74" s="294"/>
      <c r="E74" s="306">
        <f t="shared" ref="E74:E78" si="83">E35</f>
        <v>2057</v>
      </c>
      <c r="F74" s="306"/>
      <c r="G74" s="307">
        <f t="shared" ref="G74:G78" si="84">G35</f>
        <v>1507391.35</v>
      </c>
      <c r="H74" s="307">
        <f t="shared" ref="H74:AP74" si="85">IFERROR((H35)/H152,0)</f>
        <v>0</v>
      </c>
      <c r="I74" s="307">
        <f t="shared" si="85"/>
        <v>0</v>
      </c>
      <c r="J74" s="307">
        <f t="shared" si="85"/>
        <v>0</v>
      </c>
      <c r="K74" s="307">
        <f t="shared" si="85"/>
        <v>0</v>
      </c>
      <c r="L74" s="307">
        <f t="shared" si="85"/>
        <v>0</v>
      </c>
      <c r="M74" s="307">
        <f t="shared" si="85"/>
        <v>0</v>
      </c>
      <c r="N74" s="307">
        <f t="shared" si="85"/>
        <v>0</v>
      </c>
      <c r="O74" s="307">
        <f t="shared" si="85"/>
        <v>0</v>
      </c>
      <c r="P74" s="307">
        <f t="shared" si="85"/>
        <v>0</v>
      </c>
      <c r="Q74" s="307">
        <f t="shared" si="85"/>
        <v>0</v>
      </c>
      <c r="R74" s="307">
        <f t="shared" si="85"/>
        <v>0</v>
      </c>
      <c r="S74" s="307">
        <f t="shared" si="85"/>
        <v>0</v>
      </c>
      <c r="T74" s="307">
        <f t="shared" si="85"/>
        <v>0</v>
      </c>
      <c r="U74" s="307">
        <f t="shared" si="85"/>
        <v>0</v>
      </c>
      <c r="V74" s="307">
        <f t="shared" si="85"/>
        <v>0</v>
      </c>
      <c r="W74" s="307">
        <f t="shared" si="85"/>
        <v>0</v>
      </c>
      <c r="X74" s="307">
        <f t="shared" si="85"/>
        <v>0</v>
      </c>
      <c r="Y74" s="307">
        <f t="shared" si="85"/>
        <v>0</v>
      </c>
      <c r="Z74" s="307">
        <f t="shared" si="85"/>
        <v>0</v>
      </c>
      <c r="AA74" s="307">
        <f t="shared" si="85"/>
        <v>0</v>
      </c>
      <c r="AB74" s="307">
        <f t="shared" si="85"/>
        <v>0</v>
      </c>
      <c r="AC74" s="307">
        <f t="shared" si="85"/>
        <v>0</v>
      </c>
      <c r="AD74" s="307">
        <f t="shared" si="85"/>
        <v>0</v>
      </c>
      <c r="AE74" s="307">
        <f t="shared" si="85"/>
        <v>0</v>
      </c>
      <c r="AF74" s="307">
        <f t="shared" si="85"/>
        <v>0</v>
      </c>
      <c r="AG74" s="307">
        <f t="shared" si="85"/>
        <v>0</v>
      </c>
      <c r="AH74" s="307">
        <f t="shared" si="85"/>
        <v>0</v>
      </c>
      <c r="AI74" s="307">
        <f t="shared" si="85"/>
        <v>0</v>
      </c>
      <c r="AJ74" s="307">
        <f t="shared" si="85"/>
        <v>0</v>
      </c>
      <c r="AK74" s="307">
        <f t="shared" si="85"/>
        <v>0</v>
      </c>
      <c r="AL74" s="307">
        <f t="shared" si="85"/>
        <v>291283.3526570049</v>
      </c>
      <c r="AM74" s="307">
        <f t="shared" si="85"/>
        <v>281433.19097295159</v>
      </c>
      <c r="AN74" s="307">
        <f t="shared" si="85"/>
        <v>271916.12654391461</v>
      </c>
      <c r="AO74" s="307">
        <f t="shared" si="85"/>
        <v>262720.8952115117</v>
      </c>
      <c r="AP74" s="307">
        <f t="shared" si="85"/>
        <v>253836.61373092921</v>
      </c>
      <c r="AQ74" s="308">
        <f t="shared" si="26"/>
        <v>146201.17088368814</v>
      </c>
    </row>
    <row r="75" spans="2:43" x14ac:dyDescent="0.3">
      <c r="C75" s="1153"/>
      <c r="D75" s="294"/>
      <c r="E75" s="306">
        <f t="shared" si="83"/>
        <v>2058</v>
      </c>
      <c r="F75" s="306"/>
      <c r="G75" s="307">
        <f t="shared" si="84"/>
        <v>1430299.2200000002</v>
      </c>
      <c r="H75" s="307">
        <f t="shared" ref="H75:AP75" si="86">IFERROR((H36)/H153,0)</f>
        <v>0</v>
      </c>
      <c r="I75" s="307">
        <f t="shared" si="86"/>
        <v>0</v>
      </c>
      <c r="J75" s="307">
        <f t="shared" si="86"/>
        <v>0</v>
      </c>
      <c r="K75" s="307">
        <f t="shared" si="86"/>
        <v>0</v>
      </c>
      <c r="L75" s="307">
        <f t="shared" si="86"/>
        <v>0</v>
      </c>
      <c r="M75" s="307">
        <f t="shared" si="86"/>
        <v>0</v>
      </c>
      <c r="N75" s="307">
        <f t="shared" si="86"/>
        <v>0</v>
      </c>
      <c r="O75" s="307">
        <f t="shared" si="86"/>
        <v>0</v>
      </c>
      <c r="P75" s="307">
        <f t="shared" si="86"/>
        <v>0</v>
      </c>
      <c r="Q75" s="307">
        <f t="shared" si="86"/>
        <v>0</v>
      </c>
      <c r="R75" s="307">
        <f t="shared" si="86"/>
        <v>0</v>
      </c>
      <c r="S75" s="307">
        <f t="shared" si="86"/>
        <v>0</v>
      </c>
      <c r="T75" s="307">
        <f t="shared" si="86"/>
        <v>0</v>
      </c>
      <c r="U75" s="307">
        <f t="shared" si="86"/>
        <v>0</v>
      </c>
      <c r="V75" s="307">
        <f t="shared" si="86"/>
        <v>0</v>
      </c>
      <c r="W75" s="307">
        <f t="shared" si="86"/>
        <v>0</v>
      </c>
      <c r="X75" s="307">
        <f t="shared" si="86"/>
        <v>0</v>
      </c>
      <c r="Y75" s="307">
        <f t="shared" si="86"/>
        <v>0</v>
      </c>
      <c r="Z75" s="307">
        <f t="shared" si="86"/>
        <v>0</v>
      </c>
      <c r="AA75" s="307">
        <f t="shared" si="86"/>
        <v>0</v>
      </c>
      <c r="AB75" s="307">
        <f t="shared" si="86"/>
        <v>0</v>
      </c>
      <c r="AC75" s="307">
        <f t="shared" si="86"/>
        <v>0</v>
      </c>
      <c r="AD75" s="307">
        <f t="shared" si="86"/>
        <v>0</v>
      </c>
      <c r="AE75" s="307">
        <f t="shared" si="86"/>
        <v>0</v>
      </c>
      <c r="AF75" s="307">
        <f t="shared" si="86"/>
        <v>0</v>
      </c>
      <c r="AG75" s="307">
        <f t="shared" si="86"/>
        <v>0</v>
      </c>
      <c r="AH75" s="307">
        <f t="shared" si="86"/>
        <v>0</v>
      </c>
      <c r="AI75" s="307">
        <f t="shared" si="86"/>
        <v>0</v>
      </c>
      <c r="AJ75" s="307">
        <f t="shared" si="86"/>
        <v>0</v>
      </c>
      <c r="AK75" s="307">
        <f t="shared" si="86"/>
        <v>0</v>
      </c>
      <c r="AL75" s="307">
        <f t="shared" si="86"/>
        <v>0</v>
      </c>
      <c r="AM75" s="307">
        <f t="shared" si="86"/>
        <v>345482.90338164259</v>
      </c>
      <c r="AN75" s="307">
        <f t="shared" si="86"/>
        <v>333799.90664893005</v>
      </c>
      <c r="AO75" s="307">
        <f t="shared" si="86"/>
        <v>322511.98710041557</v>
      </c>
      <c r="AP75" s="307">
        <f t="shared" si="86"/>
        <v>311605.78463808267</v>
      </c>
      <c r="AQ75" s="308">
        <f t="shared" si="26"/>
        <v>116898.63823092938</v>
      </c>
    </row>
    <row r="76" spans="2:43" x14ac:dyDescent="0.3">
      <c r="C76" s="1153"/>
      <c r="D76" s="294"/>
      <c r="E76" s="306">
        <f t="shared" si="83"/>
        <v>2059</v>
      </c>
      <c r="F76" s="306"/>
      <c r="G76" s="307">
        <f t="shared" si="84"/>
        <v>1361723.23</v>
      </c>
      <c r="H76" s="307">
        <f t="shared" ref="H76:AP76" si="87">IFERROR((H37)/H154,0)</f>
        <v>0</v>
      </c>
      <c r="I76" s="307">
        <f t="shared" si="87"/>
        <v>0</v>
      </c>
      <c r="J76" s="307">
        <f t="shared" si="87"/>
        <v>0</v>
      </c>
      <c r="K76" s="307">
        <f t="shared" si="87"/>
        <v>0</v>
      </c>
      <c r="L76" s="307">
        <f t="shared" si="87"/>
        <v>0</v>
      </c>
      <c r="M76" s="307">
        <f t="shared" si="87"/>
        <v>0</v>
      </c>
      <c r="N76" s="307">
        <f t="shared" si="87"/>
        <v>0</v>
      </c>
      <c r="O76" s="307">
        <f t="shared" si="87"/>
        <v>0</v>
      </c>
      <c r="P76" s="307">
        <f t="shared" si="87"/>
        <v>0</v>
      </c>
      <c r="Q76" s="307">
        <f t="shared" si="87"/>
        <v>0</v>
      </c>
      <c r="R76" s="307">
        <f t="shared" si="87"/>
        <v>0</v>
      </c>
      <c r="S76" s="307">
        <f t="shared" si="87"/>
        <v>0</v>
      </c>
      <c r="T76" s="307">
        <f t="shared" si="87"/>
        <v>0</v>
      </c>
      <c r="U76" s="307">
        <f t="shared" si="87"/>
        <v>0</v>
      </c>
      <c r="V76" s="307">
        <f t="shared" si="87"/>
        <v>0</v>
      </c>
      <c r="W76" s="307">
        <f t="shared" si="87"/>
        <v>0</v>
      </c>
      <c r="X76" s="307">
        <f t="shared" si="87"/>
        <v>0</v>
      </c>
      <c r="Y76" s="307">
        <f t="shared" si="87"/>
        <v>0</v>
      </c>
      <c r="Z76" s="307">
        <f t="shared" si="87"/>
        <v>0</v>
      </c>
      <c r="AA76" s="307">
        <f t="shared" si="87"/>
        <v>0</v>
      </c>
      <c r="AB76" s="307">
        <f t="shared" si="87"/>
        <v>0</v>
      </c>
      <c r="AC76" s="307">
        <f t="shared" si="87"/>
        <v>0</v>
      </c>
      <c r="AD76" s="307">
        <f t="shared" si="87"/>
        <v>0</v>
      </c>
      <c r="AE76" s="307">
        <f t="shared" si="87"/>
        <v>0</v>
      </c>
      <c r="AF76" s="307">
        <f t="shared" si="87"/>
        <v>0</v>
      </c>
      <c r="AG76" s="307">
        <f t="shared" si="87"/>
        <v>0</v>
      </c>
      <c r="AH76" s="307">
        <f t="shared" si="87"/>
        <v>0</v>
      </c>
      <c r="AI76" s="307">
        <f t="shared" si="87"/>
        <v>0</v>
      </c>
      <c r="AJ76" s="307">
        <f t="shared" si="87"/>
        <v>0</v>
      </c>
      <c r="AK76" s="307">
        <f t="shared" si="87"/>
        <v>0</v>
      </c>
      <c r="AL76" s="307">
        <f t="shared" si="87"/>
        <v>0</v>
      </c>
      <c r="AM76" s="307">
        <f t="shared" si="87"/>
        <v>0</v>
      </c>
      <c r="AN76" s="307">
        <f t="shared" si="87"/>
        <v>438558.20611916267</v>
      </c>
      <c r="AO76" s="307">
        <f t="shared" si="87"/>
        <v>423727.73538083356</v>
      </c>
      <c r="AP76" s="307">
        <f t="shared" si="87"/>
        <v>409398.77814573294</v>
      </c>
      <c r="AQ76" s="308">
        <f t="shared" si="26"/>
        <v>90038.510354270693</v>
      </c>
    </row>
    <row r="77" spans="2:43" x14ac:dyDescent="0.3">
      <c r="C77" s="1153"/>
      <c r="D77" s="294"/>
      <c r="E77" s="306">
        <f t="shared" si="83"/>
        <v>2060</v>
      </c>
      <c r="F77" s="306"/>
      <c r="G77" s="307">
        <f t="shared" si="84"/>
        <v>1322536.9500000002</v>
      </c>
      <c r="H77" s="307">
        <f t="shared" ref="H77:AP77" si="88">IFERROR((H38)/H155,0)</f>
        <v>0</v>
      </c>
      <c r="I77" s="307">
        <f t="shared" si="88"/>
        <v>0</v>
      </c>
      <c r="J77" s="307">
        <f t="shared" si="88"/>
        <v>0</v>
      </c>
      <c r="K77" s="307">
        <f t="shared" si="88"/>
        <v>0</v>
      </c>
      <c r="L77" s="307">
        <f t="shared" si="88"/>
        <v>0</v>
      </c>
      <c r="M77" s="307">
        <f t="shared" si="88"/>
        <v>0</v>
      </c>
      <c r="N77" s="307">
        <f t="shared" si="88"/>
        <v>0</v>
      </c>
      <c r="O77" s="307">
        <f t="shared" si="88"/>
        <v>0</v>
      </c>
      <c r="P77" s="307">
        <f t="shared" si="88"/>
        <v>0</v>
      </c>
      <c r="Q77" s="307">
        <f t="shared" si="88"/>
        <v>0</v>
      </c>
      <c r="R77" s="307">
        <f t="shared" si="88"/>
        <v>0</v>
      </c>
      <c r="S77" s="307">
        <f t="shared" si="88"/>
        <v>0</v>
      </c>
      <c r="T77" s="307">
        <f t="shared" si="88"/>
        <v>0</v>
      </c>
      <c r="U77" s="307">
        <f t="shared" si="88"/>
        <v>0</v>
      </c>
      <c r="V77" s="307">
        <f t="shared" si="88"/>
        <v>0</v>
      </c>
      <c r="W77" s="307">
        <f t="shared" si="88"/>
        <v>0</v>
      </c>
      <c r="X77" s="307">
        <f t="shared" si="88"/>
        <v>0</v>
      </c>
      <c r="Y77" s="307">
        <f t="shared" si="88"/>
        <v>0</v>
      </c>
      <c r="Z77" s="307">
        <f t="shared" si="88"/>
        <v>0</v>
      </c>
      <c r="AA77" s="307">
        <f t="shared" si="88"/>
        <v>0</v>
      </c>
      <c r="AB77" s="307">
        <f t="shared" si="88"/>
        <v>0</v>
      </c>
      <c r="AC77" s="307">
        <f t="shared" si="88"/>
        <v>0</v>
      </c>
      <c r="AD77" s="307">
        <f t="shared" si="88"/>
        <v>0</v>
      </c>
      <c r="AE77" s="307">
        <f t="shared" si="88"/>
        <v>0</v>
      </c>
      <c r="AF77" s="307">
        <f t="shared" si="88"/>
        <v>0</v>
      </c>
      <c r="AG77" s="307">
        <f t="shared" si="88"/>
        <v>0</v>
      </c>
      <c r="AH77" s="307">
        <f t="shared" si="88"/>
        <v>0</v>
      </c>
      <c r="AI77" s="307">
        <f t="shared" si="88"/>
        <v>0</v>
      </c>
      <c r="AJ77" s="307">
        <f t="shared" si="88"/>
        <v>0</v>
      </c>
      <c r="AK77" s="307">
        <f t="shared" si="88"/>
        <v>0</v>
      </c>
      <c r="AL77" s="307">
        <f t="shared" si="88"/>
        <v>0</v>
      </c>
      <c r="AM77" s="307">
        <f t="shared" si="88"/>
        <v>0</v>
      </c>
      <c r="AN77" s="307">
        <f t="shared" si="88"/>
        <v>0</v>
      </c>
      <c r="AO77" s="307">
        <f t="shared" si="88"/>
        <v>638906.73913043493</v>
      </c>
      <c r="AP77" s="307">
        <f t="shared" si="88"/>
        <v>617301.19722747337</v>
      </c>
      <c r="AQ77" s="308">
        <f t="shared" si="26"/>
        <v>66329.01364209177</v>
      </c>
    </row>
    <row r="78" spans="2:43" x14ac:dyDescent="0.3">
      <c r="C78" s="1153"/>
      <c r="D78" s="294"/>
      <c r="E78" s="306">
        <f t="shared" si="83"/>
        <v>2061</v>
      </c>
      <c r="F78" s="306"/>
      <c r="G78" s="307">
        <f t="shared" si="84"/>
        <v>-1302943.81</v>
      </c>
      <c r="H78" s="307">
        <f t="shared" ref="H78:AP78" si="89">IFERROR((H39)/H156,0)</f>
        <v>0</v>
      </c>
      <c r="I78" s="307">
        <f t="shared" si="89"/>
        <v>0</v>
      </c>
      <c r="J78" s="307">
        <f t="shared" si="89"/>
        <v>0</v>
      </c>
      <c r="K78" s="307">
        <f t="shared" si="89"/>
        <v>0</v>
      </c>
      <c r="L78" s="307">
        <f t="shared" si="89"/>
        <v>0</v>
      </c>
      <c r="M78" s="307">
        <f t="shared" si="89"/>
        <v>0</v>
      </c>
      <c r="N78" s="307">
        <f t="shared" si="89"/>
        <v>0</v>
      </c>
      <c r="O78" s="307">
        <f t="shared" si="89"/>
        <v>0</v>
      </c>
      <c r="P78" s="307">
        <f t="shared" si="89"/>
        <v>0</v>
      </c>
      <c r="Q78" s="307">
        <f t="shared" si="89"/>
        <v>0</v>
      </c>
      <c r="R78" s="307">
        <f t="shared" si="89"/>
        <v>0</v>
      </c>
      <c r="S78" s="307">
        <f t="shared" si="89"/>
        <v>0</v>
      </c>
      <c r="T78" s="307">
        <f t="shared" si="89"/>
        <v>0</v>
      </c>
      <c r="U78" s="307">
        <f t="shared" si="89"/>
        <v>0</v>
      </c>
      <c r="V78" s="307">
        <f t="shared" si="89"/>
        <v>0</v>
      </c>
      <c r="W78" s="307">
        <f t="shared" si="89"/>
        <v>0</v>
      </c>
      <c r="X78" s="307">
        <f t="shared" si="89"/>
        <v>0</v>
      </c>
      <c r="Y78" s="307">
        <f t="shared" si="89"/>
        <v>0</v>
      </c>
      <c r="Z78" s="307">
        <f t="shared" si="89"/>
        <v>0</v>
      </c>
      <c r="AA78" s="307">
        <f t="shared" si="89"/>
        <v>0</v>
      </c>
      <c r="AB78" s="307">
        <f t="shared" si="89"/>
        <v>0</v>
      </c>
      <c r="AC78" s="307">
        <f t="shared" si="89"/>
        <v>0</v>
      </c>
      <c r="AD78" s="307">
        <f t="shared" si="89"/>
        <v>0</v>
      </c>
      <c r="AE78" s="307">
        <f t="shared" si="89"/>
        <v>0</v>
      </c>
      <c r="AF78" s="307">
        <f t="shared" si="89"/>
        <v>0</v>
      </c>
      <c r="AG78" s="307">
        <f t="shared" si="89"/>
        <v>0</v>
      </c>
      <c r="AH78" s="307">
        <f t="shared" si="89"/>
        <v>0</v>
      </c>
      <c r="AI78" s="307">
        <f t="shared" si="89"/>
        <v>0</v>
      </c>
      <c r="AJ78" s="307">
        <f t="shared" si="89"/>
        <v>0</v>
      </c>
      <c r="AK78" s="307">
        <f t="shared" si="89"/>
        <v>0</v>
      </c>
      <c r="AL78" s="307">
        <f t="shared" si="89"/>
        <v>0</v>
      </c>
      <c r="AM78" s="307">
        <f t="shared" si="89"/>
        <v>0</v>
      </c>
      <c r="AN78" s="307">
        <f t="shared" si="89"/>
        <v>0</v>
      </c>
      <c r="AO78" s="307">
        <f t="shared" si="89"/>
        <v>0</v>
      </c>
      <c r="AP78" s="307">
        <f t="shared" si="89"/>
        <v>-1258882.9082125605</v>
      </c>
      <c r="AQ78" s="308">
        <f t="shared" si="26"/>
        <v>-44060.901787439594</v>
      </c>
    </row>
    <row r="79" spans="2:43" ht="15" thickBot="1" x14ac:dyDescent="0.35">
      <c r="B79" s="291"/>
      <c r="C79" s="1154"/>
      <c r="D79" s="298"/>
      <c r="E79" s="309" t="s">
        <v>5</v>
      </c>
      <c r="F79" s="309"/>
      <c r="G79" s="304">
        <f>SUM(G44:G78)</f>
        <v>306007162.50999999</v>
      </c>
      <c r="H79" s="304">
        <f t="shared" ref="H79:AP79" si="90">SUM(H44:H78)</f>
        <v>149132.46492226014</v>
      </c>
      <c r="I79" s="304">
        <f t="shared" si="90"/>
        <v>1524326.7612307845</v>
      </c>
      <c r="J79" s="304">
        <f t="shared" si="90"/>
        <v>2775533.3663560683</v>
      </c>
      <c r="K79" s="304">
        <f t="shared" si="90"/>
        <v>4017517.7211169745</v>
      </c>
      <c r="L79" s="304">
        <f t="shared" si="90"/>
        <v>5282144.6618240997</v>
      </c>
      <c r="M79" s="304">
        <f t="shared" si="90"/>
        <v>5572261.6301037995</v>
      </c>
      <c r="N79" s="304">
        <f t="shared" si="90"/>
        <v>5869779.0522408867</v>
      </c>
      <c r="O79" s="304">
        <f t="shared" si="90"/>
        <v>5957443.4997496475</v>
      </c>
      <c r="P79" s="304">
        <f t="shared" si="90"/>
        <v>6049649.7088295063</v>
      </c>
      <c r="Q79" s="304">
        <f t="shared" si="90"/>
        <v>6146709.1538300691</v>
      </c>
      <c r="R79" s="304">
        <f t="shared" si="90"/>
        <v>6249261.7443768792</v>
      </c>
      <c r="S79" s="304">
        <f t="shared" si="90"/>
        <v>6357513.827900365</v>
      </c>
      <c r="T79" s="304">
        <f t="shared" si="90"/>
        <v>6288620.0542620653</v>
      </c>
      <c r="U79" s="304">
        <f t="shared" si="90"/>
        <v>6222243.0827301461</v>
      </c>
      <c r="V79" s="304">
        <f t="shared" si="90"/>
        <v>6158766.3472432978</v>
      </c>
      <c r="W79" s="304">
        <f t="shared" si="90"/>
        <v>6098157.3326022215</v>
      </c>
      <c r="X79" s="304">
        <f t="shared" si="90"/>
        <v>6040394.9748000083</v>
      </c>
      <c r="Y79" s="304">
        <f t="shared" si="90"/>
        <v>5985997.4233172415</v>
      </c>
      <c r="Z79" s="304">
        <f t="shared" si="90"/>
        <v>5935500.9591584606</v>
      </c>
      <c r="AA79" s="304">
        <f t="shared" si="90"/>
        <v>5888594.4170613149</v>
      </c>
      <c r="AB79" s="304">
        <f t="shared" si="90"/>
        <v>5845955.917289516</v>
      </c>
      <c r="AC79" s="304">
        <f t="shared" si="90"/>
        <v>5808500.3403763436</v>
      </c>
      <c r="AD79" s="304">
        <f t="shared" si="90"/>
        <v>5777260.898171124</v>
      </c>
      <c r="AE79" s="304">
        <f t="shared" si="90"/>
        <v>5752269.7180397324</v>
      </c>
      <c r="AF79" s="304">
        <f t="shared" si="90"/>
        <v>5735007.4939338667</v>
      </c>
      <c r="AG79" s="304">
        <f t="shared" si="90"/>
        <v>5726589.6289216103</v>
      </c>
      <c r="AH79" s="304">
        <f t="shared" si="90"/>
        <v>5729604.4283730006</v>
      </c>
      <c r="AI79" s="304">
        <f t="shared" si="90"/>
        <v>5746452.2810367169</v>
      </c>
      <c r="AJ79" s="304">
        <f t="shared" si="90"/>
        <v>5780646.8319195351</v>
      </c>
      <c r="AK79" s="304">
        <f t="shared" si="90"/>
        <v>5839151.1693264414</v>
      </c>
      <c r="AL79" s="304">
        <f t="shared" si="90"/>
        <v>5932975.3036970459</v>
      </c>
      <c r="AM79" s="304">
        <f t="shared" si="90"/>
        <v>6077826.1919778232</v>
      </c>
      <c r="AN79" s="304">
        <f t="shared" si="90"/>
        <v>6310854.0437788954</v>
      </c>
      <c r="AO79" s="304">
        <f t="shared" si="90"/>
        <v>6736350.2596897548</v>
      </c>
      <c r="AP79" s="304">
        <f t="shared" si="90"/>
        <v>5249668.0673330976</v>
      </c>
      <c r="AQ79" s="305">
        <f>G79-SUM(H79:AP79)</f>
        <v>113388501.75247937</v>
      </c>
    </row>
    <row r="80" spans="2:43" x14ac:dyDescent="0.3">
      <c r="C80" s="288"/>
    </row>
    <row r="81" spans="3:43" ht="15" thickBot="1" x14ac:dyDescent="0.35">
      <c r="C81" s="288"/>
      <c r="H81" s="291"/>
      <c r="I81" s="291"/>
      <c r="J81" s="291"/>
      <c r="K81" s="291"/>
      <c r="L81" s="291"/>
      <c r="M81" s="291"/>
      <c r="N81" s="291"/>
      <c r="O81" s="291"/>
      <c r="P81" s="291"/>
      <c r="Q81" s="291"/>
      <c r="R81" s="291"/>
      <c r="S81" s="291"/>
      <c r="T81" s="291"/>
      <c r="U81" s="291"/>
      <c r="V81" s="291"/>
      <c r="W81" s="291"/>
      <c r="X81" s="291"/>
      <c r="Y81" s="291"/>
      <c r="Z81" s="291"/>
      <c r="AA81" s="291"/>
      <c r="AB81" s="291"/>
      <c r="AC81" s="291"/>
      <c r="AD81" s="291"/>
      <c r="AE81" s="291"/>
      <c r="AF81" s="291"/>
      <c r="AG81" s="291"/>
      <c r="AH81" s="291"/>
      <c r="AI81" s="291"/>
      <c r="AJ81" s="291"/>
      <c r="AK81" s="291"/>
      <c r="AL81" s="291"/>
      <c r="AM81" s="291"/>
      <c r="AN81" s="291"/>
      <c r="AO81" s="291"/>
      <c r="AP81" s="291"/>
    </row>
    <row r="82" spans="3:43" x14ac:dyDescent="0.3">
      <c r="C82" s="1155" t="s">
        <v>382</v>
      </c>
      <c r="D82" s="286"/>
      <c r="E82" s="286"/>
      <c r="F82" s="286"/>
      <c r="G82" s="286"/>
      <c r="H82" s="286">
        <f t="shared" ref="H82:AP82" si="91">H43</f>
        <v>2027</v>
      </c>
      <c r="I82" s="286">
        <f t="shared" si="91"/>
        <v>2028</v>
      </c>
      <c r="J82" s="286">
        <f t="shared" si="91"/>
        <v>2029</v>
      </c>
      <c r="K82" s="286">
        <f t="shared" si="91"/>
        <v>2030</v>
      </c>
      <c r="L82" s="286">
        <f t="shared" si="91"/>
        <v>2031</v>
      </c>
      <c r="M82" s="286">
        <f t="shared" si="91"/>
        <v>2032</v>
      </c>
      <c r="N82" s="286">
        <f t="shared" si="91"/>
        <v>2033</v>
      </c>
      <c r="O82" s="286">
        <f t="shared" si="91"/>
        <v>2034</v>
      </c>
      <c r="P82" s="286">
        <f t="shared" si="91"/>
        <v>2035</v>
      </c>
      <c r="Q82" s="286">
        <f t="shared" si="91"/>
        <v>2036</v>
      </c>
      <c r="R82" s="286">
        <f t="shared" si="91"/>
        <v>2037</v>
      </c>
      <c r="S82" s="286">
        <f t="shared" si="91"/>
        <v>2038</v>
      </c>
      <c r="T82" s="286">
        <f t="shared" si="91"/>
        <v>2039</v>
      </c>
      <c r="U82" s="286">
        <f t="shared" si="91"/>
        <v>2040</v>
      </c>
      <c r="V82" s="286">
        <f t="shared" si="91"/>
        <v>2041</v>
      </c>
      <c r="W82" s="286">
        <f t="shared" si="91"/>
        <v>2042</v>
      </c>
      <c r="X82" s="286">
        <f t="shared" si="91"/>
        <v>2043</v>
      </c>
      <c r="Y82" s="286">
        <f t="shared" si="91"/>
        <v>2044</v>
      </c>
      <c r="Z82" s="286">
        <f t="shared" si="91"/>
        <v>2045</v>
      </c>
      <c r="AA82" s="286">
        <f t="shared" si="91"/>
        <v>2046</v>
      </c>
      <c r="AB82" s="286">
        <f t="shared" si="91"/>
        <v>2047</v>
      </c>
      <c r="AC82" s="286">
        <f t="shared" si="91"/>
        <v>2048</v>
      </c>
      <c r="AD82" s="286">
        <f t="shared" si="91"/>
        <v>2049</v>
      </c>
      <c r="AE82" s="286">
        <f t="shared" si="91"/>
        <v>2050</v>
      </c>
      <c r="AF82" s="286">
        <f t="shared" si="91"/>
        <v>2051</v>
      </c>
      <c r="AG82" s="286">
        <f t="shared" si="91"/>
        <v>2052</v>
      </c>
      <c r="AH82" s="286">
        <f t="shared" si="91"/>
        <v>2053</v>
      </c>
      <c r="AI82" s="286">
        <f t="shared" si="91"/>
        <v>2054</v>
      </c>
      <c r="AJ82" s="286">
        <f t="shared" si="91"/>
        <v>2055</v>
      </c>
      <c r="AK82" s="286">
        <f t="shared" si="91"/>
        <v>2056</v>
      </c>
      <c r="AL82" s="286">
        <f t="shared" si="91"/>
        <v>2057</v>
      </c>
      <c r="AM82" s="286">
        <f t="shared" si="91"/>
        <v>2058</v>
      </c>
      <c r="AN82" s="286">
        <f t="shared" si="91"/>
        <v>2059</v>
      </c>
      <c r="AO82" s="286">
        <f t="shared" si="91"/>
        <v>2060</v>
      </c>
      <c r="AP82" s="286">
        <f t="shared" si="91"/>
        <v>2061</v>
      </c>
      <c r="AQ82" s="287"/>
    </row>
    <row r="83" spans="3:43" x14ac:dyDescent="0.3">
      <c r="C83" s="1156"/>
      <c r="D83" s="294"/>
      <c r="E83" s="306">
        <f t="shared" ref="E83:E112" si="92">E44</f>
        <v>2027</v>
      </c>
      <c r="F83" s="294"/>
      <c r="G83" s="295"/>
      <c r="H83" s="310">
        <f>IF(H$82&gt;=$E83,'Dados ME'!E$6,"")</f>
        <v>5.4800000000000001E-2</v>
      </c>
      <c r="I83" s="310">
        <f>IF(I$82&gt;=$E83,'Dados ME'!F$6,"")</f>
        <v>3.7999999999999999E-2</v>
      </c>
      <c r="J83" s="310">
        <f>IF(J$82&gt;=$E83,'Dados ME'!G$6,"")</f>
        <v>3.7499999999999999E-2</v>
      </c>
      <c r="K83" s="310">
        <f>IF(K$82&gt;=$E83,'Dados ME'!H$6,"")</f>
        <v>3.5000000000000003E-2</v>
      </c>
      <c r="L83" s="310">
        <f>IF(L$82&gt;=$E83,'Dados ME'!I$6,"")</f>
        <v>3.5000000000000003E-2</v>
      </c>
      <c r="M83" s="310">
        <f>IF(M$82&gt;=$E83,'Dados ME'!J$6,"")</f>
        <v>3.5000000000000003E-2</v>
      </c>
      <c r="N83" s="310">
        <f>IF(N$82&gt;=$E83,'Dados ME'!K$6,"")</f>
        <v>3.5000000000000003E-2</v>
      </c>
      <c r="O83" s="310">
        <f>IF(O$82&gt;=$E83,'Dados ME'!L$6,"")</f>
        <v>3.5000000000000003E-2</v>
      </c>
      <c r="P83" s="310">
        <f>IF(P$82&gt;=$E83,'Dados ME'!M$6,"")</f>
        <v>3.5000000000000003E-2</v>
      </c>
      <c r="Q83" s="310">
        <f>IF(Q$82&gt;=$E83,'Dados ME'!N$6,"")</f>
        <v>3.5000000000000003E-2</v>
      </c>
      <c r="R83" s="310">
        <f>IF(R$82&gt;=$E83,'Dados ME'!O$6,"")</f>
        <v>3.5000000000000003E-2</v>
      </c>
      <c r="S83" s="310">
        <f>IF(S$82&gt;=$E83,'Dados ME'!P$6,"")</f>
        <v>3.5000000000000003E-2</v>
      </c>
      <c r="T83" s="310">
        <f>IF(T$82&gt;=$E83,'Dados ME'!Q$6,"")</f>
        <v>3.5000000000000003E-2</v>
      </c>
      <c r="U83" s="310">
        <f>IF(U$82&gt;=$E83,'Dados ME'!R$6,"")</f>
        <v>3.5000000000000003E-2</v>
      </c>
      <c r="V83" s="310">
        <f>IF(V$82&gt;=$E83,'Dados ME'!S$6,"")</f>
        <v>3.5000000000000003E-2</v>
      </c>
      <c r="W83" s="310">
        <f>IF(W$82&gt;=$E83,'Dados ME'!T$6,"")</f>
        <v>3.5000000000000003E-2</v>
      </c>
      <c r="X83" s="310">
        <f>IF(X$82&gt;=$E83,'Dados ME'!U$6,"")</f>
        <v>3.5000000000000003E-2</v>
      </c>
      <c r="Y83" s="310">
        <f>IF(Y$82&gt;=$E83,'Dados ME'!V$6,"")</f>
        <v>3.5000000000000003E-2</v>
      </c>
      <c r="Z83" s="310">
        <f>IF(Z$82&gt;=$E83,'Dados ME'!W$6,"")</f>
        <v>3.5000000000000003E-2</v>
      </c>
      <c r="AA83" s="310">
        <f>IF(AA$82&gt;=$E83,'Dados ME'!X$6,"")</f>
        <v>3.5000000000000003E-2</v>
      </c>
      <c r="AB83" s="310">
        <f>IF(AB$82&gt;=$E83,'Dados ME'!Y$6,"")</f>
        <v>3.5000000000000003E-2</v>
      </c>
      <c r="AC83" s="310">
        <f>IF(AC$82&gt;=$E83,'Dados ME'!Z$6,"")</f>
        <v>3.5000000000000003E-2</v>
      </c>
      <c r="AD83" s="310">
        <f>IF(AD$82&gt;=$E83,'Dados ME'!AA$6,"")</f>
        <v>3.5000000000000003E-2</v>
      </c>
      <c r="AE83" s="310">
        <f>IF(AE$82&gt;=$E83,'Dados ME'!AB$6,"")</f>
        <v>3.5000000000000003E-2</v>
      </c>
      <c r="AF83" s="310">
        <f>IF(AF$82&gt;=$E83,'Dados ME'!AC$6,"")</f>
        <v>3.5000000000000003E-2</v>
      </c>
      <c r="AG83" s="310">
        <f>IF(AG$82&gt;=$E83,'Dados ME'!AD$6,"")</f>
        <v>3.5000000000000003E-2</v>
      </c>
      <c r="AH83" s="310">
        <f>IF(AH$82&gt;=$E83,'Dados ME'!AE$6,"")</f>
        <v>3.5000000000000003E-2</v>
      </c>
      <c r="AI83" s="310">
        <f>IF(AI$82&gt;=$E83,'Dados ME'!AF$6,"")</f>
        <v>3.5000000000000003E-2</v>
      </c>
      <c r="AJ83" s="310">
        <f>IF(AJ$82&gt;=$E83,'Dados ME'!AG$6,"")</f>
        <v>3.5000000000000003E-2</v>
      </c>
      <c r="AK83" s="310">
        <f>IF(AK$82&gt;=$E83,'Dados ME'!AH$6,"")</f>
        <v>3.5000000000000003E-2</v>
      </c>
      <c r="AL83" s="310">
        <f>IF(AL$82&gt;=$E83,'Dados ME'!AI$6,"")</f>
        <v>3.5000000000000003E-2</v>
      </c>
      <c r="AM83" s="310">
        <f>IF(AM$82&gt;=$E83,'Dados ME'!AJ$6,"")</f>
        <v>3.5000000000000003E-2</v>
      </c>
      <c r="AN83" s="310">
        <f>IF(AN$82&gt;=$E83,'Dados ME'!AK$6,"")</f>
        <v>3.5000000000000003E-2</v>
      </c>
      <c r="AO83" s="310">
        <f>IF(AO$82&gt;=$E83,'Dados ME'!AL$6,"")</f>
        <v>3.5000000000000003E-2</v>
      </c>
      <c r="AP83" s="310">
        <f>IF(AP$82&gt;=$E83,'Dados ME'!AM$6,"")</f>
        <v>3.5000000000000003E-2</v>
      </c>
      <c r="AQ83" s="296"/>
    </row>
    <row r="84" spans="3:43" x14ac:dyDescent="0.3">
      <c r="C84" s="1156"/>
      <c r="D84" s="294"/>
      <c r="E84" s="306">
        <f t="shared" si="92"/>
        <v>2028</v>
      </c>
      <c r="F84" s="294"/>
      <c r="G84" s="295"/>
      <c r="H84" s="311" t="str">
        <f>IF(H$82&gt;=$E84,'Dados ME'!E$6,"")</f>
        <v/>
      </c>
      <c r="I84" s="311">
        <f>IF(I$82&gt;=$E84,'Dados ME'!F$6,"")</f>
        <v>3.7999999999999999E-2</v>
      </c>
      <c r="J84" s="311">
        <f>IF(J$82&gt;=$E84,'Dados ME'!G$6,"")</f>
        <v>3.7499999999999999E-2</v>
      </c>
      <c r="K84" s="311">
        <f>IF(K$82&gt;=$E84,'Dados ME'!H$6,"")</f>
        <v>3.5000000000000003E-2</v>
      </c>
      <c r="L84" s="311">
        <f>IF(L$82&gt;=$E84,'Dados ME'!I$6,"")</f>
        <v>3.5000000000000003E-2</v>
      </c>
      <c r="M84" s="311">
        <f>IF(M$82&gt;=$E84,'Dados ME'!J$6,"")</f>
        <v>3.5000000000000003E-2</v>
      </c>
      <c r="N84" s="311">
        <f>IF(N$82&gt;=$E84,'Dados ME'!K$6,"")</f>
        <v>3.5000000000000003E-2</v>
      </c>
      <c r="O84" s="311">
        <f>IF(O$82&gt;=$E84,'Dados ME'!L$6,"")</f>
        <v>3.5000000000000003E-2</v>
      </c>
      <c r="P84" s="311">
        <f>IF(P$82&gt;=$E84,'Dados ME'!M$6,"")</f>
        <v>3.5000000000000003E-2</v>
      </c>
      <c r="Q84" s="311">
        <f>IF(Q$82&gt;=$E84,'Dados ME'!N$6,"")</f>
        <v>3.5000000000000003E-2</v>
      </c>
      <c r="R84" s="311">
        <f>IF(R$82&gt;=$E84,'Dados ME'!O$6,"")</f>
        <v>3.5000000000000003E-2</v>
      </c>
      <c r="S84" s="311">
        <f>IF(S$82&gt;=$E84,'Dados ME'!P$6,"")</f>
        <v>3.5000000000000003E-2</v>
      </c>
      <c r="T84" s="311">
        <f>IF(T$82&gt;=$E84,'Dados ME'!Q$6,"")</f>
        <v>3.5000000000000003E-2</v>
      </c>
      <c r="U84" s="311">
        <f>IF(U$82&gt;=$E84,'Dados ME'!R$6,"")</f>
        <v>3.5000000000000003E-2</v>
      </c>
      <c r="V84" s="311">
        <f>IF(V$82&gt;=$E84,'Dados ME'!S$6,"")</f>
        <v>3.5000000000000003E-2</v>
      </c>
      <c r="W84" s="311">
        <f>IF(W$82&gt;=$E84,'Dados ME'!T$6,"")</f>
        <v>3.5000000000000003E-2</v>
      </c>
      <c r="X84" s="311">
        <f>IF(X$82&gt;=$E84,'Dados ME'!U$6,"")</f>
        <v>3.5000000000000003E-2</v>
      </c>
      <c r="Y84" s="311">
        <f>IF(Y$82&gt;=$E84,'Dados ME'!V$6,"")</f>
        <v>3.5000000000000003E-2</v>
      </c>
      <c r="Z84" s="311">
        <f>IF(Z$82&gt;=$E84,'Dados ME'!W$6,"")</f>
        <v>3.5000000000000003E-2</v>
      </c>
      <c r="AA84" s="311">
        <f>IF(AA$82&gt;=$E84,'Dados ME'!X$6,"")</f>
        <v>3.5000000000000003E-2</v>
      </c>
      <c r="AB84" s="311">
        <f>IF(AB$82&gt;=$E84,'Dados ME'!Y$6,"")</f>
        <v>3.5000000000000003E-2</v>
      </c>
      <c r="AC84" s="311">
        <f>IF(AC$82&gt;=$E84,'Dados ME'!Z$6,"")</f>
        <v>3.5000000000000003E-2</v>
      </c>
      <c r="AD84" s="311">
        <f>IF(AD$82&gt;=$E84,'Dados ME'!AA$6,"")</f>
        <v>3.5000000000000003E-2</v>
      </c>
      <c r="AE84" s="311">
        <f>IF(AE$82&gt;=$E84,'Dados ME'!AB$6,"")</f>
        <v>3.5000000000000003E-2</v>
      </c>
      <c r="AF84" s="311">
        <f>IF(AF$82&gt;=$E84,'Dados ME'!AC$6,"")</f>
        <v>3.5000000000000003E-2</v>
      </c>
      <c r="AG84" s="311">
        <f>IF(AG$82&gt;=$E84,'Dados ME'!AD$6,"")</f>
        <v>3.5000000000000003E-2</v>
      </c>
      <c r="AH84" s="311">
        <f>IF(AH$82&gt;=$E84,'Dados ME'!AE$6,"")</f>
        <v>3.5000000000000003E-2</v>
      </c>
      <c r="AI84" s="311">
        <f>IF(AI$82&gt;=$E84,'Dados ME'!AF$6,"")</f>
        <v>3.5000000000000003E-2</v>
      </c>
      <c r="AJ84" s="311">
        <f>IF(AJ$82&gt;=$E84,'Dados ME'!AG$6,"")</f>
        <v>3.5000000000000003E-2</v>
      </c>
      <c r="AK84" s="311">
        <f>IF(AK$82&gt;=$E84,'Dados ME'!AH$6,"")</f>
        <v>3.5000000000000003E-2</v>
      </c>
      <c r="AL84" s="311">
        <f>IF(AL$82&gt;=$E84,'Dados ME'!AI$6,"")</f>
        <v>3.5000000000000003E-2</v>
      </c>
      <c r="AM84" s="311">
        <f>IF(AM$82&gt;=$E84,'Dados ME'!AJ$6,"")</f>
        <v>3.5000000000000003E-2</v>
      </c>
      <c r="AN84" s="311">
        <f>IF(AN$82&gt;=$E84,'Dados ME'!AK$6,"")</f>
        <v>3.5000000000000003E-2</v>
      </c>
      <c r="AO84" s="311">
        <f>IF(AO$82&gt;=$E84,'Dados ME'!AL$6,"")</f>
        <v>3.5000000000000003E-2</v>
      </c>
      <c r="AP84" s="311">
        <f>IF(AP$82&gt;=$E84,'Dados ME'!AM$6,"")</f>
        <v>3.5000000000000003E-2</v>
      </c>
      <c r="AQ84" s="296"/>
    </row>
    <row r="85" spans="3:43" x14ac:dyDescent="0.3">
      <c r="C85" s="1156"/>
      <c r="D85" s="294"/>
      <c r="E85" s="306">
        <f t="shared" si="92"/>
        <v>2029</v>
      </c>
      <c r="F85" s="294"/>
      <c r="G85" s="295"/>
      <c r="H85" s="311" t="str">
        <f>IF(H$82&gt;=$E85,'Dados ME'!E$6,"")</f>
        <v/>
      </c>
      <c r="I85" s="311" t="str">
        <f>IF(I$82&gt;=$E85,'Dados ME'!F$6,"")</f>
        <v/>
      </c>
      <c r="J85" s="311">
        <f>IF(J$82&gt;=$E85,'Dados ME'!G$6,"")</f>
        <v>3.7499999999999999E-2</v>
      </c>
      <c r="K85" s="311">
        <f>IF(K$82&gt;=$E85,'Dados ME'!H$6,"")</f>
        <v>3.5000000000000003E-2</v>
      </c>
      <c r="L85" s="311">
        <f>IF(L$82&gt;=$E85,'Dados ME'!I$6,"")</f>
        <v>3.5000000000000003E-2</v>
      </c>
      <c r="M85" s="311">
        <f>IF(M$82&gt;=$E85,'Dados ME'!J$6,"")</f>
        <v>3.5000000000000003E-2</v>
      </c>
      <c r="N85" s="311">
        <f>IF(N$82&gt;=$E85,'Dados ME'!K$6,"")</f>
        <v>3.5000000000000003E-2</v>
      </c>
      <c r="O85" s="311">
        <f>IF(O$82&gt;=$E85,'Dados ME'!L$6,"")</f>
        <v>3.5000000000000003E-2</v>
      </c>
      <c r="P85" s="311">
        <f>IF(P$82&gt;=$E85,'Dados ME'!M$6,"")</f>
        <v>3.5000000000000003E-2</v>
      </c>
      <c r="Q85" s="311">
        <f>IF(Q$82&gt;=$E85,'Dados ME'!N$6,"")</f>
        <v>3.5000000000000003E-2</v>
      </c>
      <c r="R85" s="311">
        <f>IF(R$82&gt;=$E85,'Dados ME'!O$6,"")</f>
        <v>3.5000000000000003E-2</v>
      </c>
      <c r="S85" s="311">
        <f>IF(S$82&gt;=$E85,'Dados ME'!P$6,"")</f>
        <v>3.5000000000000003E-2</v>
      </c>
      <c r="T85" s="311">
        <f>IF(T$82&gt;=$E85,'Dados ME'!Q$6,"")</f>
        <v>3.5000000000000003E-2</v>
      </c>
      <c r="U85" s="311">
        <f>IF(U$82&gt;=$E85,'Dados ME'!R$6,"")</f>
        <v>3.5000000000000003E-2</v>
      </c>
      <c r="V85" s="311">
        <f>IF(V$82&gt;=$E85,'Dados ME'!S$6,"")</f>
        <v>3.5000000000000003E-2</v>
      </c>
      <c r="W85" s="311">
        <f>IF(W$82&gt;=$E85,'Dados ME'!T$6,"")</f>
        <v>3.5000000000000003E-2</v>
      </c>
      <c r="X85" s="311">
        <f>IF(X$82&gt;=$E85,'Dados ME'!U$6,"")</f>
        <v>3.5000000000000003E-2</v>
      </c>
      <c r="Y85" s="311">
        <f>IF(Y$82&gt;=$E85,'Dados ME'!V$6,"")</f>
        <v>3.5000000000000003E-2</v>
      </c>
      <c r="Z85" s="311">
        <f>IF(Z$82&gt;=$E85,'Dados ME'!W$6,"")</f>
        <v>3.5000000000000003E-2</v>
      </c>
      <c r="AA85" s="311">
        <f>IF(AA$82&gt;=$E85,'Dados ME'!X$6,"")</f>
        <v>3.5000000000000003E-2</v>
      </c>
      <c r="AB85" s="311">
        <f>IF(AB$82&gt;=$E85,'Dados ME'!Y$6,"")</f>
        <v>3.5000000000000003E-2</v>
      </c>
      <c r="AC85" s="311">
        <f>IF(AC$82&gt;=$E85,'Dados ME'!Z$6,"")</f>
        <v>3.5000000000000003E-2</v>
      </c>
      <c r="AD85" s="311">
        <f>IF(AD$82&gt;=$E85,'Dados ME'!AA$6,"")</f>
        <v>3.5000000000000003E-2</v>
      </c>
      <c r="AE85" s="311">
        <f>IF(AE$82&gt;=$E85,'Dados ME'!AB$6,"")</f>
        <v>3.5000000000000003E-2</v>
      </c>
      <c r="AF85" s="311">
        <f>IF(AF$82&gt;=$E85,'Dados ME'!AC$6,"")</f>
        <v>3.5000000000000003E-2</v>
      </c>
      <c r="AG85" s="311">
        <f>IF(AG$82&gt;=$E85,'Dados ME'!AD$6,"")</f>
        <v>3.5000000000000003E-2</v>
      </c>
      <c r="AH85" s="311">
        <f>IF(AH$82&gt;=$E85,'Dados ME'!AE$6,"")</f>
        <v>3.5000000000000003E-2</v>
      </c>
      <c r="AI85" s="311">
        <f>IF(AI$82&gt;=$E85,'Dados ME'!AF$6,"")</f>
        <v>3.5000000000000003E-2</v>
      </c>
      <c r="AJ85" s="311">
        <f>IF(AJ$82&gt;=$E85,'Dados ME'!AG$6,"")</f>
        <v>3.5000000000000003E-2</v>
      </c>
      <c r="AK85" s="311">
        <f>IF(AK$82&gt;=$E85,'Dados ME'!AH$6,"")</f>
        <v>3.5000000000000003E-2</v>
      </c>
      <c r="AL85" s="311">
        <f>IF(AL$82&gt;=$E85,'Dados ME'!AI$6,"")</f>
        <v>3.5000000000000003E-2</v>
      </c>
      <c r="AM85" s="311">
        <f>IF(AM$82&gt;=$E85,'Dados ME'!AJ$6,"")</f>
        <v>3.5000000000000003E-2</v>
      </c>
      <c r="AN85" s="311">
        <f>IF(AN$82&gt;=$E85,'Dados ME'!AK$6,"")</f>
        <v>3.5000000000000003E-2</v>
      </c>
      <c r="AO85" s="311">
        <f>IF(AO$82&gt;=$E85,'Dados ME'!AL$6,"")</f>
        <v>3.5000000000000003E-2</v>
      </c>
      <c r="AP85" s="311">
        <f>IF(AP$82&gt;=$E85,'Dados ME'!AM$6,"")</f>
        <v>3.5000000000000003E-2</v>
      </c>
      <c r="AQ85" s="296"/>
    </row>
    <row r="86" spans="3:43" x14ac:dyDescent="0.3">
      <c r="C86" s="1156"/>
      <c r="D86" s="294"/>
      <c r="E86" s="306">
        <f t="shared" si="92"/>
        <v>2030</v>
      </c>
      <c r="F86" s="294"/>
      <c r="G86" s="295"/>
      <c r="H86" s="311" t="str">
        <f>IF(H$82&gt;=$E86,'Dados ME'!E$6,"")</f>
        <v/>
      </c>
      <c r="I86" s="311" t="str">
        <f>IF(I$82&gt;=$E86,'Dados ME'!F$6,"")</f>
        <v/>
      </c>
      <c r="J86" s="311" t="str">
        <f>IF(J$82&gt;=$E86,'Dados ME'!G$6,"")</f>
        <v/>
      </c>
      <c r="K86" s="311">
        <f>IF(K$82&gt;=$E86,'Dados ME'!H$6,"")</f>
        <v>3.5000000000000003E-2</v>
      </c>
      <c r="L86" s="311">
        <f>IF(L$82&gt;=$E86,'Dados ME'!I$6,"")</f>
        <v>3.5000000000000003E-2</v>
      </c>
      <c r="M86" s="311">
        <f>IF(M$82&gt;=$E86,'Dados ME'!J$6,"")</f>
        <v>3.5000000000000003E-2</v>
      </c>
      <c r="N86" s="311">
        <f>IF(N$82&gt;=$E86,'Dados ME'!K$6,"")</f>
        <v>3.5000000000000003E-2</v>
      </c>
      <c r="O86" s="311">
        <f>IF(O$82&gt;=$E86,'Dados ME'!L$6,"")</f>
        <v>3.5000000000000003E-2</v>
      </c>
      <c r="P86" s="311">
        <f>IF(P$82&gt;=$E86,'Dados ME'!M$6,"")</f>
        <v>3.5000000000000003E-2</v>
      </c>
      <c r="Q86" s="311">
        <f>IF(Q$82&gt;=$E86,'Dados ME'!N$6,"")</f>
        <v>3.5000000000000003E-2</v>
      </c>
      <c r="R86" s="311">
        <f>IF(R$82&gt;=$E86,'Dados ME'!O$6,"")</f>
        <v>3.5000000000000003E-2</v>
      </c>
      <c r="S86" s="311">
        <f>IF(S$82&gt;=$E86,'Dados ME'!P$6,"")</f>
        <v>3.5000000000000003E-2</v>
      </c>
      <c r="T86" s="311">
        <f>IF(T$82&gt;=$E86,'Dados ME'!Q$6,"")</f>
        <v>3.5000000000000003E-2</v>
      </c>
      <c r="U86" s="311">
        <f>IF(U$82&gt;=$E86,'Dados ME'!R$6,"")</f>
        <v>3.5000000000000003E-2</v>
      </c>
      <c r="V86" s="311">
        <f>IF(V$82&gt;=$E86,'Dados ME'!S$6,"")</f>
        <v>3.5000000000000003E-2</v>
      </c>
      <c r="W86" s="311">
        <f>IF(W$82&gt;=$E86,'Dados ME'!T$6,"")</f>
        <v>3.5000000000000003E-2</v>
      </c>
      <c r="X86" s="311">
        <f>IF(X$82&gt;=$E86,'Dados ME'!U$6,"")</f>
        <v>3.5000000000000003E-2</v>
      </c>
      <c r="Y86" s="311">
        <f>IF(Y$82&gt;=$E86,'Dados ME'!V$6,"")</f>
        <v>3.5000000000000003E-2</v>
      </c>
      <c r="Z86" s="311">
        <f>IF(Z$82&gt;=$E86,'Dados ME'!W$6,"")</f>
        <v>3.5000000000000003E-2</v>
      </c>
      <c r="AA86" s="311">
        <f>IF(AA$82&gt;=$E86,'Dados ME'!X$6,"")</f>
        <v>3.5000000000000003E-2</v>
      </c>
      <c r="AB86" s="311">
        <f>IF(AB$82&gt;=$E86,'Dados ME'!Y$6,"")</f>
        <v>3.5000000000000003E-2</v>
      </c>
      <c r="AC86" s="311">
        <f>IF(AC$82&gt;=$E86,'Dados ME'!Z$6,"")</f>
        <v>3.5000000000000003E-2</v>
      </c>
      <c r="AD86" s="311">
        <f>IF(AD$82&gt;=$E86,'Dados ME'!AA$6,"")</f>
        <v>3.5000000000000003E-2</v>
      </c>
      <c r="AE86" s="311">
        <f>IF(AE$82&gt;=$E86,'Dados ME'!AB$6,"")</f>
        <v>3.5000000000000003E-2</v>
      </c>
      <c r="AF86" s="311">
        <f>IF(AF$82&gt;=$E86,'Dados ME'!AC$6,"")</f>
        <v>3.5000000000000003E-2</v>
      </c>
      <c r="AG86" s="311">
        <f>IF(AG$82&gt;=$E86,'Dados ME'!AD$6,"")</f>
        <v>3.5000000000000003E-2</v>
      </c>
      <c r="AH86" s="311">
        <f>IF(AH$82&gt;=$E86,'Dados ME'!AE$6,"")</f>
        <v>3.5000000000000003E-2</v>
      </c>
      <c r="AI86" s="311">
        <f>IF(AI$82&gt;=$E86,'Dados ME'!AF$6,"")</f>
        <v>3.5000000000000003E-2</v>
      </c>
      <c r="AJ86" s="311">
        <f>IF(AJ$82&gt;=$E86,'Dados ME'!AG$6,"")</f>
        <v>3.5000000000000003E-2</v>
      </c>
      <c r="AK86" s="311">
        <f>IF(AK$82&gt;=$E86,'Dados ME'!AH$6,"")</f>
        <v>3.5000000000000003E-2</v>
      </c>
      <c r="AL86" s="311">
        <f>IF(AL$82&gt;=$E86,'Dados ME'!AI$6,"")</f>
        <v>3.5000000000000003E-2</v>
      </c>
      <c r="AM86" s="311">
        <f>IF(AM$82&gt;=$E86,'Dados ME'!AJ$6,"")</f>
        <v>3.5000000000000003E-2</v>
      </c>
      <c r="AN86" s="311">
        <f>IF(AN$82&gt;=$E86,'Dados ME'!AK$6,"")</f>
        <v>3.5000000000000003E-2</v>
      </c>
      <c r="AO86" s="311">
        <f>IF(AO$82&gt;=$E86,'Dados ME'!AL$6,"")</f>
        <v>3.5000000000000003E-2</v>
      </c>
      <c r="AP86" s="311">
        <f>IF(AP$82&gt;=$E86,'Dados ME'!AM$6,"")</f>
        <v>3.5000000000000003E-2</v>
      </c>
      <c r="AQ86" s="296"/>
    </row>
    <row r="87" spans="3:43" x14ac:dyDescent="0.3">
      <c r="C87" s="1156"/>
      <c r="D87" s="294"/>
      <c r="E87" s="306">
        <f t="shared" si="92"/>
        <v>2031</v>
      </c>
      <c r="F87" s="294"/>
      <c r="G87" s="295"/>
      <c r="H87" s="311" t="str">
        <f>IF(H$82&gt;=$E87,'Dados ME'!E$6,"")</f>
        <v/>
      </c>
      <c r="I87" s="311" t="str">
        <f>IF(I$82&gt;=$E87,'Dados ME'!F$6,"")</f>
        <v/>
      </c>
      <c r="J87" s="311" t="str">
        <f>IF(J$82&gt;=$E87,'Dados ME'!G$6,"")</f>
        <v/>
      </c>
      <c r="K87" s="311" t="str">
        <f>IF(K$82&gt;=$E87,'Dados ME'!H$6,"")</f>
        <v/>
      </c>
      <c r="L87" s="311">
        <f>IF(L$82&gt;=$E87,'Dados ME'!I$6,"")</f>
        <v>3.5000000000000003E-2</v>
      </c>
      <c r="M87" s="311">
        <f>IF(M$82&gt;=$E87,'Dados ME'!J$6,"")</f>
        <v>3.5000000000000003E-2</v>
      </c>
      <c r="N87" s="311">
        <f>IF(N$82&gt;=$E87,'Dados ME'!K$6,"")</f>
        <v>3.5000000000000003E-2</v>
      </c>
      <c r="O87" s="311">
        <f>IF(O$82&gt;=$E87,'Dados ME'!L$6,"")</f>
        <v>3.5000000000000003E-2</v>
      </c>
      <c r="P87" s="311">
        <f>IF(P$82&gt;=$E87,'Dados ME'!M$6,"")</f>
        <v>3.5000000000000003E-2</v>
      </c>
      <c r="Q87" s="311">
        <f>IF(Q$82&gt;=$E87,'Dados ME'!N$6,"")</f>
        <v>3.5000000000000003E-2</v>
      </c>
      <c r="R87" s="311">
        <f>IF(R$82&gt;=$E87,'Dados ME'!O$6,"")</f>
        <v>3.5000000000000003E-2</v>
      </c>
      <c r="S87" s="311">
        <f>IF(S$82&gt;=$E87,'Dados ME'!P$6,"")</f>
        <v>3.5000000000000003E-2</v>
      </c>
      <c r="T87" s="311">
        <f>IF(T$82&gt;=$E87,'Dados ME'!Q$6,"")</f>
        <v>3.5000000000000003E-2</v>
      </c>
      <c r="U87" s="311">
        <f>IF(U$82&gt;=$E87,'Dados ME'!R$6,"")</f>
        <v>3.5000000000000003E-2</v>
      </c>
      <c r="V87" s="311">
        <f>IF(V$82&gt;=$E87,'Dados ME'!S$6,"")</f>
        <v>3.5000000000000003E-2</v>
      </c>
      <c r="W87" s="311">
        <f>IF(W$82&gt;=$E87,'Dados ME'!T$6,"")</f>
        <v>3.5000000000000003E-2</v>
      </c>
      <c r="X87" s="311">
        <f>IF(X$82&gt;=$E87,'Dados ME'!U$6,"")</f>
        <v>3.5000000000000003E-2</v>
      </c>
      <c r="Y87" s="311">
        <f>IF(Y$82&gt;=$E87,'Dados ME'!V$6,"")</f>
        <v>3.5000000000000003E-2</v>
      </c>
      <c r="Z87" s="311">
        <f>IF(Z$82&gt;=$E87,'Dados ME'!W$6,"")</f>
        <v>3.5000000000000003E-2</v>
      </c>
      <c r="AA87" s="311">
        <f>IF(AA$82&gt;=$E87,'Dados ME'!X$6,"")</f>
        <v>3.5000000000000003E-2</v>
      </c>
      <c r="AB87" s="311">
        <f>IF(AB$82&gt;=$E87,'Dados ME'!Y$6,"")</f>
        <v>3.5000000000000003E-2</v>
      </c>
      <c r="AC87" s="311">
        <f>IF(AC$82&gt;=$E87,'Dados ME'!Z$6,"")</f>
        <v>3.5000000000000003E-2</v>
      </c>
      <c r="AD87" s="311">
        <f>IF(AD$82&gt;=$E87,'Dados ME'!AA$6,"")</f>
        <v>3.5000000000000003E-2</v>
      </c>
      <c r="AE87" s="311">
        <f>IF(AE$82&gt;=$E87,'Dados ME'!AB$6,"")</f>
        <v>3.5000000000000003E-2</v>
      </c>
      <c r="AF87" s="311">
        <f>IF(AF$82&gt;=$E87,'Dados ME'!AC$6,"")</f>
        <v>3.5000000000000003E-2</v>
      </c>
      <c r="AG87" s="311">
        <f>IF(AG$82&gt;=$E87,'Dados ME'!AD$6,"")</f>
        <v>3.5000000000000003E-2</v>
      </c>
      <c r="AH87" s="311">
        <f>IF(AH$82&gt;=$E87,'Dados ME'!AE$6,"")</f>
        <v>3.5000000000000003E-2</v>
      </c>
      <c r="AI87" s="311">
        <f>IF(AI$82&gt;=$E87,'Dados ME'!AF$6,"")</f>
        <v>3.5000000000000003E-2</v>
      </c>
      <c r="AJ87" s="311">
        <f>IF(AJ$82&gt;=$E87,'Dados ME'!AG$6,"")</f>
        <v>3.5000000000000003E-2</v>
      </c>
      <c r="AK87" s="311">
        <f>IF(AK$82&gt;=$E87,'Dados ME'!AH$6,"")</f>
        <v>3.5000000000000003E-2</v>
      </c>
      <c r="AL87" s="311">
        <f>IF(AL$82&gt;=$E87,'Dados ME'!AI$6,"")</f>
        <v>3.5000000000000003E-2</v>
      </c>
      <c r="AM87" s="311">
        <f>IF(AM$82&gt;=$E87,'Dados ME'!AJ$6,"")</f>
        <v>3.5000000000000003E-2</v>
      </c>
      <c r="AN87" s="311">
        <f>IF(AN$82&gt;=$E87,'Dados ME'!AK$6,"")</f>
        <v>3.5000000000000003E-2</v>
      </c>
      <c r="AO87" s="311">
        <f>IF(AO$82&gt;=$E87,'Dados ME'!AL$6,"")</f>
        <v>3.5000000000000003E-2</v>
      </c>
      <c r="AP87" s="311">
        <f>IF(AP$82&gt;=$E87,'Dados ME'!AM$6,"")</f>
        <v>3.5000000000000003E-2</v>
      </c>
      <c r="AQ87" s="296"/>
    </row>
    <row r="88" spans="3:43" x14ac:dyDescent="0.3">
      <c r="C88" s="1156"/>
      <c r="D88" s="294"/>
      <c r="E88" s="306">
        <f t="shared" si="92"/>
        <v>2032</v>
      </c>
      <c r="F88" s="294"/>
      <c r="G88" s="295"/>
      <c r="H88" s="311" t="str">
        <f>IF(H$82&gt;=$E88,'Dados ME'!E$6,"")</f>
        <v/>
      </c>
      <c r="I88" s="311" t="str">
        <f>IF(I$82&gt;=$E88,'Dados ME'!F$6,"")</f>
        <v/>
      </c>
      <c r="J88" s="311" t="str">
        <f>IF(J$82&gt;=$E88,'Dados ME'!G$6,"")</f>
        <v/>
      </c>
      <c r="K88" s="311" t="str">
        <f>IF(K$82&gt;=$E88,'Dados ME'!H$6,"")</f>
        <v/>
      </c>
      <c r="L88" s="311" t="str">
        <f>IF(L$82&gt;=$E88,'Dados ME'!I$6,"")</f>
        <v/>
      </c>
      <c r="M88" s="311">
        <f>IF(M$82&gt;=$E88,'Dados ME'!J$6,"")</f>
        <v>3.5000000000000003E-2</v>
      </c>
      <c r="N88" s="311">
        <f>IF(N$82&gt;=$E88,'Dados ME'!K$6,"")</f>
        <v>3.5000000000000003E-2</v>
      </c>
      <c r="O88" s="311">
        <f>IF(O$82&gt;=$E88,'Dados ME'!L$6,"")</f>
        <v>3.5000000000000003E-2</v>
      </c>
      <c r="P88" s="311">
        <f>IF(P$82&gt;=$E88,'Dados ME'!M$6,"")</f>
        <v>3.5000000000000003E-2</v>
      </c>
      <c r="Q88" s="311">
        <f>IF(Q$82&gt;=$E88,'Dados ME'!N$6,"")</f>
        <v>3.5000000000000003E-2</v>
      </c>
      <c r="R88" s="311">
        <f>IF(R$82&gt;=$E88,'Dados ME'!O$6,"")</f>
        <v>3.5000000000000003E-2</v>
      </c>
      <c r="S88" s="311">
        <f>IF(S$82&gt;=$E88,'Dados ME'!P$6,"")</f>
        <v>3.5000000000000003E-2</v>
      </c>
      <c r="T88" s="311">
        <f>IF(T$82&gt;=$E88,'Dados ME'!Q$6,"")</f>
        <v>3.5000000000000003E-2</v>
      </c>
      <c r="U88" s="311">
        <f>IF(U$82&gt;=$E88,'Dados ME'!R$6,"")</f>
        <v>3.5000000000000003E-2</v>
      </c>
      <c r="V88" s="311">
        <f>IF(V$82&gt;=$E88,'Dados ME'!S$6,"")</f>
        <v>3.5000000000000003E-2</v>
      </c>
      <c r="W88" s="311">
        <f>IF(W$82&gt;=$E88,'Dados ME'!T$6,"")</f>
        <v>3.5000000000000003E-2</v>
      </c>
      <c r="X88" s="311">
        <f>IF(X$82&gt;=$E88,'Dados ME'!U$6,"")</f>
        <v>3.5000000000000003E-2</v>
      </c>
      <c r="Y88" s="311">
        <f>IF(Y$82&gt;=$E88,'Dados ME'!V$6,"")</f>
        <v>3.5000000000000003E-2</v>
      </c>
      <c r="Z88" s="311">
        <f>IF(Z$82&gt;=$E88,'Dados ME'!W$6,"")</f>
        <v>3.5000000000000003E-2</v>
      </c>
      <c r="AA88" s="311">
        <f>IF(AA$82&gt;=$E88,'Dados ME'!X$6,"")</f>
        <v>3.5000000000000003E-2</v>
      </c>
      <c r="AB88" s="311">
        <f>IF(AB$82&gt;=$E88,'Dados ME'!Y$6,"")</f>
        <v>3.5000000000000003E-2</v>
      </c>
      <c r="AC88" s="311">
        <f>IF(AC$82&gt;=$E88,'Dados ME'!Z$6,"")</f>
        <v>3.5000000000000003E-2</v>
      </c>
      <c r="AD88" s="311">
        <f>IF(AD$82&gt;=$E88,'Dados ME'!AA$6,"")</f>
        <v>3.5000000000000003E-2</v>
      </c>
      <c r="AE88" s="311">
        <f>IF(AE$82&gt;=$E88,'Dados ME'!AB$6,"")</f>
        <v>3.5000000000000003E-2</v>
      </c>
      <c r="AF88" s="311">
        <f>IF(AF$82&gt;=$E88,'Dados ME'!AC$6,"")</f>
        <v>3.5000000000000003E-2</v>
      </c>
      <c r="AG88" s="311">
        <f>IF(AG$82&gt;=$E88,'Dados ME'!AD$6,"")</f>
        <v>3.5000000000000003E-2</v>
      </c>
      <c r="AH88" s="311">
        <f>IF(AH$82&gt;=$E88,'Dados ME'!AE$6,"")</f>
        <v>3.5000000000000003E-2</v>
      </c>
      <c r="AI88" s="311">
        <f>IF(AI$82&gt;=$E88,'Dados ME'!AF$6,"")</f>
        <v>3.5000000000000003E-2</v>
      </c>
      <c r="AJ88" s="311">
        <f>IF(AJ$82&gt;=$E88,'Dados ME'!AG$6,"")</f>
        <v>3.5000000000000003E-2</v>
      </c>
      <c r="AK88" s="311">
        <f>IF(AK$82&gt;=$E88,'Dados ME'!AH$6,"")</f>
        <v>3.5000000000000003E-2</v>
      </c>
      <c r="AL88" s="311">
        <f>IF(AL$82&gt;=$E88,'Dados ME'!AI$6,"")</f>
        <v>3.5000000000000003E-2</v>
      </c>
      <c r="AM88" s="311">
        <f>IF(AM$82&gt;=$E88,'Dados ME'!AJ$6,"")</f>
        <v>3.5000000000000003E-2</v>
      </c>
      <c r="AN88" s="311">
        <f>IF(AN$82&gt;=$E88,'Dados ME'!AK$6,"")</f>
        <v>3.5000000000000003E-2</v>
      </c>
      <c r="AO88" s="311">
        <f>IF(AO$82&gt;=$E88,'Dados ME'!AL$6,"")</f>
        <v>3.5000000000000003E-2</v>
      </c>
      <c r="AP88" s="311">
        <f>IF(AP$82&gt;=$E88,'Dados ME'!AM$6,"")</f>
        <v>3.5000000000000003E-2</v>
      </c>
      <c r="AQ88" s="296"/>
    </row>
    <row r="89" spans="3:43" x14ac:dyDescent="0.3">
      <c r="C89" s="1156"/>
      <c r="D89" s="294"/>
      <c r="E89" s="306">
        <f t="shared" si="92"/>
        <v>2033</v>
      </c>
      <c r="F89" s="294"/>
      <c r="G89" s="295"/>
      <c r="H89" s="311" t="str">
        <f>IF(H$82&gt;=$E89,'Dados ME'!E$6,"")</f>
        <v/>
      </c>
      <c r="I89" s="311" t="str">
        <f>IF(I$82&gt;=$E89,'Dados ME'!F$6,"")</f>
        <v/>
      </c>
      <c r="J89" s="311" t="str">
        <f>IF(J$82&gt;=$E89,'Dados ME'!G$6,"")</f>
        <v/>
      </c>
      <c r="K89" s="311" t="str">
        <f>IF(K$82&gt;=$E89,'Dados ME'!H$6,"")</f>
        <v/>
      </c>
      <c r="L89" s="311" t="str">
        <f>IF(L$82&gt;=$E89,'Dados ME'!I$6,"")</f>
        <v/>
      </c>
      <c r="M89" s="311" t="str">
        <f>IF(M$82&gt;=$E89,'Dados ME'!J$6,"")</f>
        <v/>
      </c>
      <c r="N89" s="311">
        <f>IF(N$82&gt;=$E89,'Dados ME'!K$6,"")</f>
        <v>3.5000000000000003E-2</v>
      </c>
      <c r="O89" s="311">
        <f>IF(O$82&gt;=$E89,'Dados ME'!L$6,"")</f>
        <v>3.5000000000000003E-2</v>
      </c>
      <c r="P89" s="311">
        <f>IF(P$82&gt;=$E89,'Dados ME'!M$6,"")</f>
        <v>3.5000000000000003E-2</v>
      </c>
      <c r="Q89" s="311">
        <f>IF(Q$82&gt;=$E89,'Dados ME'!N$6,"")</f>
        <v>3.5000000000000003E-2</v>
      </c>
      <c r="R89" s="311">
        <f>IF(R$82&gt;=$E89,'Dados ME'!O$6,"")</f>
        <v>3.5000000000000003E-2</v>
      </c>
      <c r="S89" s="311">
        <f>IF(S$82&gt;=$E89,'Dados ME'!P$6,"")</f>
        <v>3.5000000000000003E-2</v>
      </c>
      <c r="T89" s="311">
        <f>IF(T$82&gt;=$E89,'Dados ME'!Q$6,"")</f>
        <v>3.5000000000000003E-2</v>
      </c>
      <c r="U89" s="311">
        <f>IF(U$82&gt;=$E89,'Dados ME'!R$6,"")</f>
        <v>3.5000000000000003E-2</v>
      </c>
      <c r="V89" s="311">
        <f>IF(V$82&gt;=$E89,'Dados ME'!S$6,"")</f>
        <v>3.5000000000000003E-2</v>
      </c>
      <c r="W89" s="311">
        <f>IF(W$82&gt;=$E89,'Dados ME'!T$6,"")</f>
        <v>3.5000000000000003E-2</v>
      </c>
      <c r="X89" s="311">
        <f>IF(X$82&gt;=$E89,'Dados ME'!U$6,"")</f>
        <v>3.5000000000000003E-2</v>
      </c>
      <c r="Y89" s="311">
        <f>IF(Y$82&gt;=$E89,'Dados ME'!V$6,"")</f>
        <v>3.5000000000000003E-2</v>
      </c>
      <c r="Z89" s="311">
        <f>IF(Z$82&gt;=$E89,'Dados ME'!W$6,"")</f>
        <v>3.5000000000000003E-2</v>
      </c>
      <c r="AA89" s="311">
        <f>IF(AA$82&gt;=$E89,'Dados ME'!X$6,"")</f>
        <v>3.5000000000000003E-2</v>
      </c>
      <c r="AB89" s="311">
        <f>IF(AB$82&gt;=$E89,'Dados ME'!Y$6,"")</f>
        <v>3.5000000000000003E-2</v>
      </c>
      <c r="AC89" s="311">
        <f>IF(AC$82&gt;=$E89,'Dados ME'!Z$6,"")</f>
        <v>3.5000000000000003E-2</v>
      </c>
      <c r="AD89" s="311">
        <f>IF(AD$82&gt;=$E89,'Dados ME'!AA$6,"")</f>
        <v>3.5000000000000003E-2</v>
      </c>
      <c r="AE89" s="311">
        <f>IF(AE$82&gt;=$E89,'Dados ME'!AB$6,"")</f>
        <v>3.5000000000000003E-2</v>
      </c>
      <c r="AF89" s="311">
        <f>IF(AF$82&gt;=$E89,'Dados ME'!AC$6,"")</f>
        <v>3.5000000000000003E-2</v>
      </c>
      <c r="AG89" s="311">
        <f>IF(AG$82&gt;=$E89,'Dados ME'!AD$6,"")</f>
        <v>3.5000000000000003E-2</v>
      </c>
      <c r="AH89" s="311">
        <f>IF(AH$82&gt;=$E89,'Dados ME'!AE$6,"")</f>
        <v>3.5000000000000003E-2</v>
      </c>
      <c r="AI89" s="311">
        <f>IF(AI$82&gt;=$E89,'Dados ME'!AF$6,"")</f>
        <v>3.5000000000000003E-2</v>
      </c>
      <c r="AJ89" s="311">
        <f>IF(AJ$82&gt;=$E89,'Dados ME'!AG$6,"")</f>
        <v>3.5000000000000003E-2</v>
      </c>
      <c r="AK89" s="311">
        <f>IF(AK$82&gt;=$E89,'Dados ME'!AH$6,"")</f>
        <v>3.5000000000000003E-2</v>
      </c>
      <c r="AL89" s="311">
        <f>IF(AL$82&gt;=$E89,'Dados ME'!AI$6,"")</f>
        <v>3.5000000000000003E-2</v>
      </c>
      <c r="AM89" s="311">
        <f>IF(AM$82&gt;=$E89,'Dados ME'!AJ$6,"")</f>
        <v>3.5000000000000003E-2</v>
      </c>
      <c r="AN89" s="311">
        <f>IF(AN$82&gt;=$E89,'Dados ME'!AK$6,"")</f>
        <v>3.5000000000000003E-2</v>
      </c>
      <c r="AO89" s="311">
        <f>IF(AO$82&gt;=$E89,'Dados ME'!AL$6,"")</f>
        <v>3.5000000000000003E-2</v>
      </c>
      <c r="AP89" s="311">
        <f>IF(AP$82&gt;=$E89,'Dados ME'!AM$6,"")</f>
        <v>3.5000000000000003E-2</v>
      </c>
      <c r="AQ89" s="296"/>
    </row>
    <row r="90" spans="3:43" x14ac:dyDescent="0.3">
      <c r="C90" s="1156"/>
      <c r="D90" s="294"/>
      <c r="E90" s="306">
        <f t="shared" si="92"/>
        <v>2034</v>
      </c>
      <c r="F90" s="294"/>
      <c r="G90" s="295"/>
      <c r="H90" s="311" t="str">
        <f>IF(H$82&gt;=$E90,'Dados ME'!E$6,"")</f>
        <v/>
      </c>
      <c r="I90" s="311" t="str">
        <f>IF(I$82&gt;=$E90,'Dados ME'!F$6,"")</f>
        <v/>
      </c>
      <c r="J90" s="311" t="str">
        <f>IF(J$82&gt;=$E90,'Dados ME'!G$6,"")</f>
        <v/>
      </c>
      <c r="K90" s="311" t="str">
        <f>IF(K$82&gt;=$E90,'Dados ME'!H$6,"")</f>
        <v/>
      </c>
      <c r="L90" s="311" t="str">
        <f>IF(L$82&gt;=$E90,'Dados ME'!I$6,"")</f>
        <v/>
      </c>
      <c r="M90" s="311" t="str">
        <f>IF(M$82&gt;=$E90,'Dados ME'!J$6,"")</f>
        <v/>
      </c>
      <c r="N90" s="311" t="str">
        <f>IF(N$82&gt;=$E90,'Dados ME'!K$6,"")</f>
        <v/>
      </c>
      <c r="O90" s="311">
        <f>IF(O$82&gt;=$E90,'Dados ME'!L$6,"")</f>
        <v>3.5000000000000003E-2</v>
      </c>
      <c r="P90" s="311">
        <f>IF(P$82&gt;=$E90,'Dados ME'!M$6,"")</f>
        <v>3.5000000000000003E-2</v>
      </c>
      <c r="Q90" s="311">
        <f>IF(Q$82&gt;=$E90,'Dados ME'!N$6,"")</f>
        <v>3.5000000000000003E-2</v>
      </c>
      <c r="R90" s="311">
        <f>IF(R$82&gt;=$E90,'Dados ME'!O$6,"")</f>
        <v>3.5000000000000003E-2</v>
      </c>
      <c r="S90" s="311">
        <f>IF(S$82&gt;=$E90,'Dados ME'!P$6,"")</f>
        <v>3.5000000000000003E-2</v>
      </c>
      <c r="T90" s="311">
        <f>IF(T$82&gt;=$E90,'Dados ME'!Q$6,"")</f>
        <v>3.5000000000000003E-2</v>
      </c>
      <c r="U90" s="311">
        <f>IF(U$82&gt;=$E90,'Dados ME'!R$6,"")</f>
        <v>3.5000000000000003E-2</v>
      </c>
      <c r="V90" s="311">
        <f>IF(V$82&gt;=$E90,'Dados ME'!S$6,"")</f>
        <v>3.5000000000000003E-2</v>
      </c>
      <c r="W90" s="311">
        <f>IF(W$82&gt;=$E90,'Dados ME'!T$6,"")</f>
        <v>3.5000000000000003E-2</v>
      </c>
      <c r="X90" s="311">
        <f>IF(X$82&gt;=$E90,'Dados ME'!U$6,"")</f>
        <v>3.5000000000000003E-2</v>
      </c>
      <c r="Y90" s="311">
        <f>IF(Y$82&gt;=$E90,'Dados ME'!V$6,"")</f>
        <v>3.5000000000000003E-2</v>
      </c>
      <c r="Z90" s="311">
        <f>IF(Z$82&gt;=$E90,'Dados ME'!W$6,"")</f>
        <v>3.5000000000000003E-2</v>
      </c>
      <c r="AA90" s="311">
        <f>IF(AA$82&gt;=$E90,'Dados ME'!X$6,"")</f>
        <v>3.5000000000000003E-2</v>
      </c>
      <c r="AB90" s="311">
        <f>IF(AB$82&gt;=$E90,'Dados ME'!Y$6,"")</f>
        <v>3.5000000000000003E-2</v>
      </c>
      <c r="AC90" s="311">
        <f>IF(AC$82&gt;=$E90,'Dados ME'!Z$6,"")</f>
        <v>3.5000000000000003E-2</v>
      </c>
      <c r="AD90" s="311">
        <f>IF(AD$82&gt;=$E90,'Dados ME'!AA$6,"")</f>
        <v>3.5000000000000003E-2</v>
      </c>
      <c r="AE90" s="311">
        <f>IF(AE$82&gt;=$E90,'Dados ME'!AB$6,"")</f>
        <v>3.5000000000000003E-2</v>
      </c>
      <c r="AF90" s="311">
        <f>IF(AF$82&gt;=$E90,'Dados ME'!AC$6,"")</f>
        <v>3.5000000000000003E-2</v>
      </c>
      <c r="AG90" s="311">
        <f>IF(AG$82&gt;=$E90,'Dados ME'!AD$6,"")</f>
        <v>3.5000000000000003E-2</v>
      </c>
      <c r="AH90" s="311">
        <f>IF(AH$82&gt;=$E90,'Dados ME'!AE$6,"")</f>
        <v>3.5000000000000003E-2</v>
      </c>
      <c r="AI90" s="311">
        <f>IF(AI$82&gt;=$E90,'Dados ME'!AF$6,"")</f>
        <v>3.5000000000000003E-2</v>
      </c>
      <c r="AJ90" s="311">
        <f>IF(AJ$82&gt;=$E90,'Dados ME'!AG$6,"")</f>
        <v>3.5000000000000003E-2</v>
      </c>
      <c r="AK90" s="311">
        <f>IF(AK$82&gt;=$E90,'Dados ME'!AH$6,"")</f>
        <v>3.5000000000000003E-2</v>
      </c>
      <c r="AL90" s="311">
        <f>IF(AL$82&gt;=$E90,'Dados ME'!AI$6,"")</f>
        <v>3.5000000000000003E-2</v>
      </c>
      <c r="AM90" s="311">
        <f>IF(AM$82&gt;=$E90,'Dados ME'!AJ$6,"")</f>
        <v>3.5000000000000003E-2</v>
      </c>
      <c r="AN90" s="311">
        <f>IF(AN$82&gt;=$E90,'Dados ME'!AK$6,"")</f>
        <v>3.5000000000000003E-2</v>
      </c>
      <c r="AO90" s="311">
        <f>IF(AO$82&gt;=$E90,'Dados ME'!AL$6,"")</f>
        <v>3.5000000000000003E-2</v>
      </c>
      <c r="AP90" s="311">
        <f>IF(AP$82&gt;=$E90,'Dados ME'!AM$6,"")</f>
        <v>3.5000000000000003E-2</v>
      </c>
      <c r="AQ90" s="296"/>
    </row>
    <row r="91" spans="3:43" x14ac:dyDescent="0.3">
      <c r="C91" s="1156"/>
      <c r="D91" s="294"/>
      <c r="E91" s="306">
        <f t="shared" si="92"/>
        <v>2035</v>
      </c>
      <c r="F91" s="294"/>
      <c r="G91" s="295"/>
      <c r="H91" s="311" t="str">
        <f>IF(H$82&gt;=$E91,'Dados ME'!E$6,"")</f>
        <v/>
      </c>
      <c r="I91" s="311" t="str">
        <f>IF(I$82&gt;=$E91,'Dados ME'!F$6,"")</f>
        <v/>
      </c>
      <c r="J91" s="311" t="str">
        <f>IF(J$82&gt;=$E91,'Dados ME'!G$6,"")</f>
        <v/>
      </c>
      <c r="K91" s="311" t="str">
        <f>IF(K$82&gt;=$E91,'Dados ME'!H$6,"")</f>
        <v/>
      </c>
      <c r="L91" s="311" t="str">
        <f>IF(L$82&gt;=$E91,'Dados ME'!I$6,"")</f>
        <v/>
      </c>
      <c r="M91" s="311" t="str">
        <f>IF(M$82&gt;=$E91,'Dados ME'!J$6,"")</f>
        <v/>
      </c>
      <c r="N91" s="311" t="str">
        <f>IF(N$82&gt;=$E91,'Dados ME'!K$6,"")</f>
        <v/>
      </c>
      <c r="O91" s="311" t="str">
        <f>IF(O$82&gt;=$E91,'Dados ME'!L$6,"")</f>
        <v/>
      </c>
      <c r="P91" s="311">
        <f>IF(P$82&gt;=$E91,'Dados ME'!M$6,"")</f>
        <v>3.5000000000000003E-2</v>
      </c>
      <c r="Q91" s="311">
        <f>IF(Q$82&gt;=$E91,'Dados ME'!N$6,"")</f>
        <v>3.5000000000000003E-2</v>
      </c>
      <c r="R91" s="311">
        <f>IF(R$82&gt;=$E91,'Dados ME'!O$6,"")</f>
        <v>3.5000000000000003E-2</v>
      </c>
      <c r="S91" s="311">
        <f>IF(S$82&gt;=$E91,'Dados ME'!P$6,"")</f>
        <v>3.5000000000000003E-2</v>
      </c>
      <c r="T91" s="311">
        <f>IF(T$82&gt;=$E91,'Dados ME'!Q$6,"")</f>
        <v>3.5000000000000003E-2</v>
      </c>
      <c r="U91" s="311">
        <f>IF(U$82&gt;=$E91,'Dados ME'!R$6,"")</f>
        <v>3.5000000000000003E-2</v>
      </c>
      <c r="V91" s="311">
        <f>IF(V$82&gt;=$E91,'Dados ME'!S$6,"")</f>
        <v>3.5000000000000003E-2</v>
      </c>
      <c r="W91" s="311">
        <f>IF(W$82&gt;=$E91,'Dados ME'!T$6,"")</f>
        <v>3.5000000000000003E-2</v>
      </c>
      <c r="X91" s="311">
        <f>IF(X$82&gt;=$E91,'Dados ME'!U$6,"")</f>
        <v>3.5000000000000003E-2</v>
      </c>
      <c r="Y91" s="311">
        <f>IF(Y$82&gt;=$E91,'Dados ME'!V$6,"")</f>
        <v>3.5000000000000003E-2</v>
      </c>
      <c r="Z91" s="311">
        <f>IF(Z$82&gt;=$E91,'Dados ME'!W$6,"")</f>
        <v>3.5000000000000003E-2</v>
      </c>
      <c r="AA91" s="311">
        <f>IF(AA$82&gt;=$E91,'Dados ME'!X$6,"")</f>
        <v>3.5000000000000003E-2</v>
      </c>
      <c r="AB91" s="311">
        <f>IF(AB$82&gt;=$E91,'Dados ME'!Y$6,"")</f>
        <v>3.5000000000000003E-2</v>
      </c>
      <c r="AC91" s="311">
        <f>IF(AC$82&gt;=$E91,'Dados ME'!Z$6,"")</f>
        <v>3.5000000000000003E-2</v>
      </c>
      <c r="AD91" s="311">
        <f>IF(AD$82&gt;=$E91,'Dados ME'!AA$6,"")</f>
        <v>3.5000000000000003E-2</v>
      </c>
      <c r="AE91" s="311">
        <f>IF(AE$82&gt;=$E91,'Dados ME'!AB$6,"")</f>
        <v>3.5000000000000003E-2</v>
      </c>
      <c r="AF91" s="311">
        <f>IF(AF$82&gt;=$E91,'Dados ME'!AC$6,"")</f>
        <v>3.5000000000000003E-2</v>
      </c>
      <c r="AG91" s="311">
        <f>IF(AG$82&gt;=$E91,'Dados ME'!AD$6,"")</f>
        <v>3.5000000000000003E-2</v>
      </c>
      <c r="AH91" s="311">
        <f>IF(AH$82&gt;=$E91,'Dados ME'!AE$6,"")</f>
        <v>3.5000000000000003E-2</v>
      </c>
      <c r="AI91" s="311">
        <f>IF(AI$82&gt;=$E91,'Dados ME'!AF$6,"")</f>
        <v>3.5000000000000003E-2</v>
      </c>
      <c r="AJ91" s="311">
        <f>IF(AJ$82&gt;=$E91,'Dados ME'!AG$6,"")</f>
        <v>3.5000000000000003E-2</v>
      </c>
      <c r="AK91" s="311">
        <f>IF(AK$82&gt;=$E91,'Dados ME'!AH$6,"")</f>
        <v>3.5000000000000003E-2</v>
      </c>
      <c r="AL91" s="311">
        <f>IF(AL$82&gt;=$E91,'Dados ME'!AI$6,"")</f>
        <v>3.5000000000000003E-2</v>
      </c>
      <c r="AM91" s="311">
        <f>IF(AM$82&gt;=$E91,'Dados ME'!AJ$6,"")</f>
        <v>3.5000000000000003E-2</v>
      </c>
      <c r="AN91" s="311">
        <f>IF(AN$82&gt;=$E91,'Dados ME'!AK$6,"")</f>
        <v>3.5000000000000003E-2</v>
      </c>
      <c r="AO91" s="311">
        <f>IF(AO$82&gt;=$E91,'Dados ME'!AL$6,"")</f>
        <v>3.5000000000000003E-2</v>
      </c>
      <c r="AP91" s="311">
        <f>IF(AP$82&gt;=$E91,'Dados ME'!AM$6,"")</f>
        <v>3.5000000000000003E-2</v>
      </c>
      <c r="AQ91" s="296"/>
    </row>
    <row r="92" spans="3:43" x14ac:dyDescent="0.3">
      <c r="C92" s="1156"/>
      <c r="D92" s="294"/>
      <c r="E92" s="306">
        <f t="shared" si="92"/>
        <v>2036</v>
      </c>
      <c r="F92" s="294"/>
      <c r="G92" s="295"/>
      <c r="H92" s="311" t="str">
        <f>IF(H$82&gt;=$E92,'Dados ME'!E$6,"")</f>
        <v/>
      </c>
      <c r="I92" s="311" t="str">
        <f>IF(I$82&gt;=$E92,'Dados ME'!F$6,"")</f>
        <v/>
      </c>
      <c r="J92" s="311" t="str">
        <f>IF(J$82&gt;=$E92,'Dados ME'!G$6,"")</f>
        <v/>
      </c>
      <c r="K92" s="311" t="str">
        <f>IF(K$82&gt;=$E92,'Dados ME'!H$6,"")</f>
        <v/>
      </c>
      <c r="L92" s="311" t="str">
        <f>IF(L$82&gt;=$E92,'Dados ME'!I$6,"")</f>
        <v/>
      </c>
      <c r="M92" s="311" t="str">
        <f>IF(M$82&gt;=$E92,'Dados ME'!J$6,"")</f>
        <v/>
      </c>
      <c r="N92" s="311" t="str">
        <f>IF(N$82&gt;=$E92,'Dados ME'!K$6,"")</f>
        <v/>
      </c>
      <c r="O92" s="311" t="str">
        <f>IF(O$82&gt;=$E92,'Dados ME'!L$6,"")</f>
        <v/>
      </c>
      <c r="P92" s="311" t="str">
        <f>IF(P$82&gt;=$E92,'Dados ME'!M$6,"")</f>
        <v/>
      </c>
      <c r="Q92" s="311">
        <f>IF(Q$82&gt;=$E92,'Dados ME'!N$6,"")</f>
        <v>3.5000000000000003E-2</v>
      </c>
      <c r="R92" s="311">
        <f>IF(R$82&gt;=$E92,'Dados ME'!O$6,"")</f>
        <v>3.5000000000000003E-2</v>
      </c>
      <c r="S92" s="311">
        <f>IF(S$82&gt;=$E92,'Dados ME'!P$6,"")</f>
        <v>3.5000000000000003E-2</v>
      </c>
      <c r="T92" s="311">
        <f>IF(T$82&gt;=$E92,'Dados ME'!Q$6,"")</f>
        <v>3.5000000000000003E-2</v>
      </c>
      <c r="U92" s="311">
        <f>IF(U$82&gt;=$E92,'Dados ME'!R$6,"")</f>
        <v>3.5000000000000003E-2</v>
      </c>
      <c r="V92" s="311">
        <f>IF(V$82&gt;=$E92,'Dados ME'!S$6,"")</f>
        <v>3.5000000000000003E-2</v>
      </c>
      <c r="W92" s="311">
        <f>IF(W$82&gt;=$E92,'Dados ME'!T$6,"")</f>
        <v>3.5000000000000003E-2</v>
      </c>
      <c r="X92" s="311">
        <f>IF(X$82&gt;=$E92,'Dados ME'!U$6,"")</f>
        <v>3.5000000000000003E-2</v>
      </c>
      <c r="Y92" s="311">
        <f>IF(Y$82&gt;=$E92,'Dados ME'!V$6,"")</f>
        <v>3.5000000000000003E-2</v>
      </c>
      <c r="Z92" s="311">
        <f>IF(Z$82&gt;=$E92,'Dados ME'!W$6,"")</f>
        <v>3.5000000000000003E-2</v>
      </c>
      <c r="AA92" s="311">
        <f>IF(AA$82&gt;=$E92,'Dados ME'!X$6,"")</f>
        <v>3.5000000000000003E-2</v>
      </c>
      <c r="AB92" s="311">
        <f>IF(AB$82&gt;=$E92,'Dados ME'!Y$6,"")</f>
        <v>3.5000000000000003E-2</v>
      </c>
      <c r="AC92" s="311">
        <f>IF(AC$82&gt;=$E92,'Dados ME'!Z$6,"")</f>
        <v>3.5000000000000003E-2</v>
      </c>
      <c r="AD92" s="311">
        <f>IF(AD$82&gt;=$E92,'Dados ME'!AA$6,"")</f>
        <v>3.5000000000000003E-2</v>
      </c>
      <c r="AE92" s="311">
        <f>IF(AE$82&gt;=$E92,'Dados ME'!AB$6,"")</f>
        <v>3.5000000000000003E-2</v>
      </c>
      <c r="AF92" s="311">
        <f>IF(AF$82&gt;=$E92,'Dados ME'!AC$6,"")</f>
        <v>3.5000000000000003E-2</v>
      </c>
      <c r="AG92" s="311">
        <f>IF(AG$82&gt;=$E92,'Dados ME'!AD$6,"")</f>
        <v>3.5000000000000003E-2</v>
      </c>
      <c r="AH92" s="311">
        <f>IF(AH$82&gt;=$E92,'Dados ME'!AE$6,"")</f>
        <v>3.5000000000000003E-2</v>
      </c>
      <c r="AI92" s="311">
        <f>IF(AI$82&gt;=$E92,'Dados ME'!AF$6,"")</f>
        <v>3.5000000000000003E-2</v>
      </c>
      <c r="AJ92" s="311">
        <f>IF(AJ$82&gt;=$E92,'Dados ME'!AG$6,"")</f>
        <v>3.5000000000000003E-2</v>
      </c>
      <c r="AK92" s="311">
        <f>IF(AK$82&gt;=$E92,'Dados ME'!AH$6,"")</f>
        <v>3.5000000000000003E-2</v>
      </c>
      <c r="AL92" s="311">
        <f>IF(AL$82&gt;=$E92,'Dados ME'!AI$6,"")</f>
        <v>3.5000000000000003E-2</v>
      </c>
      <c r="AM92" s="311">
        <f>IF(AM$82&gt;=$E92,'Dados ME'!AJ$6,"")</f>
        <v>3.5000000000000003E-2</v>
      </c>
      <c r="AN92" s="311">
        <f>IF(AN$82&gt;=$E92,'Dados ME'!AK$6,"")</f>
        <v>3.5000000000000003E-2</v>
      </c>
      <c r="AO92" s="311">
        <f>IF(AO$82&gt;=$E92,'Dados ME'!AL$6,"")</f>
        <v>3.5000000000000003E-2</v>
      </c>
      <c r="AP92" s="311">
        <f>IF(AP$82&gt;=$E92,'Dados ME'!AM$6,"")</f>
        <v>3.5000000000000003E-2</v>
      </c>
      <c r="AQ92" s="296"/>
    </row>
    <row r="93" spans="3:43" x14ac:dyDescent="0.3">
      <c r="C93" s="1156"/>
      <c r="D93" s="294"/>
      <c r="E93" s="306">
        <f t="shared" si="92"/>
        <v>2037</v>
      </c>
      <c r="F93" s="294"/>
      <c r="G93" s="295"/>
      <c r="H93" s="311" t="str">
        <f>IF(H$82&gt;=$E93,'Dados ME'!E$6,"")</f>
        <v/>
      </c>
      <c r="I93" s="311" t="str">
        <f>IF(I$82&gt;=$E93,'Dados ME'!F$6,"")</f>
        <v/>
      </c>
      <c r="J93" s="311" t="str">
        <f>IF(J$82&gt;=$E93,'Dados ME'!G$6,"")</f>
        <v/>
      </c>
      <c r="K93" s="311" t="str">
        <f>IF(K$82&gt;=$E93,'Dados ME'!H$6,"")</f>
        <v/>
      </c>
      <c r="L93" s="311" t="str">
        <f>IF(L$82&gt;=$E93,'Dados ME'!I$6,"")</f>
        <v/>
      </c>
      <c r="M93" s="311" t="str">
        <f>IF(M$82&gt;=$E93,'Dados ME'!J$6,"")</f>
        <v/>
      </c>
      <c r="N93" s="311" t="str">
        <f>IF(N$82&gt;=$E93,'Dados ME'!K$6,"")</f>
        <v/>
      </c>
      <c r="O93" s="311" t="str">
        <f>IF(O$82&gt;=$E93,'Dados ME'!L$6,"")</f>
        <v/>
      </c>
      <c r="P93" s="311" t="str">
        <f>IF(P$82&gt;=$E93,'Dados ME'!M$6,"")</f>
        <v/>
      </c>
      <c r="Q93" s="311" t="str">
        <f>IF(Q$82&gt;=$E93,'Dados ME'!N$6,"")</f>
        <v/>
      </c>
      <c r="R93" s="311">
        <f>IF(R$82&gt;=$E93,'Dados ME'!O$6,"")</f>
        <v>3.5000000000000003E-2</v>
      </c>
      <c r="S93" s="311">
        <f>IF(S$82&gt;=$E93,'Dados ME'!P$6,"")</f>
        <v>3.5000000000000003E-2</v>
      </c>
      <c r="T93" s="311">
        <f>IF(T$82&gt;=$E93,'Dados ME'!Q$6,"")</f>
        <v>3.5000000000000003E-2</v>
      </c>
      <c r="U93" s="311">
        <f>IF(U$82&gt;=$E93,'Dados ME'!R$6,"")</f>
        <v>3.5000000000000003E-2</v>
      </c>
      <c r="V93" s="311">
        <f>IF(V$82&gt;=$E93,'Dados ME'!S$6,"")</f>
        <v>3.5000000000000003E-2</v>
      </c>
      <c r="W93" s="311">
        <f>IF(W$82&gt;=$E93,'Dados ME'!T$6,"")</f>
        <v>3.5000000000000003E-2</v>
      </c>
      <c r="X93" s="311">
        <f>IF(X$82&gt;=$E93,'Dados ME'!U$6,"")</f>
        <v>3.5000000000000003E-2</v>
      </c>
      <c r="Y93" s="311">
        <f>IF(Y$82&gt;=$E93,'Dados ME'!V$6,"")</f>
        <v>3.5000000000000003E-2</v>
      </c>
      <c r="Z93" s="311">
        <f>IF(Z$82&gt;=$E93,'Dados ME'!W$6,"")</f>
        <v>3.5000000000000003E-2</v>
      </c>
      <c r="AA93" s="311">
        <f>IF(AA$82&gt;=$E93,'Dados ME'!X$6,"")</f>
        <v>3.5000000000000003E-2</v>
      </c>
      <c r="AB93" s="311">
        <f>IF(AB$82&gt;=$E93,'Dados ME'!Y$6,"")</f>
        <v>3.5000000000000003E-2</v>
      </c>
      <c r="AC93" s="311">
        <f>IF(AC$82&gt;=$E93,'Dados ME'!Z$6,"")</f>
        <v>3.5000000000000003E-2</v>
      </c>
      <c r="AD93" s="311">
        <f>IF(AD$82&gt;=$E93,'Dados ME'!AA$6,"")</f>
        <v>3.5000000000000003E-2</v>
      </c>
      <c r="AE93" s="311">
        <f>IF(AE$82&gt;=$E93,'Dados ME'!AB$6,"")</f>
        <v>3.5000000000000003E-2</v>
      </c>
      <c r="AF93" s="311">
        <f>IF(AF$82&gt;=$E93,'Dados ME'!AC$6,"")</f>
        <v>3.5000000000000003E-2</v>
      </c>
      <c r="AG93" s="311">
        <f>IF(AG$82&gt;=$E93,'Dados ME'!AD$6,"")</f>
        <v>3.5000000000000003E-2</v>
      </c>
      <c r="AH93" s="311">
        <f>IF(AH$82&gt;=$E93,'Dados ME'!AE$6,"")</f>
        <v>3.5000000000000003E-2</v>
      </c>
      <c r="AI93" s="311">
        <f>IF(AI$82&gt;=$E93,'Dados ME'!AF$6,"")</f>
        <v>3.5000000000000003E-2</v>
      </c>
      <c r="AJ93" s="311">
        <f>IF(AJ$82&gt;=$E93,'Dados ME'!AG$6,"")</f>
        <v>3.5000000000000003E-2</v>
      </c>
      <c r="AK93" s="311">
        <f>IF(AK$82&gt;=$E93,'Dados ME'!AH$6,"")</f>
        <v>3.5000000000000003E-2</v>
      </c>
      <c r="AL93" s="311">
        <f>IF(AL$82&gt;=$E93,'Dados ME'!AI$6,"")</f>
        <v>3.5000000000000003E-2</v>
      </c>
      <c r="AM93" s="311">
        <f>IF(AM$82&gt;=$E93,'Dados ME'!AJ$6,"")</f>
        <v>3.5000000000000003E-2</v>
      </c>
      <c r="AN93" s="311">
        <f>IF(AN$82&gt;=$E93,'Dados ME'!AK$6,"")</f>
        <v>3.5000000000000003E-2</v>
      </c>
      <c r="AO93" s="311">
        <f>IF(AO$82&gt;=$E93,'Dados ME'!AL$6,"")</f>
        <v>3.5000000000000003E-2</v>
      </c>
      <c r="AP93" s="311">
        <f>IF(AP$82&gt;=$E93,'Dados ME'!AM$6,"")</f>
        <v>3.5000000000000003E-2</v>
      </c>
      <c r="AQ93" s="296"/>
    </row>
    <row r="94" spans="3:43" x14ac:dyDescent="0.3">
      <c r="C94" s="1156"/>
      <c r="D94" s="294"/>
      <c r="E94" s="306">
        <f t="shared" si="92"/>
        <v>2038</v>
      </c>
      <c r="F94" s="294"/>
      <c r="G94" s="295"/>
      <c r="H94" s="311" t="str">
        <f>IF(H$82&gt;=$E94,'Dados ME'!E$6,"")</f>
        <v/>
      </c>
      <c r="I94" s="311" t="str">
        <f>IF(I$82&gt;=$E94,'Dados ME'!F$6,"")</f>
        <v/>
      </c>
      <c r="J94" s="311" t="str">
        <f>IF(J$82&gt;=$E94,'Dados ME'!G$6,"")</f>
        <v/>
      </c>
      <c r="K94" s="311" t="str">
        <f>IF(K$82&gt;=$E94,'Dados ME'!H$6,"")</f>
        <v/>
      </c>
      <c r="L94" s="311" t="str">
        <f>IF(L$82&gt;=$E94,'Dados ME'!I$6,"")</f>
        <v/>
      </c>
      <c r="M94" s="311" t="str">
        <f>IF(M$82&gt;=$E94,'Dados ME'!J$6,"")</f>
        <v/>
      </c>
      <c r="N94" s="311" t="str">
        <f>IF(N$82&gt;=$E94,'Dados ME'!K$6,"")</f>
        <v/>
      </c>
      <c r="O94" s="311" t="str">
        <f>IF(O$82&gt;=$E94,'Dados ME'!L$6,"")</f>
        <v/>
      </c>
      <c r="P94" s="311" t="str">
        <f>IF(P$82&gt;=$E94,'Dados ME'!M$6,"")</f>
        <v/>
      </c>
      <c r="Q94" s="311" t="str">
        <f>IF(Q$82&gt;=$E94,'Dados ME'!N$6,"")</f>
        <v/>
      </c>
      <c r="R94" s="311" t="str">
        <f>IF(R$82&gt;=$E94,'Dados ME'!O$6,"")</f>
        <v/>
      </c>
      <c r="S94" s="311">
        <f>IF(S$82&gt;=$E94,'Dados ME'!P$6,"")</f>
        <v>3.5000000000000003E-2</v>
      </c>
      <c r="T94" s="311">
        <f>IF(T$82&gt;=$E94,'Dados ME'!Q$6,"")</f>
        <v>3.5000000000000003E-2</v>
      </c>
      <c r="U94" s="311">
        <f>IF(U$82&gt;=$E94,'Dados ME'!R$6,"")</f>
        <v>3.5000000000000003E-2</v>
      </c>
      <c r="V94" s="311">
        <f>IF(V$82&gt;=$E94,'Dados ME'!S$6,"")</f>
        <v>3.5000000000000003E-2</v>
      </c>
      <c r="W94" s="311">
        <f>IF(W$82&gt;=$E94,'Dados ME'!T$6,"")</f>
        <v>3.5000000000000003E-2</v>
      </c>
      <c r="X94" s="311">
        <f>IF(X$82&gt;=$E94,'Dados ME'!U$6,"")</f>
        <v>3.5000000000000003E-2</v>
      </c>
      <c r="Y94" s="311">
        <f>IF(Y$82&gt;=$E94,'Dados ME'!V$6,"")</f>
        <v>3.5000000000000003E-2</v>
      </c>
      <c r="Z94" s="311">
        <f>IF(Z$82&gt;=$E94,'Dados ME'!W$6,"")</f>
        <v>3.5000000000000003E-2</v>
      </c>
      <c r="AA94" s="311">
        <f>IF(AA$82&gt;=$E94,'Dados ME'!X$6,"")</f>
        <v>3.5000000000000003E-2</v>
      </c>
      <c r="AB94" s="311">
        <f>IF(AB$82&gt;=$E94,'Dados ME'!Y$6,"")</f>
        <v>3.5000000000000003E-2</v>
      </c>
      <c r="AC94" s="311">
        <f>IF(AC$82&gt;=$E94,'Dados ME'!Z$6,"")</f>
        <v>3.5000000000000003E-2</v>
      </c>
      <c r="AD94" s="311">
        <f>IF(AD$82&gt;=$E94,'Dados ME'!AA$6,"")</f>
        <v>3.5000000000000003E-2</v>
      </c>
      <c r="AE94" s="311">
        <f>IF(AE$82&gt;=$E94,'Dados ME'!AB$6,"")</f>
        <v>3.5000000000000003E-2</v>
      </c>
      <c r="AF94" s="311">
        <f>IF(AF$82&gt;=$E94,'Dados ME'!AC$6,"")</f>
        <v>3.5000000000000003E-2</v>
      </c>
      <c r="AG94" s="311">
        <f>IF(AG$82&gt;=$E94,'Dados ME'!AD$6,"")</f>
        <v>3.5000000000000003E-2</v>
      </c>
      <c r="AH94" s="311">
        <f>IF(AH$82&gt;=$E94,'Dados ME'!AE$6,"")</f>
        <v>3.5000000000000003E-2</v>
      </c>
      <c r="AI94" s="311">
        <f>IF(AI$82&gt;=$E94,'Dados ME'!AF$6,"")</f>
        <v>3.5000000000000003E-2</v>
      </c>
      <c r="AJ94" s="311">
        <f>IF(AJ$82&gt;=$E94,'Dados ME'!AG$6,"")</f>
        <v>3.5000000000000003E-2</v>
      </c>
      <c r="AK94" s="311">
        <f>IF(AK$82&gt;=$E94,'Dados ME'!AH$6,"")</f>
        <v>3.5000000000000003E-2</v>
      </c>
      <c r="AL94" s="311">
        <f>IF(AL$82&gt;=$E94,'Dados ME'!AI$6,"")</f>
        <v>3.5000000000000003E-2</v>
      </c>
      <c r="AM94" s="311">
        <f>IF(AM$82&gt;=$E94,'Dados ME'!AJ$6,"")</f>
        <v>3.5000000000000003E-2</v>
      </c>
      <c r="AN94" s="311">
        <f>IF(AN$82&gt;=$E94,'Dados ME'!AK$6,"")</f>
        <v>3.5000000000000003E-2</v>
      </c>
      <c r="AO94" s="311">
        <f>IF(AO$82&gt;=$E94,'Dados ME'!AL$6,"")</f>
        <v>3.5000000000000003E-2</v>
      </c>
      <c r="AP94" s="311">
        <f>IF(AP$82&gt;=$E94,'Dados ME'!AM$6,"")</f>
        <v>3.5000000000000003E-2</v>
      </c>
      <c r="AQ94" s="296"/>
    </row>
    <row r="95" spans="3:43" x14ac:dyDescent="0.3">
      <c r="C95" s="1156"/>
      <c r="D95" s="294"/>
      <c r="E95" s="306">
        <f t="shared" si="92"/>
        <v>2039</v>
      </c>
      <c r="F95" s="294"/>
      <c r="G95" s="295"/>
      <c r="H95" s="311" t="str">
        <f>IF(H$82&gt;=$E95,'Dados ME'!E$6,"")</f>
        <v/>
      </c>
      <c r="I95" s="311" t="str">
        <f>IF(I$82&gt;=$E95,'Dados ME'!F$6,"")</f>
        <v/>
      </c>
      <c r="J95" s="311" t="str">
        <f>IF(J$82&gt;=$E95,'Dados ME'!G$6,"")</f>
        <v/>
      </c>
      <c r="K95" s="311" t="str">
        <f>IF(K$82&gt;=$E95,'Dados ME'!H$6,"")</f>
        <v/>
      </c>
      <c r="L95" s="311" t="str">
        <f>IF(L$82&gt;=$E95,'Dados ME'!I$6,"")</f>
        <v/>
      </c>
      <c r="M95" s="311" t="str">
        <f>IF(M$82&gt;=$E95,'Dados ME'!J$6,"")</f>
        <v/>
      </c>
      <c r="N95" s="311" t="str">
        <f>IF(N$82&gt;=$E95,'Dados ME'!K$6,"")</f>
        <v/>
      </c>
      <c r="O95" s="311" t="str">
        <f>IF(O$82&gt;=$E95,'Dados ME'!L$6,"")</f>
        <v/>
      </c>
      <c r="P95" s="311" t="str">
        <f>IF(P$82&gt;=$E95,'Dados ME'!M$6,"")</f>
        <v/>
      </c>
      <c r="Q95" s="311" t="str">
        <f>IF(Q$82&gt;=$E95,'Dados ME'!N$6,"")</f>
        <v/>
      </c>
      <c r="R95" s="311" t="str">
        <f>IF(R$82&gt;=$E95,'Dados ME'!O$6,"")</f>
        <v/>
      </c>
      <c r="S95" s="311" t="str">
        <f>IF(S$82&gt;=$E95,'Dados ME'!P$6,"")</f>
        <v/>
      </c>
      <c r="T95" s="311">
        <f>IF(T$82&gt;=$E95,'Dados ME'!Q$6,"")</f>
        <v>3.5000000000000003E-2</v>
      </c>
      <c r="U95" s="311">
        <f>IF(U$82&gt;=$E95,'Dados ME'!R$6,"")</f>
        <v>3.5000000000000003E-2</v>
      </c>
      <c r="V95" s="311">
        <f>IF(V$82&gt;=$E95,'Dados ME'!S$6,"")</f>
        <v>3.5000000000000003E-2</v>
      </c>
      <c r="W95" s="311">
        <f>IF(W$82&gt;=$E95,'Dados ME'!T$6,"")</f>
        <v>3.5000000000000003E-2</v>
      </c>
      <c r="X95" s="311">
        <f>IF(X$82&gt;=$E95,'Dados ME'!U$6,"")</f>
        <v>3.5000000000000003E-2</v>
      </c>
      <c r="Y95" s="311">
        <f>IF(Y$82&gt;=$E95,'Dados ME'!V$6,"")</f>
        <v>3.5000000000000003E-2</v>
      </c>
      <c r="Z95" s="311">
        <f>IF(Z$82&gt;=$E95,'Dados ME'!W$6,"")</f>
        <v>3.5000000000000003E-2</v>
      </c>
      <c r="AA95" s="311">
        <f>IF(AA$82&gt;=$E95,'Dados ME'!X$6,"")</f>
        <v>3.5000000000000003E-2</v>
      </c>
      <c r="AB95" s="311">
        <f>IF(AB$82&gt;=$E95,'Dados ME'!Y$6,"")</f>
        <v>3.5000000000000003E-2</v>
      </c>
      <c r="AC95" s="311">
        <f>IF(AC$82&gt;=$E95,'Dados ME'!Z$6,"")</f>
        <v>3.5000000000000003E-2</v>
      </c>
      <c r="AD95" s="311">
        <f>IF(AD$82&gt;=$E95,'Dados ME'!AA$6,"")</f>
        <v>3.5000000000000003E-2</v>
      </c>
      <c r="AE95" s="311">
        <f>IF(AE$82&gt;=$E95,'Dados ME'!AB$6,"")</f>
        <v>3.5000000000000003E-2</v>
      </c>
      <c r="AF95" s="311">
        <f>IF(AF$82&gt;=$E95,'Dados ME'!AC$6,"")</f>
        <v>3.5000000000000003E-2</v>
      </c>
      <c r="AG95" s="311">
        <f>IF(AG$82&gt;=$E95,'Dados ME'!AD$6,"")</f>
        <v>3.5000000000000003E-2</v>
      </c>
      <c r="AH95" s="311">
        <f>IF(AH$82&gt;=$E95,'Dados ME'!AE$6,"")</f>
        <v>3.5000000000000003E-2</v>
      </c>
      <c r="AI95" s="311">
        <f>IF(AI$82&gt;=$E95,'Dados ME'!AF$6,"")</f>
        <v>3.5000000000000003E-2</v>
      </c>
      <c r="AJ95" s="311">
        <f>IF(AJ$82&gt;=$E95,'Dados ME'!AG$6,"")</f>
        <v>3.5000000000000003E-2</v>
      </c>
      <c r="AK95" s="311">
        <f>IF(AK$82&gt;=$E95,'Dados ME'!AH$6,"")</f>
        <v>3.5000000000000003E-2</v>
      </c>
      <c r="AL95" s="311">
        <f>IF(AL$82&gt;=$E95,'Dados ME'!AI$6,"")</f>
        <v>3.5000000000000003E-2</v>
      </c>
      <c r="AM95" s="311">
        <f>IF(AM$82&gt;=$E95,'Dados ME'!AJ$6,"")</f>
        <v>3.5000000000000003E-2</v>
      </c>
      <c r="AN95" s="311">
        <f>IF(AN$82&gt;=$E95,'Dados ME'!AK$6,"")</f>
        <v>3.5000000000000003E-2</v>
      </c>
      <c r="AO95" s="311">
        <f>IF(AO$82&gt;=$E95,'Dados ME'!AL$6,"")</f>
        <v>3.5000000000000003E-2</v>
      </c>
      <c r="AP95" s="311">
        <f>IF(AP$82&gt;=$E95,'Dados ME'!AM$6,"")</f>
        <v>3.5000000000000003E-2</v>
      </c>
      <c r="AQ95" s="296"/>
    </row>
    <row r="96" spans="3:43" x14ac:dyDescent="0.3">
      <c r="C96" s="1156"/>
      <c r="D96" s="294"/>
      <c r="E96" s="306">
        <f t="shared" si="92"/>
        <v>2040</v>
      </c>
      <c r="F96" s="294"/>
      <c r="G96" s="295"/>
      <c r="H96" s="311" t="str">
        <f>IF(H$82&gt;=$E96,'Dados ME'!E$6,"")</f>
        <v/>
      </c>
      <c r="I96" s="311" t="str">
        <f>IF(I$82&gt;=$E96,'Dados ME'!F$6,"")</f>
        <v/>
      </c>
      <c r="J96" s="311" t="str">
        <f>IF(J$82&gt;=$E96,'Dados ME'!G$6,"")</f>
        <v/>
      </c>
      <c r="K96" s="311" t="str">
        <f>IF(K$82&gt;=$E96,'Dados ME'!H$6,"")</f>
        <v/>
      </c>
      <c r="L96" s="311" t="str">
        <f>IF(L$82&gt;=$E96,'Dados ME'!I$6,"")</f>
        <v/>
      </c>
      <c r="M96" s="311" t="str">
        <f>IF(M$82&gt;=$E96,'Dados ME'!J$6,"")</f>
        <v/>
      </c>
      <c r="N96" s="311" t="str">
        <f>IF(N$82&gt;=$E96,'Dados ME'!K$6,"")</f>
        <v/>
      </c>
      <c r="O96" s="311" t="str">
        <f>IF(O$82&gt;=$E96,'Dados ME'!L$6,"")</f>
        <v/>
      </c>
      <c r="P96" s="311" t="str">
        <f>IF(P$82&gt;=$E96,'Dados ME'!M$6,"")</f>
        <v/>
      </c>
      <c r="Q96" s="311" t="str">
        <f>IF(Q$82&gt;=$E96,'Dados ME'!N$6,"")</f>
        <v/>
      </c>
      <c r="R96" s="311" t="str">
        <f>IF(R$82&gt;=$E96,'Dados ME'!O$6,"")</f>
        <v/>
      </c>
      <c r="S96" s="311" t="str">
        <f>IF(S$82&gt;=$E96,'Dados ME'!P$6,"")</f>
        <v/>
      </c>
      <c r="T96" s="311" t="str">
        <f>IF(T$82&gt;=$E96,'Dados ME'!Q$6,"")</f>
        <v/>
      </c>
      <c r="U96" s="311">
        <f>IF(U$82&gt;=$E96,'Dados ME'!R$6,"")</f>
        <v>3.5000000000000003E-2</v>
      </c>
      <c r="V96" s="311">
        <f>IF(V$82&gt;=$E96,'Dados ME'!S$6,"")</f>
        <v>3.5000000000000003E-2</v>
      </c>
      <c r="W96" s="311">
        <f>IF(W$82&gt;=$E96,'Dados ME'!T$6,"")</f>
        <v>3.5000000000000003E-2</v>
      </c>
      <c r="X96" s="311">
        <f>IF(X$82&gt;=$E96,'Dados ME'!U$6,"")</f>
        <v>3.5000000000000003E-2</v>
      </c>
      <c r="Y96" s="311">
        <f>IF(Y$82&gt;=$E96,'Dados ME'!V$6,"")</f>
        <v>3.5000000000000003E-2</v>
      </c>
      <c r="Z96" s="311">
        <f>IF(Z$82&gt;=$E96,'Dados ME'!W$6,"")</f>
        <v>3.5000000000000003E-2</v>
      </c>
      <c r="AA96" s="311">
        <f>IF(AA$82&gt;=$E96,'Dados ME'!X$6,"")</f>
        <v>3.5000000000000003E-2</v>
      </c>
      <c r="AB96" s="311">
        <f>IF(AB$82&gt;=$E96,'Dados ME'!Y$6,"")</f>
        <v>3.5000000000000003E-2</v>
      </c>
      <c r="AC96" s="311">
        <f>IF(AC$82&gt;=$E96,'Dados ME'!Z$6,"")</f>
        <v>3.5000000000000003E-2</v>
      </c>
      <c r="AD96" s="311">
        <f>IF(AD$82&gt;=$E96,'Dados ME'!AA$6,"")</f>
        <v>3.5000000000000003E-2</v>
      </c>
      <c r="AE96" s="311">
        <f>IF(AE$82&gt;=$E96,'Dados ME'!AB$6,"")</f>
        <v>3.5000000000000003E-2</v>
      </c>
      <c r="AF96" s="311">
        <f>IF(AF$82&gt;=$E96,'Dados ME'!AC$6,"")</f>
        <v>3.5000000000000003E-2</v>
      </c>
      <c r="AG96" s="311">
        <f>IF(AG$82&gt;=$E96,'Dados ME'!AD$6,"")</f>
        <v>3.5000000000000003E-2</v>
      </c>
      <c r="AH96" s="311">
        <f>IF(AH$82&gt;=$E96,'Dados ME'!AE$6,"")</f>
        <v>3.5000000000000003E-2</v>
      </c>
      <c r="AI96" s="311">
        <f>IF(AI$82&gt;=$E96,'Dados ME'!AF$6,"")</f>
        <v>3.5000000000000003E-2</v>
      </c>
      <c r="AJ96" s="311">
        <f>IF(AJ$82&gt;=$E96,'Dados ME'!AG$6,"")</f>
        <v>3.5000000000000003E-2</v>
      </c>
      <c r="AK96" s="311">
        <f>IF(AK$82&gt;=$E96,'Dados ME'!AH$6,"")</f>
        <v>3.5000000000000003E-2</v>
      </c>
      <c r="AL96" s="311">
        <f>IF(AL$82&gt;=$E96,'Dados ME'!AI$6,"")</f>
        <v>3.5000000000000003E-2</v>
      </c>
      <c r="AM96" s="311">
        <f>IF(AM$82&gt;=$E96,'Dados ME'!AJ$6,"")</f>
        <v>3.5000000000000003E-2</v>
      </c>
      <c r="AN96" s="311">
        <f>IF(AN$82&gt;=$E96,'Dados ME'!AK$6,"")</f>
        <v>3.5000000000000003E-2</v>
      </c>
      <c r="AO96" s="311">
        <f>IF(AO$82&gt;=$E96,'Dados ME'!AL$6,"")</f>
        <v>3.5000000000000003E-2</v>
      </c>
      <c r="AP96" s="311">
        <f>IF(AP$82&gt;=$E96,'Dados ME'!AM$6,"")</f>
        <v>3.5000000000000003E-2</v>
      </c>
      <c r="AQ96" s="296"/>
    </row>
    <row r="97" spans="3:43" x14ac:dyDescent="0.3">
      <c r="C97" s="1156"/>
      <c r="D97" s="294"/>
      <c r="E97" s="306">
        <f t="shared" si="92"/>
        <v>2041</v>
      </c>
      <c r="F97" s="294"/>
      <c r="G97" s="295"/>
      <c r="H97" s="311" t="str">
        <f>IF(H$82&gt;=$E97,'Dados ME'!E$6,"")</f>
        <v/>
      </c>
      <c r="I97" s="311" t="str">
        <f>IF(I$82&gt;=$E97,'Dados ME'!F$6,"")</f>
        <v/>
      </c>
      <c r="J97" s="311" t="str">
        <f>IF(J$82&gt;=$E97,'Dados ME'!G$6,"")</f>
        <v/>
      </c>
      <c r="K97" s="311" t="str">
        <f>IF(K$82&gt;=$E97,'Dados ME'!H$6,"")</f>
        <v/>
      </c>
      <c r="L97" s="311" t="str">
        <f>IF(L$82&gt;=$E97,'Dados ME'!I$6,"")</f>
        <v/>
      </c>
      <c r="M97" s="311" t="str">
        <f>IF(M$82&gt;=$E97,'Dados ME'!J$6,"")</f>
        <v/>
      </c>
      <c r="N97" s="311" t="str">
        <f>IF(N$82&gt;=$E97,'Dados ME'!K$6,"")</f>
        <v/>
      </c>
      <c r="O97" s="311" t="str">
        <f>IF(O$82&gt;=$E97,'Dados ME'!L$6,"")</f>
        <v/>
      </c>
      <c r="P97" s="311" t="str">
        <f>IF(P$82&gt;=$E97,'Dados ME'!M$6,"")</f>
        <v/>
      </c>
      <c r="Q97" s="311" t="str">
        <f>IF(Q$82&gt;=$E97,'Dados ME'!N$6,"")</f>
        <v/>
      </c>
      <c r="R97" s="311" t="str">
        <f>IF(R$82&gt;=$E97,'Dados ME'!O$6,"")</f>
        <v/>
      </c>
      <c r="S97" s="311" t="str">
        <f>IF(S$82&gt;=$E97,'Dados ME'!P$6,"")</f>
        <v/>
      </c>
      <c r="T97" s="311" t="str">
        <f>IF(T$82&gt;=$E97,'Dados ME'!Q$6,"")</f>
        <v/>
      </c>
      <c r="U97" s="311" t="str">
        <f>IF(U$82&gt;=$E97,'Dados ME'!R$6,"")</f>
        <v/>
      </c>
      <c r="V97" s="311">
        <f>IF(V$82&gt;=$E97,'Dados ME'!S$6,"")</f>
        <v>3.5000000000000003E-2</v>
      </c>
      <c r="W97" s="311">
        <f>IF(W$82&gt;=$E97,'Dados ME'!T$6,"")</f>
        <v>3.5000000000000003E-2</v>
      </c>
      <c r="X97" s="311">
        <f>IF(X$82&gt;=$E97,'Dados ME'!U$6,"")</f>
        <v>3.5000000000000003E-2</v>
      </c>
      <c r="Y97" s="311">
        <f>IF(Y$82&gt;=$E97,'Dados ME'!V$6,"")</f>
        <v>3.5000000000000003E-2</v>
      </c>
      <c r="Z97" s="311">
        <f>IF(Z$82&gt;=$E97,'Dados ME'!W$6,"")</f>
        <v>3.5000000000000003E-2</v>
      </c>
      <c r="AA97" s="311">
        <f>IF(AA$82&gt;=$E97,'Dados ME'!X$6,"")</f>
        <v>3.5000000000000003E-2</v>
      </c>
      <c r="AB97" s="311">
        <f>IF(AB$82&gt;=$E97,'Dados ME'!Y$6,"")</f>
        <v>3.5000000000000003E-2</v>
      </c>
      <c r="AC97" s="311">
        <f>IF(AC$82&gt;=$E97,'Dados ME'!Z$6,"")</f>
        <v>3.5000000000000003E-2</v>
      </c>
      <c r="AD97" s="311">
        <f>IF(AD$82&gt;=$E97,'Dados ME'!AA$6,"")</f>
        <v>3.5000000000000003E-2</v>
      </c>
      <c r="AE97" s="311">
        <f>IF(AE$82&gt;=$E97,'Dados ME'!AB$6,"")</f>
        <v>3.5000000000000003E-2</v>
      </c>
      <c r="AF97" s="311">
        <f>IF(AF$82&gt;=$E97,'Dados ME'!AC$6,"")</f>
        <v>3.5000000000000003E-2</v>
      </c>
      <c r="AG97" s="311">
        <f>IF(AG$82&gt;=$E97,'Dados ME'!AD$6,"")</f>
        <v>3.5000000000000003E-2</v>
      </c>
      <c r="AH97" s="311">
        <f>IF(AH$82&gt;=$E97,'Dados ME'!AE$6,"")</f>
        <v>3.5000000000000003E-2</v>
      </c>
      <c r="AI97" s="311">
        <f>IF(AI$82&gt;=$E97,'Dados ME'!AF$6,"")</f>
        <v>3.5000000000000003E-2</v>
      </c>
      <c r="AJ97" s="311">
        <f>IF(AJ$82&gt;=$E97,'Dados ME'!AG$6,"")</f>
        <v>3.5000000000000003E-2</v>
      </c>
      <c r="AK97" s="311">
        <f>IF(AK$82&gt;=$E97,'Dados ME'!AH$6,"")</f>
        <v>3.5000000000000003E-2</v>
      </c>
      <c r="AL97" s="311">
        <f>IF(AL$82&gt;=$E97,'Dados ME'!AI$6,"")</f>
        <v>3.5000000000000003E-2</v>
      </c>
      <c r="AM97" s="311">
        <f>IF(AM$82&gt;=$E97,'Dados ME'!AJ$6,"")</f>
        <v>3.5000000000000003E-2</v>
      </c>
      <c r="AN97" s="311">
        <f>IF(AN$82&gt;=$E97,'Dados ME'!AK$6,"")</f>
        <v>3.5000000000000003E-2</v>
      </c>
      <c r="AO97" s="311">
        <f>IF(AO$82&gt;=$E97,'Dados ME'!AL$6,"")</f>
        <v>3.5000000000000003E-2</v>
      </c>
      <c r="AP97" s="311">
        <f>IF(AP$82&gt;=$E97,'Dados ME'!AM$6,"")</f>
        <v>3.5000000000000003E-2</v>
      </c>
      <c r="AQ97" s="296"/>
    </row>
    <row r="98" spans="3:43" x14ac:dyDescent="0.3">
      <c r="C98" s="1156"/>
      <c r="D98" s="294"/>
      <c r="E98" s="306">
        <f t="shared" si="92"/>
        <v>2042</v>
      </c>
      <c r="F98" s="294"/>
      <c r="G98" s="295"/>
      <c r="H98" s="311" t="str">
        <f>IF(H$82&gt;=$E98,'Dados ME'!E$6,"")</f>
        <v/>
      </c>
      <c r="I98" s="311" t="str">
        <f>IF(I$82&gt;=$E98,'Dados ME'!F$6,"")</f>
        <v/>
      </c>
      <c r="J98" s="311" t="str">
        <f>IF(J$82&gt;=$E98,'Dados ME'!G$6,"")</f>
        <v/>
      </c>
      <c r="K98" s="311" t="str">
        <f>IF(K$82&gt;=$E98,'Dados ME'!H$6,"")</f>
        <v/>
      </c>
      <c r="L98" s="311" t="str">
        <f>IF(L$82&gt;=$E98,'Dados ME'!I$6,"")</f>
        <v/>
      </c>
      <c r="M98" s="311" t="str">
        <f>IF(M$82&gt;=$E98,'Dados ME'!J$6,"")</f>
        <v/>
      </c>
      <c r="N98" s="311" t="str">
        <f>IF(N$82&gt;=$E98,'Dados ME'!K$6,"")</f>
        <v/>
      </c>
      <c r="O98" s="311" t="str">
        <f>IF(O$82&gt;=$E98,'Dados ME'!L$6,"")</f>
        <v/>
      </c>
      <c r="P98" s="311" t="str">
        <f>IF(P$82&gt;=$E98,'Dados ME'!M$6,"")</f>
        <v/>
      </c>
      <c r="Q98" s="311" t="str">
        <f>IF(Q$82&gt;=$E98,'Dados ME'!N$6,"")</f>
        <v/>
      </c>
      <c r="R98" s="311" t="str">
        <f>IF(R$82&gt;=$E98,'Dados ME'!O$6,"")</f>
        <v/>
      </c>
      <c r="S98" s="311" t="str">
        <f>IF(S$82&gt;=$E98,'Dados ME'!P$6,"")</f>
        <v/>
      </c>
      <c r="T98" s="311" t="str">
        <f>IF(T$82&gt;=$E98,'Dados ME'!Q$6,"")</f>
        <v/>
      </c>
      <c r="U98" s="311" t="str">
        <f>IF(U$82&gt;=$E98,'Dados ME'!R$6,"")</f>
        <v/>
      </c>
      <c r="V98" s="311" t="str">
        <f>IF(V$82&gt;=$E98,'Dados ME'!S$6,"")</f>
        <v/>
      </c>
      <c r="W98" s="311">
        <f>IF(W$82&gt;=$E98,'Dados ME'!T$6,"")</f>
        <v>3.5000000000000003E-2</v>
      </c>
      <c r="X98" s="311">
        <f>IF(X$82&gt;=$E98,'Dados ME'!U$6,"")</f>
        <v>3.5000000000000003E-2</v>
      </c>
      <c r="Y98" s="311">
        <f>IF(Y$82&gt;=$E98,'Dados ME'!V$6,"")</f>
        <v>3.5000000000000003E-2</v>
      </c>
      <c r="Z98" s="311">
        <f>IF(Z$82&gt;=$E98,'Dados ME'!W$6,"")</f>
        <v>3.5000000000000003E-2</v>
      </c>
      <c r="AA98" s="311">
        <f>IF(AA$82&gt;=$E98,'Dados ME'!X$6,"")</f>
        <v>3.5000000000000003E-2</v>
      </c>
      <c r="AB98" s="311">
        <f>IF(AB$82&gt;=$E98,'Dados ME'!Y$6,"")</f>
        <v>3.5000000000000003E-2</v>
      </c>
      <c r="AC98" s="311">
        <f>IF(AC$82&gt;=$E98,'Dados ME'!Z$6,"")</f>
        <v>3.5000000000000003E-2</v>
      </c>
      <c r="AD98" s="311">
        <f>IF(AD$82&gt;=$E98,'Dados ME'!AA$6,"")</f>
        <v>3.5000000000000003E-2</v>
      </c>
      <c r="AE98" s="311">
        <f>IF(AE$82&gt;=$E98,'Dados ME'!AB$6,"")</f>
        <v>3.5000000000000003E-2</v>
      </c>
      <c r="AF98" s="311">
        <f>IF(AF$82&gt;=$E98,'Dados ME'!AC$6,"")</f>
        <v>3.5000000000000003E-2</v>
      </c>
      <c r="AG98" s="311">
        <f>IF(AG$82&gt;=$E98,'Dados ME'!AD$6,"")</f>
        <v>3.5000000000000003E-2</v>
      </c>
      <c r="AH98" s="311">
        <f>IF(AH$82&gt;=$E98,'Dados ME'!AE$6,"")</f>
        <v>3.5000000000000003E-2</v>
      </c>
      <c r="AI98" s="311">
        <f>IF(AI$82&gt;=$E98,'Dados ME'!AF$6,"")</f>
        <v>3.5000000000000003E-2</v>
      </c>
      <c r="AJ98" s="311">
        <f>IF(AJ$82&gt;=$E98,'Dados ME'!AG$6,"")</f>
        <v>3.5000000000000003E-2</v>
      </c>
      <c r="AK98" s="311">
        <f>IF(AK$82&gt;=$E98,'Dados ME'!AH$6,"")</f>
        <v>3.5000000000000003E-2</v>
      </c>
      <c r="AL98" s="311">
        <f>IF(AL$82&gt;=$E98,'Dados ME'!AI$6,"")</f>
        <v>3.5000000000000003E-2</v>
      </c>
      <c r="AM98" s="311">
        <f>IF(AM$82&gt;=$E98,'Dados ME'!AJ$6,"")</f>
        <v>3.5000000000000003E-2</v>
      </c>
      <c r="AN98" s="311">
        <f>IF(AN$82&gt;=$E98,'Dados ME'!AK$6,"")</f>
        <v>3.5000000000000003E-2</v>
      </c>
      <c r="AO98" s="311">
        <f>IF(AO$82&gt;=$E98,'Dados ME'!AL$6,"")</f>
        <v>3.5000000000000003E-2</v>
      </c>
      <c r="AP98" s="311">
        <f>IF(AP$82&gt;=$E98,'Dados ME'!AM$6,"")</f>
        <v>3.5000000000000003E-2</v>
      </c>
      <c r="AQ98" s="296"/>
    </row>
    <row r="99" spans="3:43" x14ac:dyDescent="0.3">
      <c r="C99" s="1156"/>
      <c r="D99" s="294"/>
      <c r="E99" s="306">
        <f t="shared" si="92"/>
        <v>2043</v>
      </c>
      <c r="F99" s="294"/>
      <c r="G99" s="295"/>
      <c r="H99" s="311" t="str">
        <f>IF(H$82&gt;=$E99,'Dados ME'!E$6,"")</f>
        <v/>
      </c>
      <c r="I99" s="311" t="str">
        <f>IF(I$82&gt;=$E99,'Dados ME'!F$6,"")</f>
        <v/>
      </c>
      <c r="J99" s="311" t="str">
        <f>IF(J$82&gt;=$E99,'Dados ME'!G$6,"")</f>
        <v/>
      </c>
      <c r="K99" s="311" t="str">
        <f>IF(K$82&gt;=$E99,'Dados ME'!H$6,"")</f>
        <v/>
      </c>
      <c r="L99" s="311" t="str">
        <f>IF(L$82&gt;=$E99,'Dados ME'!I$6,"")</f>
        <v/>
      </c>
      <c r="M99" s="311" t="str">
        <f>IF(M$82&gt;=$E99,'Dados ME'!J$6,"")</f>
        <v/>
      </c>
      <c r="N99" s="311" t="str">
        <f>IF(N$82&gt;=$E99,'Dados ME'!K$6,"")</f>
        <v/>
      </c>
      <c r="O99" s="311" t="str">
        <f>IF(O$82&gt;=$E99,'Dados ME'!L$6,"")</f>
        <v/>
      </c>
      <c r="P99" s="311" t="str">
        <f>IF(P$82&gt;=$E99,'Dados ME'!M$6,"")</f>
        <v/>
      </c>
      <c r="Q99" s="311" t="str">
        <f>IF(Q$82&gt;=$E99,'Dados ME'!N$6,"")</f>
        <v/>
      </c>
      <c r="R99" s="311" t="str">
        <f>IF(R$82&gt;=$E99,'Dados ME'!O$6,"")</f>
        <v/>
      </c>
      <c r="S99" s="311" t="str">
        <f>IF(S$82&gt;=$E99,'Dados ME'!P$6,"")</f>
        <v/>
      </c>
      <c r="T99" s="311" t="str">
        <f>IF(T$82&gt;=$E99,'Dados ME'!Q$6,"")</f>
        <v/>
      </c>
      <c r="U99" s="311" t="str">
        <f>IF(U$82&gt;=$E99,'Dados ME'!R$6,"")</f>
        <v/>
      </c>
      <c r="V99" s="311" t="str">
        <f>IF(V$82&gt;=$E99,'Dados ME'!S$6,"")</f>
        <v/>
      </c>
      <c r="W99" s="311" t="str">
        <f>IF(W$82&gt;=$E99,'Dados ME'!T$6,"")</f>
        <v/>
      </c>
      <c r="X99" s="311">
        <f>IF(X$82&gt;=$E99,'Dados ME'!U$6,"")</f>
        <v>3.5000000000000003E-2</v>
      </c>
      <c r="Y99" s="311">
        <f>IF(Y$82&gt;=$E99,'Dados ME'!V$6,"")</f>
        <v>3.5000000000000003E-2</v>
      </c>
      <c r="Z99" s="311">
        <f>IF(Z$82&gt;=$E99,'Dados ME'!W$6,"")</f>
        <v>3.5000000000000003E-2</v>
      </c>
      <c r="AA99" s="311">
        <f>IF(AA$82&gt;=$E99,'Dados ME'!X$6,"")</f>
        <v>3.5000000000000003E-2</v>
      </c>
      <c r="AB99" s="311">
        <f>IF(AB$82&gt;=$E99,'Dados ME'!Y$6,"")</f>
        <v>3.5000000000000003E-2</v>
      </c>
      <c r="AC99" s="311">
        <f>IF(AC$82&gt;=$E99,'Dados ME'!Z$6,"")</f>
        <v>3.5000000000000003E-2</v>
      </c>
      <c r="AD99" s="311">
        <f>IF(AD$82&gt;=$E99,'Dados ME'!AA$6,"")</f>
        <v>3.5000000000000003E-2</v>
      </c>
      <c r="AE99" s="311">
        <f>IF(AE$82&gt;=$E99,'Dados ME'!AB$6,"")</f>
        <v>3.5000000000000003E-2</v>
      </c>
      <c r="AF99" s="311">
        <f>IF(AF$82&gt;=$E99,'Dados ME'!AC$6,"")</f>
        <v>3.5000000000000003E-2</v>
      </c>
      <c r="AG99" s="311">
        <f>IF(AG$82&gt;=$E99,'Dados ME'!AD$6,"")</f>
        <v>3.5000000000000003E-2</v>
      </c>
      <c r="AH99" s="311">
        <f>IF(AH$82&gt;=$E99,'Dados ME'!AE$6,"")</f>
        <v>3.5000000000000003E-2</v>
      </c>
      <c r="AI99" s="311">
        <f>IF(AI$82&gt;=$E99,'Dados ME'!AF$6,"")</f>
        <v>3.5000000000000003E-2</v>
      </c>
      <c r="AJ99" s="311">
        <f>IF(AJ$82&gt;=$E99,'Dados ME'!AG$6,"")</f>
        <v>3.5000000000000003E-2</v>
      </c>
      <c r="AK99" s="311">
        <f>IF(AK$82&gt;=$E99,'Dados ME'!AH$6,"")</f>
        <v>3.5000000000000003E-2</v>
      </c>
      <c r="AL99" s="311">
        <f>IF(AL$82&gt;=$E99,'Dados ME'!AI$6,"")</f>
        <v>3.5000000000000003E-2</v>
      </c>
      <c r="AM99" s="311">
        <f>IF(AM$82&gt;=$E99,'Dados ME'!AJ$6,"")</f>
        <v>3.5000000000000003E-2</v>
      </c>
      <c r="AN99" s="311">
        <f>IF(AN$82&gt;=$E99,'Dados ME'!AK$6,"")</f>
        <v>3.5000000000000003E-2</v>
      </c>
      <c r="AO99" s="311">
        <f>IF(AO$82&gt;=$E99,'Dados ME'!AL$6,"")</f>
        <v>3.5000000000000003E-2</v>
      </c>
      <c r="AP99" s="311">
        <f>IF(AP$82&gt;=$E99,'Dados ME'!AM$6,"")</f>
        <v>3.5000000000000003E-2</v>
      </c>
      <c r="AQ99" s="296"/>
    </row>
    <row r="100" spans="3:43" x14ac:dyDescent="0.3">
      <c r="C100" s="1156"/>
      <c r="D100" s="294"/>
      <c r="E100" s="306">
        <f t="shared" si="92"/>
        <v>2044</v>
      </c>
      <c r="F100" s="294"/>
      <c r="G100" s="295"/>
      <c r="H100" s="311" t="str">
        <f>IF(H$82&gt;=$E100,'Dados ME'!E$6,"")</f>
        <v/>
      </c>
      <c r="I100" s="311" t="str">
        <f>IF(I$82&gt;=$E100,'Dados ME'!F$6,"")</f>
        <v/>
      </c>
      <c r="J100" s="311" t="str">
        <f>IF(J$82&gt;=$E100,'Dados ME'!G$6,"")</f>
        <v/>
      </c>
      <c r="K100" s="311" t="str">
        <f>IF(K$82&gt;=$E100,'Dados ME'!H$6,"")</f>
        <v/>
      </c>
      <c r="L100" s="311" t="str">
        <f>IF(L$82&gt;=$E100,'Dados ME'!I$6,"")</f>
        <v/>
      </c>
      <c r="M100" s="311" t="str">
        <f>IF(M$82&gt;=$E100,'Dados ME'!J$6,"")</f>
        <v/>
      </c>
      <c r="N100" s="311" t="str">
        <f>IF(N$82&gt;=$E100,'Dados ME'!K$6,"")</f>
        <v/>
      </c>
      <c r="O100" s="311" t="str">
        <f>IF(O$82&gt;=$E100,'Dados ME'!L$6,"")</f>
        <v/>
      </c>
      <c r="P100" s="311" t="str">
        <f>IF(P$82&gt;=$E100,'Dados ME'!M$6,"")</f>
        <v/>
      </c>
      <c r="Q100" s="311" t="str">
        <f>IF(Q$82&gt;=$E100,'Dados ME'!N$6,"")</f>
        <v/>
      </c>
      <c r="R100" s="311" t="str">
        <f>IF(R$82&gt;=$E100,'Dados ME'!O$6,"")</f>
        <v/>
      </c>
      <c r="S100" s="311" t="str">
        <f>IF(S$82&gt;=$E100,'Dados ME'!P$6,"")</f>
        <v/>
      </c>
      <c r="T100" s="311" t="str">
        <f>IF(T$82&gt;=$E100,'Dados ME'!Q$6,"")</f>
        <v/>
      </c>
      <c r="U100" s="311" t="str">
        <f>IF(U$82&gt;=$E100,'Dados ME'!R$6,"")</f>
        <v/>
      </c>
      <c r="V100" s="311" t="str">
        <f>IF(V$82&gt;=$E100,'Dados ME'!S$6,"")</f>
        <v/>
      </c>
      <c r="W100" s="311" t="str">
        <f>IF(W$82&gt;=$E100,'Dados ME'!T$6,"")</f>
        <v/>
      </c>
      <c r="X100" s="311" t="str">
        <f>IF(X$82&gt;=$E100,'Dados ME'!U$6,"")</f>
        <v/>
      </c>
      <c r="Y100" s="311">
        <f>IF(Y$82&gt;=$E100,'Dados ME'!V$6,"")</f>
        <v>3.5000000000000003E-2</v>
      </c>
      <c r="Z100" s="311">
        <f>IF(Z$82&gt;=$E100,'Dados ME'!W$6,"")</f>
        <v>3.5000000000000003E-2</v>
      </c>
      <c r="AA100" s="311">
        <f>IF(AA$82&gt;=$E100,'Dados ME'!X$6,"")</f>
        <v>3.5000000000000003E-2</v>
      </c>
      <c r="AB100" s="311">
        <f>IF(AB$82&gt;=$E100,'Dados ME'!Y$6,"")</f>
        <v>3.5000000000000003E-2</v>
      </c>
      <c r="AC100" s="311">
        <f>IF(AC$82&gt;=$E100,'Dados ME'!Z$6,"")</f>
        <v>3.5000000000000003E-2</v>
      </c>
      <c r="AD100" s="311">
        <f>IF(AD$82&gt;=$E100,'Dados ME'!AA$6,"")</f>
        <v>3.5000000000000003E-2</v>
      </c>
      <c r="AE100" s="311">
        <f>IF(AE$82&gt;=$E100,'Dados ME'!AB$6,"")</f>
        <v>3.5000000000000003E-2</v>
      </c>
      <c r="AF100" s="311">
        <f>IF(AF$82&gt;=$E100,'Dados ME'!AC$6,"")</f>
        <v>3.5000000000000003E-2</v>
      </c>
      <c r="AG100" s="311">
        <f>IF(AG$82&gt;=$E100,'Dados ME'!AD$6,"")</f>
        <v>3.5000000000000003E-2</v>
      </c>
      <c r="AH100" s="311">
        <f>IF(AH$82&gt;=$E100,'Dados ME'!AE$6,"")</f>
        <v>3.5000000000000003E-2</v>
      </c>
      <c r="AI100" s="311">
        <f>IF(AI$82&gt;=$E100,'Dados ME'!AF$6,"")</f>
        <v>3.5000000000000003E-2</v>
      </c>
      <c r="AJ100" s="311">
        <f>IF(AJ$82&gt;=$E100,'Dados ME'!AG$6,"")</f>
        <v>3.5000000000000003E-2</v>
      </c>
      <c r="AK100" s="311">
        <f>IF(AK$82&gt;=$E100,'Dados ME'!AH$6,"")</f>
        <v>3.5000000000000003E-2</v>
      </c>
      <c r="AL100" s="311">
        <f>IF(AL$82&gt;=$E100,'Dados ME'!AI$6,"")</f>
        <v>3.5000000000000003E-2</v>
      </c>
      <c r="AM100" s="311">
        <f>IF(AM$82&gt;=$E100,'Dados ME'!AJ$6,"")</f>
        <v>3.5000000000000003E-2</v>
      </c>
      <c r="AN100" s="311">
        <f>IF(AN$82&gt;=$E100,'Dados ME'!AK$6,"")</f>
        <v>3.5000000000000003E-2</v>
      </c>
      <c r="AO100" s="311">
        <f>IF(AO$82&gt;=$E100,'Dados ME'!AL$6,"")</f>
        <v>3.5000000000000003E-2</v>
      </c>
      <c r="AP100" s="311">
        <f>IF(AP$82&gt;=$E100,'Dados ME'!AM$6,"")</f>
        <v>3.5000000000000003E-2</v>
      </c>
      <c r="AQ100" s="296"/>
    </row>
    <row r="101" spans="3:43" x14ac:dyDescent="0.3">
      <c r="C101" s="1156"/>
      <c r="D101" s="294"/>
      <c r="E101" s="306">
        <f t="shared" si="92"/>
        <v>2045</v>
      </c>
      <c r="F101" s="294"/>
      <c r="G101" s="295"/>
      <c r="H101" s="311" t="str">
        <f>IF(H$82&gt;=$E101,'Dados ME'!E$6,"")</f>
        <v/>
      </c>
      <c r="I101" s="311" t="str">
        <f>IF(I$82&gt;=$E101,'Dados ME'!F$6,"")</f>
        <v/>
      </c>
      <c r="J101" s="311" t="str">
        <f>IF(J$82&gt;=$E101,'Dados ME'!G$6,"")</f>
        <v/>
      </c>
      <c r="K101" s="311" t="str">
        <f>IF(K$82&gt;=$E101,'Dados ME'!H$6,"")</f>
        <v/>
      </c>
      <c r="L101" s="311" t="str">
        <f>IF(L$82&gt;=$E101,'Dados ME'!I$6,"")</f>
        <v/>
      </c>
      <c r="M101" s="311" t="str">
        <f>IF(M$82&gt;=$E101,'Dados ME'!J$6,"")</f>
        <v/>
      </c>
      <c r="N101" s="311" t="str">
        <f>IF(N$82&gt;=$E101,'Dados ME'!K$6,"")</f>
        <v/>
      </c>
      <c r="O101" s="311" t="str">
        <f>IF(O$82&gt;=$E101,'Dados ME'!L$6,"")</f>
        <v/>
      </c>
      <c r="P101" s="311" t="str">
        <f>IF(P$82&gt;=$E101,'Dados ME'!M$6,"")</f>
        <v/>
      </c>
      <c r="Q101" s="311" t="str">
        <f>IF(Q$82&gt;=$E101,'Dados ME'!N$6,"")</f>
        <v/>
      </c>
      <c r="R101" s="311" t="str">
        <f>IF(R$82&gt;=$E101,'Dados ME'!O$6,"")</f>
        <v/>
      </c>
      <c r="S101" s="311" t="str">
        <f>IF(S$82&gt;=$E101,'Dados ME'!P$6,"")</f>
        <v/>
      </c>
      <c r="T101" s="311" t="str">
        <f>IF(T$82&gt;=$E101,'Dados ME'!Q$6,"")</f>
        <v/>
      </c>
      <c r="U101" s="311" t="str">
        <f>IF(U$82&gt;=$E101,'Dados ME'!R$6,"")</f>
        <v/>
      </c>
      <c r="V101" s="311" t="str">
        <f>IF(V$82&gt;=$E101,'Dados ME'!S$6,"")</f>
        <v/>
      </c>
      <c r="W101" s="311" t="str">
        <f>IF(W$82&gt;=$E101,'Dados ME'!T$6,"")</f>
        <v/>
      </c>
      <c r="X101" s="311" t="str">
        <f>IF(X$82&gt;=$E101,'Dados ME'!U$6,"")</f>
        <v/>
      </c>
      <c r="Y101" s="311" t="str">
        <f>IF(Y$82&gt;=$E101,'Dados ME'!V$6,"")</f>
        <v/>
      </c>
      <c r="Z101" s="311">
        <f>IF(Z$82&gt;=$E101,'Dados ME'!W$6,"")</f>
        <v>3.5000000000000003E-2</v>
      </c>
      <c r="AA101" s="311">
        <f>IF(AA$82&gt;=$E101,'Dados ME'!X$6,"")</f>
        <v>3.5000000000000003E-2</v>
      </c>
      <c r="AB101" s="311">
        <f>IF(AB$82&gt;=$E101,'Dados ME'!Y$6,"")</f>
        <v>3.5000000000000003E-2</v>
      </c>
      <c r="AC101" s="311">
        <f>IF(AC$82&gt;=$E101,'Dados ME'!Z$6,"")</f>
        <v>3.5000000000000003E-2</v>
      </c>
      <c r="AD101" s="311">
        <f>IF(AD$82&gt;=$E101,'Dados ME'!AA$6,"")</f>
        <v>3.5000000000000003E-2</v>
      </c>
      <c r="AE101" s="311">
        <f>IF(AE$82&gt;=$E101,'Dados ME'!AB$6,"")</f>
        <v>3.5000000000000003E-2</v>
      </c>
      <c r="AF101" s="311">
        <f>IF(AF$82&gt;=$E101,'Dados ME'!AC$6,"")</f>
        <v>3.5000000000000003E-2</v>
      </c>
      <c r="AG101" s="311">
        <f>IF(AG$82&gt;=$E101,'Dados ME'!AD$6,"")</f>
        <v>3.5000000000000003E-2</v>
      </c>
      <c r="AH101" s="311">
        <f>IF(AH$82&gt;=$E101,'Dados ME'!AE$6,"")</f>
        <v>3.5000000000000003E-2</v>
      </c>
      <c r="AI101" s="311">
        <f>IF(AI$82&gt;=$E101,'Dados ME'!AF$6,"")</f>
        <v>3.5000000000000003E-2</v>
      </c>
      <c r="AJ101" s="311">
        <f>IF(AJ$82&gt;=$E101,'Dados ME'!AG$6,"")</f>
        <v>3.5000000000000003E-2</v>
      </c>
      <c r="AK101" s="311">
        <f>IF(AK$82&gt;=$E101,'Dados ME'!AH$6,"")</f>
        <v>3.5000000000000003E-2</v>
      </c>
      <c r="AL101" s="311">
        <f>IF(AL$82&gt;=$E101,'Dados ME'!AI$6,"")</f>
        <v>3.5000000000000003E-2</v>
      </c>
      <c r="AM101" s="311">
        <f>IF(AM$82&gt;=$E101,'Dados ME'!AJ$6,"")</f>
        <v>3.5000000000000003E-2</v>
      </c>
      <c r="AN101" s="311">
        <f>IF(AN$82&gt;=$E101,'Dados ME'!AK$6,"")</f>
        <v>3.5000000000000003E-2</v>
      </c>
      <c r="AO101" s="311">
        <f>IF(AO$82&gt;=$E101,'Dados ME'!AL$6,"")</f>
        <v>3.5000000000000003E-2</v>
      </c>
      <c r="AP101" s="311">
        <f>IF(AP$82&gt;=$E101,'Dados ME'!AM$6,"")</f>
        <v>3.5000000000000003E-2</v>
      </c>
      <c r="AQ101" s="296"/>
    </row>
    <row r="102" spans="3:43" x14ac:dyDescent="0.3">
      <c r="C102" s="1156"/>
      <c r="D102" s="294"/>
      <c r="E102" s="306">
        <f t="shared" si="92"/>
        <v>2046</v>
      </c>
      <c r="F102" s="294"/>
      <c r="G102" s="295"/>
      <c r="H102" s="311" t="str">
        <f>IF(H$82&gt;=$E102,'Dados ME'!E$6,"")</f>
        <v/>
      </c>
      <c r="I102" s="311" t="str">
        <f>IF(I$82&gt;=$E102,'Dados ME'!F$6,"")</f>
        <v/>
      </c>
      <c r="J102" s="311" t="str">
        <f>IF(J$82&gt;=$E102,'Dados ME'!G$6,"")</f>
        <v/>
      </c>
      <c r="K102" s="311" t="str">
        <f>IF(K$82&gt;=$E102,'Dados ME'!H$6,"")</f>
        <v/>
      </c>
      <c r="L102" s="311" t="str">
        <f>IF(L$82&gt;=$E102,'Dados ME'!I$6,"")</f>
        <v/>
      </c>
      <c r="M102" s="311" t="str">
        <f>IF(M$82&gt;=$E102,'Dados ME'!J$6,"")</f>
        <v/>
      </c>
      <c r="N102" s="311" t="str">
        <f>IF(N$82&gt;=$E102,'Dados ME'!K$6,"")</f>
        <v/>
      </c>
      <c r="O102" s="311" t="str">
        <f>IF(O$82&gt;=$E102,'Dados ME'!L$6,"")</f>
        <v/>
      </c>
      <c r="P102" s="311" t="str">
        <f>IF(P$82&gt;=$E102,'Dados ME'!M$6,"")</f>
        <v/>
      </c>
      <c r="Q102" s="311" t="str">
        <f>IF(Q$82&gt;=$E102,'Dados ME'!N$6,"")</f>
        <v/>
      </c>
      <c r="R102" s="311" t="str">
        <f>IF(R$82&gt;=$E102,'Dados ME'!O$6,"")</f>
        <v/>
      </c>
      <c r="S102" s="311" t="str">
        <f>IF(S$82&gt;=$E102,'Dados ME'!P$6,"")</f>
        <v/>
      </c>
      <c r="T102" s="311" t="str">
        <f>IF(T$82&gt;=$E102,'Dados ME'!Q$6,"")</f>
        <v/>
      </c>
      <c r="U102" s="311" t="str">
        <f>IF(U$82&gt;=$E102,'Dados ME'!R$6,"")</f>
        <v/>
      </c>
      <c r="V102" s="311" t="str">
        <f>IF(V$82&gt;=$E102,'Dados ME'!S$6,"")</f>
        <v/>
      </c>
      <c r="W102" s="311" t="str">
        <f>IF(W$82&gt;=$E102,'Dados ME'!T$6,"")</f>
        <v/>
      </c>
      <c r="X102" s="311" t="str">
        <f>IF(X$82&gt;=$E102,'Dados ME'!U$6,"")</f>
        <v/>
      </c>
      <c r="Y102" s="311" t="str">
        <f>IF(Y$82&gt;=$E102,'Dados ME'!V$6,"")</f>
        <v/>
      </c>
      <c r="Z102" s="311" t="str">
        <f>IF(Z$82&gt;=$E102,'Dados ME'!W$6,"")</f>
        <v/>
      </c>
      <c r="AA102" s="311">
        <f>IF(AA$82&gt;=$E102,'Dados ME'!X$6,"")</f>
        <v>3.5000000000000003E-2</v>
      </c>
      <c r="AB102" s="311">
        <f>IF(AB$82&gt;=$E102,'Dados ME'!Y$6,"")</f>
        <v>3.5000000000000003E-2</v>
      </c>
      <c r="AC102" s="311">
        <f>IF(AC$82&gt;=$E102,'Dados ME'!Z$6,"")</f>
        <v>3.5000000000000003E-2</v>
      </c>
      <c r="AD102" s="311">
        <f>IF(AD$82&gt;=$E102,'Dados ME'!AA$6,"")</f>
        <v>3.5000000000000003E-2</v>
      </c>
      <c r="AE102" s="311">
        <f>IF(AE$82&gt;=$E102,'Dados ME'!AB$6,"")</f>
        <v>3.5000000000000003E-2</v>
      </c>
      <c r="AF102" s="311">
        <f>IF(AF$82&gt;=$E102,'Dados ME'!AC$6,"")</f>
        <v>3.5000000000000003E-2</v>
      </c>
      <c r="AG102" s="311">
        <f>IF(AG$82&gt;=$E102,'Dados ME'!AD$6,"")</f>
        <v>3.5000000000000003E-2</v>
      </c>
      <c r="AH102" s="311">
        <f>IF(AH$82&gt;=$E102,'Dados ME'!AE$6,"")</f>
        <v>3.5000000000000003E-2</v>
      </c>
      <c r="AI102" s="311">
        <f>IF(AI$82&gt;=$E102,'Dados ME'!AF$6,"")</f>
        <v>3.5000000000000003E-2</v>
      </c>
      <c r="AJ102" s="311">
        <f>IF(AJ$82&gt;=$E102,'Dados ME'!AG$6,"")</f>
        <v>3.5000000000000003E-2</v>
      </c>
      <c r="AK102" s="311">
        <f>IF(AK$82&gt;=$E102,'Dados ME'!AH$6,"")</f>
        <v>3.5000000000000003E-2</v>
      </c>
      <c r="AL102" s="311">
        <f>IF(AL$82&gt;=$E102,'Dados ME'!AI$6,"")</f>
        <v>3.5000000000000003E-2</v>
      </c>
      <c r="AM102" s="311">
        <f>IF(AM$82&gt;=$E102,'Dados ME'!AJ$6,"")</f>
        <v>3.5000000000000003E-2</v>
      </c>
      <c r="AN102" s="311">
        <f>IF(AN$82&gt;=$E102,'Dados ME'!AK$6,"")</f>
        <v>3.5000000000000003E-2</v>
      </c>
      <c r="AO102" s="311">
        <f>IF(AO$82&gt;=$E102,'Dados ME'!AL$6,"")</f>
        <v>3.5000000000000003E-2</v>
      </c>
      <c r="AP102" s="311">
        <f>IF(AP$82&gt;=$E102,'Dados ME'!AM$6,"")</f>
        <v>3.5000000000000003E-2</v>
      </c>
      <c r="AQ102" s="296"/>
    </row>
    <row r="103" spans="3:43" x14ac:dyDescent="0.3">
      <c r="C103" s="1156"/>
      <c r="D103" s="294"/>
      <c r="E103" s="306">
        <f t="shared" si="92"/>
        <v>2047</v>
      </c>
      <c r="F103" s="294"/>
      <c r="G103" s="295"/>
      <c r="H103" s="311" t="str">
        <f>IF(H$82&gt;=$E103,'Dados ME'!E$6,"")</f>
        <v/>
      </c>
      <c r="I103" s="311" t="str">
        <f>IF(I$82&gt;=$E103,'Dados ME'!F$6,"")</f>
        <v/>
      </c>
      <c r="J103" s="311" t="str">
        <f>IF(J$82&gt;=$E103,'Dados ME'!G$6,"")</f>
        <v/>
      </c>
      <c r="K103" s="311" t="str">
        <f>IF(K$82&gt;=$E103,'Dados ME'!H$6,"")</f>
        <v/>
      </c>
      <c r="L103" s="311" t="str">
        <f>IF(L$82&gt;=$E103,'Dados ME'!I$6,"")</f>
        <v/>
      </c>
      <c r="M103" s="311" t="str">
        <f>IF(M$82&gt;=$E103,'Dados ME'!J$6,"")</f>
        <v/>
      </c>
      <c r="N103" s="311" t="str">
        <f>IF(N$82&gt;=$E103,'Dados ME'!K$6,"")</f>
        <v/>
      </c>
      <c r="O103" s="311" t="str">
        <f>IF(O$82&gt;=$E103,'Dados ME'!L$6,"")</f>
        <v/>
      </c>
      <c r="P103" s="311" t="str">
        <f>IF(P$82&gt;=$E103,'Dados ME'!M$6,"")</f>
        <v/>
      </c>
      <c r="Q103" s="311" t="str">
        <f>IF(Q$82&gt;=$E103,'Dados ME'!N$6,"")</f>
        <v/>
      </c>
      <c r="R103" s="311" t="str">
        <f>IF(R$82&gt;=$E103,'Dados ME'!O$6,"")</f>
        <v/>
      </c>
      <c r="S103" s="311" t="str">
        <f>IF(S$82&gt;=$E103,'Dados ME'!P$6,"")</f>
        <v/>
      </c>
      <c r="T103" s="311" t="str">
        <f>IF(T$82&gt;=$E103,'Dados ME'!Q$6,"")</f>
        <v/>
      </c>
      <c r="U103" s="311" t="str">
        <f>IF(U$82&gt;=$E103,'Dados ME'!R$6,"")</f>
        <v/>
      </c>
      <c r="V103" s="311" t="str">
        <f>IF(V$82&gt;=$E103,'Dados ME'!S$6,"")</f>
        <v/>
      </c>
      <c r="W103" s="311" t="str">
        <f>IF(W$82&gt;=$E103,'Dados ME'!T$6,"")</f>
        <v/>
      </c>
      <c r="X103" s="311" t="str">
        <f>IF(X$82&gt;=$E103,'Dados ME'!U$6,"")</f>
        <v/>
      </c>
      <c r="Y103" s="311" t="str">
        <f>IF(Y$82&gt;=$E103,'Dados ME'!V$6,"")</f>
        <v/>
      </c>
      <c r="Z103" s="311" t="str">
        <f>IF(Z$82&gt;=$E103,'Dados ME'!W$6,"")</f>
        <v/>
      </c>
      <c r="AA103" s="311" t="str">
        <f>IF(AA$82&gt;=$E103,'Dados ME'!X$6,"")</f>
        <v/>
      </c>
      <c r="AB103" s="311">
        <f>IF(AB$82&gt;=$E103,'Dados ME'!Y$6,"")</f>
        <v>3.5000000000000003E-2</v>
      </c>
      <c r="AC103" s="311">
        <f>IF(AC$82&gt;=$E103,'Dados ME'!Z$6,"")</f>
        <v>3.5000000000000003E-2</v>
      </c>
      <c r="AD103" s="311">
        <f>IF(AD$82&gt;=$E103,'Dados ME'!AA$6,"")</f>
        <v>3.5000000000000003E-2</v>
      </c>
      <c r="AE103" s="311">
        <f>IF(AE$82&gt;=$E103,'Dados ME'!AB$6,"")</f>
        <v>3.5000000000000003E-2</v>
      </c>
      <c r="AF103" s="311">
        <f>IF(AF$82&gt;=$E103,'Dados ME'!AC$6,"")</f>
        <v>3.5000000000000003E-2</v>
      </c>
      <c r="AG103" s="311">
        <f>IF(AG$82&gt;=$E103,'Dados ME'!AD$6,"")</f>
        <v>3.5000000000000003E-2</v>
      </c>
      <c r="AH103" s="311">
        <f>IF(AH$82&gt;=$E103,'Dados ME'!AE$6,"")</f>
        <v>3.5000000000000003E-2</v>
      </c>
      <c r="AI103" s="311">
        <f>IF(AI$82&gt;=$E103,'Dados ME'!AF$6,"")</f>
        <v>3.5000000000000003E-2</v>
      </c>
      <c r="AJ103" s="311">
        <f>IF(AJ$82&gt;=$E103,'Dados ME'!AG$6,"")</f>
        <v>3.5000000000000003E-2</v>
      </c>
      <c r="AK103" s="311">
        <f>IF(AK$82&gt;=$E103,'Dados ME'!AH$6,"")</f>
        <v>3.5000000000000003E-2</v>
      </c>
      <c r="AL103" s="311">
        <f>IF(AL$82&gt;=$E103,'Dados ME'!AI$6,"")</f>
        <v>3.5000000000000003E-2</v>
      </c>
      <c r="AM103" s="311">
        <f>IF(AM$82&gt;=$E103,'Dados ME'!AJ$6,"")</f>
        <v>3.5000000000000003E-2</v>
      </c>
      <c r="AN103" s="311">
        <f>IF(AN$82&gt;=$E103,'Dados ME'!AK$6,"")</f>
        <v>3.5000000000000003E-2</v>
      </c>
      <c r="AO103" s="311">
        <f>IF(AO$82&gt;=$E103,'Dados ME'!AL$6,"")</f>
        <v>3.5000000000000003E-2</v>
      </c>
      <c r="AP103" s="311">
        <f>IF(AP$82&gt;=$E103,'Dados ME'!AM$6,"")</f>
        <v>3.5000000000000003E-2</v>
      </c>
      <c r="AQ103" s="296"/>
    </row>
    <row r="104" spans="3:43" x14ac:dyDescent="0.3">
      <c r="C104" s="1156"/>
      <c r="D104" s="294"/>
      <c r="E104" s="306">
        <f t="shared" si="92"/>
        <v>2048</v>
      </c>
      <c r="F104" s="294"/>
      <c r="G104" s="295"/>
      <c r="H104" s="311" t="str">
        <f>IF(H$82&gt;=$E104,'Dados ME'!E$6,"")</f>
        <v/>
      </c>
      <c r="I104" s="311" t="str">
        <f>IF(I$82&gt;=$E104,'Dados ME'!F$6,"")</f>
        <v/>
      </c>
      <c r="J104" s="311" t="str">
        <f>IF(J$82&gt;=$E104,'Dados ME'!G$6,"")</f>
        <v/>
      </c>
      <c r="K104" s="311" t="str">
        <f>IF(K$82&gt;=$E104,'Dados ME'!H$6,"")</f>
        <v/>
      </c>
      <c r="L104" s="311" t="str">
        <f>IF(L$82&gt;=$E104,'Dados ME'!I$6,"")</f>
        <v/>
      </c>
      <c r="M104" s="311" t="str">
        <f>IF(M$82&gt;=$E104,'Dados ME'!J$6,"")</f>
        <v/>
      </c>
      <c r="N104" s="311" t="str">
        <f>IF(N$82&gt;=$E104,'Dados ME'!K$6,"")</f>
        <v/>
      </c>
      <c r="O104" s="311" t="str">
        <f>IF(O$82&gt;=$E104,'Dados ME'!L$6,"")</f>
        <v/>
      </c>
      <c r="P104" s="311" t="str">
        <f>IF(P$82&gt;=$E104,'Dados ME'!M$6,"")</f>
        <v/>
      </c>
      <c r="Q104" s="311" t="str">
        <f>IF(Q$82&gt;=$E104,'Dados ME'!N$6,"")</f>
        <v/>
      </c>
      <c r="R104" s="311" t="str">
        <f>IF(R$82&gt;=$E104,'Dados ME'!O$6,"")</f>
        <v/>
      </c>
      <c r="S104" s="311" t="str">
        <f>IF(S$82&gt;=$E104,'Dados ME'!P$6,"")</f>
        <v/>
      </c>
      <c r="T104" s="311" t="str">
        <f>IF(T$82&gt;=$E104,'Dados ME'!Q$6,"")</f>
        <v/>
      </c>
      <c r="U104" s="311" t="str">
        <f>IF(U$82&gt;=$E104,'Dados ME'!R$6,"")</f>
        <v/>
      </c>
      <c r="V104" s="311" t="str">
        <f>IF(V$82&gt;=$E104,'Dados ME'!S$6,"")</f>
        <v/>
      </c>
      <c r="W104" s="311" t="str">
        <f>IF(W$82&gt;=$E104,'Dados ME'!T$6,"")</f>
        <v/>
      </c>
      <c r="X104" s="311" t="str">
        <f>IF(X$82&gt;=$E104,'Dados ME'!U$6,"")</f>
        <v/>
      </c>
      <c r="Y104" s="311" t="str">
        <f>IF(Y$82&gt;=$E104,'Dados ME'!V$6,"")</f>
        <v/>
      </c>
      <c r="Z104" s="311" t="str">
        <f>IF(Z$82&gt;=$E104,'Dados ME'!W$6,"")</f>
        <v/>
      </c>
      <c r="AA104" s="311" t="str">
        <f>IF(AA$82&gt;=$E104,'Dados ME'!X$6,"")</f>
        <v/>
      </c>
      <c r="AB104" s="311" t="str">
        <f>IF(AB$82&gt;=$E104,'Dados ME'!Y$6,"")</f>
        <v/>
      </c>
      <c r="AC104" s="311">
        <f>IF(AC$82&gt;=$E104,'Dados ME'!Z$6,"")</f>
        <v>3.5000000000000003E-2</v>
      </c>
      <c r="AD104" s="311">
        <f>IF(AD$82&gt;=$E104,'Dados ME'!AA$6,"")</f>
        <v>3.5000000000000003E-2</v>
      </c>
      <c r="AE104" s="311">
        <f>IF(AE$82&gt;=$E104,'Dados ME'!AB$6,"")</f>
        <v>3.5000000000000003E-2</v>
      </c>
      <c r="AF104" s="311">
        <f>IF(AF$82&gt;=$E104,'Dados ME'!AC$6,"")</f>
        <v>3.5000000000000003E-2</v>
      </c>
      <c r="AG104" s="311">
        <f>IF(AG$82&gt;=$E104,'Dados ME'!AD$6,"")</f>
        <v>3.5000000000000003E-2</v>
      </c>
      <c r="AH104" s="311">
        <f>IF(AH$82&gt;=$E104,'Dados ME'!AE$6,"")</f>
        <v>3.5000000000000003E-2</v>
      </c>
      <c r="AI104" s="311">
        <f>IF(AI$82&gt;=$E104,'Dados ME'!AF$6,"")</f>
        <v>3.5000000000000003E-2</v>
      </c>
      <c r="AJ104" s="311">
        <f>IF(AJ$82&gt;=$E104,'Dados ME'!AG$6,"")</f>
        <v>3.5000000000000003E-2</v>
      </c>
      <c r="AK104" s="311">
        <f>IF(AK$82&gt;=$E104,'Dados ME'!AH$6,"")</f>
        <v>3.5000000000000003E-2</v>
      </c>
      <c r="AL104" s="311">
        <f>IF(AL$82&gt;=$E104,'Dados ME'!AI$6,"")</f>
        <v>3.5000000000000003E-2</v>
      </c>
      <c r="AM104" s="311">
        <f>IF(AM$82&gt;=$E104,'Dados ME'!AJ$6,"")</f>
        <v>3.5000000000000003E-2</v>
      </c>
      <c r="AN104" s="311">
        <f>IF(AN$82&gt;=$E104,'Dados ME'!AK$6,"")</f>
        <v>3.5000000000000003E-2</v>
      </c>
      <c r="AO104" s="311">
        <f>IF(AO$82&gt;=$E104,'Dados ME'!AL$6,"")</f>
        <v>3.5000000000000003E-2</v>
      </c>
      <c r="AP104" s="311">
        <f>IF(AP$82&gt;=$E104,'Dados ME'!AM$6,"")</f>
        <v>3.5000000000000003E-2</v>
      </c>
      <c r="AQ104" s="296"/>
    </row>
    <row r="105" spans="3:43" x14ac:dyDescent="0.3">
      <c r="C105" s="1156"/>
      <c r="D105" s="294"/>
      <c r="E105" s="306">
        <f t="shared" si="92"/>
        <v>2049</v>
      </c>
      <c r="F105" s="294"/>
      <c r="G105" s="295"/>
      <c r="H105" s="311" t="str">
        <f>IF(H$82&gt;=$E105,'Dados ME'!E$6,"")</f>
        <v/>
      </c>
      <c r="I105" s="311" t="str">
        <f>IF(I$82&gt;=$E105,'Dados ME'!F$6,"")</f>
        <v/>
      </c>
      <c r="J105" s="311" t="str">
        <f>IF(J$82&gt;=$E105,'Dados ME'!G$6,"")</f>
        <v/>
      </c>
      <c r="K105" s="311" t="str">
        <f>IF(K$82&gt;=$E105,'Dados ME'!H$6,"")</f>
        <v/>
      </c>
      <c r="L105" s="311" t="str">
        <f>IF(L$82&gt;=$E105,'Dados ME'!I$6,"")</f>
        <v/>
      </c>
      <c r="M105" s="311" t="str">
        <f>IF(M$82&gt;=$E105,'Dados ME'!J$6,"")</f>
        <v/>
      </c>
      <c r="N105" s="311" t="str">
        <f>IF(N$82&gt;=$E105,'Dados ME'!K$6,"")</f>
        <v/>
      </c>
      <c r="O105" s="311" t="str">
        <f>IF(O$82&gt;=$E105,'Dados ME'!L$6,"")</f>
        <v/>
      </c>
      <c r="P105" s="311" t="str">
        <f>IF(P$82&gt;=$E105,'Dados ME'!M$6,"")</f>
        <v/>
      </c>
      <c r="Q105" s="311" t="str">
        <f>IF(Q$82&gt;=$E105,'Dados ME'!N$6,"")</f>
        <v/>
      </c>
      <c r="R105" s="311" t="str">
        <f>IF(R$82&gt;=$E105,'Dados ME'!O$6,"")</f>
        <v/>
      </c>
      <c r="S105" s="311" t="str">
        <f>IF(S$82&gt;=$E105,'Dados ME'!P$6,"")</f>
        <v/>
      </c>
      <c r="T105" s="311" t="str">
        <f>IF(T$82&gt;=$E105,'Dados ME'!Q$6,"")</f>
        <v/>
      </c>
      <c r="U105" s="311" t="str">
        <f>IF(U$82&gt;=$E105,'Dados ME'!R$6,"")</f>
        <v/>
      </c>
      <c r="V105" s="311" t="str">
        <f>IF(V$82&gt;=$E105,'Dados ME'!S$6,"")</f>
        <v/>
      </c>
      <c r="W105" s="311" t="str">
        <f>IF(W$82&gt;=$E105,'Dados ME'!T$6,"")</f>
        <v/>
      </c>
      <c r="X105" s="311" t="str">
        <f>IF(X$82&gt;=$E105,'Dados ME'!U$6,"")</f>
        <v/>
      </c>
      <c r="Y105" s="311" t="str">
        <f>IF(Y$82&gt;=$E105,'Dados ME'!V$6,"")</f>
        <v/>
      </c>
      <c r="Z105" s="311" t="str">
        <f>IF(Z$82&gt;=$E105,'Dados ME'!W$6,"")</f>
        <v/>
      </c>
      <c r="AA105" s="311" t="str">
        <f>IF(AA$82&gt;=$E105,'Dados ME'!X$6,"")</f>
        <v/>
      </c>
      <c r="AB105" s="311" t="str">
        <f>IF(AB$82&gt;=$E105,'Dados ME'!Y$6,"")</f>
        <v/>
      </c>
      <c r="AC105" s="311" t="str">
        <f>IF(AC$82&gt;=$E105,'Dados ME'!Z$6,"")</f>
        <v/>
      </c>
      <c r="AD105" s="311">
        <f>IF(AD$82&gt;=$E105,'Dados ME'!AA$6,"")</f>
        <v>3.5000000000000003E-2</v>
      </c>
      <c r="AE105" s="311">
        <f>IF(AE$82&gt;=$E105,'Dados ME'!AB$6,"")</f>
        <v>3.5000000000000003E-2</v>
      </c>
      <c r="AF105" s="311">
        <f>IF(AF$82&gt;=$E105,'Dados ME'!AC$6,"")</f>
        <v>3.5000000000000003E-2</v>
      </c>
      <c r="AG105" s="311">
        <f>IF(AG$82&gt;=$E105,'Dados ME'!AD$6,"")</f>
        <v>3.5000000000000003E-2</v>
      </c>
      <c r="AH105" s="311">
        <f>IF(AH$82&gt;=$E105,'Dados ME'!AE$6,"")</f>
        <v>3.5000000000000003E-2</v>
      </c>
      <c r="AI105" s="311">
        <f>IF(AI$82&gt;=$E105,'Dados ME'!AF$6,"")</f>
        <v>3.5000000000000003E-2</v>
      </c>
      <c r="AJ105" s="311">
        <f>IF(AJ$82&gt;=$E105,'Dados ME'!AG$6,"")</f>
        <v>3.5000000000000003E-2</v>
      </c>
      <c r="AK105" s="311">
        <f>IF(AK$82&gt;=$E105,'Dados ME'!AH$6,"")</f>
        <v>3.5000000000000003E-2</v>
      </c>
      <c r="AL105" s="311">
        <f>IF(AL$82&gt;=$E105,'Dados ME'!AI$6,"")</f>
        <v>3.5000000000000003E-2</v>
      </c>
      <c r="AM105" s="311">
        <f>IF(AM$82&gt;=$E105,'Dados ME'!AJ$6,"")</f>
        <v>3.5000000000000003E-2</v>
      </c>
      <c r="AN105" s="311">
        <f>IF(AN$82&gt;=$E105,'Dados ME'!AK$6,"")</f>
        <v>3.5000000000000003E-2</v>
      </c>
      <c r="AO105" s="311">
        <f>IF(AO$82&gt;=$E105,'Dados ME'!AL$6,"")</f>
        <v>3.5000000000000003E-2</v>
      </c>
      <c r="AP105" s="311">
        <f>IF(AP$82&gt;=$E105,'Dados ME'!AM$6,"")</f>
        <v>3.5000000000000003E-2</v>
      </c>
      <c r="AQ105" s="296"/>
    </row>
    <row r="106" spans="3:43" x14ac:dyDescent="0.3">
      <c r="C106" s="1156"/>
      <c r="D106" s="294"/>
      <c r="E106" s="306">
        <f t="shared" si="92"/>
        <v>2050</v>
      </c>
      <c r="F106" s="294"/>
      <c r="G106" s="295"/>
      <c r="H106" s="311" t="str">
        <f>IF(H$82&gt;=$E106,'Dados ME'!E$6,"")</f>
        <v/>
      </c>
      <c r="I106" s="311" t="str">
        <f>IF(I$82&gt;=$E106,'Dados ME'!F$6,"")</f>
        <v/>
      </c>
      <c r="J106" s="311" t="str">
        <f>IF(J$82&gt;=$E106,'Dados ME'!G$6,"")</f>
        <v/>
      </c>
      <c r="K106" s="311" t="str">
        <f>IF(K$82&gt;=$E106,'Dados ME'!H$6,"")</f>
        <v/>
      </c>
      <c r="L106" s="311" t="str">
        <f>IF(L$82&gt;=$E106,'Dados ME'!I$6,"")</f>
        <v/>
      </c>
      <c r="M106" s="311" t="str">
        <f>IF(M$82&gt;=$E106,'Dados ME'!J$6,"")</f>
        <v/>
      </c>
      <c r="N106" s="311" t="str">
        <f>IF(N$82&gt;=$E106,'Dados ME'!K$6,"")</f>
        <v/>
      </c>
      <c r="O106" s="311" t="str">
        <f>IF(O$82&gt;=$E106,'Dados ME'!L$6,"")</f>
        <v/>
      </c>
      <c r="P106" s="311" t="str">
        <f>IF(P$82&gt;=$E106,'Dados ME'!M$6,"")</f>
        <v/>
      </c>
      <c r="Q106" s="311" t="str">
        <f>IF(Q$82&gt;=$E106,'Dados ME'!N$6,"")</f>
        <v/>
      </c>
      <c r="R106" s="311" t="str">
        <f>IF(R$82&gt;=$E106,'Dados ME'!O$6,"")</f>
        <v/>
      </c>
      <c r="S106" s="311" t="str">
        <f>IF(S$82&gt;=$E106,'Dados ME'!P$6,"")</f>
        <v/>
      </c>
      <c r="T106" s="311" t="str">
        <f>IF(T$82&gt;=$E106,'Dados ME'!Q$6,"")</f>
        <v/>
      </c>
      <c r="U106" s="311" t="str">
        <f>IF(U$82&gt;=$E106,'Dados ME'!R$6,"")</f>
        <v/>
      </c>
      <c r="V106" s="311" t="str">
        <f>IF(V$82&gt;=$E106,'Dados ME'!S$6,"")</f>
        <v/>
      </c>
      <c r="W106" s="311" t="str">
        <f>IF(W$82&gt;=$E106,'Dados ME'!T$6,"")</f>
        <v/>
      </c>
      <c r="X106" s="311" t="str">
        <f>IF(X$82&gt;=$E106,'Dados ME'!U$6,"")</f>
        <v/>
      </c>
      <c r="Y106" s="311" t="str">
        <f>IF(Y$82&gt;=$E106,'Dados ME'!V$6,"")</f>
        <v/>
      </c>
      <c r="Z106" s="311" t="str">
        <f>IF(Z$82&gt;=$E106,'Dados ME'!W$6,"")</f>
        <v/>
      </c>
      <c r="AA106" s="311" t="str">
        <f>IF(AA$82&gt;=$E106,'Dados ME'!X$6,"")</f>
        <v/>
      </c>
      <c r="AB106" s="311" t="str">
        <f>IF(AB$82&gt;=$E106,'Dados ME'!Y$6,"")</f>
        <v/>
      </c>
      <c r="AC106" s="311" t="str">
        <f>IF(AC$82&gt;=$E106,'Dados ME'!Z$6,"")</f>
        <v/>
      </c>
      <c r="AD106" s="311" t="str">
        <f>IF(AD$82&gt;=$E106,'Dados ME'!AA$6,"")</f>
        <v/>
      </c>
      <c r="AE106" s="311">
        <f>IF(AE$82&gt;=$E106,'Dados ME'!AB$6,"")</f>
        <v>3.5000000000000003E-2</v>
      </c>
      <c r="AF106" s="311">
        <f>IF(AF$82&gt;=$E106,'Dados ME'!AC$6,"")</f>
        <v>3.5000000000000003E-2</v>
      </c>
      <c r="AG106" s="311">
        <f>IF(AG$82&gt;=$E106,'Dados ME'!AD$6,"")</f>
        <v>3.5000000000000003E-2</v>
      </c>
      <c r="AH106" s="311">
        <f>IF(AH$82&gt;=$E106,'Dados ME'!AE$6,"")</f>
        <v>3.5000000000000003E-2</v>
      </c>
      <c r="AI106" s="311">
        <f>IF(AI$82&gt;=$E106,'Dados ME'!AF$6,"")</f>
        <v>3.5000000000000003E-2</v>
      </c>
      <c r="AJ106" s="311">
        <f>IF(AJ$82&gt;=$E106,'Dados ME'!AG$6,"")</f>
        <v>3.5000000000000003E-2</v>
      </c>
      <c r="AK106" s="311">
        <f>IF(AK$82&gt;=$E106,'Dados ME'!AH$6,"")</f>
        <v>3.5000000000000003E-2</v>
      </c>
      <c r="AL106" s="311">
        <f>IF(AL$82&gt;=$E106,'Dados ME'!AI$6,"")</f>
        <v>3.5000000000000003E-2</v>
      </c>
      <c r="AM106" s="311">
        <f>IF(AM$82&gt;=$E106,'Dados ME'!AJ$6,"")</f>
        <v>3.5000000000000003E-2</v>
      </c>
      <c r="AN106" s="311">
        <f>IF(AN$82&gt;=$E106,'Dados ME'!AK$6,"")</f>
        <v>3.5000000000000003E-2</v>
      </c>
      <c r="AO106" s="311">
        <f>IF(AO$82&gt;=$E106,'Dados ME'!AL$6,"")</f>
        <v>3.5000000000000003E-2</v>
      </c>
      <c r="AP106" s="311">
        <f>IF(AP$82&gt;=$E106,'Dados ME'!AM$6,"")</f>
        <v>3.5000000000000003E-2</v>
      </c>
      <c r="AQ106" s="296"/>
    </row>
    <row r="107" spans="3:43" x14ac:dyDescent="0.3">
      <c r="C107" s="1156"/>
      <c r="D107" s="294"/>
      <c r="E107" s="306">
        <f t="shared" si="92"/>
        <v>2051</v>
      </c>
      <c r="F107" s="294"/>
      <c r="G107" s="295"/>
      <c r="H107" s="311" t="str">
        <f>IF(H$82&gt;=$E107,'Dados ME'!E$6,"")</f>
        <v/>
      </c>
      <c r="I107" s="311" t="str">
        <f>IF(I$82&gt;=$E107,'Dados ME'!F$6,"")</f>
        <v/>
      </c>
      <c r="J107" s="311" t="str">
        <f>IF(J$82&gt;=$E107,'Dados ME'!G$6,"")</f>
        <v/>
      </c>
      <c r="K107" s="311" t="str">
        <f>IF(K$82&gt;=$E107,'Dados ME'!H$6,"")</f>
        <v/>
      </c>
      <c r="L107" s="311" t="str">
        <f>IF(L$82&gt;=$E107,'Dados ME'!I$6,"")</f>
        <v/>
      </c>
      <c r="M107" s="311" t="str">
        <f>IF(M$82&gt;=$E107,'Dados ME'!J$6,"")</f>
        <v/>
      </c>
      <c r="N107" s="311" t="str">
        <f>IF(N$82&gt;=$E107,'Dados ME'!K$6,"")</f>
        <v/>
      </c>
      <c r="O107" s="311" t="str">
        <f>IF(O$82&gt;=$E107,'Dados ME'!L$6,"")</f>
        <v/>
      </c>
      <c r="P107" s="311" t="str">
        <f>IF(P$82&gt;=$E107,'Dados ME'!M$6,"")</f>
        <v/>
      </c>
      <c r="Q107" s="311" t="str">
        <f>IF(Q$82&gt;=$E107,'Dados ME'!N$6,"")</f>
        <v/>
      </c>
      <c r="R107" s="311" t="str">
        <f>IF(R$82&gt;=$E107,'Dados ME'!O$6,"")</f>
        <v/>
      </c>
      <c r="S107" s="311" t="str">
        <f>IF(S$82&gt;=$E107,'Dados ME'!P$6,"")</f>
        <v/>
      </c>
      <c r="T107" s="311" t="str">
        <f>IF(T$82&gt;=$E107,'Dados ME'!Q$6,"")</f>
        <v/>
      </c>
      <c r="U107" s="311" t="str">
        <f>IF(U$82&gt;=$E107,'Dados ME'!R$6,"")</f>
        <v/>
      </c>
      <c r="V107" s="311" t="str">
        <f>IF(V$82&gt;=$E107,'Dados ME'!S$6,"")</f>
        <v/>
      </c>
      <c r="W107" s="311" t="str">
        <f>IF(W$82&gt;=$E107,'Dados ME'!T$6,"")</f>
        <v/>
      </c>
      <c r="X107" s="311" t="str">
        <f>IF(X$82&gt;=$E107,'Dados ME'!U$6,"")</f>
        <v/>
      </c>
      <c r="Y107" s="311" t="str">
        <f>IF(Y$82&gt;=$E107,'Dados ME'!V$6,"")</f>
        <v/>
      </c>
      <c r="Z107" s="311" t="str">
        <f>IF(Z$82&gt;=$E107,'Dados ME'!W$6,"")</f>
        <v/>
      </c>
      <c r="AA107" s="311" t="str">
        <f>IF(AA$82&gt;=$E107,'Dados ME'!X$6,"")</f>
        <v/>
      </c>
      <c r="AB107" s="311" t="str">
        <f>IF(AB$82&gt;=$E107,'Dados ME'!Y$6,"")</f>
        <v/>
      </c>
      <c r="AC107" s="311" t="str">
        <f>IF(AC$82&gt;=$E107,'Dados ME'!Z$6,"")</f>
        <v/>
      </c>
      <c r="AD107" s="311" t="str">
        <f>IF(AD$82&gt;=$E107,'Dados ME'!AA$6,"")</f>
        <v/>
      </c>
      <c r="AE107" s="311" t="str">
        <f>IF(AE$82&gt;=$E107,'Dados ME'!AB$6,"")</f>
        <v/>
      </c>
      <c r="AF107" s="311">
        <f>IF(AF$82&gt;=$E107,'Dados ME'!AC$6,"")</f>
        <v>3.5000000000000003E-2</v>
      </c>
      <c r="AG107" s="311">
        <f>IF(AG$82&gt;=$E107,'Dados ME'!AD$6,"")</f>
        <v>3.5000000000000003E-2</v>
      </c>
      <c r="AH107" s="311">
        <f>IF(AH$82&gt;=$E107,'Dados ME'!AE$6,"")</f>
        <v>3.5000000000000003E-2</v>
      </c>
      <c r="AI107" s="311">
        <f>IF(AI$82&gt;=$E107,'Dados ME'!AF$6,"")</f>
        <v>3.5000000000000003E-2</v>
      </c>
      <c r="AJ107" s="311">
        <f>IF(AJ$82&gt;=$E107,'Dados ME'!AG$6,"")</f>
        <v>3.5000000000000003E-2</v>
      </c>
      <c r="AK107" s="311">
        <f>IF(AK$82&gt;=$E107,'Dados ME'!AH$6,"")</f>
        <v>3.5000000000000003E-2</v>
      </c>
      <c r="AL107" s="311">
        <f>IF(AL$82&gt;=$E107,'Dados ME'!AI$6,"")</f>
        <v>3.5000000000000003E-2</v>
      </c>
      <c r="AM107" s="311">
        <f>IF(AM$82&gt;=$E107,'Dados ME'!AJ$6,"")</f>
        <v>3.5000000000000003E-2</v>
      </c>
      <c r="AN107" s="311">
        <f>IF(AN$82&gt;=$E107,'Dados ME'!AK$6,"")</f>
        <v>3.5000000000000003E-2</v>
      </c>
      <c r="AO107" s="311">
        <f>IF(AO$82&gt;=$E107,'Dados ME'!AL$6,"")</f>
        <v>3.5000000000000003E-2</v>
      </c>
      <c r="AP107" s="311">
        <f>IF(AP$82&gt;=$E107,'Dados ME'!AM$6,"")</f>
        <v>3.5000000000000003E-2</v>
      </c>
      <c r="AQ107" s="296"/>
    </row>
    <row r="108" spans="3:43" x14ac:dyDescent="0.3">
      <c r="C108" s="1156"/>
      <c r="D108" s="294"/>
      <c r="E108" s="306">
        <f t="shared" si="92"/>
        <v>2052</v>
      </c>
      <c r="F108" s="294"/>
      <c r="G108" s="295"/>
      <c r="H108" s="311" t="str">
        <f>IF(H$82&gt;=$E108,'Dados ME'!E$6,"")</f>
        <v/>
      </c>
      <c r="I108" s="311" t="str">
        <f>IF(I$82&gt;=$E108,'Dados ME'!F$6,"")</f>
        <v/>
      </c>
      <c r="J108" s="311" t="str">
        <f>IF(J$82&gt;=$E108,'Dados ME'!G$6,"")</f>
        <v/>
      </c>
      <c r="K108" s="311" t="str">
        <f>IF(K$82&gt;=$E108,'Dados ME'!H$6,"")</f>
        <v/>
      </c>
      <c r="L108" s="311" t="str">
        <f>IF(L$82&gt;=$E108,'Dados ME'!I$6,"")</f>
        <v/>
      </c>
      <c r="M108" s="311" t="str">
        <f>IF(M$82&gt;=$E108,'Dados ME'!J$6,"")</f>
        <v/>
      </c>
      <c r="N108" s="311" t="str">
        <f>IF(N$82&gt;=$E108,'Dados ME'!K$6,"")</f>
        <v/>
      </c>
      <c r="O108" s="311" t="str">
        <f>IF(O$82&gt;=$E108,'Dados ME'!L$6,"")</f>
        <v/>
      </c>
      <c r="P108" s="311" t="str">
        <f>IF(P$82&gt;=$E108,'Dados ME'!M$6,"")</f>
        <v/>
      </c>
      <c r="Q108" s="311" t="str">
        <f>IF(Q$82&gt;=$E108,'Dados ME'!N$6,"")</f>
        <v/>
      </c>
      <c r="R108" s="311" t="str">
        <f>IF(R$82&gt;=$E108,'Dados ME'!O$6,"")</f>
        <v/>
      </c>
      <c r="S108" s="311" t="str">
        <f>IF(S$82&gt;=$E108,'Dados ME'!P$6,"")</f>
        <v/>
      </c>
      <c r="T108" s="311" t="str">
        <f>IF(T$82&gt;=$E108,'Dados ME'!Q$6,"")</f>
        <v/>
      </c>
      <c r="U108" s="311" t="str">
        <f>IF(U$82&gt;=$E108,'Dados ME'!R$6,"")</f>
        <v/>
      </c>
      <c r="V108" s="311" t="str">
        <f>IF(V$82&gt;=$E108,'Dados ME'!S$6,"")</f>
        <v/>
      </c>
      <c r="W108" s="311" t="str">
        <f>IF(W$82&gt;=$E108,'Dados ME'!T$6,"")</f>
        <v/>
      </c>
      <c r="X108" s="311" t="str">
        <f>IF(X$82&gt;=$E108,'Dados ME'!U$6,"")</f>
        <v/>
      </c>
      <c r="Y108" s="311" t="str">
        <f>IF(Y$82&gt;=$E108,'Dados ME'!V$6,"")</f>
        <v/>
      </c>
      <c r="Z108" s="311" t="str">
        <f>IF(Z$82&gt;=$E108,'Dados ME'!W$6,"")</f>
        <v/>
      </c>
      <c r="AA108" s="311" t="str">
        <f>IF(AA$82&gt;=$E108,'Dados ME'!X$6,"")</f>
        <v/>
      </c>
      <c r="AB108" s="311" t="str">
        <f>IF(AB$82&gt;=$E108,'Dados ME'!Y$6,"")</f>
        <v/>
      </c>
      <c r="AC108" s="311" t="str">
        <f>IF(AC$82&gt;=$E108,'Dados ME'!Z$6,"")</f>
        <v/>
      </c>
      <c r="AD108" s="311" t="str">
        <f>IF(AD$82&gt;=$E108,'Dados ME'!AA$6,"")</f>
        <v/>
      </c>
      <c r="AE108" s="311" t="str">
        <f>IF(AE$82&gt;=$E108,'Dados ME'!AB$6,"")</f>
        <v/>
      </c>
      <c r="AF108" s="311" t="str">
        <f>IF(AF$82&gt;=$E108,'Dados ME'!AC$6,"")</f>
        <v/>
      </c>
      <c r="AG108" s="311">
        <f>IF(AG$82&gt;=$E108,'Dados ME'!AD$6,"")</f>
        <v>3.5000000000000003E-2</v>
      </c>
      <c r="AH108" s="311">
        <f>IF(AH$82&gt;=$E108,'Dados ME'!AE$6,"")</f>
        <v>3.5000000000000003E-2</v>
      </c>
      <c r="AI108" s="311">
        <f>IF(AI$82&gt;=$E108,'Dados ME'!AF$6,"")</f>
        <v>3.5000000000000003E-2</v>
      </c>
      <c r="AJ108" s="311">
        <f>IF(AJ$82&gt;=$E108,'Dados ME'!AG$6,"")</f>
        <v>3.5000000000000003E-2</v>
      </c>
      <c r="AK108" s="311">
        <f>IF(AK$82&gt;=$E108,'Dados ME'!AH$6,"")</f>
        <v>3.5000000000000003E-2</v>
      </c>
      <c r="AL108" s="311">
        <f>IF(AL$82&gt;=$E108,'Dados ME'!AI$6,"")</f>
        <v>3.5000000000000003E-2</v>
      </c>
      <c r="AM108" s="311">
        <f>IF(AM$82&gt;=$E108,'Dados ME'!AJ$6,"")</f>
        <v>3.5000000000000003E-2</v>
      </c>
      <c r="AN108" s="311">
        <f>IF(AN$82&gt;=$E108,'Dados ME'!AK$6,"")</f>
        <v>3.5000000000000003E-2</v>
      </c>
      <c r="AO108" s="311">
        <f>IF(AO$82&gt;=$E108,'Dados ME'!AL$6,"")</f>
        <v>3.5000000000000003E-2</v>
      </c>
      <c r="AP108" s="311">
        <f>IF(AP$82&gt;=$E108,'Dados ME'!AM$6,"")</f>
        <v>3.5000000000000003E-2</v>
      </c>
      <c r="AQ108" s="296"/>
    </row>
    <row r="109" spans="3:43" x14ac:dyDescent="0.3">
      <c r="C109" s="1156"/>
      <c r="D109" s="294"/>
      <c r="E109" s="306">
        <f t="shared" si="92"/>
        <v>2053</v>
      </c>
      <c r="F109" s="294"/>
      <c r="G109" s="295"/>
      <c r="H109" s="311" t="str">
        <f>IF(H$82&gt;=$E109,'Dados ME'!E$6,"")</f>
        <v/>
      </c>
      <c r="I109" s="311" t="str">
        <f>IF(I$82&gt;=$E109,'Dados ME'!F$6,"")</f>
        <v/>
      </c>
      <c r="J109" s="311" t="str">
        <f>IF(J$82&gt;=$E109,'Dados ME'!G$6,"")</f>
        <v/>
      </c>
      <c r="K109" s="311" t="str">
        <f>IF(K$82&gt;=$E109,'Dados ME'!H$6,"")</f>
        <v/>
      </c>
      <c r="L109" s="311" t="str">
        <f>IF(L$82&gt;=$E109,'Dados ME'!I$6,"")</f>
        <v/>
      </c>
      <c r="M109" s="311" t="str">
        <f>IF(M$82&gt;=$E109,'Dados ME'!J$6,"")</f>
        <v/>
      </c>
      <c r="N109" s="311" t="str">
        <f>IF(N$82&gt;=$E109,'Dados ME'!K$6,"")</f>
        <v/>
      </c>
      <c r="O109" s="311" t="str">
        <f>IF(O$82&gt;=$E109,'Dados ME'!L$6,"")</f>
        <v/>
      </c>
      <c r="P109" s="311" t="str">
        <f>IF(P$82&gt;=$E109,'Dados ME'!M$6,"")</f>
        <v/>
      </c>
      <c r="Q109" s="311" t="str">
        <f>IF(Q$82&gt;=$E109,'Dados ME'!N$6,"")</f>
        <v/>
      </c>
      <c r="R109" s="311" t="str">
        <f>IF(R$82&gt;=$E109,'Dados ME'!O$6,"")</f>
        <v/>
      </c>
      <c r="S109" s="311" t="str">
        <f>IF(S$82&gt;=$E109,'Dados ME'!P$6,"")</f>
        <v/>
      </c>
      <c r="T109" s="311" t="str">
        <f>IF(T$82&gt;=$E109,'Dados ME'!Q$6,"")</f>
        <v/>
      </c>
      <c r="U109" s="311" t="str">
        <f>IF(U$82&gt;=$E109,'Dados ME'!R$6,"")</f>
        <v/>
      </c>
      <c r="V109" s="311" t="str">
        <f>IF(V$82&gt;=$E109,'Dados ME'!S$6,"")</f>
        <v/>
      </c>
      <c r="W109" s="311" t="str">
        <f>IF(W$82&gt;=$E109,'Dados ME'!T$6,"")</f>
        <v/>
      </c>
      <c r="X109" s="311" t="str">
        <f>IF(X$82&gt;=$E109,'Dados ME'!U$6,"")</f>
        <v/>
      </c>
      <c r="Y109" s="311" t="str">
        <f>IF(Y$82&gt;=$E109,'Dados ME'!V$6,"")</f>
        <v/>
      </c>
      <c r="Z109" s="311" t="str">
        <f>IF(Z$82&gt;=$E109,'Dados ME'!W$6,"")</f>
        <v/>
      </c>
      <c r="AA109" s="311" t="str">
        <f>IF(AA$82&gt;=$E109,'Dados ME'!X$6,"")</f>
        <v/>
      </c>
      <c r="AB109" s="311" t="str">
        <f>IF(AB$82&gt;=$E109,'Dados ME'!Y$6,"")</f>
        <v/>
      </c>
      <c r="AC109" s="311" t="str">
        <f>IF(AC$82&gt;=$E109,'Dados ME'!Z$6,"")</f>
        <v/>
      </c>
      <c r="AD109" s="311" t="str">
        <f>IF(AD$82&gt;=$E109,'Dados ME'!AA$6,"")</f>
        <v/>
      </c>
      <c r="AE109" s="311" t="str">
        <f>IF(AE$82&gt;=$E109,'Dados ME'!AB$6,"")</f>
        <v/>
      </c>
      <c r="AF109" s="311" t="str">
        <f>IF(AF$82&gt;=$E109,'Dados ME'!AC$6,"")</f>
        <v/>
      </c>
      <c r="AG109" s="311" t="str">
        <f>IF(AG$82&gt;=$E109,'Dados ME'!AD$6,"")</f>
        <v/>
      </c>
      <c r="AH109" s="311">
        <f>IF(AH$82&gt;=$E109,'Dados ME'!AE$6,"")</f>
        <v>3.5000000000000003E-2</v>
      </c>
      <c r="AI109" s="311">
        <f>IF(AI$82&gt;=$E109,'Dados ME'!AF$6,"")</f>
        <v>3.5000000000000003E-2</v>
      </c>
      <c r="AJ109" s="311">
        <f>IF(AJ$82&gt;=$E109,'Dados ME'!AG$6,"")</f>
        <v>3.5000000000000003E-2</v>
      </c>
      <c r="AK109" s="311">
        <f>IF(AK$82&gt;=$E109,'Dados ME'!AH$6,"")</f>
        <v>3.5000000000000003E-2</v>
      </c>
      <c r="AL109" s="311">
        <f>IF(AL$82&gt;=$E109,'Dados ME'!AI$6,"")</f>
        <v>3.5000000000000003E-2</v>
      </c>
      <c r="AM109" s="311">
        <f>IF(AM$82&gt;=$E109,'Dados ME'!AJ$6,"")</f>
        <v>3.5000000000000003E-2</v>
      </c>
      <c r="AN109" s="311">
        <f>IF(AN$82&gt;=$E109,'Dados ME'!AK$6,"")</f>
        <v>3.5000000000000003E-2</v>
      </c>
      <c r="AO109" s="311">
        <f>IF(AO$82&gt;=$E109,'Dados ME'!AL$6,"")</f>
        <v>3.5000000000000003E-2</v>
      </c>
      <c r="AP109" s="311">
        <f>IF(AP$82&gt;=$E109,'Dados ME'!AM$6,"")</f>
        <v>3.5000000000000003E-2</v>
      </c>
      <c r="AQ109" s="296"/>
    </row>
    <row r="110" spans="3:43" x14ac:dyDescent="0.3">
      <c r="C110" s="1156"/>
      <c r="D110" s="294"/>
      <c r="E110" s="306">
        <f t="shared" si="92"/>
        <v>2054</v>
      </c>
      <c r="F110" s="294"/>
      <c r="G110" s="295"/>
      <c r="H110" s="311" t="str">
        <f>IF(H$82&gt;=$E110,'Dados ME'!E$6,"")</f>
        <v/>
      </c>
      <c r="I110" s="311" t="str">
        <f>IF(I$82&gt;=$E110,'Dados ME'!F$6,"")</f>
        <v/>
      </c>
      <c r="J110" s="311" t="str">
        <f>IF(J$82&gt;=$E110,'Dados ME'!G$6,"")</f>
        <v/>
      </c>
      <c r="K110" s="311" t="str">
        <f>IF(K$82&gt;=$E110,'Dados ME'!H$6,"")</f>
        <v/>
      </c>
      <c r="L110" s="311" t="str">
        <f>IF(L$82&gt;=$E110,'Dados ME'!I$6,"")</f>
        <v/>
      </c>
      <c r="M110" s="311" t="str">
        <f>IF(M$82&gt;=$E110,'Dados ME'!J$6,"")</f>
        <v/>
      </c>
      <c r="N110" s="311" t="str">
        <f>IF(N$82&gt;=$E110,'Dados ME'!K$6,"")</f>
        <v/>
      </c>
      <c r="O110" s="311" t="str">
        <f>IF(O$82&gt;=$E110,'Dados ME'!L$6,"")</f>
        <v/>
      </c>
      <c r="P110" s="311" t="str">
        <f>IF(P$82&gt;=$E110,'Dados ME'!M$6,"")</f>
        <v/>
      </c>
      <c r="Q110" s="311" t="str">
        <f>IF(Q$82&gt;=$E110,'Dados ME'!N$6,"")</f>
        <v/>
      </c>
      <c r="R110" s="311" t="str">
        <f>IF(R$82&gt;=$E110,'Dados ME'!O$6,"")</f>
        <v/>
      </c>
      <c r="S110" s="311" t="str">
        <f>IF(S$82&gt;=$E110,'Dados ME'!P$6,"")</f>
        <v/>
      </c>
      <c r="T110" s="311" t="str">
        <f>IF(T$82&gt;=$E110,'Dados ME'!Q$6,"")</f>
        <v/>
      </c>
      <c r="U110" s="311" t="str">
        <f>IF(U$82&gt;=$E110,'Dados ME'!R$6,"")</f>
        <v/>
      </c>
      <c r="V110" s="311" t="str">
        <f>IF(V$82&gt;=$E110,'Dados ME'!S$6,"")</f>
        <v/>
      </c>
      <c r="W110" s="311" t="str">
        <f>IF(W$82&gt;=$E110,'Dados ME'!T$6,"")</f>
        <v/>
      </c>
      <c r="X110" s="311" t="str">
        <f>IF(X$82&gt;=$E110,'Dados ME'!U$6,"")</f>
        <v/>
      </c>
      <c r="Y110" s="311" t="str">
        <f>IF(Y$82&gt;=$E110,'Dados ME'!V$6,"")</f>
        <v/>
      </c>
      <c r="Z110" s="311" t="str">
        <f>IF(Z$82&gt;=$E110,'Dados ME'!W$6,"")</f>
        <v/>
      </c>
      <c r="AA110" s="311" t="str">
        <f>IF(AA$82&gt;=$E110,'Dados ME'!X$6,"")</f>
        <v/>
      </c>
      <c r="AB110" s="311" t="str">
        <f>IF(AB$82&gt;=$E110,'Dados ME'!Y$6,"")</f>
        <v/>
      </c>
      <c r="AC110" s="311" t="str">
        <f>IF(AC$82&gt;=$E110,'Dados ME'!Z$6,"")</f>
        <v/>
      </c>
      <c r="AD110" s="311" t="str">
        <f>IF(AD$82&gt;=$E110,'Dados ME'!AA$6,"")</f>
        <v/>
      </c>
      <c r="AE110" s="311" t="str">
        <f>IF(AE$82&gt;=$E110,'Dados ME'!AB$6,"")</f>
        <v/>
      </c>
      <c r="AF110" s="311" t="str">
        <f>IF(AF$82&gt;=$E110,'Dados ME'!AC$6,"")</f>
        <v/>
      </c>
      <c r="AG110" s="311" t="str">
        <f>IF(AG$82&gt;=$E110,'Dados ME'!AD$6,"")</f>
        <v/>
      </c>
      <c r="AH110" s="311" t="str">
        <f>IF(AH$82&gt;=$E110,'Dados ME'!AE$6,"")</f>
        <v/>
      </c>
      <c r="AI110" s="311">
        <f>IF(AI$82&gt;=$E110,'Dados ME'!AF$6,"")</f>
        <v>3.5000000000000003E-2</v>
      </c>
      <c r="AJ110" s="311">
        <f>IF(AJ$82&gt;=$E110,'Dados ME'!AG$6,"")</f>
        <v>3.5000000000000003E-2</v>
      </c>
      <c r="AK110" s="311">
        <f>IF(AK$82&gt;=$E110,'Dados ME'!AH$6,"")</f>
        <v>3.5000000000000003E-2</v>
      </c>
      <c r="AL110" s="311">
        <f>IF(AL$82&gt;=$E110,'Dados ME'!AI$6,"")</f>
        <v>3.5000000000000003E-2</v>
      </c>
      <c r="AM110" s="311">
        <f>IF(AM$82&gt;=$E110,'Dados ME'!AJ$6,"")</f>
        <v>3.5000000000000003E-2</v>
      </c>
      <c r="AN110" s="311">
        <f>IF(AN$82&gt;=$E110,'Dados ME'!AK$6,"")</f>
        <v>3.5000000000000003E-2</v>
      </c>
      <c r="AO110" s="311">
        <f>IF(AO$82&gt;=$E110,'Dados ME'!AL$6,"")</f>
        <v>3.5000000000000003E-2</v>
      </c>
      <c r="AP110" s="311">
        <f>IF(AP$82&gt;=$E110,'Dados ME'!AM$6,"")</f>
        <v>3.5000000000000003E-2</v>
      </c>
      <c r="AQ110" s="296"/>
    </row>
    <row r="111" spans="3:43" x14ac:dyDescent="0.3">
      <c r="C111" s="1156"/>
      <c r="D111" s="294"/>
      <c r="E111" s="306">
        <f t="shared" si="92"/>
        <v>2055</v>
      </c>
      <c r="F111" s="294"/>
      <c r="G111" s="295"/>
      <c r="H111" s="311" t="str">
        <f>IF(H$82&gt;=$E111,'Dados ME'!E$6,"")</f>
        <v/>
      </c>
      <c r="I111" s="311" t="str">
        <f>IF(I$82&gt;=$E111,'Dados ME'!F$6,"")</f>
        <v/>
      </c>
      <c r="J111" s="311" t="str">
        <f>IF(J$82&gt;=$E111,'Dados ME'!G$6,"")</f>
        <v/>
      </c>
      <c r="K111" s="311" t="str">
        <f>IF(K$82&gt;=$E111,'Dados ME'!H$6,"")</f>
        <v/>
      </c>
      <c r="L111" s="311" t="str">
        <f>IF(L$82&gt;=$E111,'Dados ME'!I$6,"")</f>
        <v/>
      </c>
      <c r="M111" s="311" t="str">
        <f>IF(M$82&gt;=$E111,'Dados ME'!J$6,"")</f>
        <v/>
      </c>
      <c r="N111" s="311" t="str">
        <f>IF(N$82&gt;=$E111,'Dados ME'!K$6,"")</f>
        <v/>
      </c>
      <c r="O111" s="311" t="str">
        <f>IF(O$82&gt;=$E111,'Dados ME'!L$6,"")</f>
        <v/>
      </c>
      <c r="P111" s="311" t="str">
        <f>IF(P$82&gt;=$E111,'Dados ME'!M$6,"")</f>
        <v/>
      </c>
      <c r="Q111" s="311" t="str">
        <f>IF(Q$82&gt;=$E111,'Dados ME'!N$6,"")</f>
        <v/>
      </c>
      <c r="R111" s="311" t="str">
        <f>IF(R$82&gt;=$E111,'Dados ME'!O$6,"")</f>
        <v/>
      </c>
      <c r="S111" s="311" t="str">
        <f>IF(S$82&gt;=$E111,'Dados ME'!P$6,"")</f>
        <v/>
      </c>
      <c r="T111" s="311" t="str">
        <f>IF(T$82&gt;=$E111,'Dados ME'!Q$6,"")</f>
        <v/>
      </c>
      <c r="U111" s="311" t="str">
        <f>IF(U$82&gt;=$E111,'Dados ME'!R$6,"")</f>
        <v/>
      </c>
      <c r="V111" s="311" t="str">
        <f>IF(V$82&gt;=$E111,'Dados ME'!S$6,"")</f>
        <v/>
      </c>
      <c r="W111" s="311" t="str">
        <f>IF(W$82&gt;=$E111,'Dados ME'!T$6,"")</f>
        <v/>
      </c>
      <c r="X111" s="311" t="str">
        <f>IF(X$82&gt;=$E111,'Dados ME'!U$6,"")</f>
        <v/>
      </c>
      <c r="Y111" s="311" t="str">
        <f>IF(Y$82&gt;=$E111,'Dados ME'!V$6,"")</f>
        <v/>
      </c>
      <c r="Z111" s="311" t="str">
        <f>IF(Z$82&gt;=$E111,'Dados ME'!W$6,"")</f>
        <v/>
      </c>
      <c r="AA111" s="311" t="str">
        <f>IF(AA$82&gt;=$E111,'Dados ME'!X$6,"")</f>
        <v/>
      </c>
      <c r="AB111" s="311" t="str">
        <f>IF(AB$82&gt;=$E111,'Dados ME'!Y$6,"")</f>
        <v/>
      </c>
      <c r="AC111" s="311" t="str">
        <f>IF(AC$82&gt;=$E111,'Dados ME'!Z$6,"")</f>
        <v/>
      </c>
      <c r="AD111" s="311" t="str">
        <f>IF(AD$82&gt;=$E111,'Dados ME'!AA$6,"")</f>
        <v/>
      </c>
      <c r="AE111" s="311" t="str">
        <f>IF(AE$82&gt;=$E111,'Dados ME'!AB$6,"")</f>
        <v/>
      </c>
      <c r="AF111" s="311" t="str">
        <f>IF(AF$82&gt;=$E111,'Dados ME'!AC$6,"")</f>
        <v/>
      </c>
      <c r="AG111" s="311" t="str">
        <f>IF(AG$82&gt;=$E111,'Dados ME'!AD$6,"")</f>
        <v/>
      </c>
      <c r="AH111" s="311" t="str">
        <f>IF(AH$82&gt;=$E111,'Dados ME'!AE$6,"")</f>
        <v/>
      </c>
      <c r="AI111" s="311" t="str">
        <f>IF(AI$82&gt;=$E111,'Dados ME'!AF$6,"")</f>
        <v/>
      </c>
      <c r="AJ111" s="311">
        <f>IF(AJ$82&gt;=$E111,'Dados ME'!AG$6,"")</f>
        <v>3.5000000000000003E-2</v>
      </c>
      <c r="AK111" s="311">
        <f>IF(AK$82&gt;=$E111,'Dados ME'!AH$6,"")</f>
        <v>3.5000000000000003E-2</v>
      </c>
      <c r="AL111" s="311">
        <f>IF(AL$82&gt;=$E111,'Dados ME'!AI$6,"")</f>
        <v>3.5000000000000003E-2</v>
      </c>
      <c r="AM111" s="311">
        <f>IF(AM$82&gt;=$E111,'Dados ME'!AJ$6,"")</f>
        <v>3.5000000000000003E-2</v>
      </c>
      <c r="AN111" s="311">
        <f>IF(AN$82&gt;=$E111,'Dados ME'!AK$6,"")</f>
        <v>3.5000000000000003E-2</v>
      </c>
      <c r="AO111" s="311">
        <f>IF(AO$82&gt;=$E111,'Dados ME'!AL$6,"")</f>
        <v>3.5000000000000003E-2</v>
      </c>
      <c r="AP111" s="311">
        <f>IF(AP$82&gt;=$E111,'Dados ME'!AM$6,"")</f>
        <v>3.5000000000000003E-2</v>
      </c>
      <c r="AQ111" s="296"/>
    </row>
    <row r="112" spans="3:43" x14ac:dyDescent="0.3">
      <c r="C112" s="1156"/>
      <c r="D112" s="294"/>
      <c r="E112" s="306">
        <f t="shared" si="92"/>
        <v>2056</v>
      </c>
      <c r="F112" s="294"/>
      <c r="G112" s="295"/>
      <c r="H112" s="311" t="str">
        <f>IF(H$82&gt;=$E112,'Dados ME'!E$6,"")</f>
        <v/>
      </c>
      <c r="I112" s="311" t="str">
        <f>IF(I$82&gt;=$E112,'Dados ME'!F$6,"")</f>
        <v/>
      </c>
      <c r="J112" s="311" t="str">
        <f>IF(J$82&gt;=$E112,'Dados ME'!G$6,"")</f>
        <v/>
      </c>
      <c r="K112" s="311" t="str">
        <f>IF(K$82&gt;=$E112,'Dados ME'!H$6,"")</f>
        <v/>
      </c>
      <c r="L112" s="311" t="str">
        <f>IF(L$82&gt;=$E112,'Dados ME'!I$6,"")</f>
        <v/>
      </c>
      <c r="M112" s="311" t="str">
        <f>IF(M$82&gt;=$E112,'Dados ME'!J$6,"")</f>
        <v/>
      </c>
      <c r="N112" s="311" t="str">
        <f>IF(N$82&gt;=$E112,'Dados ME'!K$6,"")</f>
        <v/>
      </c>
      <c r="O112" s="311" t="str">
        <f>IF(O$82&gt;=$E112,'Dados ME'!L$6,"")</f>
        <v/>
      </c>
      <c r="P112" s="311" t="str">
        <f>IF(P$82&gt;=$E112,'Dados ME'!M$6,"")</f>
        <v/>
      </c>
      <c r="Q112" s="311" t="str">
        <f>IF(Q$82&gt;=$E112,'Dados ME'!N$6,"")</f>
        <v/>
      </c>
      <c r="R112" s="311" t="str">
        <f>IF(R$82&gt;=$E112,'Dados ME'!O$6,"")</f>
        <v/>
      </c>
      <c r="S112" s="311" t="str">
        <f>IF(S$82&gt;=$E112,'Dados ME'!P$6,"")</f>
        <v/>
      </c>
      <c r="T112" s="311" t="str">
        <f>IF(T$82&gt;=$E112,'Dados ME'!Q$6,"")</f>
        <v/>
      </c>
      <c r="U112" s="311" t="str">
        <f>IF(U$82&gt;=$E112,'Dados ME'!R$6,"")</f>
        <v/>
      </c>
      <c r="V112" s="311" t="str">
        <f>IF(V$82&gt;=$E112,'Dados ME'!S$6,"")</f>
        <v/>
      </c>
      <c r="W112" s="311" t="str">
        <f>IF(W$82&gt;=$E112,'Dados ME'!T$6,"")</f>
        <v/>
      </c>
      <c r="X112" s="311" t="str">
        <f>IF(X$82&gt;=$E112,'Dados ME'!U$6,"")</f>
        <v/>
      </c>
      <c r="Y112" s="311" t="str">
        <f>IF(Y$82&gt;=$E112,'Dados ME'!V$6,"")</f>
        <v/>
      </c>
      <c r="Z112" s="311" t="str">
        <f>IF(Z$82&gt;=$E112,'Dados ME'!W$6,"")</f>
        <v/>
      </c>
      <c r="AA112" s="311" t="str">
        <f>IF(AA$82&gt;=$E112,'Dados ME'!X$6,"")</f>
        <v/>
      </c>
      <c r="AB112" s="311" t="str">
        <f>IF(AB$82&gt;=$E112,'Dados ME'!Y$6,"")</f>
        <v/>
      </c>
      <c r="AC112" s="311" t="str">
        <f>IF(AC$82&gt;=$E112,'Dados ME'!Z$6,"")</f>
        <v/>
      </c>
      <c r="AD112" s="311" t="str">
        <f>IF(AD$82&gt;=$E112,'Dados ME'!AA$6,"")</f>
        <v/>
      </c>
      <c r="AE112" s="311" t="str">
        <f>IF(AE$82&gt;=$E112,'Dados ME'!AB$6,"")</f>
        <v/>
      </c>
      <c r="AF112" s="311" t="str">
        <f>IF(AF$82&gt;=$E112,'Dados ME'!AC$6,"")</f>
        <v/>
      </c>
      <c r="AG112" s="311" t="str">
        <f>IF(AG$82&gt;=$E112,'Dados ME'!AD$6,"")</f>
        <v/>
      </c>
      <c r="AH112" s="311" t="str">
        <f>IF(AH$82&gt;=$E112,'Dados ME'!AE$6,"")</f>
        <v/>
      </c>
      <c r="AI112" s="311" t="str">
        <f>IF(AI$82&gt;=$E112,'Dados ME'!AF$6,"")</f>
        <v/>
      </c>
      <c r="AJ112" s="311" t="str">
        <f>IF(AJ$82&gt;=$E112,'Dados ME'!AG$6,"")</f>
        <v/>
      </c>
      <c r="AK112" s="311">
        <f>IF(AK$82&gt;=$E112,'Dados ME'!AH$6,"")</f>
        <v>3.5000000000000003E-2</v>
      </c>
      <c r="AL112" s="311">
        <f>IF(AL$82&gt;=$E112,'Dados ME'!AI$6,"")</f>
        <v>3.5000000000000003E-2</v>
      </c>
      <c r="AM112" s="311">
        <f>IF(AM$82&gt;=$E112,'Dados ME'!AJ$6,"")</f>
        <v>3.5000000000000003E-2</v>
      </c>
      <c r="AN112" s="311">
        <f>IF(AN$82&gt;=$E112,'Dados ME'!AK$6,"")</f>
        <v>3.5000000000000003E-2</v>
      </c>
      <c r="AO112" s="311">
        <f>IF(AO$82&gt;=$E112,'Dados ME'!AL$6,"")</f>
        <v>3.5000000000000003E-2</v>
      </c>
      <c r="AP112" s="311">
        <f>IF(AP$82&gt;=$E112,'Dados ME'!AM$6,"")</f>
        <v>3.5000000000000003E-2</v>
      </c>
      <c r="AQ112" s="296"/>
    </row>
    <row r="113" spans="3:43" x14ac:dyDescent="0.3">
      <c r="C113" s="1156"/>
      <c r="D113" s="294"/>
      <c r="E113" s="306">
        <f t="shared" ref="E113:E117" si="93">E74</f>
        <v>2057</v>
      </c>
      <c r="F113" s="294"/>
      <c r="G113" s="294"/>
      <c r="H113" s="307" t="str">
        <f>IF(H$82&gt;=$E113,'Dados ME'!E$6,"")</f>
        <v/>
      </c>
      <c r="I113" s="311" t="str">
        <f>IF(I$82&gt;=$E113,'Dados ME'!F$6,"")</f>
        <v/>
      </c>
      <c r="J113" s="311" t="str">
        <f>IF(J$82&gt;=$E113,'Dados ME'!G$6,"")</f>
        <v/>
      </c>
      <c r="K113" s="311" t="str">
        <f>IF(K$82&gt;=$E113,'Dados ME'!H$6,"")</f>
        <v/>
      </c>
      <c r="L113" s="311" t="str">
        <f>IF(L$82&gt;=$E113,'Dados ME'!I$6,"")</f>
        <v/>
      </c>
      <c r="M113" s="311" t="str">
        <f>IF(M$82&gt;=$E113,'Dados ME'!J$6,"")</f>
        <v/>
      </c>
      <c r="N113" s="311" t="str">
        <f>IF(N$82&gt;=$E113,'Dados ME'!K$6,"")</f>
        <v/>
      </c>
      <c r="O113" s="311" t="str">
        <f>IF(O$82&gt;=$E113,'Dados ME'!L$6,"")</f>
        <v/>
      </c>
      <c r="P113" s="311" t="str">
        <f>IF(P$82&gt;=$E113,'Dados ME'!M$6,"")</f>
        <v/>
      </c>
      <c r="Q113" s="311" t="str">
        <f>IF(Q$82&gt;=$E113,'Dados ME'!N$6,"")</f>
        <v/>
      </c>
      <c r="R113" s="311" t="str">
        <f>IF(R$82&gt;=$E113,'Dados ME'!O$6,"")</f>
        <v/>
      </c>
      <c r="S113" s="311" t="str">
        <f>IF(S$82&gt;=$E113,'Dados ME'!P$6,"")</f>
        <v/>
      </c>
      <c r="T113" s="311" t="str">
        <f>IF(T$82&gt;=$E113,'Dados ME'!Q$6,"")</f>
        <v/>
      </c>
      <c r="U113" s="311" t="str">
        <f>IF(U$82&gt;=$E113,'Dados ME'!R$6,"")</f>
        <v/>
      </c>
      <c r="V113" s="311" t="str">
        <f>IF(V$82&gt;=$E113,'Dados ME'!S$6,"")</f>
        <v/>
      </c>
      <c r="W113" s="311" t="str">
        <f>IF(W$82&gt;=$E113,'Dados ME'!T$6,"")</f>
        <v/>
      </c>
      <c r="X113" s="311" t="str">
        <f>IF(X$82&gt;=$E113,'Dados ME'!U$6,"")</f>
        <v/>
      </c>
      <c r="Y113" s="311" t="str">
        <f>IF(Y$82&gt;=$E113,'Dados ME'!V$6,"")</f>
        <v/>
      </c>
      <c r="Z113" s="311" t="str">
        <f>IF(Z$82&gt;=$E113,'Dados ME'!W$6,"")</f>
        <v/>
      </c>
      <c r="AA113" s="311" t="str">
        <f>IF(AA$82&gt;=$E113,'Dados ME'!X$6,"")</f>
        <v/>
      </c>
      <c r="AB113" s="311" t="str">
        <f>IF(AB$82&gt;=$E113,'Dados ME'!Y$6,"")</f>
        <v/>
      </c>
      <c r="AC113" s="311" t="str">
        <f>IF(AC$82&gt;=$E113,'Dados ME'!Z$6,"")</f>
        <v/>
      </c>
      <c r="AD113" s="311" t="str">
        <f>IF(AD$82&gt;=$E113,'Dados ME'!AA$6,"")</f>
        <v/>
      </c>
      <c r="AE113" s="311" t="str">
        <f>IF(AE$82&gt;=$E113,'Dados ME'!AB$6,"")</f>
        <v/>
      </c>
      <c r="AF113" s="311" t="str">
        <f>IF(AF$82&gt;=$E113,'Dados ME'!AC$6,"")</f>
        <v/>
      </c>
      <c r="AG113" s="311" t="str">
        <f>IF(AG$82&gt;=$E113,'Dados ME'!AD$6,"")</f>
        <v/>
      </c>
      <c r="AH113" s="311" t="str">
        <f>IF(AH$82&gt;=$E113,'Dados ME'!AE$6,"")</f>
        <v/>
      </c>
      <c r="AI113" s="311" t="str">
        <f>IF(AI$82&gt;=$E113,'Dados ME'!AF$6,"")</f>
        <v/>
      </c>
      <c r="AJ113" s="311" t="str">
        <f>IF(AJ$82&gt;=$E113,'Dados ME'!AG$6,"")</f>
        <v/>
      </c>
      <c r="AK113" s="311" t="str">
        <f>IF(AK$82&gt;=$E113,'Dados ME'!AH$6,"")</f>
        <v/>
      </c>
      <c r="AL113" s="311">
        <f>IF(AL$82&gt;=$E113,'Dados ME'!AI$6,"")</f>
        <v>3.5000000000000003E-2</v>
      </c>
      <c r="AM113" s="311">
        <f>IF(AM$82&gt;=$E113,'Dados ME'!AJ$6,"")</f>
        <v>3.5000000000000003E-2</v>
      </c>
      <c r="AN113" s="311">
        <f>IF(AN$82&gt;=$E113,'Dados ME'!AK$6,"")</f>
        <v>3.5000000000000003E-2</v>
      </c>
      <c r="AO113" s="311">
        <f>IF(AO$82&gt;=$E113,'Dados ME'!AL$6,"")</f>
        <v>3.5000000000000003E-2</v>
      </c>
      <c r="AP113" s="311">
        <f>IF(AP$82&gt;=$E113,'Dados ME'!AM$6,"")</f>
        <v>3.5000000000000003E-2</v>
      </c>
      <c r="AQ113" s="296"/>
    </row>
    <row r="114" spans="3:43" x14ac:dyDescent="0.3">
      <c r="C114" s="1156"/>
      <c r="D114" s="294"/>
      <c r="E114" s="306">
        <f t="shared" si="93"/>
        <v>2058</v>
      </c>
      <c r="F114" s="294"/>
      <c r="G114" s="295"/>
      <c r="H114" s="311" t="str">
        <f>IF(H$82&gt;=$E114,'Dados ME'!E$6,"")</f>
        <v/>
      </c>
      <c r="I114" s="311" t="str">
        <f>IF(I$82&gt;=$E114,'Dados ME'!F$6,"")</f>
        <v/>
      </c>
      <c r="J114" s="311" t="str">
        <f>IF(J$82&gt;=$E114,'Dados ME'!G$6,"")</f>
        <v/>
      </c>
      <c r="K114" s="311" t="str">
        <f>IF(K$82&gt;=$E114,'Dados ME'!H$6,"")</f>
        <v/>
      </c>
      <c r="L114" s="311" t="str">
        <f>IF(L$82&gt;=$E114,'Dados ME'!I$6,"")</f>
        <v/>
      </c>
      <c r="M114" s="311" t="str">
        <f>IF(M$82&gt;=$E114,'Dados ME'!J$6,"")</f>
        <v/>
      </c>
      <c r="N114" s="311" t="str">
        <f>IF(N$82&gt;=$E114,'Dados ME'!K$6,"")</f>
        <v/>
      </c>
      <c r="O114" s="311" t="str">
        <f>IF(O$82&gt;=$E114,'Dados ME'!L$6,"")</f>
        <v/>
      </c>
      <c r="P114" s="311" t="str">
        <f>IF(P$82&gt;=$E114,'Dados ME'!M$6,"")</f>
        <v/>
      </c>
      <c r="Q114" s="311" t="str">
        <f>IF(Q$82&gt;=$E114,'Dados ME'!N$6,"")</f>
        <v/>
      </c>
      <c r="R114" s="311" t="str">
        <f>IF(R$82&gt;=$E114,'Dados ME'!O$6,"")</f>
        <v/>
      </c>
      <c r="S114" s="311" t="str">
        <f>IF(S$82&gt;=$E114,'Dados ME'!P$6,"")</f>
        <v/>
      </c>
      <c r="T114" s="311" t="str">
        <f>IF(T$82&gt;=$E114,'Dados ME'!Q$6,"")</f>
        <v/>
      </c>
      <c r="U114" s="311" t="str">
        <f>IF(U$82&gt;=$E114,'Dados ME'!R$6,"")</f>
        <v/>
      </c>
      <c r="V114" s="311" t="str">
        <f>IF(V$82&gt;=$E114,'Dados ME'!S$6,"")</f>
        <v/>
      </c>
      <c r="W114" s="311" t="str">
        <f>IF(W$82&gt;=$E114,'Dados ME'!T$6,"")</f>
        <v/>
      </c>
      <c r="X114" s="311" t="str">
        <f>IF(X$82&gt;=$E114,'Dados ME'!U$6,"")</f>
        <v/>
      </c>
      <c r="Y114" s="311" t="str">
        <f>IF(Y$82&gt;=$E114,'Dados ME'!V$6,"")</f>
        <v/>
      </c>
      <c r="Z114" s="311" t="str">
        <f>IF(Z$82&gt;=$E114,'Dados ME'!W$6,"")</f>
        <v/>
      </c>
      <c r="AA114" s="311" t="str">
        <f>IF(AA$82&gt;=$E114,'Dados ME'!X$6,"")</f>
        <v/>
      </c>
      <c r="AB114" s="311" t="str">
        <f>IF(AB$82&gt;=$E114,'Dados ME'!Y$6,"")</f>
        <v/>
      </c>
      <c r="AC114" s="311" t="str">
        <f>IF(AC$82&gt;=$E114,'Dados ME'!Z$6,"")</f>
        <v/>
      </c>
      <c r="AD114" s="311" t="str">
        <f>IF(AD$82&gt;=$E114,'Dados ME'!AA$6,"")</f>
        <v/>
      </c>
      <c r="AE114" s="311" t="str">
        <f>IF(AE$82&gt;=$E114,'Dados ME'!AB$6,"")</f>
        <v/>
      </c>
      <c r="AF114" s="311" t="str">
        <f>IF(AF$82&gt;=$E114,'Dados ME'!AC$6,"")</f>
        <v/>
      </c>
      <c r="AG114" s="311" t="str">
        <f>IF(AG$82&gt;=$E114,'Dados ME'!AD$6,"")</f>
        <v/>
      </c>
      <c r="AH114" s="311" t="str">
        <f>IF(AH$82&gt;=$E114,'Dados ME'!AE$6,"")</f>
        <v/>
      </c>
      <c r="AI114" s="311" t="str">
        <f>IF(AI$82&gt;=$E114,'Dados ME'!AF$6,"")</f>
        <v/>
      </c>
      <c r="AJ114" s="311" t="str">
        <f>IF(AJ$82&gt;=$E114,'Dados ME'!AG$6,"")</f>
        <v/>
      </c>
      <c r="AK114" s="311" t="str">
        <f>IF(AK$82&gt;=$E114,'Dados ME'!AH$6,"")</f>
        <v/>
      </c>
      <c r="AL114" s="311" t="str">
        <f>IF(AL$82&gt;=$E114,'Dados ME'!AI$6,"")</f>
        <v/>
      </c>
      <c r="AM114" s="311">
        <f>IF(AM$82&gt;=$E114,'Dados ME'!AJ$6,"")</f>
        <v>3.5000000000000003E-2</v>
      </c>
      <c r="AN114" s="311">
        <f>IF(AN$82&gt;=$E114,'Dados ME'!AK$6,"")</f>
        <v>3.5000000000000003E-2</v>
      </c>
      <c r="AO114" s="311">
        <f>IF(AO$82&gt;=$E114,'Dados ME'!AL$6,"")</f>
        <v>3.5000000000000003E-2</v>
      </c>
      <c r="AP114" s="311">
        <f>IF(AP$82&gt;=$E114,'Dados ME'!AM$6,"")</f>
        <v>3.5000000000000003E-2</v>
      </c>
      <c r="AQ114" s="296"/>
    </row>
    <row r="115" spans="3:43" x14ac:dyDescent="0.3">
      <c r="C115" s="1156"/>
      <c r="D115" s="294"/>
      <c r="E115" s="306">
        <f t="shared" si="93"/>
        <v>2059</v>
      </c>
      <c r="F115" s="294"/>
      <c r="G115" s="294"/>
      <c r="H115" s="307" t="str">
        <f>IF(H$82&gt;=$E115,'Dados ME'!E$6,"")</f>
        <v/>
      </c>
      <c r="I115" s="311" t="str">
        <f>IF(I$82&gt;=$E115,'Dados ME'!F$6,"")</f>
        <v/>
      </c>
      <c r="J115" s="311" t="str">
        <f>IF(J$82&gt;=$E115,'Dados ME'!G$6,"")</f>
        <v/>
      </c>
      <c r="K115" s="311" t="str">
        <f>IF(K$82&gt;=$E115,'Dados ME'!H$6,"")</f>
        <v/>
      </c>
      <c r="L115" s="311" t="str">
        <f>IF(L$82&gt;=$E115,'Dados ME'!I$6,"")</f>
        <v/>
      </c>
      <c r="M115" s="311" t="str">
        <f>IF(M$82&gt;=$E115,'Dados ME'!J$6,"")</f>
        <v/>
      </c>
      <c r="N115" s="311" t="str">
        <f>IF(N$82&gt;=$E115,'Dados ME'!K$6,"")</f>
        <v/>
      </c>
      <c r="O115" s="311" t="str">
        <f>IF(O$82&gt;=$E115,'Dados ME'!L$6,"")</f>
        <v/>
      </c>
      <c r="P115" s="311" t="str">
        <f>IF(P$82&gt;=$E115,'Dados ME'!M$6,"")</f>
        <v/>
      </c>
      <c r="Q115" s="311" t="str">
        <f>IF(Q$82&gt;=$E115,'Dados ME'!N$6,"")</f>
        <v/>
      </c>
      <c r="R115" s="311" t="str">
        <f>IF(R$82&gt;=$E115,'Dados ME'!O$6,"")</f>
        <v/>
      </c>
      <c r="S115" s="311" t="str">
        <f>IF(S$82&gt;=$E115,'Dados ME'!P$6,"")</f>
        <v/>
      </c>
      <c r="T115" s="311" t="str">
        <f>IF(T$82&gt;=$E115,'Dados ME'!Q$6,"")</f>
        <v/>
      </c>
      <c r="U115" s="311" t="str">
        <f>IF(U$82&gt;=$E115,'Dados ME'!R$6,"")</f>
        <v/>
      </c>
      <c r="V115" s="311" t="str">
        <f>IF(V$82&gt;=$E115,'Dados ME'!S$6,"")</f>
        <v/>
      </c>
      <c r="W115" s="311" t="str">
        <f>IF(W$82&gt;=$E115,'Dados ME'!T$6,"")</f>
        <v/>
      </c>
      <c r="X115" s="311" t="str">
        <f>IF(X$82&gt;=$E115,'Dados ME'!U$6,"")</f>
        <v/>
      </c>
      <c r="Y115" s="311" t="str">
        <f>IF(Y$82&gt;=$E115,'Dados ME'!V$6,"")</f>
        <v/>
      </c>
      <c r="Z115" s="311" t="str">
        <f>IF(Z$82&gt;=$E115,'Dados ME'!W$6,"")</f>
        <v/>
      </c>
      <c r="AA115" s="311" t="str">
        <f>IF(AA$82&gt;=$E115,'Dados ME'!X$6,"")</f>
        <v/>
      </c>
      <c r="AB115" s="311" t="str">
        <f>IF(AB$82&gt;=$E115,'Dados ME'!Y$6,"")</f>
        <v/>
      </c>
      <c r="AC115" s="311" t="str">
        <f>IF(AC$82&gt;=$E115,'Dados ME'!Z$6,"")</f>
        <v/>
      </c>
      <c r="AD115" s="311" t="str">
        <f>IF(AD$82&gt;=$E115,'Dados ME'!AA$6,"")</f>
        <v/>
      </c>
      <c r="AE115" s="311" t="str">
        <f>IF(AE$82&gt;=$E115,'Dados ME'!AB$6,"")</f>
        <v/>
      </c>
      <c r="AF115" s="311" t="str">
        <f>IF(AF$82&gt;=$E115,'Dados ME'!AC$6,"")</f>
        <v/>
      </c>
      <c r="AG115" s="311" t="str">
        <f>IF(AG$82&gt;=$E115,'Dados ME'!AD$6,"")</f>
        <v/>
      </c>
      <c r="AH115" s="311" t="str">
        <f>IF(AH$82&gt;=$E115,'Dados ME'!AE$6,"")</f>
        <v/>
      </c>
      <c r="AI115" s="311" t="str">
        <f>IF(AI$82&gt;=$E115,'Dados ME'!AF$6,"")</f>
        <v/>
      </c>
      <c r="AJ115" s="311" t="str">
        <f>IF(AJ$82&gt;=$E115,'Dados ME'!AG$6,"")</f>
        <v/>
      </c>
      <c r="AK115" s="311" t="str">
        <f>IF(AK$82&gt;=$E115,'Dados ME'!AH$6,"")</f>
        <v/>
      </c>
      <c r="AL115" s="311" t="str">
        <f>IF(AL$82&gt;=$E115,'Dados ME'!AI$6,"")</f>
        <v/>
      </c>
      <c r="AM115" s="311" t="str">
        <f>IF(AM$82&gt;=$E115,'Dados ME'!AJ$6,"")</f>
        <v/>
      </c>
      <c r="AN115" s="311">
        <f>IF(AN$82&gt;=$E115,'Dados ME'!AK$6,"")</f>
        <v>3.5000000000000003E-2</v>
      </c>
      <c r="AO115" s="311">
        <f>IF(AO$82&gt;=$E115,'Dados ME'!AL$6,"")</f>
        <v>3.5000000000000003E-2</v>
      </c>
      <c r="AP115" s="311">
        <f>IF(AP$82&gt;=$E115,'Dados ME'!AM$6,"")</f>
        <v>3.5000000000000003E-2</v>
      </c>
      <c r="AQ115" s="296"/>
    </row>
    <row r="116" spans="3:43" x14ac:dyDescent="0.3">
      <c r="C116" s="1156"/>
      <c r="D116" s="294"/>
      <c r="E116" s="306">
        <f t="shared" si="93"/>
        <v>2060</v>
      </c>
      <c r="F116" s="294"/>
      <c r="G116" s="295"/>
      <c r="H116" s="311" t="str">
        <f>IF(H$82&gt;=$E116,'Dados ME'!E$6,"")</f>
        <v/>
      </c>
      <c r="I116" s="311" t="str">
        <f>IF(I$82&gt;=$E116,'Dados ME'!F$6,"")</f>
        <v/>
      </c>
      <c r="J116" s="311" t="str">
        <f>IF(J$82&gt;=$E116,'Dados ME'!G$6,"")</f>
        <v/>
      </c>
      <c r="K116" s="311" t="str">
        <f>IF(K$82&gt;=$E116,'Dados ME'!H$6,"")</f>
        <v/>
      </c>
      <c r="L116" s="311" t="str">
        <f>IF(L$82&gt;=$E116,'Dados ME'!I$6,"")</f>
        <v/>
      </c>
      <c r="M116" s="311" t="str">
        <f>IF(M$82&gt;=$E116,'Dados ME'!J$6,"")</f>
        <v/>
      </c>
      <c r="N116" s="311" t="str">
        <f>IF(N$82&gt;=$E116,'Dados ME'!K$6,"")</f>
        <v/>
      </c>
      <c r="O116" s="311" t="str">
        <f>IF(O$82&gt;=$E116,'Dados ME'!L$6,"")</f>
        <v/>
      </c>
      <c r="P116" s="311" t="str">
        <f>IF(P$82&gt;=$E116,'Dados ME'!M$6,"")</f>
        <v/>
      </c>
      <c r="Q116" s="311" t="str">
        <f>IF(Q$82&gt;=$E116,'Dados ME'!N$6,"")</f>
        <v/>
      </c>
      <c r="R116" s="311" t="str">
        <f>IF(R$82&gt;=$E116,'Dados ME'!O$6,"")</f>
        <v/>
      </c>
      <c r="S116" s="311" t="str">
        <f>IF(S$82&gt;=$E116,'Dados ME'!P$6,"")</f>
        <v/>
      </c>
      <c r="T116" s="311" t="str">
        <f>IF(T$82&gt;=$E116,'Dados ME'!Q$6,"")</f>
        <v/>
      </c>
      <c r="U116" s="311" t="str">
        <f>IF(U$82&gt;=$E116,'Dados ME'!R$6,"")</f>
        <v/>
      </c>
      <c r="V116" s="311" t="str">
        <f>IF(V$82&gt;=$E116,'Dados ME'!S$6,"")</f>
        <v/>
      </c>
      <c r="W116" s="311" t="str">
        <f>IF(W$82&gt;=$E116,'Dados ME'!T$6,"")</f>
        <v/>
      </c>
      <c r="X116" s="311" t="str">
        <f>IF(X$82&gt;=$E116,'Dados ME'!U$6,"")</f>
        <v/>
      </c>
      <c r="Y116" s="311" t="str">
        <f>IF(Y$82&gt;=$E116,'Dados ME'!V$6,"")</f>
        <v/>
      </c>
      <c r="Z116" s="311" t="str">
        <f>IF(Z$82&gt;=$E116,'Dados ME'!W$6,"")</f>
        <v/>
      </c>
      <c r="AA116" s="311" t="str">
        <f>IF(AA$82&gt;=$E116,'Dados ME'!X$6,"")</f>
        <v/>
      </c>
      <c r="AB116" s="311" t="str">
        <f>IF(AB$82&gt;=$E116,'Dados ME'!Y$6,"")</f>
        <v/>
      </c>
      <c r="AC116" s="311" t="str">
        <f>IF(AC$82&gt;=$E116,'Dados ME'!Z$6,"")</f>
        <v/>
      </c>
      <c r="AD116" s="311" t="str">
        <f>IF(AD$82&gt;=$E116,'Dados ME'!AA$6,"")</f>
        <v/>
      </c>
      <c r="AE116" s="311" t="str">
        <f>IF(AE$82&gt;=$E116,'Dados ME'!AB$6,"")</f>
        <v/>
      </c>
      <c r="AF116" s="311" t="str">
        <f>IF(AF$82&gt;=$E116,'Dados ME'!AC$6,"")</f>
        <v/>
      </c>
      <c r="AG116" s="311" t="str">
        <f>IF(AG$82&gt;=$E116,'Dados ME'!AD$6,"")</f>
        <v/>
      </c>
      <c r="AH116" s="311" t="str">
        <f>IF(AH$82&gt;=$E116,'Dados ME'!AE$6,"")</f>
        <v/>
      </c>
      <c r="AI116" s="311" t="str">
        <f>IF(AI$82&gt;=$E116,'Dados ME'!AF$6,"")</f>
        <v/>
      </c>
      <c r="AJ116" s="311" t="str">
        <f>IF(AJ$82&gt;=$E116,'Dados ME'!AG$6,"")</f>
        <v/>
      </c>
      <c r="AK116" s="311" t="str">
        <f>IF(AK$82&gt;=$E116,'Dados ME'!AH$6,"")</f>
        <v/>
      </c>
      <c r="AL116" s="311" t="str">
        <f>IF(AL$82&gt;=$E116,'Dados ME'!AI$6,"")</f>
        <v/>
      </c>
      <c r="AM116" s="311" t="str">
        <f>IF(AM$82&gt;=$E116,'Dados ME'!AJ$6,"")</f>
        <v/>
      </c>
      <c r="AN116" s="311" t="str">
        <f>IF(AN$82&gt;=$E116,'Dados ME'!AK$6,"")</f>
        <v/>
      </c>
      <c r="AO116" s="311">
        <f>IF(AO$82&gt;=$E116,'Dados ME'!AL$6,"")</f>
        <v>3.5000000000000003E-2</v>
      </c>
      <c r="AP116" s="311">
        <f>IF(AP$82&gt;=$E116,'Dados ME'!AM$6,"")</f>
        <v>3.5000000000000003E-2</v>
      </c>
      <c r="AQ116" s="296"/>
    </row>
    <row r="117" spans="3:43" x14ac:dyDescent="0.3">
      <c r="C117" s="1156"/>
      <c r="D117" s="294"/>
      <c r="E117" s="306">
        <f t="shared" si="93"/>
        <v>2061</v>
      </c>
      <c r="F117" s="294"/>
      <c r="G117" s="294"/>
      <c r="H117" s="307" t="str">
        <f>IF(H$82&gt;=$E117,'Dados ME'!E$6,"")</f>
        <v/>
      </c>
      <c r="I117" s="311" t="str">
        <f>IF(I$82&gt;=$E117,'Dados ME'!F$6,"")</f>
        <v/>
      </c>
      <c r="J117" s="311" t="str">
        <f>IF(J$82&gt;=$E117,'Dados ME'!G$6,"")</f>
        <v/>
      </c>
      <c r="K117" s="311" t="str">
        <f>IF(K$82&gt;=$E117,'Dados ME'!H$6,"")</f>
        <v/>
      </c>
      <c r="L117" s="311" t="str">
        <f>IF(L$82&gt;=$E117,'Dados ME'!I$6,"")</f>
        <v/>
      </c>
      <c r="M117" s="311" t="str">
        <f>IF(M$82&gt;=$E117,'Dados ME'!J$6,"")</f>
        <v/>
      </c>
      <c r="N117" s="311" t="str">
        <f>IF(N$82&gt;=$E117,'Dados ME'!K$6,"")</f>
        <v/>
      </c>
      <c r="O117" s="311" t="str">
        <f>IF(O$82&gt;=$E117,'Dados ME'!L$6,"")</f>
        <v/>
      </c>
      <c r="P117" s="311" t="str">
        <f>IF(P$82&gt;=$E117,'Dados ME'!M$6,"")</f>
        <v/>
      </c>
      <c r="Q117" s="311" t="str">
        <f>IF(Q$82&gt;=$E117,'Dados ME'!N$6,"")</f>
        <v/>
      </c>
      <c r="R117" s="311" t="str">
        <f>IF(R$82&gt;=$E117,'Dados ME'!O$6,"")</f>
        <v/>
      </c>
      <c r="S117" s="311" t="str">
        <f>IF(S$82&gt;=$E117,'Dados ME'!P$6,"")</f>
        <v/>
      </c>
      <c r="T117" s="311" t="str">
        <f>IF(T$82&gt;=$E117,'Dados ME'!Q$6,"")</f>
        <v/>
      </c>
      <c r="U117" s="311" t="str">
        <f>IF(U$82&gt;=$E117,'Dados ME'!R$6,"")</f>
        <v/>
      </c>
      <c r="V117" s="311" t="str">
        <f>IF(V$82&gt;=$E117,'Dados ME'!S$6,"")</f>
        <v/>
      </c>
      <c r="W117" s="311" t="str">
        <f>IF(W$82&gt;=$E117,'Dados ME'!T$6,"")</f>
        <v/>
      </c>
      <c r="X117" s="311" t="str">
        <f>IF(X$82&gt;=$E117,'Dados ME'!U$6,"")</f>
        <v/>
      </c>
      <c r="Y117" s="311" t="str">
        <f>IF(Y$82&gt;=$E117,'Dados ME'!V$6,"")</f>
        <v/>
      </c>
      <c r="Z117" s="311" t="str">
        <f>IF(Z$82&gt;=$E117,'Dados ME'!W$6,"")</f>
        <v/>
      </c>
      <c r="AA117" s="311" t="str">
        <f>IF(AA$82&gt;=$E117,'Dados ME'!X$6,"")</f>
        <v/>
      </c>
      <c r="AB117" s="311" t="str">
        <f>IF(AB$82&gt;=$E117,'Dados ME'!Y$6,"")</f>
        <v/>
      </c>
      <c r="AC117" s="311" t="str">
        <f>IF(AC$82&gt;=$E117,'Dados ME'!Z$6,"")</f>
        <v/>
      </c>
      <c r="AD117" s="311" t="str">
        <f>IF(AD$82&gt;=$E117,'Dados ME'!AA$6,"")</f>
        <v/>
      </c>
      <c r="AE117" s="311" t="str">
        <f>IF(AE$82&gt;=$E117,'Dados ME'!AB$6,"")</f>
        <v/>
      </c>
      <c r="AF117" s="311" t="str">
        <f>IF(AF$82&gt;=$E117,'Dados ME'!AC$6,"")</f>
        <v/>
      </c>
      <c r="AG117" s="311" t="str">
        <f>IF(AG$82&gt;=$E117,'Dados ME'!AD$6,"")</f>
        <v/>
      </c>
      <c r="AH117" s="311" t="str">
        <f>IF(AH$82&gt;=$E117,'Dados ME'!AE$6,"")</f>
        <v/>
      </c>
      <c r="AI117" s="311" t="str">
        <f>IF(AI$82&gt;=$E117,'Dados ME'!AF$6,"")</f>
        <v/>
      </c>
      <c r="AJ117" s="311" t="str">
        <f>IF(AJ$82&gt;=$E117,'Dados ME'!AG$6,"")</f>
        <v/>
      </c>
      <c r="AK117" s="311" t="str">
        <f>IF(AK$82&gt;=$E117,'Dados ME'!AH$6,"")</f>
        <v/>
      </c>
      <c r="AL117" s="311" t="str">
        <f>IF(AL$82&gt;=$E117,'Dados ME'!AI$6,"")</f>
        <v/>
      </c>
      <c r="AM117" s="311" t="str">
        <f>IF(AM$82&gt;=$E117,'Dados ME'!AJ$6,"")</f>
        <v/>
      </c>
      <c r="AN117" s="311" t="str">
        <f>IF(AN$82&gt;=$E117,'Dados ME'!AK$6,"")</f>
        <v/>
      </c>
      <c r="AO117" s="311" t="str">
        <f>IF(AO$82&gt;=$E117,'Dados ME'!AL$6,"")</f>
        <v/>
      </c>
      <c r="AP117" s="311">
        <f>IF(AP$82&gt;=$E117,'Dados ME'!AM$6,"")</f>
        <v>3.5000000000000003E-2</v>
      </c>
      <c r="AQ117" s="296"/>
    </row>
    <row r="118" spans="3:43" ht="15" thickBot="1" x14ac:dyDescent="0.35">
      <c r="C118" s="1157"/>
      <c r="D118" s="298"/>
      <c r="E118" s="298"/>
      <c r="F118" s="298"/>
      <c r="G118" s="289"/>
      <c r="H118" s="300"/>
      <c r="I118" s="300"/>
      <c r="J118" s="300"/>
      <c r="K118" s="300"/>
      <c r="L118" s="300"/>
      <c r="M118" s="300"/>
      <c r="N118" s="300"/>
      <c r="O118" s="300"/>
      <c r="P118" s="300"/>
      <c r="Q118" s="300"/>
      <c r="R118" s="300"/>
      <c r="S118" s="300"/>
      <c r="T118" s="300"/>
      <c r="U118" s="300"/>
      <c r="V118" s="300"/>
      <c r="W118" s="300"/>
      <c r="X118" s="300"/>
      <c r="Y118" s="300"/>
      <c r="Z118" s="300"/>
      <c r="AA118" s="300"/>
      <c r="AB118" s="300"/>
      <c r="AC118" s="300"/>
      <c r="AD118" s="300"/>
      <c r="AE118" s="300"/>
      <c r="AF118" s="300"/>
      <c r="AG118" s="300"/>
      <c r="AH118" s="300"/>
      <c r="AI118" s="300"/>
      <c r="AJ118" s="300"/>
      <c r="AK118" s="300"/>
      <c r="AL118" s="300"/>
      <c r="AM118" s="300"/>
      <c r="AN118" s="300"/>
      <c r="AO118" s="300"/>
      <c r="AP118" s="300"/>
      <c r="AQ118" s="290"/>
    </row>
    <row r="119" spans="3:43" x14ac:dyDescent="0.3">
      <c r="C119" s="288"/>
    </row>
    <row r="120" spans="3:43" ht="15" thickBot="1" x14ac:dyDescent="0.35">
      <c r="C120" s="288"/>
    </row>
    <row r="121" spans="3:43" x14ac:dyDescent="0.3">
      <c r="C121" s="1155" t="s">
        <v>383</v>
      </c>
      <c r="D121" s="286"/>
      <c r="E121" s="286"/>
      <c r="F121" s="286"/>
      <c r="G121" s="286"/>
      <c r="H121" s="286">
        <f t="shared" ref="H121:AK121" si="94">H82</f>
        <v>2027</v>
      </c>
      <c r="I121" s="286">
        <f t="shared" si="94"/>
        <v>2028</v>
      </c>
      <c r="J121" s="286">
        <f t="shared" si="94"/>
        <v>2029</v>
      </c>
      <c r="K121" s="286">
        <f t="shared" si="94"/>
        <v>2030</v>
      </c>
      <c r="L121" s="286">
        <f t="shared" si="94"/>
        <v>2031</v>
      </c>
      <c r="M121" s="286">
        <f t="shared" si="94"/>
        <v>2032</v>
      </c>
      <c r="N121" s="286">
        <f t="shared" si="94"/>
        <v>2033</v>
      </c>
      <c r="O121" s="286">
        <f t="shared" si="94"/>
        <v>2034</v>
      </c>
      <c r="P121" s="286">
        <f t="shared" si="94"/>
        <v>2035</v>
      </c>
      <c r="Q121" s="286">
        <f t="shared" si="94"/>
        <v>2036</v>
      </c>
      <c r="R121" s="286">
        <f t="shared" si="94"/>
        <v>2037</v>
      </c>
      <c r="S121" s="286">
        <f t="shared" si="94"/>
        <v>2038</v>
      </c>
      <c r="T121" s="286">
        <f t="shared" si="94"/>
        <v>2039</v>
      </c>
      <c r="U121" s="286">
        <f t="shared" si="94"/>
        <v>2040</v>
      </c>
      <c r="V121" s="286">
        <f t="shared" si="94"/>
        <v>2041</v>
      </c>
      <c r="W121" s="286">
        <f t="shared" si="94"/>
        <v>2042</v>
      </c>
      <c r="X121" s="286">
        <f t="shared" si="94"/>
        <v>2043</v>
      </c>
      <c r="Y121" s="286">
        <f t="shared" si="94"/>
        <v>2044</v>
      </c>
      <c r="Z121" s="286">
        <f t="shared" si="94"/>
        <v>2045</v>
      </c>
      <c r="AA121" s="286">
        <f t="shared" si="94"/>
        <v>2046</v>
      </c>
      <c r="AB121" s="286">
        <f t="shared" si="94"/>
        <v>2047</v>
      </c>
      <c r="AC121" s="286">
        <f t="shared" si="94"/>
        <v>2048</v>
      </c>
      <c r="AD121" s="286">
        <f t="shared" si="94"/>
        <v>2049</v>
      </c>
      <c r="AE121" s="286">
        <f t="shared" si="94"/>
        <v>2050</v>
      </c>
      <c r="AF121" s="286">
        <f t="shared" si="94"/>
        <v>2051</v>
      </c>
      <c r="AG121" s="286">
        <f t="shared" si="94"/>
        <v>2052</v>
      </c>
      <c r="AH121" s="286">
        <f t="shared" si="94"/>
        <v>2053</v>
      </c>
      <c r="AI121" s="286">
        <f t="shared" si="94"/>
        <v>2054</v>
      </c>
      <c r="AJ121" s="286">
        <f t="shared" si="94"/>
        <v>2055</v>
      </c>
      <c r="AK121" s="286">
        <f t="shared" si="94"/>
        <v>2056</v>
      </c>
      <c r="AL121" s="286">
        <f t="shared" ref="AL121:AP121" si="95">AL82</f>
        <v>2057</v>
      </c>
      <c r="AM121" s="286">
        <f t="shared" si="95"/>
        <v>2058</v>
      </c>
      <c r="AN121" s="286">
        <f t="shared" si="95"/>
        <v>2059</v>
      </c>
      <c r="AO121" s="286">
        <f t="shared" si="95"/>
        <v>2060</v>
      </c>
      <c r="AP121" s="286">
        <f t="shared" si="95"/>
        <v>2061</v>
      </c>
      <c r="AQ121" s="287"/>
    </row>
    <row r="122" spans="3:43" x14ac:dyDescent="0.3">
      <c r="C122" s="1156"/>
      <c r="D122" s="294"/>
      <c r="E122" s="306">
        <f t="shared" ref="E122:E151" si="96">E83</f>
        <v>2027</v>
      </c>
      <c r="F122" s="294"/>
      <c r="G122" s="295"/>
      <c r="H122" s="310">
        <f t="shared" ref="H122:AK122" si="97">IF(H$121=$E122,1+H83,IF(H$121&gt;$E122,G122*(1+H83),""))</f>
        <v>1.0548</v>
      </c>
      <c r="I122" s="310">
        <f t="shared" si="97"/>
        <v>1.0948823999999999</v>
      </c>
      <c r="J122" s="310">
        <f t="shared" si="97"/>
        <v>1.1359404900000001</v>
      </c>
      <c r="K122" s="310">
        <f t="shared" si="97"/>
        <v>1.1756984071500001</v>
      </c>
      <c r="L122" s="310">
        <f t="shared" si="97"/>
        <v>1.2168478514002499</v>
      </c>
      <c r="M122" s="310">
        <f t="shared" si="97"/>
        <v>1.2594375261992585</v>
      </c>
      <c r="N122" s="310">
        <f t="shared" si="97"/>
        <v>1.3035178396162326</v>
      </c>
      <c r="O122" s="310">
        <f t="shared" si="97"/>
        <v>1.3491409640028007</v>
      </c>
      <c r="P122" s="310">
        <f t="shared" si="97"/>
        <v>1.3963608977428985</v>
      </c>
      <c r="Q122" s="310">
        <f t="shared" si="97"/>
        <v>1.4452335291638998</v>
      </c>
      <c r="R122" s="310">
        <f t="shared" si="97"/>
        <v>1.4958167026846361</v>
      </c>
      <c r="S122" s="310">
        <f t="shared" si="97"/>
        <v>1.5481702872785983</v>
      </c>
      <c r="T122" s="310">
        <f t="shared" si="97"/>
        <v>1.602356247333349</v>
      </c>
      <c r="U122" s="310">
        <f t="shared" si="97"/>
        <v>1.658438715990016</v>
      </c>
      <c r="V122" s="310">
        <f t="shared" si="97"/>
        <v>1.7164840710496665</v>
      </c>
      <c r="W122" s="310">
        <f t="shared" si="97"/>
        <v>1.7765610135364047</v>
      </c>
      <c r="X122" s="310">
        <f t="shared" si="97"/>
        <v>1.8387406490101788</v>
      </c>
      <c r="Y122" s="310">
        <f t="shared" si="97"/>
        <v>1.9030965717255348</v>
      </c>
      <c r="Z122" s="310">
        <f t="shared" si="97"/>
        <v>1.9697049517359284</v>
      </c>
      <c r="AA122" s="310">
        <f t="shared" si="97"/>
        <v>2.0386446250466856</v>
      </c>
      <c r="AB122" s="310">
        <f t="shared" si="97"/>
        <v>2.1099971869233194</v>
      </c>
      <c r="AC122" s="310">
        <f t="shared" si="97"/>
        <v>2.1838470884656354</v>
      </c>
      <c r="AD122" s="310">
        <f t="shared" si="97"/>
        <v>2.2602817365619323</v>
      </c>
      <c r="AE122" s="310">
        <f t="shared" si="97"/>
        <v>2.3393915973415997</v>
      </c>
      <c r="AF122" s="310">
        <f t="shared" si="97"/>
        <v>2.4212703032485554</v>
      </c>
      <c r="AG122" s="310">
        <f t="shared" si="97"/>
        <v>2.5060147638622547</v>
      </c>
      <c r="AH122" s="310">
        <f t="shared" si="97"/>
        <v>2.5937252805974333</v>
      </c>
      <c r="AI122" s="310">
        <f t="shared" si="97"/>
        <v>2.6845056654183432</v>
      </c>
      <c r="AJ122" s="310">
        <f t="shared" si="97"/>
        <v>2.778463363707985</v>
      </c>
      <c r="AK122" s="310">
        <f t="shared" si="97"/>
        <v>2.8757095814377642</v>
      </c>
      <c r="AL122" s="310">
        <f t="shared" ref="AL122:AL156" si="98">IF(AL$121=$E122,1+AL83,IF(AL$121&gt;$E122,AK122*(1+AL83),""))</f>
        <v>2.9763594167880858</v>
      </c>
      <c r="AM122" s="310">
        <f t="shared" ref="AM122:AM156" si="99">IF(AM$121=$E122,1+AM83,IF(AM$121&gt;$E122,AL122*(1+AM83),""))</f>
        <v>3.0805319963756688</v>
      </c>
      <c r="AN122" s="310">
        <f t="shared" ref="AN122:AN156" si="100">IF(AN$121=$E122,1+AN83,IF(AN$121&gt;$E122,AM122*(1+AN83),""))</f>
        <v>3.1883506162488171</v>
      </c>
      <c r="AO122" s="310">
        <f t="shared" ref="AO122:AO156" si="101">IF(AO$121=$E122,1+AO83,IF(AO$121&gt;$E122,AN122*(1+AO83),""))</f>
        <v>3.2999428878175254</v>
      </c>
      <c r="AP122" s="310">
        <f t="shared" ref="AP122:AP156" si="102">IF(AP$121=$E122,1+AP83,IF(AP$121&gt;$E122,AO122*(1+AP83),""))</f>
        <v>3.4154408888911387</v>
      </c>
      <c r="AQ122" s="296"/>
    </row>
    <row r="123" spans="3:43" x14ac:dyDescent="0.3">
      <c r="C123" s="1156"/>
      <c r="D123" s="294"/>
      <c r="E123" s="306">
        <f t="shared" si="96"/>
        <v>2028</v>
      </c>
      <c r="F123" s="294"/>
      <c r="G123" s="295"/>
      <c r="H123" s="311" t="str">
        <f t="shared" ref="H123:AK123" si="103">IF(H$121=$E123,1+H84,IF(H$121&gt;$E123,G123*(1+H84),""))</f>
        <v/>
      </c>
      <c r="I123" s="311">
        <f t="shared" si="103"/>
        <v>1.038</v>
      </c>
      <c r="J123" s="311">
        <f t="shared" si="103"/>
        <v>1.0769250000000001</v>
      </c>
      <c r="K123" s="311">
        <f t="shared" si="103"/>
        <v>1.1146173750000001</v>
      </c>
      <c r="L123" s="311">
        <f t="shared" si="103"/>
        <v>1.153628983125</v>
      </c>
      <c r="M123" s="311">
        <f t="shared" si="103"/>
        <v>1.1940059975343749</v>
      </c>
      <c r="N123" s="311">
        <f t="shared" si="103"/>
        <v>1.2357962074480779</v>
      </c>
      <c r="O123" s="311">
        <f t="shared" si="103"/>
        <v>1.2790490747087606</v>
      </c>
      <c r="P123" s="311">
        <f t="shared" si="103"/>
        <v>1.3238157923235672</v>
      </c>
      <c r="Q123" s="311">
        <f t="shared" si="103"/>
        <v>1.3701493450548918</v>
      </c>
      <c r="R123" s="311">
        <f t="shared" si="103"/>
        <v>1.4181045721318128</v>
      </c>
      <c r="S123" s="311">
        <f t="shared" si="103"/>
        <v>1.4677382321564263</v>
      </c>
      <c r="T123" s="311">
        <f t="shared" si="103"/>
        <v>1.519109070281901</v>
      </c>
      <c r="U123" s="311">
        <f t="shared" si="103"/>
        <v>1.5722778877417674</v>
      </c>
      <c r="V123" s="311">
        <f t="shared" si="103"/>
        <v>1.6273076138127291</v>
      </c>
      <c r="W123" s="311">
        <f t="shared" si="103"/>
        <v>1.6842633802961746</v>
      </c>
      <c r="X123" s="311">
        <f t="shared" si="103"/>
        <v>1.7432125986065405</v>
      </c>
      <c r="Y123" s="311">
        <f t="shared" si="103"/>
        <v>1.8042250395577693</v>
      </c>
      <c r="Z123" s="311">
        <f t="shared" si="103"/>
        <v>1.8673729159422909</v>
      </c>
      <c r="AA123" s="311">
        <f t="shared" si="103"/>
        <v>1.9327309680002709</v>
      </c>
      <c r="AB123" s="311">
        <f t="shared" si="103"/>
        <v>2.0003765518802803</v>
      </c>
      <c r="AC123" s="311">
        <f t="shared" si="103"/>
        <v>2.0703897311960899</v>
      </c>
      <c r="AD123" s="311">
        <f t="shared" si="103"/>
        <v>2.142853371787953</v>
      </c>
      <c r="AE123" s="311">
        <f t="shared" si="103"/>
        <v>2.2178532398005313</v>
      </c>
      <c r="AF123" s="311">
        <f t="shared" si="103"/>
        <v>2.2954781031935498</v>
      </c>
      <c r="AG123" s="311">
        <f t="shared" si="103"/>
        <v>2.375819836805324</v>
      </c>
      <c r="AH123" s="311">
        <f t="shared" si="103"/>
        <v>2.4589735310935104</v>
      </c>
      <c r="AI123" s="311">
        <f t="shared" si="103"/>
        <v>2.5450376046817831</v>
      </c>
      <c r="AJ123" s="311">
        <f t="shared" si="103"/>
        <v>2.6341139208456452</v>
      </c>
      <c r="AK123" s="311">
        <f t="shared" si="103"/>
        <v>2.7263079080752424</v>
      </c>
      <c r="AL123" s="311">
        <f t="shared" si="98"/>
        <v>2.8217286848578755</v>
      </c>
      <c r="AM123" s="311">
        <f t="shared" si="99"/>
        <v>2.9204891888279008</v>
      </c>
      <c r="AN123" s="311">
        <f t="shared" si="100"/>
        <v>3.022706310436877</v>
      </c>
      <c r="AO123" s="311">
        <f t="shared" si="101"/>
        <v>3.1285010313021675</v>
      </c>
      <c r="AP123" s="311">
        <f t="shared" si="102"/>
        <v>3.2379985673977432</v>
      </c>
      <c r="AQ123" s="296"/>
    </row>
    <row r="124" spans="3:43" x14ac:dyDescent="0.3">
      <c r="C124" s="1156"/>
      <c r="D124" s="294"/>
      <c r="E124" s="306">
        <f t="shared" si="96"/>
        <v>2029</v>
      </c>
      <c r="F124" s="294"/>
      <c r="G124" s="295"/>
      <c r="H124" s="311" t="str">
        <f t="shared" ref="H124:AK124" si="104">IF(H$121=$E124,1+H85,IF(H$121&gt;$E124,G124*(1+H85),""))</f>
        <v/>
      </c>
      <c r="I124" s="311" t="str">
        <f t="shared" si="104"/>
        <v/>
      </c>
      <c r="J124" s="311">
        <f t="shared" si="104"/>
        <v>1.0375000000000001</v>
      </c>
      <c r="K124" s="311">
        <f t="shared" si="104"/>
        <v>1.0738125000000001</v>
      </c>
      <c r="L124" s="311">
        <f t="shared" si="104"/>
        <v>1.1113959375</v>
      </c>
      <c r="M124" s="311">
        <f t="shared" si="104"/>
        <v>1.1502947953125</v>
      </c>
      <c r="N124" s="311">
        <f t="shared" si="104"/>
        <v>1.1905551131484373</v>
      </c>
      <c r="O124" s="311">
        <f t="shared" si="104"/>
        <v>1.2322245421086326</v>
      </c>
      <c r="P124" s="311">
        <f t="shared" si="104"/>
        <v>1.2753524010824346</v>
      </c>
      <c r="Q124" s="311">
        <f t="shared" si="104"/>
        <v>1.3199897351203198</v>
      </c>
      <c r="R124" s="311">
        <f t="shared" si="104"/>
        <v>1.3661893758495309</v>
      </c>
      <c r="S124" s="311">
        <f t="shared" si="104"/>
        <v>1.4140060040042643</v>
      </c>
      <c r="T124" s="311">
        <f t="shared" si="104"/>
        <v>1.4634962141444134</v>
      </c>
      <c r="U124" s="311">
        <f t="shared" si="104"/>
        <v>1.5147185816394677</v>
      </c>
      <c r="V124" s="311">
        <f t="shared" si="104"/>
        <v>1.567733731996849</v>
      </c>
      <c r="W124" s="311">
        <f t="shared" si="104"/>
        <v>1.6226044126167385</v>
      </c>
      <c r="X124" s="311">
        <f t="shared" si="104"/>
        <v>1.6793955670583243</v>
      </c>
      <c r="Y124" s="311">
        <f t="shared" si="104"/>
        <v>1.7381744119053655</v>
      </c>
      <c r="Z124" s="311">
        <f t="shared" si="104"/>
        <v>1.7990105163220531</v>
      </c>
      <c r="AA124" s="311">
        <f t="shared" si="104"/>
        <v>1.8619758843933247</v>
      </c>
      <c r="AB124" s="311">
        <f t="shared" si="104"/>
        <v>1.9271450403470909</v>
      </c>
      <c r="AC124" s="311">
        <f t="shared" si="104"/>
        <v>1.9945951167592388</v>
      </c>
      <c r="AD124" s="311">
        <f t="shared" si="104"/>
        <v>2.0644059458458122</v>
      </c>
      <c r="AE124" s="311">
        <f t="shared" si="104"/>
        <v>2.1366601539504155</v>
      </c>
      <c r="AF124" s="311">
        <f t="shared" si="104"/>
        <v>2.2114432593386799</v>
      </c>
      <c r="AG124" s="311">
        <f t="shared" si="104"/>
        <v>2.2888437734155334</v>
      </c>
      <c r="AH124" s="311">
        <f t="shared" si="104"/>
        <v>2.3689533054850767</v>
      </c>
      <c r="AI124" s="311">
        <f t="shared" si="104"/>
        <v>2.4518666711770543</v>
      </c>
      <c r="AJ124" s="311">
        <f t="shared" si="104"/>
        <v>2.5376820046682509</v>
      </c>
      <c r="AK124" s="311">
        <f t="shared" si="104"/>
        <v>2.6265008748316396</v>
      </c>
      <c r="AL124" s="311">
        <f t="shared" si="98"/>
        <v>2.7184284054507466</v>
      </c>
      <c r="AM124" s="311">
        <f t="shared" si="99"/>
        <v>2.8135733996415224</v>
      </c>
      <c r="AN124" s="311">
        <f t="shared" si="100"/>
        <v>2.9120484686289756</v>
      </c>
      <c r="AO124" s="311">
        <f t="shared" si="101"/>
        <v>3.0139701650309894</v>
      </c>
      <c r="AP124" s="311">
        <f t="shared" si="102"/>
        <v>3.1194591208070737</v>
      </c>
      <c r="AQ124" s="296"/>
    </row>
    <row r="125" spans="3:43" x14ac:dyDescent="0.3">
      <c r="C125" s="1156"/>
      <c r="D125" s="294"/>
      <c r="E125" s="306">
        <f t="shared" si="96"/>
        <v>2030</v>
      </c>
      <c r="F125" s="294"/>
      <c r="G125" s="295"/>
      <c r="H125" s="311" t="str">
        <f t="shared" ref="H125:AK125" si="105">IF(H$121=$E125,1+H86,IF(H$121&gt;$E125,G125*(1+H86),""))</f>
        <v/>
      </c>
      <c r="I125" s="311" t="str">
        <f t="shared" si="105"/>
        <v/>
      </c>
      <c r="J125" s="311" t="str">
        <f t="shared" si="105"/>
        <v/>
      </c>
      <c r="K125" s="311">
        <f t="shared" si="105"/>
        <v>1.0349999999999999</v>
      </c>
      <c r="L125" s="311">
        <f t="shared" si="105"/>
        <v>1.0712249999999999</v>
      </c>
      <c r="M125" s="311">
        <f t="shared" si="105"/>
        <v>1.1087178749999997</v>
      </c>
      <c r="N125" s="311">
        <f t="shared" si="105"/>
        <v>1.1475230006249997</v>
      </c>
      <c r="O125" s="311">
        <f t="shared" si="105"/>
        <v>1.1876863056468745</v>
      </c>
      <c r="P125" s="311">
        <f t="shared" si="105"/>
        <v>1.229255326344515</v>
      </c>
      <c r="Q125" s="311">
        <f t="shared" si="105"/>
        <v>1.2722792627665729</v>
      </c>
      <c r="R125" s="311">
        <f t="shared" si="105"/>
        <v>1.3168090369634029</v>
      </c>
      <c r="S125" s="311">
        <f t="shared" si="105"/>
        <v>1.3628973532571218</v>
      </c>
      <c r="T125" s="311">
        <f t="shared" si="105"/>
        <v>1.410598760621121</v>
      </c>
      <c r="U125" s="311">
        <f t="shared" si="105"/>
        <v>1.4599697172428601</v>
      </c>
      <c r="V125" s="311">
        <f t="shared" si="105"/>
        <v>1.5110686573463601</v>
      </c>
      <c r="W125" s="311">
        <f t="shared" si="105"/>
        <v>1.5639560603534826</v>
      </c>
      <c r="X125" s="311">
        <f t="shared" si="105"/>
        <v>1.6186945224658542</v>
      </c>
      <c r="Y125" s="311">
        <f t="shared" si="105"/>
        <v>1.6753488307521589</v>
      </c>
      <c r="Z125" s="311">
        <f t="shared" si="105"/>
        <v>1.7339860398284843</v>
      </c>
      <c r="AA125" s="311">
        <f t="shared" si="105"/>
        <v>1.7946755512224812</v>
      </c>
      <c r="AB125" s="311">
        <f t="shared" si="105"/>
        <v>1.8574891955152679</v>
      </c>
      <c r="AC125" s="311">
        <f t="shared" si="105"/>
        <v>1.9225013173583021</v>
      </c>
      <c r="AD125" s="311">
        <f t="shared" si="105"/>
        <v>1.9897888634658425</v>
      </c>
      <c r="AE125" s="311">
        <f t="shared" si="105"/>
        <v>2.0594314736871469</v>
      </c>
      <c r="AF125" s="311">
        <f t="shared" si="105"/>
        <v>2.1315115752661966</v>
      </c>
      <c r="AG125" s="311">
        <f t="shared" si="105"/>
        <v>2.2061144804005135</v>
      </c>
      <c r="AH125" s="311">
        <f t="shared" si="105"/>
        <v>2.2833284872145314</v>
      </c>
      <c r="AI125" s="311">
        <f t="shared" si="105"/>
        <v>2.3632449842670398</v>
      </c>
      <c r="AJ125" s="311">
        <f t="shared" si="105"/>
        <v>2.4459585587163861</v>
      </c>
      <c r="AK125" s="311">
        <f t="shared" si="105"/>
        <v>2.5315671082714593</v>
      </c>
      <c r="AL125" s="311">
        <f t="shared" si="98"/>
        <v>2.6201719570609603</v>
      </c>
      <c r="AM125" s="311">
        <f t="shared" si="99"/>
        <v>2.7118779755580937</v>
      </c>
      <c r="AN125" s="311">
        <f t="shared" si="100"/>
        <v>2.8067937047026268</v>
      </c>
      <c r="AO125" s="311">
        <f t="shared" si="101"/>
        <v>2.9050314843672185</v>
      </c>
      <c r="AP125" s="311">
        <f t="shared" si="102"/>
        <v>3.0067075863200707</v>
      </c>
      <c r="AQ125" s="296"/>
    </row>
    <row r="126" spans="3:43" x14ac:dyDescent="0.3">
      <c r="C126" s="1156"/>
      <c r="D126" s="294"/>
      <c r="E126" s="306">
        <f t="shared" si="96"/>
        <v>2031</v>
      </c>
      <c r="F126" s="294"/>
      <c r="G126" s="295"/>
      <c r="H126" s="311" t="str">
        <f t="shared" ref="H126:AK126" si="106">IF(H$121=$E126,1+H87,IF(H$121&gt;$E126,G126*(1+H87),""))</f>
        <v/>
      </c>
      <c r="I126" s="311" t="str">
        <f t="shared" si="106"/>
        <v/>
      </c>
      <c r="J126" s="311" t="str">
        <f t="shared" si="106"/>
        <v/>
      </c>
      <c r="K126" s="311" t="str">
        <f t="shared" si="106"/>
        <v/>
      </c>
      <c r="L126" s="311">
        <f t="shared" si="106"/>
        <v>1.0349999999999999</v>
      </c>
      <c r="M126" s="311">
        <f t="shared" si="106"/>
        <v>1.0712249999999999</v>
      </c>
      <c r="N126" s="311">
        <f t="shared" si="106"/>
        <v>1.1087178749999997</v>
      </c>
      <c r="O126" s="311">
        <f t="shared" si="106"/>
        <v>1.1475230006249997</v>
      </c>
      <c r="P126" s="311">
        <f t="shared" si="106"/>
        <v>1.1876863056468745</v>
      </c>
      <c r="Q126" s="311">
        <f t="shared" si="106"/>
        <v>1.229255326344515</v>
      </c>
      <c r="R126" s="311">
        <f t="shared" si="106"/>
        <v>1.2722792627665729</v>
      </c>
      <c r="S126" s="311">
        <f t="shared" si="106"/>
        <v>1.3168090369634029</v>
      </c>
      <c r="T126" s="311">
        <f t="shared" si="106"/>
        <v>1.3628973532571218</v>
      </c>
      <c r="U126" s="311">
        <f t="shared" si="106"/>
        <v>1.410598760621121</v>
      </c>
      <c r="V126" s="311">
        <f t="shared" si="106"/>
        <v>1.4599697172428601</v>
      </c>
      <c r="W126" s="311">
        <f t="shared" si="106"/>
        <v>1.5110686573463601</v>
      </c>
      <c r="X126" s="311">
        <f t="shared" si="106"/>
        <v>1.5639560603534826</v>
      </c>
      <c r="Y126" s="311">
        <f t="shared" si="106"/>
        <v>1.6186945224658542</v>
      </c>
      <c r="Z126" s="311">
        <f t="shared" si="106"/>
        <v>1.6753488307521589</v>
      </c>
      <c r="AA126" s="311">
        <f t="shared" si="106"/>
        <v>1.7339860398284843</v>
      </c>
      <c r="AB126" s="311">
        <f t="shared" si="106"/>
        <v>1.7946755512224812</v>
      </c>
      <c r="AC126" s="311">
        <f t="shared" si="106"/>
        <v>1.8574891955152679</v>
      </c>
      <c r="AD126" s="311">
        <f t="shared" si="106"/>
        <v>1.9225013173583021</v>
      </c>
      <c r="AE126" s="311">
        <f t="shared" si="106"/>
        <v>1.9897888634658425</v>
      </c>
      <c r="AF126" s="311">
        <f t="shared" si="106"/>
        <v>2.0594314736871469</v>
      </c>
      <c r="AG126" s="311">
        <f t="shared" si="106"/>
        <v>2.1315115752661966</v>
      </c>
      <c r="AH126" s="311">
        <f t="shared" si="106"/>
        <v>2.2061144804005135</v>
      </c>
      <c r="AI126" s="311">
        <f t="shared" si="106"/>
        <v>2.2833284872145314</v>
      </c>
      <c r="AJ126" s="311">
        <f t="shared" si="106"/>
        <v>2.3632449842670398</v>
      </c>
      <c r="AK126" s="311">
        <f t="shared" si="106"/>
        <v>2.4459585587163861</v>
      </c>
      <c r="AL126" s="311">
        <f t="shared" si="98"/>
        <v>2.5315671082714593</v>
      </c>
      <c r="AM126" s="311">
        <f t="shared" si="99"/>
        <v>2.6201719570609603</v>
      </c>
      <c r="AN126" s="311">
        <f t="shared" si="100"/>
        <v>2.7118779755580937</v>
      </c>
      <c r="AO126" s="311">
        <f t="shared" si="101"/>
        <v>2.8067937047026268</v>
      </c>
      <c r="AP126" s="311">
        <f t="shared" si="102"/>
        <v>2.9050314843672185</v>
      </c>
      <c r="AQ126" s="296"/>
    </row>
    <row r="127" spans="3:43" x14ac:dyDescent="0.3">
      <c r="C127" s="1156"/>
      <c r="D127" s="294"/>
      <c r="E127" s="306">
        <f t="shared" si="96"/>
        <v>2032</v>
      </c>
      <c r="F127" s="294"/>
      <c r="G127" s="295"/>
      <c r="H127" s="311" t="str">
        <f t="shared" ref="H127:AK127" si="107">IF(H$121=$E127,1+H88,IF(H$121&gt;$E127,G127*(1+H88),""))</f>
        <v/>
      </c>
      <c r="I127" s="311" t="str">
        <f t="shared" si="107"/>
        <v/>
      </c>
      <c r="J127" s="311" t="str">
        <f t="shared" si="107"/>
        <v/>
      </c>
      <c r="K127" s="311" t="str">
        <f t="shared" si="107"/>
        <v/>
      </c>
      <c r="L127" s="311" t="str">
        <f t="shared" si="107"/>
        <v/>
      </c>
      <c r="M127" s="311">
        <f t="shared" si="107"/>
        <v>1.0349999999999999</v>
      </c>
      <c r="N127" s="311">
        <f t="shared" si="107"/>
        <v>1.0712249999999999</v>
      </c>
      <c r="O127" s="311">
        <f t="shared" si="107"/>
        <v>1.1087178749999997</v>
      </c>
      <c r="P127" s="311">
        <f t="shared" si="107"/>
        <v>1.1475230006249997</v>
      </c>
      <c r="Q127" s="311">
        <f t="shared" si="107"/>
        <v>1.1876863056468745</v>
      </c>
      <c r="R127" s="311">
        <f t="shared" si="107"/>
        <v>1.229255326344515</v>
      </c>
      <c r="S127" s="311">
        <f t="shared" si="107"/>
        <v>1.2722792627665729</v>
      </c>
      <c r="T127" s="311">
        <f t="shared" si="107"/>
        <v>1.3168090369634029</v>
      </c>
      <c r="U127" s="311">
        <f t="shared" si="107"/>
        <v>1.3628973532571218</v>
      </c>
      <c r="V127" s="311">
        <f t="shared" si="107"/>
        <v>1.410598760621121</v>
      </c>
      <c r="W127" s="311">
        <f t="shared" si="107"/>
        <v>1.4599697172428601</v>
      </c>
      <c r="X127" s="311">
        <f t="shared" si="107"/>
        <v>1.5110686573463601</v>
      </c>
      <c r="Y127" s="311">
        <f t="shared" si="107"/>
        <v>1.5639560603534826</v>
      </c>
      <c r="Z127" s="311">
        <f t="shared" si="107"/>
        <v>1.6186945224658542</v>
      </c>
      <c r="AA127" s="311">
        <f t="shared" si="107"/>
        <v>1.6753488307521589</v>
      </c>
      <c r="AB127" s="311">
        <f t="shared" si="107"/>
        <v>1.7339860398284843</v>
      </c>
      <c r="AC127" s="311">
        <f t="shared" si="107"/>
        <v>1.7946755512224812</v>
      </c>
      <c r="AD127" s="311">
        <f t="shared" si="107"/>
        <v>1.8574891955152679</v>
      </c>
      <c r="AE127" s="311">
        <f t="shared" si="107"/>
        <v>1.9225013173583021</v>
      </c>
      <c r="AF127" s="311">
        <f t="shared" si="107"/>
        <v>1.9897888634658425</v>
      </c>
      <c r="AG127" s="311">
        <f t="shared" si="107"/>
        <v>2.0594314736871469</v>
      </c>
      <c r="AH127" s="311">
        <f t="shared" si="107"/>
        <v>2.1315115752661966</v>
      </c>
      <c r="AI127" s="311">
        <f t="shared" si="107"/>
        <v>2.2061144804005135</v>
      </c>
      <c r="AJ127" s="311">
        <f t="shared" si="107"/>
        <v>2.2833284872145314</v>
      </c>
      <c r="AK127" s="311">
        <f t="shared" si="107"/>
        <v>2.3632449842670398</v>
      </c>
      <c r="AL127" s="311">
        <f t="shared" si="98"/>
        <v>2.4459585587163861</v>
      </c>
      <c r="AM127" s="311">
        <f t="shared" si="99"/>
        <v>2.5315671082714593</v>
      </c>
      <c r="AN127" s="311">
        <f t="shared" si="100"/>
        <v>2.6201719570609603</v>
      </c>
      <c r="AO127" s="311">
        <f t="shared" si="101"/>
        <v>2.7118779755580937</v>
      </c>
      <c r="AP127" s="311">
        <f t="shared" si="102"/>
        <v>2.8067937047026268</v>
      </c>
      <c r="AQ127" s="296"/>
    </row>
    <row r="128" spans="3:43" x14ac:dyDescent="0.3">
      <c r="C128" s="1156"/>
      <c r="D128" s="294"/>
      <c r="E128" s="306">
        <f t="shared" si="96"/>
        <v>2033</v>
      </c>
      <c r="F128" s="294"/>
      <c r="G128" s="295"/>
      <c r="H128" s="311" t="str">
        <f t="shared" ref="H128:AK128" si="108">IF(H$121=$E128,1+H89,IF(H$121&gt;$E128,G128*(1+H89),""))</f>
        <v/>
      </c>
      <c r="I128" s="311" t="str">
        <f t="shared" si="108"/>
        <v/>
      </c>
      <c r="J128" s="311" t="str">
        <f t="shared" si="108"/>
        <v/>
      </c>
      <c r="K128" s="311" t="str">
        <f t="shared" si="108"/>
        <v/>
      </c>
      <c r="L128" s="311" t="str">
        <f t="shared" si="108"/>
        <v/>
      </c>
      <c r="M128" s="311" t="str">
        <f t="shared" si="108"/>
        <v/>
      </c>
      <c r="N128" s="311">
        <f t="shared" si="108"/>
        <v>1.0349999999999999</v>
      </c>
      <c r="O128" s="311">
        <f t="shared" si="108"/>
        <v>1.0712249999999999</v>
      </c>
      <c r="P128" s="311">
        <f t="shared" si="108"/>
        <v>1.1087178749999997</v>
      </c>
      <c r="Q128" s="311">
        <f t="shared" si="108"/>
        <v>1.1475230006249997</v>
      </c>
      <c r="R128" s="311">
        <f t="shared" si="108"/>
        <v>1.1876863056468745</v>
      </c>
      <c r="S128" s="311">
        <f t="shared" si="108"/>
        <v>1.229255326344515</v>
      </c>
      <c r="T128" s="311">
        <f t="shared" si="108"/>
        <v>1.2722792627665729</v>
      </c>
      <c r="U128" s="311">
        <f t="shared" si="108"/>
        <v>1.3168090369634029</v>
      </c>
      <c r="V128" s="311">
        <f t="shared" si="108"/>
        <v>1.3628973532571218</v>
      </c>
      <c r="W128" s="311">
        <f t="shared" si="108"/>
        <v>1.410598760621121</v>
      </c>
      <c r="X128" s="311">
        <f t="shared" si="108"/>
        <v>1.4599697172428601</v>
      </c>
      <c r="Y128" s="311">
        <f t="shared" si="108"/>
        <v>1.5110686573463601</v>
      </c>
      <c r="Z128" s="311">
        <f t="shared" si="108"/>
        <v>1.5639560603534826</v>
      </c>
      <c r="AA128" s="311">
        <f t="shared" si="108"/>
        <v>1.6186945224658542</v>
      </c>
      <c r="AB128" s="311">
        <f t="shared" si="108"/>
        <v>1.6753488307521589</v>
      </c>
      <c r="AC128" s="311">
        <f t="shared" si="108"/>
        <v>1.7339860398284843</v>
      </c>
      <c r="AD128" s="311">
        <f t="shared" si="108"/>
        <v>1.7946755512224812</v>
      </c>
      <c r="AE128" s="311">
        <f t="shared" si="108"/>
        <v>1.8574891955152679</v>
      </c>
      <c r="AF128" s="311">
        <f t="shared" si="108"/>
        <v>1.9225013173583021</v>
      </c>
      <c r="AG128" s="311">
        <f t="shared" si="108"/>
        <v>1.9897888634658425</v>
      </c>
      <c r="AH128" s="311">
        <f t="shared" si="108"/>
        <v>2.0594314736871469</v>
      </c>
      <c r="AI128" s="311">
        <f t="shared" si="108"/>
        <v>2.1315115752661966</v>
      </c>
      <c r="AJ128" s="311">
        <f t="shared" si="108"/>
        <v>2.2061144804005135</v>
      </c>
      <c r="AK128" s="311">
        <f t="shared" si="108"/>
        <v>2.2833284872145314</v>
      </c>
      <c r="AL128" s="311">
        <f t="shared" si="98"/>
        <v>2.3632449842670398</v>
      </c>
      <c r="AM128" s="311">
        <f t="shared" si="99"/>
        <v>2.4459585587163861</v>
      </c>
      <c r="AN128" s="311">
        <f t="shared" si="100"/>
        <v>2.5315671082714593</v>
      </c>
      <c r="AO128" s="311">
        <f t="shared" si="101"/>
        <v>2.6201719570609603</v>
      </c>
      <c r="AP128" s="311">
        <f t="shared" si="102"/>
        <v>2.7118779755580937</v>
      </c>
      <c r="AQ128" s="296"/>
    </row>
    <row r="129" spans="3:43" x14ac:dyDescent="0.3">
      <c r="C129" s="1156"/>
      <c r="D129" s="294"/>
      <c r="E129" s="306">
        <f t="shared" si="96"/>
        <v>2034</v>
      </c>
      <c r="F129" s="294"/>
      <c r="G129" s="295"/>
      <c r="H129" s="311" t="str">
        <f t="shared" ref="H129:AK129" si="109">IF(H$121=$E129,1+H90,IF(H$121&gt;$E129,G129*(1+H90),""))</f>
        <v/>
      </c>
      <c r="I129" s="311" t="str">
        <f t="shared" si="109"/>
        <v/>
      </c>
      <c r="J129" s="311" t="str">
        <f t="shared" si="109"/>
        <v/>
      </c>
      <c r="K129" s="311" t="str">
        <f t="shared" si="109"/>
        <v/>
      </c>
      <c r="L129" s="311" t="str">
        <f t="shared" si="109"/>
        <v/>
      </c>
      <c r="M129" s="311" t="str">
        <f t="shared" si="109"/>
        <v/>
      </c>
      <c r="N129" s="311" t="str">
        <f t="shared" si="109"/>
        <v/>
      </c>
      <c r="O129" s="311">
        <f t="shared" si="109"/>
        <v>1.0349999999999999</v>
      </c>
      <c r="P129" s="311">
        <f t="shared" si="109"/>
        <v>1.0712249999999999</v>
      </c>
      <c r="Q129" s="311">
        <f t="shared" si="109"/>
        <v>1.1087178749999997</v>
      </c>
      <c r="R129" s="311">
        <f t="shared" si="109"/>
        <v>1.1475230006249997</v>
      </c>
      <c r="S129" s="311">
        <f t="shared" si="109"/>
        <v>1.1876863056468745</v>
      </c>
      <c r="T129" s="311">
        <f t="shared" si="109"/>
        <v>1.229255326344515</v>
      </c>
      <c r="U129" s="311">
        <f t="shared" si="109"/>
        <v>1.2722792627665729</v>
      </c>
      <c r="V129" s="311">
        <f t="shared" si="109"/>
        <v>1.3168090369634029</v>
      </c>
      <c r="W129" s="311">
        <f t="shared" si="109"/>
        <v>1.3628973532571218</v>
      </c>
      <c r="X129" s="311">
        <f t="shared" si="109"/>
        <v>1.410598760621121</v>
      </c>
      <c r="Y129" s="311">
        <f t="shared" si="109"/>
        <v>1.4599697172428601</v>
      </c>
      <c r="Z129" s="311">
        <f t="shared" si="109"/>
        <v>1.5110686573463601</v>
      </c>
      <c r="AA129" s="311">
        <f t="shared" si="109"/>
        <v>1.5639560603534826</v>
      </c>
      <c r="AB129" s="311">
        <f t="shared" si="109"/>
        <v>1.6186945224658542</v>
      </c>
      <c r="AC129" s="311">
        <f t="shared" si="109"/>
        <v>1.6753488307521589</v>
      </c>
      <c r="AD129" s="311">
        <f t="shared" si="109"/>
        <v>1.7339860398284843</v>
      </c>
      <c r="AE129" s="311">
        <f t="shared" si="109"/>
        <v>1.7946755512224812</v>
      </c>
      <c r="AF129" s="311">
        <f t="shared" si="109"/>
        <v>1.8574891955152679</v>
      </c>
      <c r="AG129" s="311">
        <f t="shared" si="109"/>
        <v>1.9225013173583021</v>
      </c>
      <c r="AH129" s="311">
        <f t="shared" si="109"/>
        <v>1.9897888634658425</v>
      </c>
      <c r="AI129" s="311">
        <f t="shared" si="109"/>
        <v>2.0594314736871469</v>
      </c>
      <c r="AJ129" s="311">
        <f t="shared" si="109"/>
        <v>2.1315115752661966</v>
      </c>
      <c r="AK129" s="311">
        <f t="shared" si="109"/>
        <v>2.2061144804005135</v>
      </c>
      <c r="AL129" s="311">
        <f t="shared" si="98"/>
        <v>2.2833284872145314</v>
      </c>
      <c r="AM129" s="311">
        <f t="shared" si="99"/>
        <v>2.3632449842670398</v>
      </c>
      <c r="AN129" s="311">
        <f t="shared" si="100"/>
        <v>2.4459585587163861</v>
      </c>
      <c r="AO129" s="311">
        <f t="shared" si="101"/>
        <v>2.5315671082714593</v>
      </c>
      <c r="AP129" s="311">
        <f t="shared" si="102"/>
        <v>2.6201719570609603</v>
      </c>
      <c r="AQ129" s="296"/>
    </row>
    <row r="130" spans="3:43" x14ac:dyDescent="0.3">
      <c r="C130" s="1156"/>
      <c r="D130" s="294"/>
      <c r="E130" s="306">
        <f t="shared" si="96"/>
        <v>2035</v>
      </c>
      <c r="F130" s="294"/>
      <c r="G130" s="295"/>
      <c r="H130" s="311" t="str">
        <f t="shared" ref="H130:AK130" si="110">IF(H$121=$E130,1+H91,IF(H$121&gt;$E130,G130*(1+H91),""))</f>
        <v/>
      </c>
      <c r="I130" s="311" t="str">
        <f t="shared" si="110"/>
        <v/>
      </c>
      <c r="J130" s="311" t="str">
        <f t="shared" si="110"/>
        <v/>
      </c>
      <c r="K130" s="311" t="str">
        <f t="shared" si="110"/>
        <v/>
      </c>
      <c r="L130" s="311" t="str">
        <f t="shared" si="110"/>
        <v/>
      </c>
      <c r="M130" s="311" t="str">
        <f t="shared" si="110"/>
        <v/>
      </c>
      <c r="N130" s="311" t="str">
        <f t="shared" si="110"/>
        <v/>
      </c>
      <c r="O130" s="311" t="str">
        <f t="shared" si="110"/>
        <v/>
      </c>
      <c r="P130" s="311">
        <f t="shared" si="110"/>
        <v>1.0349999999999999</v>
      </c>
      <c r="Q130" s="311">
        <f t="shared" si="110"/>
        <v>1.0712249999999999</v>
      </c>
      <c r="R130" s="311">
        <f t="shared" si="110"/>
        <v>1.1087178749999997</v>
      </c>
      <c r="S130" s="311">
        <f t="shared" si="110"/>
        <v>1.1475230006249997</v>
      </c>
      <c r="T130" s="311">
        <f t="shared" si="110"/>
        <v>1.1876863056468745</v>
      </c>
      <c r="U130" s="311">
        <f t="shared" si="110"/>
        <v>1.229255326344515</v>
      </c>
      <c r="V130" s="311">
        <f t="shared" si="110"/>
        <v>1.2722792627665729</v>
      </c>
      <c r="W130" s="311">
        <f t="shared" si="110"/>
        <v>1.3168090369634029</v>
      </c>
      <c r="X130" s="311">
        <f t="shared" si="110"/>
        <v>1.3628973532571218</v>
      </c>
      <c r="Y130" s="311">
        <f t="shared" si="110"/>
        <v>1.410598760621121</v>
      </c>
      <c r="Z130" s="311">
        <f t="shared" si="110"/>
        <v>1.4599697172428601</v>
      </c>
      <c r="AA130" s="311">
        <f t="shared" si="110"/>
        <v>1.5110686573463601</v>
      </c>
      <c r="AB130" s="311">
        <f t="shared" si="110"/>
        <v>1.5639560603534826</v>
      </c>
      <c r="AC130" s="311">
        <f t="shared" si="110"/>
        <v>1.6186945224658542</v>
      </c>
      <c r="AD130" s="311">
        <f t="shared" si="110"/>
        <v>1.6753488307521589</v>
      </c>
      <c r="AE130" s="311">
        <f t="shared" si="110"/>
        <v>1.7339860398284843</v>
      </c>
      <c r="AF130" s="311">
        <f t="shared" si="110"/>
        <v>1.7946755512224812</v>
      </c>
      <c r="AG130" s="311">
        <f t="shared" si="110"/>
        <v>1.8574891955152679</v>
      </c>
      <c r="AH130" s="311">
        <f t="shared" si="110"/>
        <v>1.9225013173583021</v>
      </c>
      <c r="AI130" s="311">
        <f t="shared" si="110"/>
        <v>1.9897888634658425</v>
      </c>
      <c r="AJ130" s="311">
        <f t="shared" si="110"/>
        <v>2.0594314736871469</v>
      </c>
      <c r="AK130" s="311">
        <f t="shared" si="110"/>
        <v>2.1315115752661966</v>
      </c>
      <c r="AL130" s="311">
        <f t="shared" si="98"/>
        <v>2.2061144804005135</v>
      </c>
      <c r="AM130" s="311">
        <f t="shared" si="99"/>
        <v>2.2833284872145314</v>
      </c>
      <c r="AN130" s="311">
        <f t="shared" si="100"/>
        <v>2.3632449842670398</v>
      </c>
      <c r="AO130" s="311">
        <f t="shared" si="101"/>
        <v>2.4459585587163861</v>
      </c>
      <c r="AP130" s="311">
        <f t="shared" si="102"/>
        <v>2.5315671082714593</v>
      </c>
      <c r="AQ130" s="296"/>
    </row>
    <row r="131" spans="3:43" x14ac:dyDescent="0.3">
      <c r="C131" s="1156"/>
      <c r="D131" s="294"/>
      <c r="E131" s="306">
        <f t="shared" si="96"/>
        <v>2036</v>
      </c>
      <c r="F131" s="294"/>
      <c r="G131" s="295"/>
      <c r="H131" s="311" t="str">
        <f t="shared" ref="H131:AK131" si="111">IF(H$121=$E131,1+H92,IF(H$121&gt;$E131,G131*(1+H92),""))</f>
        <v/>
      </c>
      <c r="I131" s="311" t="str">
        <f t="shared" si="111"/>
        <v/>
      </c>
      <c r="J131" s="311" t="str">
        <f t="shared" si="111"/>
        <v/>
      </c>
      <c r="K131" s="311" t="str">
        <f t="shared" si="111"/>
        <v/>
      </c>
      <c r="L131" s="311" t="str">
        <f t="shared" si="111"/>
        <v/>
      </c>
      <c r="M131" s="311" t="str">
        <f t="shared" si="111"/>
        <v/>
      </c>
      <c r="N131" s="311" t="str">
        <f t="shared" si="111"/>
        <v/>
      </c>
      <c r="O131" s="311" t="str">
        <f t="shared" si="111"/>
        <v/>
      </c>
      <c r="P131" s="311" t="str">
        <f t="shared" si="111"/>
        <v/>
      </c>
      <c r="Q131" s="311">
        <f t="shared" si="111"/>
        <v>1.0349999999999999</v>
      </c>
      <c r="R131" s="311">
        <f t="shared" si="111"/>
        <v>1.0712249999999999</v>
      </c>
      <c r="S131" s="311">
        <f t="shared" si="111"/>
        <v>1.1087178749999997</v>
      </c>
      <c r="T131" s="311">
        <f t="shared" si="111"/>
        <v>1.1475230006249997</v>
      </c>
      <c r="U131" s="311">
        <f t="shared" si="111"/>
        <v>1.1876863056468745</v>
      </c>
      <c r="V131" s="311">
        <f t="shared" si="111"/>
        <v>1.229255326344515</v>
      </c>
      <c r="W131" s="311">
        <f t="shared" si="111"/>
        <v>1.2722792627665729</v>
      </c>
      <c r="X131" s="311">
        <f t="shared" si="111"/>
        <v>1.3168090369634029</v>
      </c>
      <c r="Y131" s="311">
        <f t="shared" si="111"/>
        <v>1.3628973532571218</v>
      </c>
      <c r="Z131" s="311">
        <f t="shared" si="111"/>
        <v>1.410598760621121</v>
      </c>
      <c r="AA131" s="311">
        <f t="shared" si="111"/>
        <v>1.4599697172428601</v>
      </c>
      <c r="AB131" s="311">
        <f t="shared" si="111"/>
        <v>1.5110686573463601</v>
      </c>
      <c r="AC131" s="311">
        <f t="shared" si="111"/>
        <v>1.5639560603534826</v>
      </c>
      <c r="AD131" s="311">
        <f t="shared" si="111"/>
        <v>1.6186945224658542</v>
      </c>
      <c r="AE131" s="311">
        <f t="shared" si="111"/>
        <v>1.6753488307521589</v>
      </c>
      <c r="AF131" s="311">
        <f t="shared" si="111"/>
        <v>1.7339860398284843</v>
      </c>
      <c r="AG131" s="311">
        <f t="shared" si="111"/>
        <v>1.7946755512224812</v>
      </c>
      <c r="AH131" s="311">
        <f t="shared" si="111"/>
        <v>1.8574891955152679</v>
      </c>
      <c r="AI131" s="311">
        <f t="shared" si="111"/>
        <v>1.9225013173583021</v>
      </c>
      <c r="AJ131" s="311">
        <f t="shared" si="111"/>
        <v>1.9897888634658425</v>
      </c>
      <c r="AK131" s="311">
        <f t="shared" si="111"/>
        <v>2.0594314736871469</v>
      </c>
      <c r="AL131" s="311">
        <f t="shared" si="98"/>
        <v>2.1315115752661966</v>
      </c>
      <c r="AM131" s="311">
        <f t="shared" si="99"/>
        <v>2.2061144804005135</v>
      </c>
      <c r="AN131" s="311">
        <f t="shared" si="100"/>
        <v>2.2833284872145314</v>
      </c>
      <c r="AO131" s="311">
        <f t="shared" si="101"/>
        <v>2.3632449842670398</v>
      </c>
      <c r="AP131" s="311">
        <f t="shared" si="102"/>
        <v>2.4459585587163861</v>
      </c>
      <c r="AQ131" s="296"/>
    </row>
    <row r="132" spans="3:43" x14ac:dyDescent="0.3">
      <c r="C132" s="1156"/>
      <c r="D132" s="294"/>
      <c r="E132" s="306">
        <f t="shared" si="96"/>
        <v>2037</v>
      </c>
      <c r="F132" s="294"/>
      <c r="G132" s="295"/>
      <c r="H132" s="311" t="str">
        <f t="shared" ref="H132:AK132" si="112">IF(H$121=$E132,1+H93,IF(H$121&gt;$E132,G132*(1+H93),""))</f>
        <v/>
      </c>
      <c r="I132" s="311" t="str">
        <f t="shared" si="112"/>
        <v/>
      </c>
      <c r="J132" s="311" t="str">
        <f t="shared" si="112"/>
        <v/>
      </c>
      <c r="K132" s="311" t="str">
        <f t="shared" si="112"/>
        <v/>
      </c>
      <c r="L132" s="311" t="str">
        <f t="shared" si="112"/>
        <v/>
      </c>
      <c r="M132" s="311" t="str">
        <f t="shared" si="112"/>
        <v/>
      </c>
      <c r="N132" s="311" t="str">
        <f t="shared" si="112"/>
        <v/>
      </c>
      <c r="O132" s="311" t="str">
        <f t="shared" si="112"/>
        <v/>
      </c>
      <c r="P132" s="311" t="str">
        <f t="shared" si="112"/>
        <v/>
      </c>
      <c r="Q132" s="311" t="str">
        <f t="shared" si="112"/>
        <v/>
      </c>
      <c r="R132" s="311">
        <f t="shared" si="112"/>
        <v>1.0349999999999999</v>
      </c>
      <c r="S132" s="311">
        <f t="shared" si="112"/>
        <v>1.0712249999999999</v>
      </c>
      <c r="T132" s="311">
        <f t="shared" si="112"/>
        <v>1.1087178749999997</v>
      </c>
      <c r="U132" s="311">
        <f t="shared" si="112"/>
        <v>1.1475230006249997</v>
      </c>
      <c r="V132" s="311">
        <f t="shared" si="112"/>
        <v>1.1876863056468745</v>
      </c>
      <c r="W132" s="311">
        <f t="shared" si="112"/>
        <v>1.229255326344515</v>
      </c>
      <c r="X132" s="311">
        <f t="shared" si="112"/>
        <v>1.2722792627665729</v>
      </c>
      <c r="Y132" s="311">
        <f t="shared" si="112"/>
        <v>1.3168090369634029</v>
      </c>
      <c r="Z132" s="311">
        <f t="shared" si="112"/>
        <v>1.3628973532571218</v>
      </c>
      <c r="AA132" s="311">
        <f t="shared" si="112"/>
        <v>1.410598760621121</v>
      </c>
      <c r="AB132" s="311">
        <f t="shared" si="112"/>
        <v>1.4599697172428601</v>
      </c>
      <c r="AC132" s="311">
        <f t="shared" si="112"/>
        <v>1.5110686573463601</v>
      </c>
      <c r="AD132" s="311">
        <f t="shared" si="112"/>
        <v>1.5639560603534826</v>
      </c>
      <c r="AE132" s="311">
        <f t="shared" si="112"/>
        <v>1.6186945224658542</v>
      </c>
      <c r="AF132" s="311">
        <f t="shared" si="112"/>
        <v>1.6753488307521589</v>
      </c>
      <c r="AG132" s="311">
        <f t="shared" si="112"/>
        <v>1.7339860398284843</v>
      </c>
      <c r="AH132" s="311">
        <f t="shared" si="112"/>
        <v>1.7946755512224812</v>
      </c>
      <c r="AI132" s="311">
        <f t="shared" si="112"/>
        <v>1.8574891955152679</v>
      </c>
      <c r="AJ132" s="311">
        <f t="shared" si="112"/>
        <v>1.9225013173583021</v>
      </c>
      <c r="AK132" s="311">
        <f t="shared" si="112"/>
        <v>1.9897888634658425</v>
      </c>
      <c r="AL132" s="311">
        <f t="shared" si="98"/>
        <v>2.0594314736871469</v>
      </c>
      <c r="AM132" s="311">
        <f t="shared" si="99"/>
        <v>2.1315115752661966</v>
      </c>
      <c r="AN132" s="311">
        <f t="shared" si="100"/>
        <v>2.2061144804005135</v>
      </c>
      <c r="AO132" s="311">
        <f t="shared" si="101"/>
        <v>2.2833284872145314</v>
      </c>
      <c r="AP132" s="311">
        <f t="shared" si="102"/>
        <v>2.3632449842670398</v>
      </c>
      <c r="AQ132" s="296"/>
    </row>
    <row r="133" spans="3:43" x14ac:dyDescent="0.3">
      <c r="C133" s="1156"/>
      <c r="D133" s="294"/>
      <c r="E133" s="306">
        <f t="shared" si="96"/>
        <v>2038</v>
      </c>
      <c r="F133" s="294"/>
      <c r="G133" s="295"/>
      <c r="H133" s="311" t="str">
        <f t="shared" ref="H133:AK133" si="113">IF(H$121=$E133,1+H94,IF(H$121&gt;$E133,G133*(1+H94),""))</f>
        <v/>
      </c>
      <c r="I133" s="311" t="str">
        <f t="shared" si="113"/>
        <v/>
      </c>
      <c r="J133" s="311" t="str">
        <f t="shared" si="113"/>
        <v/>
      </c>
      <c r="K133" s="311" t="str">
        <f t="shared" si="113"/>
        <v/>
      </c>
      <c r="L133" s="311" t="str">
        <f t="shared" si="113"/>
        <v/>
      </c>
      <c r="M133" s="311" t="str">
        <f t="shared" si="113"/>
        <v/>
      </c>
      <c r="N133" s="311" t="str">
        <f t="shared" si="113"/>
        <v/>
      </c>
      <c r="O133" s="311" t="str">
        <f t="shared" si="113"/>
        <v/>
      </c>
      <c r="P133" s="311" t="str">
        <f t="shared" si="113"/>
        <v/>
      </c>
      <c r="Q133" s="311" t="str">
        <f t="shared" si="113"/>
        <v/>
      </c>
      <c r="R133" s="311" t="str">
        <f t="shared" si="113"/>
        <v/>
      </c>
      <c r="S133" s="311">
        <f t="shared" si="113"/>
        <v>1.0349999999999999</v>
      </c>
      <c r="T133" s="311">
        <f t="shared" si="113"/>
        <v>1.0712249999999999</v>
      </c>
      <c r="U133" s="311">
        <f t="shared" si="113"/>
        <v>1.1087178749999997</v>
      </c>
      <c r="V133" s="311">
        <f t="shared" si="113"/>
        <v>1.1475230006249997</v>
      </c>
      <c r="W133" s="311">
        <f t="shared" si="113"/>
        <v>1.1876863056468745</v>
      </c>
      <c r="X133" s="311">
        <f t="shared" si="113"/>
        <v>1.229255326344515</v>
      </c>
      <c r="Y133" s="311">
        <f t="shared" si="113"/>
        <v>1.2722792627665729</v>
      </c>
      <c r="Z133" s="311">
        <f t="shared" si="113"/>
        <v>1.3168090369634029</v>
      </c>
      <c r="AA133" s="311">
        <f t="shared" si="113"/>
        <v>1.3628973532571218</v>
      </c>
      <c r="AB133" s="311">
        <f t="shared" si="113"/>
        <v>1.410598760621121</v>
      </c>
      <c r="AC133" s="311">
        <f t="shared" si="113"/>
        <v>1.4599697172428601</v>
      </c>
      <c r="AD133" s="311">
        <f t="shared" si="113"/>
        <v>1.5110686573463601</v>
      </c>
      <c r="AE133" s="311">
        <f t="shared" si="113"/>
        <v>1.5639560603534826</v>
      </c>
      <c r="AF133" s="311">
        <f t="shared" si="113"/>
        <v>1.6186945224658542</v>
      </c>
      <c r="AG133" s="311">
        <f t="shared" si="113"/>
        <v>1.6753488307521589</v>
      </c>
      <c r="AH133" s="311">
        <f t="shared" si="113"/>
        <v>1.7339860398284843</v>
      </c>
      <c r="AI133" s="311">
        <f t="shared" si="113"/>
        <v>1.7946755512224812</v>
      </c>
      <c r="AJ133" s="311">
        <f t="shared" si="113"/>
        <v>1.8574891955152679</v>
      </c>
      <c r="AK133" s="311">
        <f t="shared" si="113"/>
        <v>1.9225013173583021</v>
      </c>
      <c r="AL133" s="311">
        <f t="shared" si="98"/>
        <v>1.9897888634658425</v>
      </c>
      <c r="AM133" s="311">
        <f t="shared" si="99"/>
        <v>2.0594314736871469</v>
      </c>
      <c r="AN133" s="311">
        <f t="shared" si="100"/>
        <v>2.1315115752661966</v>
      </c>
      <c r="AO133" s="311">
        <f t="shared" si="101"/>
        <v>2.2061144804005135</v>
      </c>
      <c r="AP133" s="311">
        <f t="shared" si="102"/>
        <v>2.2833284872145314</v>
      </c>
      <c r="AQ133" s="296"/>
    </row>
    <row r="134" spans="3:43" x14ac:dyDescent="0.3">
      <c r="C134" s="1156"/>
      <c r="D134" s="294"/>
      <c r="E134" s="306">
        <f t="shared" si="96"/>
        <v>2039</v>
      </c>
      <c r="F134" s="294"/>
      <c r="G134" s="295"/>
      <c r="H134" s="311" t="str">
        <f t="shared" ref="H134:AK134" si="114">IF(H$121=$E134,1+H95,IF(H$121&gt;$E134,G134*(1+H95),""))</f>
        <v/>
      </c>
      <c r="I134" s="311" t="str">
        <f t="shared" si="114"/>
        <v/>
      </c>
      <c r="J134" s="311" t="str">
        <f t="shared" si="114"/>
        <v/>
      </c>
      <c r="K134" s="311" t="str">
        <f t="shared" si="114"/>
        <v/>
      </c>
      <c r="L134" s="311" t="str">
        <f t="shared" si="114"/>
        <v/>
      </c>
      <c r="M134" s="311" t="str">
        <f t="shared" si="114"/>
        <v/>
      </c>
      <c r="N134" s="311" t="str">
        <f t="shared" si="114"/>
        <v/>
      </c>
      <c r="O134" s="311" t="str">
        <f t="shared" si="114"/>
        <v/>
      </c>
      <c r="P134" s="311" t="str">
        <f t="shared" si="114"/>
        <v/>
      </c>
      <c r="Q134" s="311" t="str">
        <f t="shared" si="114"/>
        <v/>
      </c>
      <c r="R134" s="311" t="str">
        <f t="shared" si="114"/>
        <v/>
      </c>
      <c r="S134" s="311" t="str">
        <f t="shared" si="114"/>
        <v/>
      </c>
      <c r="T134" s="311">
        <f t="shared" si="114"/>
        <v>1.0349999999999999</v>
      </c>
      <c r="U134" s="311">
        <f t="shared" si="114"/>
        <v>1.0712249999999999</v>
      </c>
      <c r="V134" s="311">
        <f t="shared" si="114"/>
        <v>1.1087178749999997</v>
      </c>
      <c r="W134" s="311">
        <f t="shared" si="114"/>
        <v>1.1475230006249997</v>
      </c>
      <c r="X134" s="311">
        <f t="shared" si="114"/>
        <v>1.1876863056468745</v>
      </c>
      <c r="Y134" s="311">
        <f t="shared" si="114"/>
        <v>1.229255326344515</v>
      </c>
      <c r="Z134" s="311">
        <f t="shared" si="114"/>
        <v>1.2722792627665729</v>
      </c>
      <c r="AA134" s="311">
        <f t="shared" si="114"/>
        <v>1.3168090369634029</v>
      </c>
      <c r="AB134" s="311">
        <f t="shared" si="114"/>
        <v>1.3628973532571218</v>
      </c>
      <c r="AC134" s="311">
        <f t="shared" si="114"/>
        <v>1.410598760621121</v>
      </c>
      <c r="AD134" s="311">
        <f t="shared" si="114"/>
        <v>1.4599697172428601</v>
      </c>
      <c r="AE134" s="311">
        <f t="shared" si="114"/>
        <v>1.5110686573463601</v>
      </c>
      <c r="AF134" s="311">
        <f t="shared" si="114"/>
        <v>1.5639560603534826</v>
      </c>
      <c r="AG134" s="311">
        <f t="shared" si="114"/>
        <v>1.6186945224658542</v>
      </c>
      <c r="AH134" s="311">
        <f t="shared" si="114"/>
        <v>1.6753488307521589</v>
      </c>
      <c r="AI134" s="311">
        <f t="shared" si="114"/>
        <v>1.7339860398284843</v>
      </c>
      <c r="AJ134" s="311">
        <f t="shared" si="114"/>
        <v>1.7946755512224812</v>
      </c>
      <c r="AK134" s="311">
        <f t="shared" si="114"/>
        <v>1.8574891955152679</v>
      </c>
      <c r="AL134" s="311">
        <f t="shared" si="98"/>
        <v>1.9225013173583021</v>
      </c>
      <c r="AM134" s="311">
        <f t="shared" si="99"/>
        <v>1.9897888634658425</v>
      </c>
      <c r="AN134" s="311">
        <f t="shared" si="100"/>
        <v>2.0594314736871469</v>
      </c>
      <c r="AO134" s="311">
        <f t="shared" si="101"/>
        <v>2.1315115752661966</v>
      </c>
      <c r="AP134" s="311">
        <f t="shared" si="102"/>
        <v>2.2061144804005135</v>
      </c>
      <c r="AQ134" s="296"/>
    </row>
    <row r="135" spans="3:43" x14ac:dyDescent="0.3">
      <c r="C135" s="1156"/>
      <c r="D135" s="294"/>
      <c r="E135" s="306">
        <f t="shared" si="96"/>
        <v>2040</v>
      </c>
      <c r="F135" s="294"/>
      <c r="G135" s="295"/>
      <c r="H135" s="311" t="str">
        <f t="shared" ref="H135:AK135" si="115">IF(H$121=$E135,1+H96,IF(H$121&gt;$E135,G135*(1+H96),""))</f>
        <v/>
      </c>
      <c r="I135" s="311" t="str">
        <f t="shared" si="115"/>
        <v/>
      </c>
      <c r="J135" s="311" t="str">
        <f t="shared" si="115"/>
        <v/>
      </c>
      <c r="K135" s="311" t="str">
        <f t="shared" si="115"/>
        <v/>
      </c>
      <c r="L135" s="311" t="str">
        <f t="shared" si="115"/>
        <v/>
      </c>
      <c r="M135" s="311" t="str">
        <f t="shared" si="115"/>
        <v/>
      </c>
      <c r="N135" s="311" t="str">
        <f t="shared" si="115"/>
        <v/>
      </c>
      <c r="O135" s="311" t="str">
        <f t="shared" si="115"/>
        <v/>
      </c>
      <c r="P135" s="311" t="str">
        <f t="shared" si="115"/>
        <v/>
      </c>
      <c r="Q135" s="311" t="str">
        <f t="shared" si="115"/>
        <v/>
      </c>
      <c r="R135" s="311" t="str">
        <f t="shared" si="115"/>
        <v/>
      </c>
      <c r="S135" s="311" t="str">
        <f t="shared" si="115"/>
        <v/>
      </c>
      <c r="T135" s="311" t="str">
        <f t="shared" si="115"/>
        <v/>
      </c>
      <c r="U135" s="311">
        <f t="shared" si="115"/>
        <v>1.0349999999999999</v>
      </c>
      <c r="V135" s="311">
        <f t="shared" si="115"/>
        <v>1.0712249999999999</v>
      </c>
      <c r="W135" s="311">
        <f t="shared" si="115"/>
        <v>1.1087178749999997</v>
      </c>
      <c r="X135" s="311">
        <f t="shared" si="115"/>
        <v>1.1475230006249997</v>
      </c>
      <c r="Y135" s="311">
        <f t="shared" si="115"/>
        <v>1.1876863056468745</v>
      </c>
      <c r="Z135" s="311">
        <f t="shared" si="115"/>
        <v>1.229255326344515</v>
      </c>
      <c r="AA135" s="311">
        <f t="shared" si="115"/>
        <v>1.2722792627665729</v>
      </c>
      <c r="AB135" s="311">
        <f t="shared" si="115"/>
        <v>1.3168090369634029</v>
      </c>
      <c r="AC135" s="311">
        <f t="shared" si="115"/>
        <v>1.3628973532571218</v>
      </c>
      <c r="AD135" s="311">
        <f t="shared" si="115"/>
        <v>1.410598760621121</v>
      </c>
      <c r="AE135" s="311">
        <f t="shared" si="115"/>
        <v>1.4599697172428601</v>
      </c>
      <c r="AF135" s="311">
        <f t="shared" si="115"/>
        <v>1.5110686573463601</v>
      </c>
      <c r="AG135" s="311">
        <f t="shared" si="115"/>
        <v>1.5639560603534826</v>
      </c>
      <c r="AH135" s="311">
        <f t="shared" si="115"/>
        <v>1.6186945224658542</v>
      </c>
      <c r="AI135" s="311">
        <f t="shared" si="115"/>
        <v>1.6753488307521589</v>
      </c>
      <c r="AJ135" s="311">
        <f t="shared" si="115"/>
        <v>1.7339860398284843</v>
      </c>
      <c r="AK135" s="311">
        <f t="shared" si="115"/>
        <v>1.7946755512224812</v>
      </c>
      <c r="AL135" s="311">
        <f t="shared" si="98"/>
        <v>1.8574891955152679</v>
      </c>
      <c r="AM135" s="311">
        <f t="shared" si="99"/>
        <v>1.9225013173583021</v>
      </c>
      <c r="AN135" s="311">
        <f t="shared" si="100"/>
        <v>1.9897888634658425</v>
      </c>
      <c r="AO135" s="311">
        <f t="shared" si="101"/>
        <v>2.0594314736871469</v>
      </c>
      <c r="AP135" s="311">
        <f t="shared" si="102"/>
        <v>2.1315115752661966</v>
      </c>
      <c r="AQ135" s="296"/>
    </row>
    <row r="136" spans="3:43" x14ac:dyDescent="0.3">
      <c r="C136" s="1156"/>
      <c r="D136" s="294"/>
      <c r="E136" s="306">
        <f t="shared" si="96"/>
        <v>2041</v>
      </c>
      <c r="F136" s="294"/>
      <c r="G136" s="295"/>
      <c r="H136" s="311" t="str">
        <f t="shared" ref="H136:AK136" si="116">IF(H$121=$E136,1+H97,IF(H$121&gt;$E136,G136*(1+H97),""))</f>
        <v/>
      </c>
      <c r="I136" s="311" t="str">
        <f t="shared" si="116"/>
        <v/>
      </c>
      <c r="J136" s="311" t="str">
        <f t="shared" si="116"/>
        <v/>
      </c>
      <c r="K136" s="311" t="str">
        <f t="shared" si="116"/>
        <v/>
      </c>
      <c r="L136" s="311" t="str">
        <f t="shared" si="116"/>
        <v/>
      </c>
      <c r="M136" s="311" t="str">
        <f t="shared" si="116"/>
        <v/>
      </c>
      <c r="N136" s="311" t="str">
        <f t="shared" si="116"/>
        <v/>
      </c>
      <c r="O136" s="311" t="str">
        <f t="shared" si="116"/>
        <v/>
      </c>
      <c r="P136" s="311" t="str">
        <f t="shared" si="116"/>
        <v/>
      </c>
      <c r="Q136" s="311" t="str">
        <f t="shared" si="116"/>
        <v/>
      </c>
      <c r="R136" s="311" t="str">
        <f t="shared" si="116"/>
        <v/>
      </c>
      <c r="S136" s="311" t="str">
        <f t="shared" si="116"/>
        <v/>
      </c>
      <c r="T136" s="311" t="str">
        <f t="shared" si="116"/>
        <v/>
      </c>
      <c r="U136" s="311" t="str">
        <f t="shared" si="116"/>
        <v/>
      </c>
      <c r="V136" s="311">
        <f t="shared" si="116"/>
        <v>1.0349999999999999</v>
      </c>
      <c r="W136" s="311">
        <f t="shared" si="116"/>
        <v>1.0712249999999999</v>
      </c>
      <c r="X136" s="311">
        <f t="shared" si="116"/>
        <v>1.1087178749999997</v>
      </c>
      <c r="Y136" s="311">
        <f t="shared" si="116"/>
        <v>1.1475230006249997</v>
      </c>
      <c r="Z136" s="311">
        <f t="shared" si="116"/>
        <v>1.1876863056468745</v>
      </c>
      <c r="AA136" s="311">
        <f t="shared" si="116"/>
        <v>1.229255326344515</v>
      </c>
      <c r="AB136" s="311">
        <f t="shared" si="116"/>
        <v>1.2722792627665729</v>
      </c>
      <c r="AC136" s="311">
        <f t="shared" si="116"/>
        <v>1.3168090369634029</v>
      </c>
      <c r="AD136" s="311">
        <f t="shared" si="116"/>
        <v>1.3628973532571218</v>
      </c>
      <c r="AE136" s="311">
        <f t="shared" si="116"/>
        <v>1.410598760621121</v>
      </c>
      <c r="AF136" s="311">
        <f t="shared" si="116"/>
        <v>1.4599697172428601</v>
      </c>
      <c r="AG136" s="311">
        <f t="shared" si="116"/>
        <v>1.5110686573463601</v>
      </c>
      <c r="AH136" s="311">
        <f t="shared" si="116"/>
        <v>1.5639560603534826</v>
      </c>
      <c r="AI136" s="311">
        <f t="shared" si="116"/>
        <v>1.6186945224658542</v>
      </c>
      <c r="AJ136" s="311">
        <f t="shared" si="116"/>
        <v>1.6753488307521589</v>
      </c>
      <c r="AK136" s="311">
        <f t="shared" si="116"/>
        <v>1.7339860398284843</v>
      </c>
      <c r="AL136" s="311">
        <f t="shared" si="98"/>
        <v>1.7946755512224812</v>
      </c>
      <c r="AM136" s="311">
        <f t="shared" si="99"/>
        <v>1.8574891955152679</v>
      </c>
      <c r="AN136" s="311">
        <f t="shared" si="100"/>
        <v>1.9225013173583021</v>
      </c>
      <c r="AO136" s="311">
        <f t="shared" si="101"/>
        <v>1.9897888634658425</v>
      </c>
      <c r="AP136" s="311">
        <f t="shared" si="102"/>
        <v>2.0594314736871469</v>
      </c>
      <c r="AQ136" s="296"/>
    </row>
    <row r="137" spans="3:43" x14ac:dyDescent="0.3">
      <c r="C137" s="1156"/>
      <c r="D137" s="294"/>
      <c r="E137" s="306">
        <f t="shared" si="96"/>
        <v>2042</v>
      </c>
      <c r="F137" s="294"/>
      <c r="G137" s="295"/>
      <c r="H137" s="311" t="str">
        <f t="shared" ref="H137:AK137" si="117">IF(H$121=$E137,1+H98,IF(H$121&gt;$E137,G137*(1+H98),""))</f>
        <v/>
      </c>
      <c r="I137" s="311" t="str">
        <f t="shared" si="117"/>
        <v/>
      </c>
      <c r="J137" s="311" t="str">
        <f t="shared" si="117"/>
        <v/>
      </c>
      <c r="K137" s="311" t="str">
        <f t="shared" si="117"/>
        <v/>
      </c>
      <c r="L137" s="311" t="str">
        <f t="shared" si="117"/>
        <v/>
      </c>
      <c r="M137" s="311" t="str">
        <f t="shared" si="117"/>
        <v/>
      </c>
      <c r="N137" s="311" t="str">
        <f t="shared" si="117"/>
        <v/>
      </c>
      <c r="O137" s="311" t="str">
        <f t="shared" si="117"/>
        <v/>
      </c>
      <c r="P137" s="311" t="str">
        <f t="shared" si="117"/>
        <v/>
      </c>
      <c r="Q137" s="311" t="str">
        <f t="shared" si="117"/>
        <v/>
      </c>
      <c r="R137" s="311" t="str">
        <f t="shared" si="117"/>
        <v/>
      </c>
      <c r="S137" s="311" t="str">
        <f t="shared" si="117"/>
        <v/>
      </c>
      <c r="T137" s="311" t="str">
        <f t="shared" si="117"/>
        <v/>
      </c>
      <c r="U137" s="311" t="str">
        <f t="shared" si="117"/>
        <v/>
      </c>
      <c r="V137" s="311" t="str">
        <f t="shared" si="117"/>
        <v/>
      </c>
      <c r="W137" s="311">
        <f t="shared" si="117"/>
        <v>1.0349999999999999</v>
      </c>
      <c r="X137" s="311">
        <f t="shared" si="117"/>
        <v>1.0712249999999999</v>
      </c>
      <c r="Y137" s="311">
        <f t="shared" si="117"/>
        <v>1.1087178749999997</v>
      </c>
      <c r="Z137" s="311">
        <f t="shared" si="117"/>
        <v>1.1475230006249997</v>
      </c>
      <c r="AA137" s="311">
        <f t="shared" si="117"/>
        <v>1.1876863056468745</v>
      </c>
      <c r="AB137" s="311">
        <f t="shared" si="117"/>
        <v>1.229255326344515</v>
      </c>
      <c r="AC137" s="311">
        <f t="shared" si="117"/>
        <v>1.2722792627665729</v>
      </c>
      <c r="AD137" s="311">
        <f t="shared" si="117"/>
        <v>1.3168090369634029</v>
      </c>
      <c r="AE137" s="311">
        <f t="shared" si="117"/>
        <v>1.3628973532571218</v>
      </c>
      <c r="AF137" s="311">
        <f t="shared" si="117"/>
        <v>1.410598760621121</v>
      </c>
      <c r="AG137" s="311">
        <f t="shared" si="117"/>
        <v>1.4599697172428601</v>
      </c>
      <c r="AH137" s="311">
        <f t="shared" si="117"/>
        <v>1.5110686573463601</v>
      </c>
      <c r="AI137" s="311">
        <f t="shared" si="117"/>
        <v>1.5639560603534826</v>
      </c>
      <c r="AJ137" s="311">
        <f t="shared" si="117"/>
        <v>1.6186945224658542</v>
      </c>
      <c r="AK137" s="311">
        <f t="shared" si="117"/>
        <v>1.6753488307521589</v>
      </c>
      <c r="AL137" s="311">
        <f t="shared" si="98"/>
        <v>1.7339860398284843</v>
      </c>
      <c r="AM137" s="311">
        <f t="shared" si="99"/>
        <v>1.7946755512224812</v>
      </c>
      <c r="AN137" s="311">
        <f t="shared" si="100"/>
        <v>1.8574891955152679</v>
      </c>
      <c r="AO137" s="311">
        <f t="shared" si="101"/>
        <v>1.9225013173583021</v>
      </c>
      <c r="AP137" s="311">
        <f t="shared" si="102"/>
        <v>1.9897888634658425</v>
      </c>
      <c r="AQ137" s="296"/>
    </row>
    <row r="138" spans="3:43" x14ac:dyDescent="0.3">
      <c r="C138" s="1156"/>
      <c r="D138" s="294"/>
      <c r="E138" s="306">
        <f t="shared" si="96"/>
        <v>2043</v>
      </c>
      <c r="F138" s="294"/>
      <c r="G138" s="295"/>
      <c r="H138" s="311" t="str">
        <f t="shared" ref="H138:AK138" si="118">IF(H$121=$E138,1+H99,IF(H$121&gt;$E138,G138*(1+H99),""))</f>
        <v/>
      </c>
      <c r="I138" s="311" t="str">
        <f t="shared" si="118"/>
        <v/>
      </c>
      <c r="J138" s="311" t="str">
        <f t="shared" si="118"/>
        <v/>
      </c>
      <c r="K138" s="311" t="str">
        <f t="shared" si="118"/>
        <v/>
      </c>
      <c r="L138" s="311" t="str">
        <f t="shared" si="118"/>
        <v/>
      </c>
      <c r="M138" s="311" t="str">
        <f t="shared" si="118"/>
        <v/>
      </c>
      <c r="N138" s="311" t="str">
        <f t="shared" si="118"/>
        <v/>
      </c>
      <c r="O138" s="311" t="str">
        <f t="shared" si="118"/>
        <v/>
      </c>
      <c r="P138" s="311" t="str">
        <f t="shared" si="118"/>
        <v/>
      </c>
      <c r="Q138" s="311" t="str">
        <f t="shared" si="118"/>
        <v/>
      </c>
      <c r="R138" s="311" t="str">
        <f t="shared" si="118"/>
        <v/>
      </c>
      <c r="S138" s="311" t="str">
        <f t="shared" si="118"/>
        <v/>
      </c>
      <c r="T138" s="311" t="str">
        <f t="shared" si="118"/>
        <v/>
      </c>
      <c r="U138" s="311" t="str">
        <f t="shared" si="118"/>
        <v/>
      </c>
      <c r="V138" s="311" t="str">
        <f t="shared" si="118"/>
        <v/>
      </c>
      <c r="W138" s="311" t="str">
        <f t="shared" si="118"/>
        <v/>
      </c>
      <c r="X138" s="311">
        <f t="shared" si="118"/>
        <v>1.0349999999999999</v>
      </c>
      <c r="Y138" s="311">
        <f t="shared" si="118"/>
        <v>1.0712249999999999</v>
      </c>
      <c r="Z138" s="311">
        <f t="shared" si="118"/>
        <v>1.1087178749999997</v>
      </c>
      <c r="AA138" s="311">
        <f t="shared" si="118"/>
        <v>1.1475230006249997</v>
      </c>
      <c r="AB138" s="311">
        <f t="shared" si="118"/>
        <v>1.1876863056468745</v>
      </c>
      <c r="AC138" s="311">
        <f t="shared" si="118"/>
        <v>1.229255326344515</v>
      </c>
      <c r="AD138" s="311">
        <f t="shared" si="118"/>
        <v>1.2722792627665729</v>
      </c>
      <c r="AE138" s="311">
        <f t="shared" si="118"/>
        <v>1.3168090369634029</v>
      </c>
      <c r="AF138" s="311">
        <f t="shared" si="118"/>
        <v>1.3628973532571218</v>
      </c>
      <c r="AG138" s="311">
        <f t="shared" si="118"/>
        <v>1.410598760621121</v>
      </c>
      <c r="AH138" s="311">
        <f t="shared" si="118"/>
        <v>1.4599697172428601</v>
      </c>
      <c r="AI138" s="311">
        <f t="shared" si="118"/>
        <v>1.5110686573463601</v>
      </c>
      <c r="AJ138" s="311">
        <f t="shared" si="118"/>
        <v>1.5639560603534826</v>
      </c>
      <c r="AK138" s="311">
        <f t="shared" si="118"/>
        <v>1.6186945224658542</v>
      </c>
      <c r="AL138" s="311">
        <f t="shared" si="98"/>
        <v>1.6753488307521589</v>
      </c>
      <c r="AM138" s="311">
        <f t="shared" si="99"/>
        <v>1.7339860398284843</v>
      </c>
      <c r="AN138" s="311">
        <f t="shared" si="100"/>
        <v>1.7946755512224812</v>
      </c>
      <c r="AO138" s="311">
        <f t="shared" si="101"/>
        <v>1.8574891955152679</v>
      </c>
      <c r="AP138" s="311">
        <f t="shared" si="102"/>
        <v>1.9225013173583021</v>
      </c>
      <c r="AQ138" s="296"/>
    </row>
    <row r="139" spans="3:43" x14ac:dyDescent="0.3">
      <c r="C139" s="1156"/>
      <c r="D139" s="294"/>
      <c r="E139" s="306">
        <f t="shared" si="96"/>
        <v>2044</v>
      </c>
      <c r="F139" s="294"/>
      <c r="G139" s="295"/>
      <c r="H139" s="311" t="str">
        <f t="shared" ref="H139:AK139" si="119">IF(H$121=$E139,1+H100,IF(H$121&gt;$E139,G139*(1+H100),""))</f>
        <v/>
      </c>
      <c r="I139" s="311" t="str">
        <f t="shared" si="119"/>
        <v/>
      </c>
      <c r="J139" s="311" t="str">
        <f t="shared" si="119"/>
        <v/>
      </c>
      <c r="K139" s="311" t="str">
        <f t="shared" si="119"/>
        <v/>
      </c>
      <c r="L139" s="311" t="str">
        <f t="shared" si="119"/>
        <v/>
      </c>
      <c r="M139" s="311" t="str">
        <f t="shared" si="119"/>
        <v/>
      </c>
      <c r="N139" s="311" t="str">
        <f t="shared" si="119"/>
        <v/>
      </c>
      <c r="O139" s="311" t="str">
        <f t="shared" si="119"/>
        <v/>
      </c>
      <c r="P139" s="311" t="str">
        <f t="shared" si="119"/>
        <v/>
      </c>
      <c r="Q139" s="311" t="str">
        <f t="shared" si="119"/>
        <v/>
      </c>
      <c r="R139" s="311" t="str">
        <f t="shared" si="119"/>
        <v/>
      </c>
      <c r="S139" s="311" t="str">
        <f t="shared" si="119"/>
        <v/>
      </c>
      <c r="T139" s="311" t="str">
        <f t="shared" si="119"/>
        <v/>
      </c>
      <c r="U139" s="311" t="str">
        <f t="shared" si="119"/>
        <v/>
      </c>
      <c r="V139" s="311" t="str">
        <f t="shared" si="119"/>
        <v/>
      </c>
      <c r="W139" s="311" t="str">
        <f t="shared" si="119"/>
        <v/>
      </c>
      <c r="X139" s="311" t="str">
        <f t="shared" si="119"/>
        <v/>
      </c>
      <c r="Y139" s="311">
        <f t="shared" si="119"/>
        <v>1.0349999999999999</v>
      </c>
      <c r="Z139" s="311">
        <f t="shared" si="119"/>
        <v>1.0712249999999999</v>
      </c>
      <c r="AA139" s="311">
        <f t="shared" si="119"/>
        <v>1.1087178749999997</v>
      </c>
      <c r="AB139" s="311">
        <f t="shared" si="119"/>
        <v>1.1475230006249997</v>
      </c>
      <c r="AC139" s="311">
        <f t="shared" si="119"/>
        <v>1.1876863056468745</v>
      </c>
      <c r="AD139" s="311">
        <f t="shared" si="119"/>
        <v>1.229255326344515</v>
      </c>
      <c r="AE139" s="311">
        <f t="shared" si="119"/>
        <v>1.2722792627665729</v>
      </c>
      <c r="AF139" s="311">
        <f t="shared" si="119"/>
        <v>1.3168090369634029</v>
      </c>
      <c r="AG139" s="311">
        <f t="shared" si="119"/>
        <v>1.3628973532571218</v>
      </c>
      <c r="AH139" s="311">
        <f t="shared" si="119"/>
        <v>1.410598760621121</v>
      </c>
      <c r="AI139" s="311">
        <f t="shared" si="119"/>
        <v>1.4599697172428601</v>
      </c>
      <c r="AJ139" s="311">
        <f t="shared" si="119"/>
        <v>1.5110686573463601</v>
      </c>
      <c r="AK139" s="311">
        <f t="shared" si="119"/>
        <v>1.5639560603534826</v>
      </c>
      <c r="AL139" s="311">
        <f t="shared" si="98"/>
        <v>1.6186945224658542</v>
      </c>
      <c r="AM139" s="311">
        <f t="shared" si="99"/>
        <v>1.6753488307521589</v>
      </c>
      <c r="AN139" s="311">
        <f t="shared" si="100"/>
        <v>1.7339860398284843</v>
      </c>
      <c r="AO139" s="311">
        <f t="shared" si="101"/>
        <v>1.7946755512224812</v>
      </c>
      <c r="AP139" s="311">
        <f t="shared" si="102"/>
        <v>1.8574891955152679</v>
      </c>
      <c r="AQ139" s="296"/>
    </row>
    <row r="140" spans="3:43" x14ac:dyDescent="0.3">
      <c r="C140" s="1156"/>
      <c r="D140" s="294"/>
      <c r="E140" s="306">
        <f t="shared" si="96"/>
        <v>2045</v>
      </c>
      <c r="F140" s="294"/>
      <c r="G140" s="295"/>
      <c r="H140" s="311" t="str">
        <f t="shared" ref="H140:AK140" si="120">IF(H$121=$E140,1+H101,IF(H$121&gt;$E140,G140*(1+H101),""))</f>
        <v/>
      </c>
      <c r="I140" s="311" t="str">
        <f t="shared" si="120"/>
        <v/>
      </c>
      <c r="J140" s="311" t="str">
        <f t="shared" si="120"/>
        <v/>
      </c>
      <c r="K140" s="311" t="str">
        <f t="shared" si="120"/>
        <v/>
      </c>
      <c r="L140" s="311" t="str">
        <f t="shared" si="120"/>
        <v/>
      </c>
      <c r="M140" s="311" t="str">
        <f t="shared" si="120"/>
        <v/>
      </c>
      <c r="N140" s="311" t="str">
        <f t="shared" si="120"/>
        <v/>
      </c>
      <c r="O140" s="311" t="str">
        <f t="shared" si="120"/>
        <v/>
      </c>
      <c r="P140" s="311" t="str">
        <f t="shared" si="120"/>
        <v/>
      </c>
      <c r="Q140" s="311" t="str">
        <f t="shared" si="120"/>
        <v/>
      </c>
      <c r="R140" s="311" t="str">
        <f t="shared" si="120"/>
        <v/>
      </c>
      <c r="S140" s="311" t="str">
        <f t="shared" si="120"/>
        <v/>
      </c>
      <c r="T140" s="311" t="str">
        <f t="shared" si="120"/>
        <v/>
      </c>
      <c r="U140" s="311" t="str">
        <f t="shared" si="120"/>
        <v/>
      </c>
      <c r="V140" s="311" t="str">
        <f t="shared" si="120"/>
        <v/>
      </c>
      <c r="W140" s="311" t="str">
        <f t="shared" si="120"/>
        <v/>
      </c>
      <c r="X140" s="311" t="str">
        <f t="shared" si="120"/>
        <v/>
      </c>
      <c r="Y140" s="311" t="str">
        <f t="shared" si="120"/>
        <v/>
      </c>
      <c r="Z140" s="311">
        <f t="shared" si="120"/>
        <v>1.0349999999999999</v>
      </c>
      <c r="AA140" s="311">
        <f t="shared" si="120"/>
        <v>1.0712249999999999</v>
      </c>
      <c r="AB140" s="311">
        <f t="shared" si="120"/>
        <v>1.1087178749999997</v>
      </c>
      <c r="AC140" s="311">
        <f t="shared" si="120"/>
        <v>1.1475230006249997</v>
      </c>
      <c r="AD140" s="311">
        <f t="shared" si="120"/>
        <v>1.1876863056468745</v>
      </c>
      <c r="AE140" s="311">
        <f t="shared" si="120"/>
        <v>1.229255326344515</v>
      </c>
      <c r="AF140" s="311">
        <f t="shared" si="120"/>
        <v>1.2722792627665729</v>
      </c>
      <c r="AG140" s="311">
        <f t="shared" si="120"/>
        <v>1.3168090369634029</v>
      </c>
      <c r="AH140" s="311">
        <f t="shared" si="120"/>
        <v>1.3628973532571218</v>
      </c>
      <c r="AI140" s="311">
        <f t="shared" si="120"/>
        <v>1.410598760621121</v>
      </c>
      <c r="AJ140" s="311">
        <f t="shared" si="120"/>
        <v>1.4599697172428601</v>
      </c>
      <c r="AK140" s="311">
        <f t="shared" si="120"/>
        <v>1.5110686573463601</v>
      </c>
      <c r="AL140" s="311">
        <f t="shared" si="98"/>
        <v>1.5639560603534826</v>
      </c>
      <c r="AM140" s="311">
        <f t="shared" si="99"/>
        <v>1.6186945224658542</v>
      </c>
      <c r="AN140" s="311">
        <f t="shared" si="100"/>
        <v>1.6753488307521589</v>
      </c>
      <c r="AO140" s="311">
        <f t="shared" si="101"/>
        <v>1.7339860398284843</v>
      </c>
      <c r="AP140" s="311">
        <f t="shared" si="102"/>
        <v>1.7946755512224812</v>
      </c>
      <c r="AQ140" s="296"/>
    </row>
    <row r="141" spans="3:43" x14ac:dyDescent="0.3">
      <c r="C141" s="1156"/>
      <c r="D141" s="294"/>
      <c r="E141" s="306">
        <f t="shared" si="96"/>
        <v>2046</v>
      </c>
      <c r="F141" s="294"/>
      <c r="G141" s="295"/>
      <c r="H141" s="311" t="str">
        <f t="shared" ref="H141:AK141" si="121">IF(H$121=$E141,1+H102,IF(H$121&gt;$E141,G141*(1+H102),""))</f>
        <v/>
      </c>
      <c r="I141" s="311" t="str">
        <f t="shared" si="121"/>
        <v/>
      </c>
      <c r="J141" s="311" t="str">
        <f t="shared" si="121"/>
        <v/>
      </c>
      <c r="K141" s="311" t="str">
        <f t="shared" si="121"/>
        <v/>
      </c>
      <c r="L141" s="311" t="str">
        <f t="shared" si="121"/>
        <v/>
      </c>
      <c r="M141" s="311" t="str">
        <f t="shared" si="121"/>
        <v/>
      </c>
      <c r="N141" s="311" t="str">
        <f t="shared" si="121"/>
        <v/>
      </c>
      <c r="O141" s="311" t="str">
        <f t="shared" si="121"/>
        <v/>
      </c>
      <c r="P141" s="311" t="str">
        <f t="shared" si="121"/>
        <v/>
      </c>
      <c r="Q141" s="311" t="str">
        <f t="shared" si="121"/>
        <v/>
      </c>
      <c r="R141" s="311" t="str">
        <f t="shared" si="121"/>
        <v/>
      </c>
      <c r="S141" s="311" t="str">
        <f t="shared" si="121"/>
        <v/>
      </c>
      <c r="T141" s="311" t="str">
        <f t="shared" si="121"/>
        <v/>
      </c>
      <c r="U141" s="311" t="str">
        <f t="shared" si="121"/>
        <v/>
      </c>
      <c r="V141" s="311" t="str">
        <f t="shared" si="121"/>
        <v/>
      </c>
      <c r="W141" s="311" t="str">
        <f t="shared" si="121"/>
        <v/>
      </c>
      <c r="X141" s="311" t="str">
        <f t="shared" si="121"/>
        <v/>
      </c>
      <c r="Y141" s="311" t="str">
        <f t="shared" si="121"/>
        <v/>
      </c>
      <c r="Z141" s="311" t="str">
        <f t="shared" si="121"/>
        <v/>
      </c>
      <c r="AA141" s="311">
        <f t="shared" si="121"/>
        <v>1.0349999999999999</v>
      </c>
      <c r="AB141" s="311">
        <f t="shared" si="121"/>
        <v>1.0712249999999999</v>
      </c>
      <c r="AC141" s="311">
        <f t="shared" si="121"/>
        <v>1.1087178749999997</v>
      </c>
      <c r="AD141" s="311">
        <f t="shared" si="121"/>
        <v>1.1475230006249997</v>
      </c>
      <c r="AE141" s="311">
        <f t="shared" si="121"/>
        <v>1.1876863056468745</v>
      </c>
      <c r="AF141" s="311">
        <f t="shared" si="121"/>
        <v>1.229255326344515</v>
      </c>
      <c r="AG141" s="311">
        <f t="shared" si="121"/>
        <v>1.2722792627665729</v>
      </c>
      <c r="AH141" s="311">
        <f t="shared" si="121"/>
        <v>1.3168090369634029</v>
      </c>
      <c r="AI141" s="311">
        <f t="shared" si="121"/>
        <v>1.3628973532571218</v>
      </c>
      <c r="AJ141" s="311">
        <f t="shared" si="121"/>
        <v>1.410598760621121</v>
      </c>
      <c r="AK141" s="311">
        <f t="shared" si="121"/>
        <v>1.4599697172428601</v>
      </c>
      <c r="AL141" s="311">
        <f t="shared" si="98"/>
        <v>1.5110686573463601</v>
      </c>
      <c r="AM141" s="311">
        <f t="shared" si="99"/>
        <v>1.5639560603534826</v>
      </c>
      <c r="AN141" s="311">
        <f t="shared" si="100"/>
        <v>1.6186945224658542</v>
      </c>
      <c r="AO141" s="311">
        <f t="shared" si="101"/>
        <v>1.6753488307521589</v>
      </c>
      <c r="AP141" s="311">
        <f t="shared" si="102"/>
        <v>1.7339860398284843</v>
      </c>
      <c r="AQ141" s="296"/>
    </row>
    <row r="142" spans="3:43" x14ac:dyDescent="0.3">
      <c r="C142" s="1156"/>
      <c r="D142" s="294"/>
      <c r="E142" s="306">
        <f t="shared" si="96"/>
        <v>2047</v>
      </c>
      <c r="F142" s="294"/>
      <c r="G142" s="295"/>
      <c r="H142" s="311" t="str">
        <f t="shared" ref="H142:AK142" si="122">IF(H$121=$E142,1+H103,IF(H$121&gt;$E142,G142*(1+H103),""))</f>
        <v/>
      </c>
      <c r="I142" s="311" t="str">
        <f t="shared" si="122"/>
        <v/>
      </c>
      <c r="J142" s="311" t="str">
        <f t="shared" si="122"/>
        <v/>
      </c>
      <c r="K142" s="311" t="str">
        <f t="shared" si="122"/>
        <v/>
      </c>
      <c r="L142" s="311" t="str">
        <f t="shared" si="122"/>
        <v/>
      </c>
      <c r="M142" s="311" t="str">
        <f t="shared" si="122"/>
        <v/>
      </c>
      <c r="N142" s="311" t="str">
        <f t="shared" si="122"/>
        <v/>
      </c>
      <c r="O142" s="311" t="str">
        <f t="shared" si="122"/>
        <v/>
      </c>
      <c r="P142" s="311" t="str">
        <f t="shared" si="122"/>
        <v/>
      </c>
      <c r="Q142" s="311" t="str">
        <f t="shared" si="122"/>
        <v/>
      </c>
      <c r="R142" s="311" t="str">
        <f t="shared" si="122"/>
        <v/>
      </c>
      <c r="S142" s="311" t="str">
        <f t="shared" si="122"/>
        <v/>
      </c>
      <c r="T142" s="311" t="str">
        <f t="shared" si="122"/>
        <v/>
      </c>
      <c r="U142" s="311" t="str">
        <f t="shared" si="122"/>
        <v/>
      </c>
      <c r="V142" s="311" t="str">
        <f t="shared" si="122"/>
        <v/>
      </c>
      <c r="W142" s="311" t="str">
        <f t="shared" si="122"/>
        <v/>
      </c>
      <c r="X142" s="311" t="str">
        <f t="shared" si="122"/>
        <v/>
      </c>
      <c r="Y142" s="311" t="str">
        <f t="shared" si="122"/>
        <v/>
      </c>
      <c r="Z142" s="311" t="str">
        <f t="shared" si="122"/>
        <v/>
      </c>
      <c r="AA142" s="311" t="str">
        <f t="shared" si="122"/>
        <v/>
      </c>
      <c r="AB142" s="311">
        <f t="shared" si="122"/>
        <v>1.0349999999999999</v>
      </c>
      <c r="AC142" s="311">
        <f t="shared" si="122"/>
        <v>1.0712249999999999</v>
      </c>
      <c r="AD142" s="311">
        <f t="shared" si="122"/>
        <v>1.1087178749999997</v>
      </c>
      <c r="AE142" s="311">
        <f t="shared" si="122"/>
        <v>1.1475230006249997</v>
      </c>
      <c r="AF142" s="311">
        <f t="shared" si="122"/>
        <v>1.1876863056468745</v>
      </c>
      <c r="AG142" s="311">
        <f t="shared" si="122"/>
        <v>1.229255326344515</v>
      </c>
      <c r="AH142" s="311">
        <f t="shared" si="122"/>
        <v>1.2722792627665729</v>
      </c>
      <c r="AI142" s="311">
        <f t="shared" si="122"/>
        <v>1.3168090369634029</v>
      </c>
      <c r="AJ142" s="311">
        <f t="shared" si="122"/>
        <v>1.3628973532571218</v>
      </c>
      <c r="AK142" s="311">
        <f t="shared" si="122"/>
        <v>1.410598760621121</v>
      </c>
      <c r="AL142" s="311">
        <f t="shared" si="98"/>
        <v>1.4599697172428601</v>
      </c>
      <c r="AM142" s="311">
        <f t="shared" si="99"/>
        <v>1.5110686573463601</v>
      </c>
      <c r="AN142" s="311">
        <f t="shared" si="100"/>
        <v>1.5639560603534826</v>
      </c>
      <c r="AO142" s="311">
        <f t="shared" si="101"/>
        <v>1.6186945224658542</v>
      </c>
      <c r="AP142" s="311">
        <f t="shared" si="102"/>
        <v>1.6753488307521589</v>
      </c>
      <c r="AQ142" s="296"/>
    </row>
    <row r="143" spans="3:43" x14ac:dyDescent="0.3">
      <c r="C143" s="1156"/>
      <c r="D143" s="294"/>
      <c r="E143" s="306">
        <f t="shared" si="96"/>
        <v>2048</v>
      </c>
      <c r="F143" s="294"/>
      <c r="G143" s="295"/>
      <c r="H143" s="311" t="str">
        <f t="shared" ref="H143:AK143" si="123">IF(H$121=$E143,1+H104,IF(H$121&gt;$E143,G143*(1+H104),""))</f>
        <v/>
      </c>
      <c r="I143" s="311" t="str">
        <f t="shared" si="123"/>
        <v/>
      </c>
      <c r="J143" s="311" t="str">
        <f t="shared" si="123"/>
        <v/>
      </c>
      <c r="K143" s="311" t="str">
        <f t="shared" si="123"/>
        <v/>
      </c>
      <c r="L143" s="311" t="str">
        <f t="shared" si="123"/>
        <v/>
      </c>
      <c r="M143" s="311" t="str">
        <f t="shared" si="123"/>
        <v/>
      </c>
      <c r="N143" s="311" t="str">
        <f t="shared" si="123"/>
        <v/>
      </c>
      <c r="O143" s="311" t="str">
        <f t="shared" si="123"/>
        <v/>
      </c>
      <c r="P143" s="311" t="str">
        <f t="shared" si="123"/>
        <v/>
      </c>
      <c r="Q143" s="311" t="str">
        <f t="shared" si="123"/>
        <v/>
      </c>
      <c r="R143" s="311" t="str">
        <f t="shared" si="123"/>
        <v/>
      </c>
      <c r="S143" s="311" t="str">
        <f t="shared" si="123"/>
        <v/>
      </c>
      <c r="T143" s="311" t="str">
        <f t="shared" si="123"/>
        <v/>
      </c>
      <c r="U143" s="311" t="str">
        <f t="shared" si="123"/>
        <v/>
      </c>
      <c r="V143" s="311" t="str">
        <f t="shared" si="123"/>
        <v/>
      </c>
      <c r="W143" s="311" t="str">
        <f t="shared" si="123"/>
        <v/>
      </c>
      <c r="X143" s="311" t="str">
        <f t="shared" si="123"/>
        <v/>
      </c>
      <c r="Y143" s="311" t="str">
        <f t="shared" si="123"/>
        <v/>
      </c>
      <c r="Z143" s="311" t="str">
        <f t="shared" si="123"/>
        <v/>
      </c>
      <c r="AA143" s="311" t="str">
        <f t="shared" si="123"/>
        <v/>
      </c>
      <c r="AB143" s="311" t="str">
        <f t="shared" si="123"/>
        <v/>
      </c>
      <c r="AC143" s="311">
        <f t="shared" si="123"/>
        <v>1.0349999999999999</v>
      </c>
      <c r="AD143" s="311">
        <f t="shared" si="123"/>
        <v>1.0712249999999999</v>
      </c>
      <c r="AE143" s="311">
        <f t="shared" si="123"/>
        <v>1.1087178749999997</v>
      </c>
      <c r="AF143" s="311">
        <f t="shared" si="123"/>
        <v>1.1475230006249997</v>
      </c>
      <c r="AG143" s="311">
        <f t="shared" si="123"/>
        <v>1.1876863056468745</v>
      </c>
      <c r="AH143" s="311">
        <f t="shared" si="123"/>
        <v>1.229255326344515</v>
      </c>
      <c r="AI143" s="311">
        <f t="shared" si="123"/>
        <v>1.2722792627665729</v>
      </c>
      <c r="AJ143" s="311">
        <f t="shared" si="123"/>
        <v>1.3168090369634029</v>
      </c>
      <c r="AK143" s="311">
        <f t="shared" si="123"/>
        <v>1.3628973532571218</v>
      </c>
      <c r="AL143" s="311">
        <f t="shared" si="98"/>
        <v>1.410598760621121</v>
      </c>
      <c r="AM143" s="311">
        <f t="shared" si="99"/>
        <v>1.4599697172428601</v>
      </c>
      <c r="AN143" s="311">
        <f t="shared" si="100"/>
        <v>1.5110686573463601</v>
      </c>
      <c r="AO143" s="311">
        <f t="shared" si="101"/>
        <v>1.5639560603534826</v>
      </c>
      <c r="AP143" s="311">
        <f t="shared" si="102"/>
        <v>1.6186945224658542</v>
      </c>
      <c r="AQ143" s="296"/>
    </row>
    <row r="144" spans="3:43" x14ac:dyDescent="0.3">
      <c r="C144" s="1156"/>
      <c r="D144" s="294"/>
      <c r="E144" s="306">
        <f t="shared" si="96"/>
        <v>2049</v>
      </c>
      <c r="F144" s="294"/>
      <c r="G144" s="295"/>
      <c r="H144" s="311" t="str">
        <f t="shared" ref="H144:AK144" si="124">IF(H$121=$E144,1+H105,IF(H$121&gt;$E144,G144*(1+H105),""))</f>
        <v/>
      </c>
      <c r="I144" s="311" t="str">
        <f t="shared" si="124"/>
        <v/>
      </c>
      <c r="J144" s="311" t="str">
        <f t="shared" si="124"/>
        <v/>
      </c>
      <c r="K144" s="311" t="str">
        <f t="shared" si="124"/>
        <v/>
      </c>
      <c r="L144" s="311" t="str">
        <f t="shared" si="124"/>
        <v/>
      </c>
      <c r="M144" s="311" t="str">
        <f t="shared" si="124"/>
        <v/>
      </c>
      <c r="N144" s="311" t="str">
        <f t="shared" si="124"/>
        <v/>
      </c>
      <c r="O144" s="311" t="str">
        <f t="shared" si="124"/>
        <v/>
      </c>
      <c r="P144" s="311" t="str">
        <f t="shared" si="124"/>
        <v/>
      </c>
      <c r="Q144" s="311" t="str">
        <f t="shared" si="124"/>
        <v/>
      </c>
      <c r="R144" s="311" t="str">
        <f t="shared" si="124"/>
        <v/>
      </c>
      <c r="S144" s="311" t="str">
        <f t="shared" si="124"/>
        <v/>
      </c>
      <c r="T144" s="311" t="str">
        <f t="shared" si="124"/>
        <v/>
      </c>
      <c r="U144" s="311" t="str">
        <f t="shared" si="124"/>
        <v/>
      </c>
      <c r="V144" s="311" t="str">
        <f t="shared" si="124"/>
        <v/>
      </c>
      <c r="W144" s="311" t="str">
        <f t="shared" si="124"/>
        <v/>
      </c>
      <c r="X144" s="311" t="str">
        <f t="shared" si="124"/>
        <v/>
      </c>
      <c r="Y144" s="311" t="str">
        <f t="shared" si="124"/>
        <v/>
      </c>
      <c r="Z144" s="311" t="str">
        <f t="shared" si="124"/>
        <v/>
      </c>
      <c r="AA144" s="311" t="str">
        <f t="shared" si="124"/>
        <v/>
      </c>
      <c r="AB144" s="311" t="str">
        <f t="shared" si="124"/>
        <v/>
      </c>
      <c r="AC144" s="311" t="str">
        <f t="shared" si="124"/>
        <v/>
      </c>
      <c r="AD144" s="311">
        <f t="shared" si="124"/>
        <v>1.0349999999999999</v>
      </c>
      <c r="AE144" s="311">
        <f t="shared" si="124"/>
        <v>1.0712249999999999</v>
      </c>
      <c r="AF144" s="311">
        <f t="shared" si="124"/>
        <v>1.1087178749999997</v>
      </c>
      <c r="AG144" s="311">
        <f t="shared" si="124"/>
        <v>1.1475230006249997</v>
      </c>
      <c r="AH144" s="311">
        <f t="shared" si="124"/>
        <v>1.1876863056468745</v>
      </c>
      <c r="AI144" s="311">
        <f t="shared" si="124"/>
        <v>1.229255326344515</v>
      </c>
      <c r="AJ144" s="311">
        <f t="shared" si="124"/>
        <v>1.2722792627665729</v>
      </c>
      <c r="AK144" s="311">
        <f t="shared" si="124"/>
        <v>1.3168090369634029</v>
      </c>
      <c r="AL144" s="311">
        <f t="shared" si="98"/>
        <v>1.3628973532571218</v>
      </c>
      <c r="AM144" s="311">
        <f t="shared" si="99"/>
        <v>1.410598760621121</v>
      </c>
      <c r="AN144" s="311">
        <f t="shared" si="100"/>
        <v>1.4599697172428601</v>
      </c>
      <c r="AO144" s="311">
        <f t="shared" si="101"/>
        <v>1.5110686573463601</v>
      </c>
      <c r="AP144" s="311">
        <f t="shared" si="102"/>
        <v>1.5639560603534826</v>
      </c>
      <c r="AQ144" s="296"/>
    </row>
    <row r="145" spans="3:43" x14ac:dyDescent="0.3">
      <c r="C145" s="1156"/>
      <c r="D145" s="294"/>
      <c r="E145" s="306">
        <f t="shared" si="96"/>
        <v>2050</v>
      </c>
      <c r="F145" s="294"/>
      <c r="G145" s="295"/>
      <c r="H145" s="311" t="str">
        <f t="shared" ref="H145:AK145" si="125">IF(H$121=$E145,1+H106,IF(H$121&gt;$E145,G145*(1+H106),""))</f>
        <v/>
      </c>
      <c r="I145" s="311" t="str">
        <f t="shared" si="125"/>
        <v/>
      </c>
      <c r="J145" s="311" t="str">
        <f t="shared" si="125"/>
        <v/>
      </c>
      <c r="K145" s="311" t="str">
        <f t="shared" si="125"/>
        <v/>
      </c>
      <c r="L145" s="311" t="str">
        <f t="shared" si="125"/>
        <v/>
      </c>
      <c r="M145" s="311" t="str">
        <f t="shared" si="125"/>
        <v/>
      </c>
      <c r="N145" s="311" t="str">
        <f t="shared" si="125"/>
        <v/>
      </c>
      <c r="O145" s="311" t="str">
        <f t="shared" si="125"/>
        <v/>
      </c>
      <c r="P145" s="311" t="str">
        <f t="shared" si="125"/>
        <v/>
      </c>
      <c r="Q145" s="311" t="str">
        <f t="shared" si="125"/>
        <v/>
      </c>
      <c r="R145" s="311" t="str">
        <f t="shared" si="125"/>
        <v/>
      </c>
      <c r="S145" s="311" t="str">
        <f t="shared" si="125"/>
        <v/>
      </c>
      <c r="T145" s="311" t="str">
        <f t="shared" si="125"/>
        <v/>
      </c>
      <c r="U145" s="311" t="str">
        <f t="shared" si="125"/>
        <v/>
      </c>
      <c r="V145" s="311" t="str">
        <f t="shared" si="125"/>
        <v/>
      </c>
      <c r="W145" s="311" t="str">
        <f t="shared" si="125"/>
        <v/>
      </c>
      <c r="X145" s="311" t="str">
        <f t="shared" si="125"/>
        <v/>
      </c>
      <c r="Y145" s="311" t="str">
        <f t="shared" si="125"/>
        <v/>
      </c>
      <c r="Z145" s="311" t="str">
        <f t="shared" si="125"/>
        <v/>
      </c>
      <c r="AA145" s="311" t="str">
        <f t="shared" si="125"/>
        <v/>
      </c>
      <c r="AB145" s="311" t="str">
        <f t="shared" si="125"/>
        <v/>
      </c>
      <c r="AC145" s="311" t="str">
        <f t="shared" si="125"/>
        <v/>
      </c>
      <c r="AD145" s="311" t="str">
        <f t="shared" si="125"/>
        <v/>
      </c>
      <c r="AE145" s="311">
        <f t="shared" si="125"/>
        <v>1.0349999999999999</v>
      </c>
      <c r="AF145" s="311">
        <f t="shared" si="125"/>
        <v>1.0712249999999999</v>
      </c>
      <c r="AG145" s="311">
        <f t="shared" si="125"/>
        <v>1.1087178749999997</v>
      </c>
      <c r="AH145" s="311">
        <f t="shared" si="125"/>
        <v>1.1475230006249997</v>
      </c>
      <c r="AI145" s="311">
        <f t="shared" si="125"/>
        <v>1.1876863056468745</v>
      </c>
      <c r="AJ145" s="311">
        <f t="shared" si="125"/>
        <v>1.229255326344515</v>
      </c>
      <c r="AK145" s="311">
        <f t="shared" si="125"/>
        <v>1.2722792627665729</v>
      </c>
      <c r="AL145" s="311">
        <f t="shared" si="98"/>
        <v>1.3168090369634029</v>
      </c>
      <c r="AM145" s="311">
        <f t="shared" si="99"/>
        <v>1.3628973532571218</v>
      </c>
      <c r="AN145" s="311">
        <f t="shared" si="100"/>
        <v>1.410598760621121</v>
      </c>
      <c r="AO145" s="311">
        <f t="shared" si="101"/>
        <v>1.4599697172428601</v>
      </c>
      <c r="AP145" s="311">
        <f t="shared" si="102"/>
        <v>1.5110686573463601</v>
      </c>
      <c r="AQ145" s="296"/>
    </row>
    <row r="146" spans="3:43" x14ac:dyDescent="0.3">
      <c r="C146" s="1156"/>
      <c r="D146" s="294"/>
      <c r="E146" s="306">
        <f t="shared" si="96"/>
        <v>2051</v>
      </c>
      <c r="F146" s="294"/>
      <c r="G146" s="295"/>
      <c r="H146" s="311" t="str">
        <f t="shared" ref="H146:AK146" si="126">IF(H$121=$E146,1+H107,IF(H$121&gt;$E146,G146*(1+H107),""))</f>
        <v/>
      </c>
      <c r="I146" s="311" t="str">
        <f t="shared" si="126"/>
        <v/>
      </c>
      <c r="J146" s="311" t="str">
        <f t="shared" si="126"/>
        <v/>
      </c>
      <c r="K146" s="311" t="str">
        <f t="shared" si="126"/>
        <v/>
      </c>
      <c r="L146" s="311" t="str">
        <f t="shared" si="126"/>
        <v/>
      </c>
      <c r="M146" s="311" t="str">
        <f t="shared" si="126"/>
        <v/>
      </c>
      <c r="N146" s="311" t="str">
        <f t="shared" si="126"/>
        <v/>
      </c>
      <c r="O146" s="311" t="str">
        <f t="shared" si="126"/>
        <v/>
      </c>
      <c r="P146" s="311" t="str">
        <f t="shared" si="126"/>
        <v/>
      </c>
      <c r="Q146" s="311" t="str">
        <f t="shared" si="126"/>
        <v/>
      </c>
      <c r="R146" s="311" t="str">
        <f t="shared" si="126"/>
        <v/>
      </c>
      <c r="S146" s="311" t="str">
        <f t="shared" si="126"/>
        <v/>
      </c>
      <c r="T146" s="311" t="str">
        <f t="shared" si="126"/>
        <v/>
      </c>
      <c r="U146" s="311" t="str">
        <f t="shared" si="126"/>
        <v/>
      </c>
      <c r="V146" s="311" t="str">
        <f t="shared" si="126"/>
        <v/>
      </c>
      <c r="W146" s="311" t="str">
        <f t="shared" si="126"/>
        <v/>
      </c>
      <c r="X146" s="311" t="str">
        <f t="shared" si="126"/>
        <v/>
      </c>
      <c r="Y146" s="311" t="str">
        <f t="shared" si="126"/>
        <v/>
      </c>
      <c r="Z146" s="311" t="str">
        <f t="shared" si="126"/>
        <v/>
      </c>
      <c r="AA146" s="311" t="str">
        <f t="shared" si="126"/>
        <v/>
      </c>
      <c r="AB146" s="311" t="str">
        <f t="shared" si="126"/>
        <v/>
      </c>
      <c r="AC146" s="311" t="str">
        <f t="shared" si="126"/>
        <v/>
      </c>
      <c r="AD146" s="311" t="str">
        <f t="shared" si="126"/>
        <v/>
      </c>
      <c r="AE146" s="311" t="str">
        <f t="shared" si="126"/>
        <v/>
      </c>
      <c r="AF146" s="311">
        <f t="shared" si="126"/>
        <v>1.0349999999999999</v>
      </c>
      <c r="AG146" s="311">
        <f t="shared" si="126"/>
        <v>1.0712249999999999</v>
      </c>
      <c r="AH146" s="311">
        <f t="shared" si="126"/>
        <v>1.1087178749999997</v>
      </c>
      <c r="AI146" s="311">
        <f t="shared" si="126"/>
        <v>1.1475230006249997</v>
      </c>
      <c r="AJ146" s="311">
        <f t="shared" si="126"/>
        <v>1.1876863056468745</v>
      </c>
      <c r="AK146" s="311">
        <f t="shared" si="126"/>
        <v>1.229255326344515</v>
      </c>
      <c r="AL146" s="311">
        <f t="shared" si="98"/>
        <v>1.2722792627665729</v>
      </c>
      <c r="AM146" s="311">
        <f t="shared" si="99"/>
        <v>1.3168090369634029</v>
      </c>
      <c r="AN146" s="311">
        <f t="shared" si="100"/>
        <v>1.3628973532571218</v>
      </c>
      <c r="AO146" s="311">
        <f t="shared" si="101"/>
        <v>1.410598760621121</v>
      </c>
      <c r="AP146" s="311">
        <f t="shared" si="102"/>
        <v>1.4599697172428601</v>
      </c>
      <c r="AQ146" s="296"/>
    </row>
    <row r="147" spans="3:43" x14ac:dyDescent="0.3">
      <c r="C147" s="1156"/>
      <c r="D147" s="294"/>
      <c r="E147" s="306">
        <f t="shared" si="96"/>
        <v>2052</v>
      </c>
      <c r="F147" s="294"/>
      <c r="G147" s="295"/>
      <c r="H147" s="311" t="str">
        <f t="shared" ref="H147:AK147" si="127">IF(H$121=$E147,1+H108,IF(H$121&gt;$E147,G147*(1+H108),""))</f>
        <v/>
      </c>
      <c r="I147" s="311" t="str">
        <f t="shared" si="127"/>
        <v/>
      </c>
      <c r="J147" s="311" t="str">
        <f t="shared" si="127"/>
        <v/>
      </c>
      <c r="K147" s="311" t="str">
        <f t="shared" si="127"/>
        <v/>
      </c>
      <c r="L147" s="311" t="str">
        <f t="shared" si="127"/>
        <v/>
      </c>
      <c r="M147" s="311" t="str">
        <f t="shared" si="127"/>
        <v/>
      </c>
      <c r="N147" s="311" t="str">
        <f t="shared" si="127"/>
        <v/>
      </c>
      <c r="O147" s="311" t="str">
        <f t="shared" si="127"/>
        <v/>
      </c>
      <c r="P147" s="311" t="str">
        <f t="shared" si="127"/>
        <v/>
      </c>
      <c r="Q147" s="311" t="str">
        <f t="shared" si="127"/>
        <v/>
      </c>
      <c r="R147" s="311" t="str">
        <f t="shared" si="127"/>
        <v/>
      </c>
      <c r="S147" s="311" t="str">
        <f t="shared" si="127"/>
        <v/>
      </c>
      <c r="T147" s="311" t="str">
        <f t="shared" si="127"/>
        <v/>
      </c>
      <c r="U147" s="311" t="str">
        <f t="shared" si="127"/>
        <v/>
      </c>
      <c r="V147" s="311" t="str">
        <f t="shared" si="127"/>
        <v/>
      </c>
      <c r="W147" s="311" t="str">
        <f t="shared" si="127"/>
        <v/>
      </c>
      <c r="X147" s="311" t="str">
        <f t="shared" si="127"/>
        <v/>
      </c>
      <c r="Y147" s="311" t="str">
        <f t="shared" si="127"/>
        <v/>
      </c>
      <c r="Z147" s="311" t="str">
        <f t="shared" si="127"/>
        <v/>
      </c>
      <c r="AA147" s="311" t="str">
        <f t="shared" si="127"/>
        <v/>
      </c>
      <c r="AB147" s="311" t="str">
        <f t="shared" si="127"/>
        <v/>
      </c>
      <c r="AC147" s="311" t="str">
        <f t="shared" si="127"/>
        <v/>
      </c>
      <c r="AD147" s="311" t="str">
        <f t="shared" si="127"/>
        <v/>
      </c>
      <c r="AE147" s="311" t="str">
        <f t="shared" si="127"/>
        <v/>
      </c>
      <c r="AF147" s="311" t="str">
        <f t="shared" si="127"/>
        <v/>
      </c>
      <c r="AG147" s="311">
        <f t="shared" si="127"/>
        <v>1.0349999999999999</v>
      </c>
      <c r="AH147" s="311">
        <f t="shared" si="127"/>
        <v>1.0712249999999999</v>
      </c>
      <c r="AI147" s="311">
        <f t="shared" si="127"/>
        <v>1.1087178749999997</v>
      </c>
      <c r="AJ147" s="311">
        <f t="shared" si="127"/>
        <v>1.1475230006249997</v>
      </c>
      <c r="AK147" s="311">
        <f t="shared" si="127"/>
        <v>1.1876863056468745</v>
      </c>
      <c r="AL147" s="311">
        <f t="shared" si="98"/>
        <v>1.229255326344515</v>
      </c>
      <c r="AM147" s="311">
        <f t="shared" si="99"/>
        <v>1.2722792627665729</v>
      </c>
      <c r="AN147" s="311">
        <f t="shared" si="100"/>
        <v>1.3168090369634029</v>
      </c>
      <c r="AO147" s="311">
        <f t="shared" si="101"/>
        <v>1.3628973532571218</v>
      </c>
      <c r="AP147" s="311">
        <f t="shared" si="102"/>
        <v>1.410598760621121</v>
      </c>
      <c r="AQ147" s="296"/>
    </row>
    <row r="148" spans="3:43" x14ac:dyDescent="0.3">
      <c r="C148" s="1156"/>
      <c r="D148" s="294"/>
      <c r="E148" s="306">
        <f t="shared" si="96"/>
        <v>2053</v>
      </c>
      <c r="F148" s="294"/>
      <c r="G148" s="295"/>
      <c r="H148" s="311" t="str">
        <f t="shared" ref="H148:AK148" si="128">IF(H$121=$E148,1+H109,IF(H$121&gt;$E148,G148*(1+H109),""))</f>
        <v/>
      </c>
      <c r="I148" s="311" t="str">
        <f t="shared" si="128"/>
        <v/>
      </c>
      <c r="J148" s="311" t="str">
        <f t="shared" si="128"/>
        <v/>
      </c>
      <c r="K148" s="311" t="str">
        <f t="shared" si="128"/>
        <v/>
      </c>
      <c r="L148" s="311" t="str">
        <f t="shared" si="128"/>
        <v/>
      </c>
      <c r="M148" s="311" t="str">
        <f t="shared" si="128"/>
        <v/>
      </c>
      <c r="N148" s="311" t="str">
        <f t="shared" si="128"/>
        <v/>
      </c>
      <c r="O148" s="311" t="str">
        <f t="shared" si="128"/>
        <v/>
      </c>
      <c r="P148" s="311" t="str">
        <f t="shared" si="128"/>
        <v/>
      </c>
      <c r="Q148" s="311" t="str">
        <f t="shared" si="128"/>
        <v/>
      </c>
      <c r="R148" s="311" t="str">
        <f t="shared" si="128"/>
        <v/>
      </c>
      <c r="S148" s="311" t="str">
        <f t="shared" si="128"/>
        <v/>
      </c>
      <c r="T148" s="311" t="str">
        <f t="shared" si="128"/>
        <v/>
      </c>
      <c r="U148" s="311" t="str">
        <f t="shared" si="128"/>
        <v/>
      </c>
      <c r="V148" s="311" t="str">
        <f t="shared" si="128"/>
        <v/>
      </c>
      <c r="W148" s="311" t="str">
        <f t="shared" si="128"/>
        <v/>
      </c>
      <c r="X148" s="311" t="str">
        <f t="shared" si="128"/>
        <v/>
      </c>
      <c r="Y148" s="311" t="str">
        <f t="shared" si="128"/>
        <v/>
      </c>
      <c r="Z148" s="311" t="str">
        <f t="shared" si="128"/>
        <v/>
      </c>
      <c r="AA148" s="311" t="str">
        <f t="shared" si="128"/>
        <v/>
      </c>
      <c r="AB148" s="311" t="str">
        <f t="shared" si="128"/>
        <v/>
      </c>
      <c r="AC148" s="311" t="str">
        <f t="shared" si="128"/>
        <v/>
      </c>
      <c r="AD148" s="311" t="str">
        <f t="shared" si="128"/>
        <v/>
      </c>
      <c r="AE148" s="311" t="str">
        <f t="shared" si="128"/>
        <v/>
      </c>
      <c r="AF148" s="311" t="str">
        <f t="shared" si="128"/>
        <v/>
      </c>
      <c r="AG148" s="311" t="str">
        <f t="shared" si="128"/>
        <v/>
      </c>
      <c r="AH148" s="311">
        <f t="shared" si="128"/>
        <v>1.0349999999999999</v>
      </c>
      <c r="AI148" s="311">
        <f t="shared" si="128"/>
        <v>1.0712249999999999</v>
      </c>
      <c r="AJ148" s="311">
        <f t="shared" si="128"/>
        <v>1.1087178749999997</v>
      </c>
      <c r="AK148" s="311">
        <f t="shared" si="128"/>
        <v>1.1475230006249997</v>
      </c>
      <c r="AL148" s="311">
        <f t="shared" si="98"/>
        <v>1.1876863056468745</v>
      </c>
      <c r="AM148" s="311">
        <f t="shared" si="99"/>
        <v>1.229255326344515</v>
      </c>
      <c r="AN148" s="311">
        <f t="shared" si="100"/>
        <v>1.2722792627665729</v>
      </c>
      <c r="AO148" s="311">
        <f t="shared" si="101"/>
        <v>1.3168090369634029</v>
      </c>
      <c r="AP148" s="311">
        <f t="shared" si="102"/>
        <v>1.3628973532571218</v>
      </c>
      <c r="AQ148" s="296"/>
    </row>
    <row r="149" spans="3:43" x14ac:dyDescent="0.3">
      <c r="C149" s="1156"/>
      <c r="D149" s="294"/>
      <c r="E149" s="306">
        <f t="shared" si="96"/>
        <v>2054</v>
      </c>
      <c r="F149" s="294"/>
      <c r="G149" s="295"/>
      <c r="H149" s="311" t="str">
        <f t="shared" ref="H149:AK149" si="129">IF(H$121=$E149,1+H110,IF(H$121&gt;$E149,G149*(1+H110),""))</f>
        <v/>
      </c>
      <c r="I149" s="311" t="str">
        <f t="shared" si="129"/>
        <v/>
      </c>
      <c r="J149" s="311" t="str">
        <f t="shared" si="129"/>
        <v/>
      </c>
      <c r="K149" s="311" t="str">
        <f t="shared" si="129"/>
        <v/>
      </c>
      <c r="L149" s="311" t="str">
        <f t="shared" si="129"/>
        <v/>
      </c>
      <c r="M149" s="311" t="str">
        <f t="shared" si="129"/>
        <v/>
      </c>
      <c r="N149" s="311" t="str">
        <f t="shared" si="129"/>
        <v/>
      </c>
      <c r="O149" s="311" t="str">
        <f t="shared" si="129"/>
        <v/>
      </c>
      <c r="P149" s="311" t="str">
        <f t="shared" si="129"/>
        <v/>
      </c>
      <c r="Q149" s="311" t="str">
        <f t="shared" si="129"/>
        <v/>
      </c>
      <c r="R149" s="311" t="str">
        <f t="shared" si="129"/>
        <v/>
      </c>
      <c r="S149" s="311" t="str">
        <f t="shared" si="129"/>
        <v/>
      </c>
      <c r="T149" s="311" t="str">
        <f t="shared" si="129"/>
        <v/>
      </c>
      <c r="U149" s="311" t="str">
        <f t="shared" si="129"/>
        <v/>
      </c>
      <c r="V149" s="311" t="str">
        <f t="shared" si="129"/>
        <v/>
      </c>
      <c r="W149" s="311" t="str">
        <f t="shared" si="129"/>
        <v/>
      </c>
      <c r="X149" s="311" t="str">
        <f t="shared" si="129"/>
        <v/>
      </c>
      <c r="Y149" s="311" t="str">
        <f t="shared" si="129"/>
        <v/>
      </c>
      <c r="Z149" s="311" t="str">
        <f t="shared" si="129"/>
        <v/>
      </c>
      <c r="AA149" s="311" t="str">
        <f t="shared" si="129"/>
        <v/>
      </c>
      <c r="AB149" s="311" t="str">
        <f t="shared" si="129"/>
        <v/>
      </c>
      <c r="AC149" s="311" t="str">
        <f t="shared" si="129"/>
        <v/>
      </c>
      <c r="AD149" s="311" t="str">
        <f t="shared" si="129"/>
        <v/>
      </c>
      <c r="AE149" s="311" t="str">
        <f t="shared" si="129"/>
        <v/>
      </c>
      <c r="AF149" s="311" t="str">
        <f t="shared" si="129"/>
        <v/>
      </c>
      <c r="AG149" s="311" t="str">
        <f t="shared" si="129"/>
        <v/>
      </c>
      <c r="AH149" s="311" t="str">
        <f t="shared" si="129"/>
        <v/>
      </c>
      <c r="AI149" s="311">
        <f t="shared" si="129"/>
        <v>1.0349999999999999</v>
      </c>
      <c r="AJ149" s="311">
        <f t="shared" si="129"/>
        <v>1.0712249999999999</v>
      </c>
      <c r="AK149" s="311">
        <f t="shared" si="129"/>
        <v>1.1087178749999997</v>
      </c>
      <c r="AL149" s="311">
        <f t="shared" si="98"/>
        <v>1.1475230006249997</v>
      </c>
      <c r="AM149" s="311">
        <f t="shared" si="99"/>
        <v>1.1876863056468745</v>
      </c>
      <c r="AN149" s="311">
        <f t="shared" si="100"/>
        <v>1.229255326344515</v>
      </c>
      <c r="AO149" s="311">
        <f t="shared" si="101"/>
        <v>1.2722792627665729</v>
      </c>
      <c r="AP149" s="311">
        <f t="shared" si="102"/>
        <v>1.3168090369634029</v>
      </c>
      <c r="AQ149" s="296"/>
    </row>
    <row r="150" spans="3:43" x14ac:dyDescent="0.3">
      <c r="C150" s="1156"/>
      <c r="D150" s="294"/>
      <c r="E150" s="306">
        <f t="shared" si="96"/>
        <v>2055</v>
      </c>
      <c r="F150" s="294"/>
      <c r="G150" s="295"/>
      <c r="H150" s="311" t="str">
        <f t="shared" ref="H150:AK152" si="130">IF(H$121=$E150,1+H111,IF(H$121&gt;$E150,G150*(1+H111),""))</f>
        <v/>
      </c>
      <c r="I150" s="311" t="str">
        <f t="shared" si="130"/>
        <v/>
      </c>
      <c r="J150" s="311" t="str">
        <f t="shared" si="130"/>
        <v/>
      </c>
      <c r="K150" s="311" t="str">
        <f t="shared" si="130"/>
        <v/>
      </c>
      <c r="L150" s="311" t="str">
        <f t="shared" si="130"/>
        <v/>
      </c>
      <c r="M150" s="311" t="str">
        <f t="shared" si="130"/>
        <v/>
      </c>
      <c r="N150" s="311" t="str">
        <f t="shared" si="130"/>
        <v/>
      </c>
      <c r="O150" s="311" t="str">
        <f t="shared" si="130"/>
        <v/>
      </c>
      <c r="P150" s="311" t="str">
        <f t="shared" si="130"/>
        <v/>
      </c>
      <c r="Q150" s="311" t="str">
        <f t="shared" si="130"/>
        <v/>
      </c>
      <c r="R150" s="311" t="str">
        <f t="shared" si="130"/>
        <v/>
      </c>
      <c r="S150" s="311" t="str">
        <f t="shared" si="130"/>
        <v/>
      </c>
      <c r="T150" s="311" t="str">
        <f t="shared" si="130"/>
        <v/>
      </c>
      <c r="U150" s="311" t="str">
        <f t="shared" si="130"/>
        <v/>
      </c>
      <c r="V150" s="311" t="str">
        <f t="shared" si="130"/>
        <v/>
      </c>
      <c r="W150" s="311" t="str">
        <f t="shared" si="130"/>
        <v/>
      </c>
      <c r="X150" s="311" t="str">
        <f t="shared" si="130"/>
        <v/>
      </c>
      <c r="Y150" s="311" t="str">
        <f t="shared" si="130"/>
        <v/>
      </c>
      <c r="Z150" s="311" t="str">
        <f t="shared" si="130"/>
        <v/>
      </c>
      <c r="AA150" s="311" t="str">
        <f t="shared" si="130"/>
        <v/>
      </c>
      <c r="AB150" s="311" t="str">
        <f t="shared" si="130"/>
        <v/>
      </c>
      <c r="AC150" s="311" t="str">
        <f t="shared" si="130"/>
        <v/>
      </c>
      <c r="AD150" s="311" t="str">
        <f t="shared" si="130"/>
        <v/>
      </c>
      <c r="AE150" s="311" t="str">
        <f t="shared" si="130"/>
        <v/>
      </c>
      <c r="AF150" s="311" t="str">
        <f t="shared" si="130"/>
        <v/>
      </c>
      <c r="AG150" s="311" t="str">
        <f t="shared" si="130"/>
        <v/>
      </c>
      <c r="AH150" s="311" t="str">
        <f t="shared" si="130"/>
        <v/>
      </c>
      <c r="AI150" s="311" t="str">
        <f t="shared" si="130"/>
        <v/>
      </c>
      <c r="AJ150" s="311">
        <f t="shared" si="130"/>
        <v>1.0349999999999999</v>
      </c>
      <c r="AK150" s="311">
        <f t="shared" si="130"/>
        <v>1.0712249999999999</v>
      </c>
      <c r="AL150" s="311">
        <f t="shared" si="98"/>
        <v>1.1087178749999997</v>
      </c>
      <c r="AM150" s="311">
        <f t="shared" si="99"/>
        <v>1.1475230006249997</v>
      </c>
      <c r="AN150" s="311">
        <f t="shared" si="100"/>
        <v>1.1876863056468745</v>
      </c>
      <c r="AO150" s="311">
        <f t="shared" si="101"/>
        <v>1.229255326344515</v>
      </c>
      <c r="AP150" s="311">
        <f t="shared" si="102"/>
        <v>1.2722792627665729</v>
      </c>
      <c r="AQ150" s="296"/>
    </row>
    <row r="151" spans="3:43" x14ac:dyDescent="0.3">
      <c r="C151" s="1156"/>
      <c r="D151" s="294"/>
      <c r="E151" s="306">
        <f t="shared" si="96"/>
        <v>2056</v>
      </c>
      <c r="F151" s="294"/>
      <c r="G151" s="295"/>
      <c r="H151" s="311" t="str">
        <f t="shared" ref="H151:H156" si="131">IF(H$121=$E151,1+H112,IF(H$121&gt;$E151,G151*(1+H112),""))</f>
        <v/>
      </c>
      <c r="I151" s="311" t="str">
        <f t="shared" si="130"/>
        <v/>
      </c>
      <c r="J151" s="311" t="str">
        <f t="shared" si="130"/>
        <v/>
      </c>
      <c r="K151" s="311" t="str">
        <f t="shared" si="130"/>
        <v/>
      </c>
      <c r="L151" s="311" t="str">
        <f t="shared" si="130"/>
        <v/>
      </c>
      <c r="M151" s="311" t="str">
        <f t="shared" si="130"/>
        <v/>
      </c>
      <c r="N151" s="311" t="str">
        <f t="shared" si="130"/>
        <v/>
      </c>
      <c r="O151" s="311" t="str">
        <f t="shared" si="130"/>
        <v/>
      </c>
      <c r="P151" s="311" t="str">
        <f t="shared" si="130"/>
        <v/>
      </c>
      <c r="Q151" s="311" t="str">
        <f t="shared" si="130"/>
        <v/>
      </c>
      <c r="R151" s="311" t="str">
        <f t="shared" si="130"/>
        <v/>
      </c>
      <c r="S151" s="311" t="str">
        <f t="shared" si="130"/>
        <v/>
      </c>
      <c r="T151" s="311" t="str">
        <f t="shared" si="130"/>
        <v/>
      </c>
      <c r="U151" s="311" t="str">
        <f t="shared" si="130"/>
        <v/>
      </c>
      <c r="V151" s="311" t="str">
        <f t="shared" si="130"/>
        <v/>
      </c>
      <c r="W151" s="311" t="str">
        <f t="shared" si="130"/>
        <v/>
      </c>
      <c r="X151" s="311" t="str">
        <f t="shared" si="130"/>
        <v/>
      </c>
      <c r="Y151" s="311" t="str">
        <f t="shared" si="130"/>
        <v/>
      </c>
      <c r="Z151" s="311" t="str">
        <f t="shared" si="130"/>
        <v/>
      </c>
      <c r="AA151" s="311" t="str">
        <f t="shared" si="130"/>
        <v/>
      </c>
      <c r="AB151" s="311" t="str">
        <f t="shared" si="130"/>
        <v/>
      </c>
      <c r="AC151" s="311" t="str">
        <f t="shared" si="130"/>
        <v/>
      </c>
      <c r="AD151" s="311" t="str">
        <f t="shared" si="130"/>
        <v/>
      </c>
      <c r="AE151" s="311" t="str">
        <f t="shared" si="130"/>
        <v/>
      </c>
      <c r="AF151" s="311" t="str">
        <f t="shared" si="130"/>
        <v/>
      </c>
      <c r="AG151" s="311" t="str">
        <f t="shared" si="130"/>
        <v/>
      </c>
      <c r="AH151" s="311" t="str">
        <f t="shared" si="130"/>
        <v/>
      </c>
      <c r="AI151" s="311" t="str">
        <f t="shared" si="130"/>
        <v/>
      </c>
      <c r="AJ151" s="311" t="str">
        <f t="shared" si="130"/>
        <v/>
      </c>
      <c r="AK151" s="311">
        <f t="shared" si="130"/>
        <v>1.0349999999999999</v>
      </c>
      <c r="AL151" s="311">
        <f t="shared" si="98"/>
        <v>1.0712249999999999</v>
      </c>
      <c r="AM151" s="311">
        <f t="shared" si="99"/>
        <v>1.1087178749999997</v>
      </c>
      <c r="AN151" s="311">
        <f t="shared" si="100"/>
        <v>1.1475230006249997</v>
      </c>
      <c r="AO151" s="311">
        <f t="shared" si="101"/>
        <v>1.1876863056468745</v>
      </c>
      <c r="AP151" s="311">
        <f t="shared" si="102"/>
        <v>1.229255326344515</v>
      </c>
      <c r="AQ151" s="296"/>
    </row>
    <row r="152" spans="3:43" x14ac:dyDescent="0.3">
      <c r="C152" s="1156"/>
      <c r="D152" s="294"/>
      <c r="E152" s="306">
        <f t="shared" ref="E152:E156" si="132">E113</f>
        <v>2057</v>
      </c>
      <c r="F152" s="294"/>
      <c r="G152" s="295"/>
      <c r="H152" s="311" t="str">
        <f t="shared" si="131"/>
        <v/>
      </c>
      <c r="I152" s="311" t="str">
        <f t="shared" si="130"/>
        <v/>
      </c>
      <c r="J152" s="311" t="str">
        <f t="shared" si="130"/>
        <v/>
      </c>
      <c r="K152" s="311" t="str">
        <f t="shared" si="130"/>
        <v/>
      </c>
      <c r="L152" s="311" t="str">
        <f t="shared" si="130"/>
        <v/>
      </c>
      <c r="M152" s="311" t="str">
        <f t="shared" si="130"/>
        <v/>
      </c>
      <c r="N152" s="311" t="str">
        <f t="shared" si="130"/>
        <v/>
      </c>
      <c r="O152" s="311" t="str">
        <f t="shared" si="130"/>
        <v/>
      </c>
      <c r="P152" s="311" t="str">
        <f t="shared" si="130"/>
        <v/>
      </c>
      <c r="Q152" s="311" t="str">
        <f t="shared" si="130"/>
        <v/>
      </c>
      <c r="R152" s="311" t="str">
        <f t="shared" si="130"/>
        <v/>
      </c>
      <c r="S152" s="311" t="str">
        <f t="shared" si="130"/>
        <v/>
      </c>
      <c r="T152" s="311" t="str">
        <f t="shared" si="130"/>
        <v/>
      </c>
      <c r="U152" s="311" t="str">
        <f t="shared" si="130"/>
        <v/>
      </c>
      <c r="V152" s="311" t="str">
        <f t="shared" si="130"/>
        <v/>
      </c>
      <c r="W152" s="311" t="str">
        <f t="shared" si="130"/>
        <v/>
      </c>
      <c r="X152" s="311" t="str">
        <f t="shared" si="130"/>
        <v/>
      </c>
      <c r="Y152" s="311" t="str">
        <f t="shared" si="130"/>
        <v/>
      </c>
      <c r="Z152" s="311" t="str">
        <f t="shared" si="130"/>
        <v/>
      </c>
      <c r="AA152" s="311" t="str">
        <f t="shared" si="130"/>
        <v/>
      </c>
      <c r="AB152" s="311" t="str">
        <f t="shared" si="130"/>
        <v/>
      </c>
      <c r="AC152" s="311" t="str">
        <f t="shared" si="130"/>
        <v/>
      </c>
      <c r="AD152" s="311" t="str">
        <f t="shared" si="130"/>
        <v/>
      </c>
      <c r="AE152" s="311" t="str">
        <f t="shared" ref="AE152:AE156" si="133">IF(AE$121=$E152,1+AE113,IF(AE$121&gt;$E152,AD152*(1+AE113),""))</f>
        <v/>
      </c>
      <c r="AF152" s="311" t="str">
        <f t="shared" ref="AF152:AF156" si="134">IF(AF$121=$E152,1+AF113,IF(AF$121&gt;$E152,AE152*(1+AF113),""))</f>
        <v/>
      </c>
      <c r="AG152" s="311" t="str">
        <f t="shared" ref="AG152:AG156" si="135">IF(AG$121=$E152,1+AG113,IF(AG$121&gt;$E152,AF152*(1+AG113),""))</f>
        <v/>
      </c>
      <c r="AH152" s="311" t="str">
        <f t="shared" ref="AH152:AH156" si="136">IF(AH$121=$E152,1+AH113,IF(AH$121&gt;$E152,AG152*(1+AH113),""))</f>
        <v/>
      </c>
      <c r="AI152" s="311" t="str">
        <f t="shared" ref="AI152:AI156" si="137">IF(AI$121=$E152,1+AI113,IF(AI$121&gt;$E152,AH152*(1+AI113),""))</f>
        <v/>
      </c>
      <c r="AJ152" s="311" t="str">
        <f t="shared" ref="AJ152:AJ156" si="138">IF(AJ$121=$E152,1+AJ113,IF(AJ$121&gt;$E152,AI152*(1+AJ113),""))</f>
        <v/>
      </c>
      <c r="AK152" s="311" t="str">
        <f t="shared" ref="AK152:AK156" si="139">IF(AK$121=$E152,1+AK113,IF(AK$121&gt;$E152,AJ152*(1+AK113),""))</f>
        <v/>
      </c>
      <c r="AL152" s="311">
        <f t="shared" si="98"/>
        <v>1.0349999999999999</v>
      </c>
      <c r="AM152" s="311">
        <f t="shared" si="99"/>
        <v>1.0712249999999999</v>
      </c>
      <c r="AN152" s="311">
        <f t="shared" si="100"/>
        <v>1.1087178749999997</v>
      </c>
      <c r="AO152" s="311">
        <f t="shared" si="101"/>
        <v>1.1475230006249997</v>
      </c>
      <c r="AP152" s="311">
        <f t="shared" si="102"/>
        <v>1.1876863056468745</v>
      </c>
      <c r="AQ152" s="296"/>
    </row>
    <row r="153" spans="3:43" x14ac:dyDescent="0.3">
      <c r="C153" s="1156"/>
      <c r="D153" s="294"/>
      <c r="E153" s="306">
        <f t="shared" si="132"/>
        <v>2058</v>
      </c>
      <c r="F153" s="294"/>
      <c r="G153" s="295"/>
      <c r="H153" s="311" t="str">
        <f t="shared" si="131"/>
        <v/>
      </c>
      <c r="I153" s="311" t="str">
        <f t="shared" ref="I153:I156" si="140">IF(I$121=$E153,1+I114,IF(I$121&gt;$E153,H153*(1+I114),""))</f>
        <v/>
      </c>
      <c r="J153" s="311" t="str">
        <f t="shared" ref="J153:J156" si="141">IF(J$121=$E153,1+J114,IF(J$121&gt;$E153,I153*(1+J114),""))</f>
        <v/>
      </c>
      <c r="K153" s="311" t="str">
        <f t="shared" ref="K153:K156" si="142">IF(K$121=$E153,1+K114,IF(K$121&gt;$E153,J153*(1+K114),""))</f>
        <v/>
      </c>
      <c r="L153" s="311" t="str">
        <f t="shared" ref="L153:L156" si="143">IF(L$121=$E153,1+L114,IF(L$121&gt;$E153,K153*(1+L114),""))</f>
        <v/>
      </c>
      <c r="M153" s="311" t="str">
        <f t="shared" ref="M153:M156" si="144">IF(M$121=$E153,1+M114,IF(M$121&gt;$E153,L153*(1+M114),""))</f>
        <v/>
      </c>
      <c r="N153" s="311" t="str">
        <f t="shared" ref="N153:N156" si="145">IF(N$121=$E153,1+N114,IF(N$121&gt;$E153,M153*(1+N114),""))</f>
        <v/>
      </c>
      <c r="O153" s="311" t="str">
        <f t="shared" ref="O153:O156" si="146">IF(O$121=$E153,1+O114,IF(O$121&gt;$E153,N153*(1+O114),""))</f>
        <v/>
      </c>
      <c r="P153" s="311" t="str">
        <f t="shared" ref="P153:P156" si="147">IF(P$121=$E153,1+P114,IF(P$121&gt;$E153,O153*(1+P114),""))</f>
        <v/>
      </c>
      <c r="Q153" s="311" t="str">
        <f t="shared" ref="Q153:Q156" si="148">IF(Q$121=$E153,1+Q114,IF(Q$121&gt;$E153,P153*(1+Q114),""))</f>
        <v/>
      </c>
      <c r="R153" s="311" t="str">
        <f t="shared" ref="R153:R156" si="149">IF(R$121=$E153,1+R114,IF(R$121&gt;$E153,Q153*(1+R114),""))</f>
        <v/>
      </c>
      <c r="S153" s="311" t="str">
        <f t="shared" ref="S153:S156" si="150">IF(S$121=$E153,1+S114,IF(S$121&gt;$E153,R153*(1+S114),""))</f>
        <v/>
      </c>
      <c r="T153" s="311" t="str">
        <f t="shared" ref="T153:T156" si="151">IF(T$121=$E153,1+T114,IF(T$121&gt;$E153,S153*(1+T114),""))</f>
        <v/>
      </c>
      <c r="U153" s="311" t="str">
        <f t="shared" ref="U153:U156" si="152">IF(U$121=$E153,1+U114,IF(U$121&gt;$E153,T153*(1+U114),""))</f>
        <v/>
      </c>
      <c r="V153" s="311" t="str">
        <f t="shared" ref="V153:V156" si="153">IF(V$121=$E153,1+V114,IF(V$121&gt;$E153,U153*(1+V114),""))</f>
        <v/>
      </c>
      <c r="W153" s="311" t="str">
        <f t="shared" ref="W153:W156" si="154">IF(W$121=$E153,1+W114,IF(W$121&gt;$E153,V153*(1+W114),""))</f>
        <v/>
      </c>
      <c r="X153" s="311" t="str">
        <f t="shared" ref="X153:X156" si="155">IF(X$121=$E153,1+X114,IF(X$121&gt;$E153,W153*(1+X114),""))</f>
        <v/>
      </c>
      <c r="Y153" s="311" t="str">
        <f t="shared" ref="Y153:Y156" si="156">IF(Y$121=$E153,1+Y114,IF(Y$121&gt;$E153,X153*(1+Y114),""))</f>
        <v/>
      </c>
      <c r="Z153" s="311" t="str">
        <f t="shared" ref="Z153:Z156" si="157">IF(Z$121=$E153,1+Z114,IF(Z$121&gt;$E153,Y153*(1+Z114),""))</f>
        <v/>
      </c>
      <c r="AA153" s="311" t="str">
        <f t="shared" ref="AA153:AA156" si="158">IF(AA$121=$E153,1+AA114,IF(AA$121&gt;$E153,Z153*(1+AA114),""))</f>
        <v/>
      </c>
      <c r="AB153" s="311" t="str">
        <f t="shared" ref="AB153:AB156" si="159">IF(AB$121=$E153,1+AB114,IF(AB$121&gt;$E153,AA153*(1+AB114),""))</f>
        <v/>
      </c>
      <c r="AC153" s="311" t="str">
        <f t="shared" ref="AC153:AC156" si="160">IF(AC$121=$E153,1+AC114,IF(AC$121&gt;$E153,AB153*(1+AC114),""))</f>
        <v/>
      </c>
      <c r="AD153" s="311" t="str">
        <f t="shared" ref="AD153:AD156" si="161">IF(AD$121=$E153,1+AD114,IF(AD$121&gt;$E153,AC153*(1+AD114),""))</f>
        <v/>
      </c>
      <c r="AE153" s="311" t="str">
        <f t="shared" si="133"/>
        <v/>
      </c>
      <c r="AF153" s="311" t="str">
        <f t="shared" si="134"/>
        <v/>
      </c>
      <c r="AG153" s="311" t="str">
        <f t="shared" si="135"/>
        <v/>
      </c>
      <c r="AH153" s="311" t="str">
        <f t="shared" si="136"/>
        <v/>
      </c>
      <c r="AI153" s="311" t="str">
        <f t="shared" si="137"/>
        <v/>
      </c>
      <c r="AJ153" s="311" t="str">
        <f t="shared" si="138"/>
        <v/>
      </c>
      <c r="AK153" s="311" t="str">
        <f t="shared" si="139"/>
        <v/>
      </c>
      <c r="AL153" s="311" t="str">
        <f t="shared" si="98"/>
        <v/>
      </c>
      <c r="AM153" s="311">
        <f t="shared" si="99"/>
        <v>1.0349999999999999</v>
      </c>
      <c r="AN153" s="311">
        <f t="shared" si="100"/>
        <v>1.0712249999999999</v>
      </c>
      <c r="AO153" s="311">
        <f t="shared" si="101"/>
        <v>1.1087178749999997</v>
      </c>
      <c r="AP153" s="311">
        <f t="shared" si="102"/>
        <v>1.1475230006249997</v>
      </c>
      <c r="AQ153" s="296"/>
    </row>
    <row r="154" spans="3:43" x14ac:dyDescent="0.3">
      <c r="C154" s="1156"/>
      <c r="D154" s="294"/>
      <c r="E154" s="306">
        <f t="shared" si="132"/>
        <v>2059</v>
      </c>
      <c r="F154" s="294"/>
      <c r="G154" s="295"/>
      <c r="H154" s="311" t="str">
        <f t="shared" si="131"/>
        <v/>
      </c>
      <c r="I154" s="311" t="str">
        <f t="shared" si="140"/>
        <v/>
      </c>
      <c r="J154" s="311" t="str">
        <f t="shared" si="141"/>
        <v/>
      </c>
      <c r="K154" s="311" t="str">
        <f t="shared" si="142"/>
        <v/>
      </c>
      <c r="L154" s="311" t="str">
        <f t="shared" si="143"/>
        <v/>
      </c>
      <c r="M154" s="311" t="str">
        <f t="shared" si="144"/>
        <v/>
      </c>
      <c r="N154" s="311" t="str">
        <f t="shared" si="145"/>
        <v/>
      </c>
      <c r="O154" s="311" t="str">
        <f t="shared" si="146"/>
        <v/>
      </c>
      <c r="P154" s="311" t="str">
        <f t="shared" si="147"/>
        <v/>
      </c>
      <c r="Q154" s="311" t="str">
        <f t="shared" si="148"/>
        <v/>
      </c>
      <c r="R154" s="311" t="str">
        <f t="shared" si="149"/>
        <v/>
      </c>
      <c r="S154" s="311" t="str">
        <f t="shared" si="150"/>
        <v/>
      </c>
      <c r="T154" s="311" t="str">
        <f t="shared" si="151"/>
        <v/>
      </c>
      <c r="U154" s="311" t="str">
        <f t="shared" si="152"/>
        <v/>
      </c>
      <c r="V154" s="311" t="str">
        <f t="shared" si="153"/>
        <v/>
      </c>
      <c r="W154" s="311" t="str">
        <f t="shared" si="154"/>
        <v/>
      </c>
      <c r="X154" s="311" t="str">
        <f t="shared" si="155"/>
        <v/>
      </c>
      <c r="Y154" s="311" t="str">
        <f t="shared" si="156"/>
        <v/>
      </c>
      <c r="Z154" s="311" t="str">
        <f t="shared" si="157"/>
        <v/>
      </c>
      <c r="AA154" s="311" t="str">
        <f t="shared" si="158"/>
        <v/>
      </c>
      <c r="AB154" s="311" t="str">
        <f t="shared" si="159"/>
        <v/>
      </c>
      <c r="AC154" s="311" t="str">
        <f t="shared" si="160"/>
        <v/>
      </c>
      <c r="AD154" s="311" t="str">
        <f t="shared" si="161"/>
        <v/>
      </c>
      <c r="AE154" s="311" t="str">
        <f t="shared" si="133"/>
        <v/>
      </c>
      <c r="AF154" s="311" t="str">
        <f t="shared" si="134"/>
        <v/>
      </c>
      <c r="AG154" s="311" t="str">
        <f t="shared" si="135"/>
        <v/>
      </c>
      <c r="AH154" s="311" t="str">
        <f t="shared" si="136"/>
        <v/>
      </c>
      <c r="AI154" s="311" t="str">
        <f t="shared" si="137"/>
        <v/>
      </c>
      <c r="AJ154" s="311" t="str">
        <f t="shared" si="138"/>
        <v/>
      </c>
      <c r="AK154" s="311" t="str">
        <f t="shared" si="139"/>
        <v/>
      </c>
      <c r="AL154" s="311" t="str">
        <f t="shared" si="98"/>
        <v/>
      </c>
      <c r="AM154" s="311" t="str">
        <f t="shared" si="99"/>
        <v/>
      </c>
      <c r="AN154" s="311">
        <f t="shared" si="100"/>
        <v>1.0349999999999999</v>
      </c>
      <c r="AO154" s="311">
        <f t="shared" si="101"/>
        <v>1.0712249999999999</v>
      </c>
      <c r="AP154" s="311">
        <f t="shared" si="102"/>
        <v>1.1087178749999997</v>
      </c>
      <c r="AQ154" s="296"/>
    </row>
    <row r="155" spans="3:43" x14ac:dyDescent="0.3">
      <c r="C155" s="1156"/>
      <c r="D155" s="294"/>
      <c r="E155" s="306">
        <f t="shared" si="132"/>
        <v>2060</v>
      </c>
      <c r="F155" s="294"/>
      <c r="G155" s="295"/>
      <c r="H155" s="311" t="str">
        <f t="shared" si="131"/>
        <v/>
      </c>
      <c r="I155" s="311" t="str">
        <f t="shared" si="140"/>
        <v/>
      </c>
      <c r="J155" s="311" t="str">
        <f t="shared" si="141"/>
        <v/>
      </c>
      <c r="K155" s="311" t="str">
        <f t="shared" si="142"/>
        <v/>
      </c>
      <c r="L155" s="311" t="str">
        <f t="shared" si="143"/>
        <v/>
      </c>
      <c r="M155" s="311" t="str">
        <f t="shared" si="144"/>
        <v/>
      </c>
      <c r="N155" s="311" t="str">
        <f t="shared" si="145"/>
        <v/>
      </c>
      <c r="O155" s="311" t="str">
        <f t="shared" si="146"/>
        <v/>
      </c>
      <c r="P155" s="311" t="str">
        <f t="shared" si="147"/>
        <v/>
      </c>
      <c r="Q155" s="311" t="str">
        <f t="shared" si="148"/>
        <v/>
      </c>
      <c r="R155" s="311" t="str">
        <f t="shared" si="149"/>
        <v/>
      </c>
      <c r="S155" s="311" t="str">
        <f t="shared" si="150"/>
        <v/>
      </c>
      <c r="T155" s="311" t="str">
        <f t="shared" si="151"/>
        <v/>
      </c>
      <c r="U155" s="311" t="str">
        <f t="shared" si="152"/>
        <v/>
      </c>
      <c r="V155" s="311" t="str">
        <f t="shared" si="153"/>
        <v/>
      </c>
      <c r="W155" s="311" t="str">
        <f t="shared" si="154"/>
        <v/>
      </c>
      <c r="X155" s="311" t="str">
        <f t="shared" si="155"/>
        <v/>
      </c>
      <c r="Y155" s="311" t="str">
        <f t="shared" si="156"/>
        <v/>
      </c>
      <c r="Z155" s="311" t="str">
        <f t="shared" si="157"/>
        <v/>
      </c>
      <c r="AA155" s="311" t="str">
        <f t="shared" si="158"/>
        <v/>
      </c>
      <c r="AB155" s="311" t="str">
        <f t="shared" si="159"/>
        <v/>
      </c>
      <c r="AC155" s="311" t="str">
        <f t="shared" si="160"/>
        <v/>
      </c>
      <c r="AD155" s="311" t="str">
        <f t="shared" si="161"/>
        <v/>
      </c>
      <c r="AE155" s="311" t="str">
        <f t="shared" si="133"/>
        <v/>
      </c>
      <c r="AF155" s="311" t="str">
        <f t="shared" si="134"/>
        <v/>
      </c>
      <c r="AG155" s="311" t="str">
        <f t="shared" si="135"/>
        <v/>
      </c>
      <c r="AH155" s="311" t="str">
        <f t="shared" si="136"/>
        <v/>
      </c>
      <c r="AI155" s="311" t="str">
        <f t="shared" si="137"/>
        <v/>
      </c>
      <c r="AJ155" s="311" t="str">
        <f t="shared" si="138"/>
        <v/>
      </c>
      <c r="AK155" s="311" t="str">
        <f t="shared" si="139"/>
        <v/>
      </c>
      <c r="AL155" s="311" t="str">
        <f t="shared" si="98"/>
        <v/>
      </c>
      <c r="AM155" s="311" t="str">
        <f t="shared" si="99"/>
        <v/>
      </c>
      <c r="AN155" s="311" t="str">
        <f t="shared" si="100"/>
        <v/>
      </c>
      <c r="AO155" s="311">
        <f t="shared" si="101"/>
        <v>1.0349999999999999</v>
      </c>
      <c r="AP155" s="311">
        <f t="shared" si="102"/>
        <v>1.0712249999999999</v>
      </c>
      <c r="AQ155" s="296"/>
    </row>
    <row r="156" spans="3:43" x14ac:dyDescent="0.3">
      <c r="C156" s="1156"/>
      <c r="D156" s="294"/>
      <c r="E156" s="306">
        <f t="shared" si="132"/>
        <v>2061</v>
      </c>
      <c r="F156" s="294"/>
      <c r="G156" s="295"/>
      <c r="H156" s="311" t="str">
        <f t="shared" si="131"/>
        <v/>
      </c>
      <c r="I156" s="311" t="str">
        <f t="shared" si="140"/>
        <v/>
      </c>
      <c r="J156" s="311" t="str">
        <f t="shared" si="141"/>
        <v/>
      </c>
      <c r="K156" s="311" t="str">
        <f t="shared" si="142"/>
        <v/>
      </c>
      <c r="L156" s="311" t="str">
        <f t="shared" si="143"/>
        <v/>
      </c>
      <c r="M156" s="311" t="str">
        <f t="shared" si="144"/>
        <v/>
      </c>
      <c r="N156" s="311" t="str">
        <f t="shared" si="145"/>
        <v/>
      </c>
      <c r="O156" s="311" t="str">
        <f t="shared" si="146"/>
        <v/>
      </c>
      <c r="P156" s="311" t="str">
        <f t="shared" si="147"/>
        <v/>
      </c>
      <c r="Q156" s="311" t="str">
        <f t="shared" si="148"/>
        <v/>
      </c>
      <c r="R156" s="311" t="str">
        <f t="shared" si="149"/>
        <v/>
      </c>
      <c r="S156" s="311" t="str">
        <f t="shared" si="150"/>
        <v/>
      </c>
      <c r="T156" s="311" t="str">
        <f t="shared" si="151"/>
        <v/>
      </c>
      <c r="U156" s="311" t="str">
        <f t="shared" si="152"/>
        <v/>
      </c>
      <c r="V156" s="311" t="str">
        <f t="shared" si="153"/>
        <v/>
      </c>
      <c r="W156" s="311" t="str">
        <f t="shared" si="154"/>
        <v/>
      </c>
      <c r="X156" s="311" t="str">
        <f t="shared" si="155"/>
        <v/>
      </c>
      <c r="Y156" s="311" t="str">
        <f t="shared" si="156"/>
        <v/>
      </c>
      <c r="Z156" s="311" t="str">
        <f t="shared" si="157"/>
        <v/>
      </c>
      <c r="AA156" s="311" t="str">
        <f t="shared" si="158"/>
        <v/>
      </c>
      <c r="AB156" s="311" t="str">
        <f t="shared" si="159"/>
        <v/>
      </c>
      <c r="AC156" s="311" t="str">
        <f t="shared" si="160"/>
        <v/>
      </c>
      <c r="AD156" s="311" t="str">
        <f t="shared" si="161"/>
        <v/>
      </c>
      <c r="AE156" s="311" t="str">
        <f t="shared" si="133"/>
        <v/>
      </c>
      <c r="AF156" s="311" t="str">
        <f t="shared" si="134"/>
        <v/>
      </c>
      <c r="AG156" s="311" t="str">
        <f t="shared" si="135"/>
        <v/>
      </c>
      <c r="AH156" s="311" t="str">
        <f t="shared" si="136"/>
        <v/>
      </c>
      <c r="AI156" s="311" t="str">
        <f t="shared" si="137"/>
        <v/>
      </c>
      <c r="AJ156" s="311" t="str">
        <f t="shared" si="138"/>
        <v/>
      </c>
      <c r="AK156" s="311" t="str">
        <f t="shared" si="139"/>
        <v/>
      </c>
      <c r="AL156" s="311" t="str">
        <f t="shared" si="98"/>
        <v/>
      </c>
      <c r="AM156" s="311" t="str">
        <f t="shared" si="99"/>
        <v/>
      </c>
      <c r="AN156" s="311" t="str">
        <f t="shared" si="100"/>
        <v/>
      </c>
      <c r="AO156" s="311" t="str">
        <f t="shared" si="101"/>
        <v/>
      </c>
      <c r="AP156" s="311">
        <f t="shared" si="102"/>
        <v>1.0349999999999999</v>
      </c>
      <c r="AQ156" s="296"/>
    </row>
    <row r="157" spans="3:43" ht="15" thickBot="1" x14ac:dyDescent="0.35">
      <c r="C157" s="1157"/>
      <c r="D157" s="298"/>
      <c r="E157" s="298"/>
      <c r="F157" s="298"/>
      <c r="G157" s="289"/>
      <c r="H157" s="300"/>
      <c r="I157" s="300"/>
      <c r="J157" s="300"/>
      <c r="K157" s="300"/>
      <c r="L157" s="300"/>
      <c r="M157" s="300"/>
      <c r="N157" s="300"/>
      <c r="O157" s="300"/>
      <c r="P157" s="300"/>
      <c r="Q157" s="300"/>
      <c r="R157" s="300"/>
      <c r="S157" s="300"/>
      <c r="T157" s="300"/>
      <c r="U157" s="300"/>
      <c r="V157" s="300"/>
      <c r="W157" s="300"/>
      <c r="X157" s="300"/>
      <c r="Y157" s="300"/>
      <c r="Z157" s="300"/>
      <c r="AA157" s="300"/>
      <c r="AB157" s="300"/>
      <c r="AC157" s="300"/>
      <c r="AD157" s="300"/>
      <c r="AE157" s="300"/>
      <c r="AF157" s="300"/>
      <c r="AG157" s="300"/>
      <c r="AH157" s="300"/>
      <c r="AI157" s="300"/>
      <c r="AJ157" s="300"/>
      <c r="AK157" s="300"/>
      <c r="AL157" s="300"/>
      <c r="AM157" s="300"/>
      <c r="AN157" s="300"/>
      <c r="AO157" s="300"/>
      <c r="AP157" s="300"/>
      <c r="AQ157" s="290"/>
    </row>
  </sheetData>
  <mergeCells count="8">
    <mergeCell ref="C43:C79"/>
    <mergeCell ref="C82:C118"/>
    <mergeCell ref="C121:C157"/>
    <mergeCell ref="B1:B3"/>
    <mergeCell ref="C1:G2"/>
    <mergeCell ref="C3:G3"/>
    <mergeCell ref="B4:B40"/>
    <mergeCell ref="C4:C40"/>
  </mergeCells>
  <pageMargins left="0.511811024" right="0.511811024" top="0.78740157499999996" bottom="0.78740157499999996" header="0.31496062000000002" footer="0.31496062000000002"/>
  <pageSetup paperSize="8" scale="3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6583b87-8887-4dcc-9de7-4890b5b5f803">
      <Terms xmlns="http://schemas.microsoft.com/office/infopath/2007/PartnerControls"/>
    </lcf76f155ced4ddcb4097134ff3c332f>
    <TaxCatchAll xmlns="6747c96e-445d-4854-a254-bc36e2bcb0d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2742764FE3D6642923B9303D79ECF55" ma:contentTypeVersion="16" ma:contentTypeDescription="Crie um novo documento." ma:contentTypeScope="" ma:versionID="b3cbd0ad6af9a43e477230606a4d52ba">
  <xsd:schema xmlns:xsd="http://www.w3.org/2001/XMLSchema" xmlns:xs="http://www.w3.org/2001/XMLSchema" xmlns:p="http://schemas.microsoft.com/office/2006/metadata/properties" xmlns:ns2="6747c96e-445d-4854-a254-bc36e2bcb0d7" xmlns:ns3="c6583b87-8887-4dcc-9de7-4890b5b5f803" targetNamespace="http://schemas.microsoft.com/office/2006/metadata/properties" ma:root="true" ma:fieldsID="1e96ac2d353bddf54bdee5fddeb607a0" ns2:_="" ns3:_="">
    <xsd:import namespace="6747c96e-445d-4854-a254-bc36e2bcb0d7"/>
    <xsd:import namespace="c6583b87-8887-4dcc-9de7-4890b5b5f80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47c96e-445d-4854-a254-bc36e2bcb0d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98bb6e46-00bc-4e47-905a-68bc733f39d4}" ma:internalName="TaxCatchAll" ma:showField="CatchAllData" ma:web="6747c96e-445d-4854-a254-bc36e2bcb0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583b87-8887-4dcc-9de7-4890b5b5f80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Marcações de imagem" ma:readOnly="false" ma:fieldId="{5cf76f15-5ced-4ddc-b409-7134ff3c332f}" ma:taxonomyMulti="true" ma:sspId="e5f00710-cdf4-4d8a-8e57-46a355119d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0C357B-A131-41C9-80A3-8DE2770824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4856973-840D-4AD1-BBE0-C85543872B3F}">
  <ds:schemaRefs>
    <ds:schemaRef ds:uri="http://purl.org/dc/terms/"/>
    <ds:schemaRef ds:uri="6747c96e-445d-4854-a254-bc36e2bcb0d7"/>
    <ds:schemaRef ds:uri="http://schemas.microsoft.com/office/2006/documentManagement/types"/>
    <ds:schemaRef ds:uri="c6583b87-8887-4dcc-9de7-4890b5b5f803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05C02B6-F787-4601-A8B0-DFDF16CB31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47c96e-445d-4854-a254-bc36e2bcb0d7"/>
    <ds:schemaRef ds:uri="c6583b87-8887-4dcc-9de7-4890b5b5f8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24</vt:i4>
      </vt:variant>
    </vt:vector>
  </HeadingPairs>
  <TitlesOfParts>
    <vt:vector size="24" baseType="lpstr">
      <vt:lpstr>Resultados</vt:lpstr>
      <vt:lpstr>DADOS PARA CONTRATO</vt:lpstr>
      <vt:lpstr>FCD PROJETO</vt:lpstr>
      <vt:lpstr>DRE PROJETO</vt:lpstr>
      <vt:lpstr>FCD Acionista</vt:lpstr>
      <vt:lpstr>Matriz Tarifária</vt:lpstr>
      <vt:lpstr>Dados ME</vt:lpstr>
      <vt:lpstr>Histograma</vt:lpstr>
      <vt:lpstr>Base Física</vt:lpstr>
      <vt:lpstr>CAPEX</vt:lpstr>
      <vt:lpstr>Cronograma</vt:lpstr>
      <vt:lpstr>Financiamento </vt:lpstr>
      <vt:lpstr>Distribuição Custeio</vt:lpstr>
      <vt:lpstr>Mão de Obra</vt:lpstr>
      <vt:lpstr>Manut Rede</vt:lpstr>
      <vt:lpstr>Veículos</vt:lpstr>
      <vt:lpstr>Reposição de Ativos</vt:lpstr>
      <vt:lpstr>Energia Eletrica</vt:lpstr>
      <vt:lpstr>Produto Químico</vt:lpstr>
      <vt:lpstr>Legal e Regulação</vt:lpstr>
      <vt:lpstr>Despesas Diversas</vt:lpstr>
      <vt:lpstr>Recursos Hidricos</vt:lpstr>
      <vt:lpstr>Seguros e Garantias</vt:lpstr>
      <vt:lpstr>Depreciação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Waldo Villani Jr</dc:creator>
  <cp:lastModifiedBy>Waldo Villani Jr</cp:lastModifiedBy>
  <cp:lastPrinted>2023-05-05T21:39:12Z</cp:lastPrinted>
  <dcterms:created xsi:type="dcterms:W3CDTF">2022-10-05T15:46:19Z</dcterms:created>
  <dcterms:modified xsi:type="dcterms:W3CDTF">2025-12-19T18:11:08Z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0x01010022742764FE3D6642923B9303D79ECF55</vt:lpwstr>
  </property>
</Properties>
</file>